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казники" sheetId="1" r:id="rId1"/>
  </sheets>
  <definedNames>
    <definedName name="_xlnm.Print_Area" localSheetId="0">'Показники'!$A$1:$K$366</definedName>
  </definedNames>
  <calcPr fullCalcOnLoad="1"/>
</workbook>
</file>

<file path=xl/sharedStrings.xml><?xml version="1.0" encoding="utf-8"?>
<sst xmlns="http://schemas.openxmlformats.org/spreadsheetml/2006/main" count="367" uniqueCount="220">
  <si>
    <t>Разом</t>
  </si>
  <si>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</si>
  <si>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</si>
  <si>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</si>
  <si>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</si>
  <si>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</si>
  <si>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</si>
  <si>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</si>
  <si>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>Підпрограма 2. Соціальні гарантії громадянам міста</t>
  </si>
  <si>
    <t>Мета: Встановлення додаткових пільг, забезпечення належного соціального захисту окремих категорій громадян міста.</t>
  </si>
  <si>
    <t xml:space="preserve">Показники виконання: </t>
  </si>
  <si>
    <t xml:space="preserve">Показник продукту: </t>
  </si>
  <si>
    <t xml:space="preserve">кількість громадян, яким надана матеріальна допомога, осіб </t>
  </si>
  <si>
    <t xml:space="preserve">кількість громадян, яким надані соціальні гарантії, осіб </t>
  </si>
  <si>
    <t>кількість громадян, які вшановуються під час проведенні в місті святкових заходів, осіб</t>
  </si>
  <si>
    <t>середній розмір матеріальної допомоги, грн</t>
  </si>
  <si>
    <t>середній розмір надання соціальних гарантій, грн</t>
  </si>
  <si>
    <t>середній розмір на вшанування однієї особи, грн.</t>
  </si>
  <si>
    <t>питома вага відшкодованих компенсацій до нарахованих, %</t>
  </si>
  <si>
    <t xml:space="preserve">Показник якості: </t>
  </si>
  <si>
    <t>Показник ефективності:</t>
  </si>
  <si>
    <t>кількість отримувачів пільгових послуг, осіб, в т.ч.:</t>
  </si>
  <si>
    <t>кількість отримувачів додаткових гарантій, осіб</t>
  </si>
  <si>
    <t>середній розмір додаткових гарантій, грн.</t>
  </si>
  <si>
    <t>в тому числі:</t>
  </si>
  <si>
    <t>Почесних громадян, яким надана пільга (100%), чол.</t>
  </si>
  <si>
    <t>Завдання 1. Забезпечити надання матеріальної допомоги окремим громадянам.</t>
  </si>
  <si>
    <t>питома вага відшкодованих пільгових послуг до нарахованих, %</t>
  </si>
  <si>
    <t>Мета: Забезпечення надання соціальних гарантій, встановлених чинним законодавством та Сумською міською радою</t>
  </si>
  <si>
    <t>Завдання 2. Забезпечити надання соціальних гарантій, встановлених Сумською міською радою.</t>
  </si>
  <si>
    <t>Завдання 2. Забезпечити виплату соціальних гарантій громадянам, які мають заслуги перед містом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</si>
  <si>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</si>
  <si>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</si>
  <si>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динаміка обсягу витрат на надання пільг у порівнянні з попереднім роком, %</t>
  </si>
  <si>
    <t>динаміка обсягу витрат на надання додаткових гарантій у порівнянні з попереднім роком, %</t>
  </si>
  <si>
    <t xml:space="preserve">Показник затрат: </t>
  </si>
  <si>
    <t>Завдання 1. Забезпечити надання пільг по оплаті за житлово-комунальні послуги</t>
  </si>
  <si>
    <t>Відповідальний виконавець: управління освіти і науки Сумської міської ради</t>
  </si>
  <si>
    <t>кількість днів харчування в дошкільнму навчальному закладі</t>
  </si>
  <si>
    <t xml:space="preserve">Відповідальний виконавець: управління освіти і науки Сумської міської ради </t>
  </si>
  <si>
    <t>середньомісячний розмір компенсації на 1 пільговика за пільговий проїзд електротранспортом , грн.</t>
  </si>
  <si>
    <t>середні витрати на оздоровлення однієї дитини, грн.</t>
  </si>
  <si>
    <t>середній розмір витрат на надання пільг на одного пільговика в рік, грн., в т.ч.:</t>
  </si>
  <si>
    <t>на одного члена сім'ї загиблого в Афганістані воїна-інтернаціоналіста, грн.</t>
  </si>
  <si>
    <t>середній розмір витрат на одну дитину в день, грн.</t>
  </si>
  <si>
    <t>середній розмір витрат на одного учня в день, грн.</t>
  </si>
  <si>
    <t>динаміка обсягу витрат у порівнянні з попереднім роком, %</t>
  </si>
  <si>
    <t>на одного Почесного громадянина, грн</t>
  </si>
  <si>
    <t>на одного Почесного донора, грн</t>
  </si>
  <si>
    <t>кількість людей з обмеженими фізичними можливостями та інших осіб, які не можуть самостійно пересуватися, або пересуваються за допомогою милиць, палиць, візків, осіб</t>
  </si>
  <si>
    <t>середні витрати на надання транспортних послуг на одну особу в рік, грн.</t>
  </si>
  <si>
    <t>- членам сімей осіб, які загинули під час участі у Революції Гідності  (50% пільги), чол.</t>
  </si>
  <si>
    <t>на одного члена сім'ї особи, яка загинула під час участі у Революції Гідності, грн.</t>
  </si>
  <si>
    <t xml:space="preserve">Відповідальні виконавці: ДСЗН Сумської міської ради 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</si>
  <si>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</si>
  <si>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 xml:space="preserve">кількість осіб, які мають право на пільговий проїзд автомобільним транспортом, осіб </t>
  </si>
  <si>
    <t>кількість підприємств-отримувачів компенсації за пільговий проїзд окремих категорій громадян, од.</t>
  </si>
  <si>
    <t>середньомісячний розмір компенсації за пільговий проїзд автомобільним транспортом, грн</t>
  </si>
  <si>
    <t xml:space="preserve">кількість осіб, які мають право на пільговий проїзд електротранспортом, осіб </t>
  </si>
  <si>
    <t>питома вага пільговиків, які отримали пільгові послуги, %</t>
  </si>
  <si>
    <t>кількість отримувачів пільг на оплату послуг зв'язку (користування телефоном), осіб</t>
  </si>
  <si>
    <t>кількість отримувачів пільг на оплату послуг зв'язку (встановлення телефонів), осіб</t>
  </si>
  <si>
    <t>середньомісячна вартість витрат на надання пільг з послуг зв'язку (користування телефоном), грн.</t>
  </si>
  <si>
    <t>середня вартість витрат на надання пільг з послуг зв'язку (встановлення телефонів), грн.</t>
  </si>
  <si>
    <t>Показники затрат:</t>
  </si>
  <si>
    <t>Показники продукту:</t>
  </si>
  <si>
    <t>кількість отримувачів компенсації витрат на автомобільне паливо</t>
  </si>
  <si>
    <t>кількість осіб, які мають право на пільговий проїзд один раз на рік (один раз на 2 роки) залізничним транспортом</t>
  </si>
  <si>
    <t>Показники ефективності:</t>
  </si>
  <si>
    <t>середній розмір компенсації витрат на автомобільне паливо</t>
  </si>
  <si>
    <t xml:space="preserve">середня вартість пільгового проїзду один раз на рік (один раз на два роки) залізничним, водним, повітряним або міжміським автомобільним транспортом </t>
  </si>
  <si>
    <t>Показники якості:</t>
  </si>
  <si>
    <t xml:space="preserve">частка пільговиків, які отримали компенсацію витрат на автомобільне паливо </t>
  </si>
  <si>
    <t>обсяг видатків на пільговий проїзд один раз на рік (один раз на два роки) залізничним транспортом</t>
  </si>
  <si>
    <t>середній розмір витрат на надання пільг щодо оплати комунальних послуг на одну громадську організацію, грн.</t>
  </si>
  <si>
    <t>кількість громадських організацій, яким надані пільги по оплаті за користування комунальними послугами, од.</t>
  </si>
  <si>
    <t>кількість осіб, які подали заяви на проведення безоплатного капітального ремонту будинків (квартир)</t>
  </si>
  <si>
    <t xml:space="preserve">обсяг видатків на капітальний ремонт будинків і квартир </t>
  </si>
  <si>
    <t>середня вартість капітального ремонту будинків (квартир)</t>
  </si>
  <si>
    <t xml:space="preserve">частка пільговиків, які використали право на пільговий проїзд один раз на рік (один раз на два роки) залізничним транспортом </t>
  </si>
  <si>
    <t>частка пільговиків, яким відремонтовано будинки (квартири)</t>
  </si>
  <si>
    <t xml:space="preserve">Відповідальні виконавці: ДСЗН та виконавчий комітет Сумської міської ради </t>
  </si>
  <si>
    <t>Відповідальний виконавець:  ДСЗН Сумської міської ради</t>
  </si>
  <si>
    <t>Відповідальний виконавець: ДСЗН Сумської міської ради</t>
  </si>
  <si>
    <t>вартість одного новорічного подарунку, грн.</t>
  </si>
  <si>
    <t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</t>
  </si>
  <si>
    <t>Завдання 1. Надання  транспортних послуг "Соціальне таксі" людям з обмеженими фізичними можливостями.</t>
  </si>
  <si>
    <t>Відповідальні виконавці, КПКВК, завдання програми, результативні показники</t>
  </si>
  <si>
    <t>Мета: Обробка інформації з нарахування та виплати допомог, компенсацій та субсидій.</t>
  </si>
  <si>
    <t>Показник затрат:</t>
  </si>
  <si>
    <t>обсяг витрат на обробку інформації з нарахування та виплати допомог, компенсацій та субсидій за особовими справами, тис. грн.</t>
  </si>
  <si>
    <t>загальна кількість справ, штук</t>
  </si>
  <si>
    <t>середні витрати на обробку однієї справи, грн./рік</t>
  </si>
  <si>
    <t>рівень обробки інформації, %</t>
  </si>
  <si>
    <t xml:space="preserve">  </t>
  </si>
  <si>
    <t>Завдання 3. Забезпечити проведення заходів для ветеранів війни та праці, осіб з інвалідністю та дітей з інвалідністю, громадян постраждалих внаслідок аварії на ЧАЕС.</t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</si>
  <si>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</si>
  <si>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Додаток 6</t>
  </si>
  <si>
    <t>кількість дітей віком до 14 років з багатодітних сімей, де виховуються четверо і більше дітей, та які не перебувають на обліку в закладах освіти міста, осіб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</si>
  <si>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</si>
  <si>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</si>
  <si>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осіб з інвалідністю І-ІІ гр. по зору разом з членами сім'ї, яким надана пільга (50%), чол.</t>
  </si>
  <si>
    <t>Завдання 1. Забезпечення надання пільг населенню на оплату житлово-комунальних послуг</t>
  </si>
  <si>
    <t>на одну особу з інвалідністю І-ІІ групи по зору разом з членами сім'ї, грн</t>
  </si>
  <si>
    <t>середній розмір витрат на надання пільг щодо оплати житлово-комунальних послуг на одного пільговика в рік, грн., в т.ч.:</t>
  </si>
  <si>
    <t>на одну особу з інвалідністю з дитинства з діагнозом ДЦП або дитину з інвалідністю з діагнозом ДЦП, грн</t>
  </si>
  <si>
    <t>КПКВК 0813036</t>
  </si>
  <si>
    <t>КПКВК 0611010</t>
  </si>
  <si>
    <t>0611010</t>
  </si>
  <si>
    <t>кількість дітей,  батьки яких загинули або отримали тілесні ушкодження під час участі у Революції Гідності, звільнених від оплати за харчування, осіб</t>
  </si>
  <si>
    <t>кількість дітей, батьки яких загинули або отримали тілесні ушкодження під час участі у Революції Гідності, які отримають новорічні подарунки, осіб</t>
  </si>
  <si>
    <t>кількість дітей з багатодітних сімей, де виховуються четверо і більше дітей, які отримають новорічні подарунки, осіб</t>
  </si>
  <si>
    <t>КПКВК 0611020</t>
  </si>
  <si>
    <t>0611020</t>
  </si>
  <si>
    <t>кількість учнів та вихованців віком до 14 років з багатодітних сімей, де виховуються четверо і більше дітей, які отримають новорічні подарунки, осіб</t>
  </si>
  <si>
    <t>КПКВК 0613140</t>
  </si>
  <si>
    <t>0613140</t>
  </si>
  <si>
    <t>КПКВК 0813104</t>
  </si>
  <si>
    <t>0813104</t>
  </si>
  <si>
    <t>Мета: забезпечення надання пільг  окремим категоріям громадян з оплати послуг зв’язку, проїзду, ремонту будинків і квартир, компенсації витрат на автомобільне паливо</t>
  </si>
  <si>
    <t>0813030</t>
  </si>
  <si>
    <t>КПКВК 0813033</t>
  </si>
  <si>
    <t>КПКВК 0813032</t>
  </si>
  <si>
    <t>КПКВК 0813031</t>
  </si>
  <si>
    <t xml:space="preserve"> обсяг видатків для надання інших передбачених законодавством пільг громадянам, які постраждали внаслідок Чорнобильської катастрофи </t>
  </si>
  <si>
    <t>кількість громадянам, які постраждали внаслідок Чорнобильської катастрофи, яким надані інші пільги, осіб</t>
  </si>
  <si>
    <t>середня вартість пільги, наданої громадянам, які постраждали внаслідок Чорнобильської катастрофи</t>
  </si>
  <si>
    <t>частка громадян. які постраждали внаслідок Чорнобильської катастрофи, яким надані інші пільги</t>
  </si>
  <si>
    <t>КПКВК 0819770</t>
  </si>
  <si>
    <t>0819770</t>
  </si>
  <si>
    <t>осіб з інвалідністю з дитинства I та II групи з діагнозом ДЦП (крім осіб з інвалідністю І А групи) та дітям з інвалідністю з діагнозом ДЦП, яким надана пільга (50 % пільги), а також особам з інвалідністю з дитинства І А групи з діагнозом ДЦП, яким надана пільга (100% пільги), чол.;</t>
  </si>
  <si>
    <t>Продовження додатка 6</t>
  </si>
  <si>
    <t>КПКВК 0813242, КПКВК 0213242</t>
  </si>
  <si>
    <t>0813242</t>
  </si>
  <si>
    <t>0213242</t>
  </si>
  <si>
    <t>КПКВК 0813192</t>
  </si>
  <si>
    <t>0813192</t>
  </si>
  <si>
    <t>КПКВК 0813180</t>
  </si>
  <si>
    <t>0813180</t>
  </si>
  <si>
    <t>КПКВК  0813191</t>
  </si>
  <si>
    <t>0813191</t>
  </si>
  <si>
    <t>КПКВК 0813200</t>
  </si>
  <si>
    <t>0813200</t>
  </si>
  <si>
    <t>Підпрограма 5. Соціальні пільги та гарантії громадянам, які мають заслуги перед містом та сім'ям загиблих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</si>
  <si>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</si>
  <si>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</si>
  <si>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>Завдання 1.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</si>
  <si>
    <t>динаміка кількості заходів, спрямованих на забезпечення ефективного розв'язання соціальних проблем ветеранів та осіб з інвалідністю, у порівнянні з попереднім роком, %</t>
  </si>
  <si>
    <t>обсяг видатків на компенсацію витрат на автомобільне паливо</t>
  </si>
  <si>
    <t xml:space="preserve"> </t>
  </si>
  <si>
    <t>кількість дітей, батьки яких є учасниками бойових дій на території інших держав, звільнених від оплати за харчування, осіб</t>
  </si>
  <si>
    <t>кількість учнів, батьки яких є учасниками бойових дій на території інших держав, забезпечених безкоштовним харчуванням (сніданок або обід), осіб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</si>
  <si>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</si>
  <si>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</si>
  <si>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t>до міської програми "Місто Суми - територія добра та милосердя" на 2019-2021 роки" (зі змінами)</t>
  </si>
  <si>
    <t>2019 рік (план)</t>
  </si>
  <si>
    <t>2020 рік (прогноз)</t>
  </si>
  <si>
    <t>2021 рік (прогноз)</t>
  </si>
  <si>
    <t>Завдання 4. Забезпечити надання пільг громадським організаціям по оплаті за користування комунальними послугами.</t>
  </si>
  <si>
    <t>Завдання 5.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</si>
  <si>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</si>
  <si>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</si>
  <si>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Завдання 1. 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</t>
  </si>
  <si>
    <t>Підпрограма 9. Надання пільг, встановлених чинним законодавством</t>
  </si>
  <si>
    <t>Завдання 1. Забезпечення надання  інших, передбачених законодавством, пільг окремим категоріям громадян відповідно до законодавства:</t>
  </si>
  <si>
    <t>Завдання 2. Забезпечення надання пільг з оплати послуг зв'язку</t>
  </si>
  <si>
    <t>Завдання 3. Забезпечення проведення розрахунків з підприємствами автомобільного транспорту за пільговий проїзд окремих категорій громадян</t>
  </si>
  <si>
    <t>Завдання 1. Забезпечити безкоштовним харчуванням дітей раннього віку закладів дошкільної освіти:</t>
  </si>
  <si>
    <t>Завдання 2. Забезпечити безкоштовним харчуванням дітей дошкільного віку закладів дошкільної освіти:</t>
  </si>
  <si>
    <t>кількість дітей, батьки яких є учасниками бойових дій на території інших держав, які отримають новорічні подарунки, осіб</t>
  </si>
  <si>
    <t>Завдання 3. Забезпечити новорічними подарунками вихованців закладів дошкільної освіти.</t>
  </si>
  <si>
    <t>Завдання 1. Забезпечити безкоштовним харчуванням  учнів закладів загальної середньої освіти:</t>
  </si>
  <si>
    <t>кількість учнів, батьки яких загинули або отримали тілесні ушкодження під час участі у Революції Гідності, забезпечених безкоштовним харчуванням (сніданок або обід), осіб</t>
  </si>
  <si>
    <t>кількість днів харчування в закладі загальної середньої освіти</t>
  </si>
  <si>
    <t>кількість учнів та вихованців, батьки яких є учасниками бойових дій на території інших держав, які отримають новорічні подарунки, осіб</t>
  </si>
  <si>
    <t>кількість учнів та вихованців, батьки яких загинули або отримали тілесні ушкодження під час участі у Революції Гідності, які отримають новорічні подарунки, осіб</t>
  </si>
  <si>
    <t>Завдання 2. Забезпечити новорічними подарунками учнів закладів загальної середньої освіти, вихованців та учнів навчально-виховних комплексів.</t>
  </si>
  <si>
    <t>Завдання 3. Організація оздоровлення учнів, які потребують особливої соціальної уваги та підтримки.</t>
  </si>
  <si>
    <t xml:space="preserve">кількість учнів,батьки яких є учасниками бойових дій на території інших держав, яким надані послуги з оздоровлення, осіб </t>
  </si>
  <si>
    <t xml:space="preserve">кількість учнів, батьки яких загинули або отримали тілесні ушкодження під час участі у Революції Гідності, яким надані послуги з оздоровлення, осіб </t>
  </si>
  <si>
    <t>кількість громадських організацій ветеранів, яким надана фінансова підтримка за результатами конкурсу, од.</t>
  </si>
  <si>
    <t>кількість громадських організацій осіб з інвалідністю, яким надана фінансова підтримка а результатами конкурсу, од.</t>
  </si>
  <si>
    <t>кількість одержувачів фінансової підтримки, осіб</t>
  </si>
  <si>
    <t>середній розмір фінансової підтримки на місяць на одне об'єднання ветеранів, грн.</t>
  </si>
  <si>
    <t>середній розмір фінансової підтримки на місяць на одне об'єднання осіб з інвалідністю, грн.</t>
  </si>
  <si>
    <t>питома вага осіб з інвалідністю та ветеранів, які отримають в громадських об'єднаннях допомогу у вирішенні питань, від загальної чисельності, які звернулися за наданням такої допомоги, %</t>
  </si>
  <si>
    <t>соціального захисту населення</t>
  </si>
  <si>
    <t>Сумської міської ради</t>
  </si>
  <si>
    <t xml:space="preserve">В.о. директора департаменту </t>
  </si>
  <si>
    <t>С.Б. Маринченко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</si>
  <si>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</si>
  <si>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Підпрограма 12. Соціальна підтримка вихованців закладів дошкільної освіти, які потребують особливої соціальної уваги.</t>
  </si>
  <si>
    <t>Підпрограма 13. Соціальна підтримка учнів закладів загальної середньої освіти, які потребують особливої соціальної уваги.</t>
  </si>
  <si>
    <t>КПКВК 0813160</t>
  </si>
  <si>
    <t>0813160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</si>
  <si>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</si>
  <si>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Мета: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</si>
  <si>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0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</si>
  <si>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t>кількість фізичних осіб, яким виплачується компенсація за надання соціальних послуг, осіб, зокрема:</t>
  </si>
  <si>
    <t>особам з інвалідністю I групи, осіб; </t>
  </si>
  <si>
    <t>особам з інвалідністю IІ групи, осіб; </t>
  </si>
  <si>
    <t>дітям з інвалідністю</t>
  </si>
  <si>
    <t>громадянам похилого віку</t>
  </si>
  <si>
    <t>кількість осіб, які звернулись за призначенням компенсації, осіб; </t>
  </si>
  <si>
    <t>питома вага кількості призначених компенсацій до кількості звернень за призначенням компенсації, %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</si>
  <si>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</si>
  <si>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Результативні показники виконання завдань міської програми «Місто Суми - територія добра та милосердя»  на 2019-2021 роки»</t>
  </si>
  <si>
    <t>Почесних донорів, яким надана пільга (25%), чол.</t>
  </si>
  <si>
    <t>онкохворих дітей та дітей, хворих на спінальну м'язову атрофію,  разом з членами сім'ї, яким надана пільга (50%), чол.</t>
  </si>
  <si>
    <t>на одну онкохвору дитину та дитину хвору на спінальну м'язову атрофію,  разом з членами сім'ї, грн.</t>
  </si>
  <si>
    <r>
      <t xml:space="preserve">Показник якості:                                                  </t>
    </r>
    <r>
      <rPr>
        <sz val="11"/>
        <rFont val="Times New Roman"/>
        <family val="1"/>
      </rPr>
      <t xml:space="preserve">  </t>
    </r>
  </si>
  <si>
    <t xml:space="preserve">Завдання 4. Забезпечення проведення розрахунків за пільговий проїзд електротранспортом окремих категорій громадян </t>
  </si>
  <si>
    <t>хворим,  які не здатні до самообслуговування і потребують постійної сторонньої допомоги, визнані такими в порядку, затвердженому МОЗ</t>
  </si>
  <si>
    <t xml:space="preserve"> 0813036</t>
  </si>
  <si>
    <t>Підпрограма 6. Компенсаційні виплати на пільговий проїзд міським електротранспортом окремих категорій громадян</t>
  </si>
  <si>
    <t>Мета: виплата компенсації за пільговий проїзд міським електротранспортом окремих категорій громадян.</t>
  </si>
  <si>
    <t>Завдання 1. Проведення розрахунків за пільговий проїзд міським електротранспортом  Почесних донорів України - мешканців міста Суми (100 % пільги):</t>
  </si>
  <si>
    <r>
      <t xml:space="preserve">Кількість підприємств - отримувачів компенсації за пільговий проїзд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міським електротранспортом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окремих категорій громадян, од.</t>
    </r>
  </si>
  <si>
    <t>Кількість осіб, які мають право на пільговий проїзд міським електротранспортом, осіб</t>
  </si>
  <si>
    <t>середній розмір компенсації фізичним особам, які надають соціальні послуги, осіб, зокрема: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</si>
</sst>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0.000"/>
    <numFmt numFmtId="218" formatCode="#,##0.0"/>
    <numFmt numFmtId="219" formatCode="#,##0.0\ &quot;грн.&quot;"/>
    <numFmt numFmtId="220" formatCode="0.00000"/>
    <numFmt numFmtId="221" formatCode="0.0000"/>
    <numFmt numFmtId="222" formatCode="#,##0.000"/>
    <numFmt numFmtId="223" formatCode="0.000000"/>
    <numFmt numFmtId="224" formatCode="#,##0.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justify" vertical="center" wrapText="1" shrinkToFit="1"/>
    </xf>
    <xf numFmtId="4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216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218" fontId="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 shrinkToFit="1"/>
    </xf>
    <xf numFmtId="49" fontId="5" fillId="0" borderId="10" xfId="0" applyNumberFormat="1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16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textRotation="180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textRotation="180"/>
    </xf>
    <xf numFmtId="0" fontId="5" fillId="0" borderId="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center"/>
    </xf>
    <xf numFmtId="4" fontId="8" fillId="0" borderId="10" xfId="0" applyNumberFormat="1" applyFont="1" applyFill="1" applyBorder="1" applyAlignment="1">
      <alignment horizontal="center" vertical="center"/>
    </xf>
    <xf numFmtId="216" fontId="8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11" fillId="0" borderId="0" xfId="0" applyNumberFormat="1" applyFont="1" applyFill="1" applyAlignment="1">
      <alignment horizontal="center" vertical="center" textRotation="180"/>
    </xf>
    <xf numFmtId="49" fontId="11" fillId="0" borderId="0" xfId="0" applyNumberFormat="1" applyFont="1" applyFill="1" applyBorder="1" applyAlignment="1">
      <alignment horizontal="center" vertical="center" textRotation="180"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 shrinkToFit="1"/>
    </xf>
    <xf numFmtId="218" fontId="8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216" fontId="8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textRotation="180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justify" vertical="center"/>
    </xf>
    <xf numFmtId="2" fontId="8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218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1" fontId="7" fillId="0" borderId="0" xfId="0" applyNumberFormat="1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textRotation="180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justify" vertical="center" wrapText="1" shrinkToFi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justify"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216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216" fontId="5" fillId="0" borderId="12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 textRotation="180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justify" vertical="top" wrapText="1"/>
    </xf>
    <xf numFmtId="1" fontId="7" fillId="0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6"/>
  <sheetViews>
    <sheetView tabSelected="1" view="pageBreakPreview" zoomScale="75" zoomScaleNormal="90" zoomScaleSheetLayoutView="75" zoomScalePageLayoutView="0" workbookViewId="0" topLeftCell="A247">
      <selection activeCell="C269" sqref="C269"/>
    </sheetView>
  </sheetViews>
  <sheetFormatPr defaultColWidth="9.140625" defaultRowHeight="12.75"/>
  <cols>
    <col min="1" max="1" width="62.7109375" style="26" customWidth="1"/>
    <col min="2" max="2" width="14.7109375" style="26" customWidth="1"/>
    <col min="3" max="3" width="16.140625" style="26" customWidth="1"/>
    <col min="4" max="4" width="16.57421875" style="26" customWidth="1"/>
    <col min="5" max="5" width="14.140625" style="26" customWidth="1"/>
    <col min="6" max="7" width="17.421875" style="26" customWidth="1"/>
    <col min="8" max="8" width="13.7109375" style="26" customWidth="1"/>
    <col min="9" max="9" width="17.421875" style="26" customWidth="1"/>
    <col min="10" max="10" width="17.28125" style="26" customWidth="1"/>
    <col min="11" max="11" width="14.421875" style="26" customWidth="1"/>
    <col min="12" max="12" width="7.140625" style="26" customWidth="1"/>
    <col min="13" max="13" width="4.00390625" style="26" customWidth="1"/>
    <col min="14" max="14" width="36.00390625" style="27" customWidth="1"/>
    <col min="15" max="15" width="12.7109375" style="26" bestFit="1" customWidth="1"/>
    <col min="16" max="16384" width="9.140625" style="26" customWidth="1"/>
  </cols>
  <sheetData>
    <row r="1" spans="8:11" ht="20.25" customHeight="1">
      <c r="H1" s="167" t="s">
        <v>97</v>
      </c>
      <c r="I1" s="167"/>
      <c r="J1" s="167"/>
      <c r="K1" s="71"/>
    </row>
    <row r="2" spans="1:12" ht="123" customHeight="1">
      <c r="A2" s="19"/>
      <c r="H2" s="169" t="s">
        <v>154</v>
      </c>
      <c r="I2" s="169"/>
      <c r="J2" s="169"/>
      <c r="K2" s="169"/>
      <c r="L2" s="133"/>
    </row>
    <row r="3" spans="1:10" ht="18.75">
      <c r="A3" s="18"/>
      <c r="H3" s="47"/>
      <c r="I3" s="134"/>
      <c r="J3" s="134"/>
    </row>
    <row r="4" spans="8:10" ht="15.75">
      <c r="H4" s="135"/>
      <c r="I4" s="135"/>
      <c r="J4" s="135"/>
    </row>
    <row r="5" spans="1:12" ht="30.75" customHeight="1">
      <c r="A5" s="168" t="s">
        <v>206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72"/>
    </row>
    <row r="6" ht="12.75">
      <c r="A6" s="136"/>
    </row>
    <row r="7" spans="1:12" ht="32.25" customHeight="1">
      <c r="A7" s="158" t="s">
        <v>87</v>
      </c>
      <c r="B7" s="158" t="s">
        <v>31</v>
      </c>
      <c r="C7" s="158" t="s">
        <v>155</v>
      </c>
      <c r="D7" s="158"/>
      <c r="E7" s="158"/>
      <c r="F7" s="158" t="s">
        <v>156</v>
      </c>
      <c r="G7" s="158"/>
      <c r="H7" s="158"/>
      <c r="I7" s="158" t="s">
        <v>157</v>
      </c>
      <c r="J7" s="158"/>
      <c r="K7" s="158"/>
      <c r="L7" s="73"/>
    </row>
    <row r="8" spans="1:12" ht="1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73"/>
    </row>
    <row r="9" spans="1:12" ht="18.75" customHeight="1">
      <c r="A9" s="158"/>
      <c r="B9" s="158"/>
      <c r="C9" s="159" t="s">
        <v>0</v>
      </c>
      <c r="D9" s="159" t="s">
        <v>1</v>
      </c>
      <c r="E9" s="159"/>
      <c r="F9" s="159" t="s">
        <v>0</v>
      </c>
      <c r="G9" s="159" t="s">
        <v>1</v>
      </c>
      <c r="H9" s="159"/>
      <c r="I9" s="159" t="s">
        <v>0</v>
      </c>
      <c r="J9" s="159" t="s">
        <v>1</v>
      </c>
      <c r="K9" s="159"/>
      <c r="L9" s="30"/>
    </row>
    <row r="10" spans="1:12" ht="28.5">
      <c r="A10" s="158"/>
      <c r="B10" s="158"/>
      <c r="C10" s="159"/>
      <c r="D10" s="23" t="s">
        <v>2</v>
      </c>
      <c r="E10" s="23" t="s">
        <v>3</v>
      </c>
      <c r="F10" s="159"/>
      <c r="G10" s="23" t="s">
        <v>2</v>
      </c>
      <c r="H10" s="23" t="s">
        <v>3</v>
      </c>
      <c r="I10" s="159"/>
      <c r="J10" s="23" t="s">
        <v>2</v>
      </c>
      <c r="K10" s="23" t="s">
        <v>3</v>
      </c>
      <c r="L10" s="30"/>
    </row>
    <row r="11" spans="1:12" ht="15.75" customHeight="1">
      <c r="A11" s="21">
        <v>1</v>
      </c>
      <c r="B11" s="22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30"/>
    </row>
    <row r="12" spans="1:15" ht="21.75" customHeight="1">
      <c r="A12" s="131" t="s">
        <v>4</v>
      </c>
      <c r="B12" s="3"/>
      <c r="C12" s="17">
        <f>D12+E12</f>
        <v>82321859</v>
      </c>
      <c r="D12" s="17">
        <f>+D17+D72+D89+D115+D144+D160+D172+D188+D285+D322+D253+D276</f>
        <v>82089259</v>
      </c>
      <c r="E12" s="17">
        <f>+E17+E72+E89+E115+E144+E160+E172+E188+E268+E285+E322+E253</f>
        <v>232600</v>
      </c>
      <c r="F12" s="17">
        <f>G12+H12</f>
        <v>87758576</v>
      </c>
      <c r="G12" s="17">
        <f>+G17+G72+G89+G115+G144+G160+G172+G188+G285+G322+G253+G276</f>
        <v>87510392</v>
      </c>
      <c r="H12" s="17">
        <f>+H17+H72+H89+H115+H144+H160+H172+H188+H268+H285+H322+H253</f>
        <v>248184</v>
      </c>
      <c r="I12" s="17">
        <f>J12+K12</f>
        <v>92585299</v>
      </c>
      <c r="J12" s="17">
        <f>+J17+J72+J89+J115+J144+J160+J172+J188+J285+J322+J253+J276</f>
        <v>92323465</v>
      </c>
      <c r="K12" s="17">
        <f>+K17+K72+K89+K115+K144+K160+K172+K188+K268+K285+K322+K253</f>
        <v>261834</v>
      </c>
      <c r="L12" s="132"/>
      <c r="O12" s="48"/>
    </row>
    <row r="13" spans="1:12" ht="17.25" customHeight="1">
      <c r="A13" s="36" t="s">
        <v>132</v>
      </c>
      <c r="B13" s="38"/>
      <c r="C13" s="53"/>
      <c r="D13" s="53"/>
      <c r="E13" s="53"/>
      <c r="F13" s="53"/>
      <c r="G13" s="53"/>
      <c r="H13" s="53"/>
      <c r="I13" s="53"/>
      <c r="J13" s="53"/>
      <c r="K13" s="53"/>
      <c r="L13" s="95"/>
    </row>
    <row r="14" spans="1:12" ht="33" customHeight="1">
      <c r="A14" s="4" t="s">
        <v>81</v>
      </c>
      <c r="B14" s="38"/>
      <c r="C14" s="53"/>
      <c r="D14" s="53"/>
      <c r="E14" s="53"/>
      <c r="F14" s="53"/>
      <c r="G14" s="53"/>
      <c r="H14" s="53"/>
      <c r="I14" s="53"/>
      <c r="J14" s="53"/>
      <c r="K14" s="53"/>
      <c r="L14" s="95"/>
    </row>
    <row r="15" spans="1:12" ht="15.75" customHeight="1">
      <c r="A15" s="170" t="s">
        <v>8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37"/>
    </row>
    <row r="16" spans="1:12" ht="17.25" customHeight="1">
      <c r="A16" s="172" t="s">
        <v>28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38"/>
    </row>
    <row r="17" spans="1:14" s="140" customFormat="1" ht="23.25" customHeight="1">
      <c r="A17" s="158" t="s">
        <v>7</v>
      </c>
      <c r="B17" s="38" t="s">
        <v>24</v>
      </c>
      <c r="C17" s="6">
        <f>D17</f>
        <v>10935515</v>
      </c>
      <c r="D17" s="6">
        <f>+D18+D19</f>
        <v>10935515</v>
      </c>
      <c r="E17" s="6">
        <v>0</v>
      </c>
      <c r="F17" s="6">
        <f>G17</f>
        <v>11668197</v>
      </c>
      <c r="G17" s="6">
        <f>+G18+G19</f>
        <v>11668197</v>
      </c>
      <c r="H17" s="6">
        <v>0</v>
      </c>
      <c r="I17" s="6">
        <f>J17+K17</f>
        <v>12309951</v>
      </c>
      <c r="J17" s="6">
        <f>+J18+J19</f>
        <v>12309951</v>
      </c>
      <c r="K17" s="6">
        <f>+K18+K19</f>
        <v>0</v>
      </c>
      <c r="L17" s="139"/>
      <c r="N17" s="141"/>
    </row>
    <row r="18" spans="1:14" s="140" customFormat="1" ht="23.25" customHeight="1">
      <c r="A18" s="158"/>
      <c r="B18" s="74" t="s">
        <v>133</v>
      </c>
      <c r="C18" s="6">
        <f>D18</f>
        <v>10762845</v>
      </c>
      <c r="D18" s="6">
        <f>+D29+D41+D20+D49+D57</f>
        <v>10762845</v>
      </c>
      <c r="E18" s="6">
        <v>0</v>
      </c>
      <c r="F18" s="6">
        <f>G18</f>
        <v>11483958</v>
      </c>
      <c r="G18" s="6">
        <f>+G29+G41+G20+G49+G57</f>
        <v>11483958</v>
      </c>
      <c r="H18" s="6">
        <v>0</v>
      </c>
      <c r="I18" s="6">
        <f>J18+K18</f>
        <v>12115579</v>
      </c>
      <c r="J18" s="6">
        <f>+J29+J41+J20+J49+J57</f>
        <v>12115579</v>
      </c>
      <c r="K18" s="6">
        <v>0</v>
      </c>
      <c r="L18" s="139"/>
      <c r="N18" s="141"/>
    </row>
    <row r="19" spans="1:14" s="140" customFormat="1" ht="23.25" customHeight="1">
      <c r="A19" s="158"/>
      <c r="B19" s="74" t="s">
        <v>134</v>
      </c>
      <c r="C19" s="6">
        <f>D19</f>
        <v>172670</v>
      </c>
      <c r="D19" s="6">
        <f>+D30</f>
        <v>172670</v>
      </c>
      <c r="E19" s="6">
        <v>0</v>
      </c>
      <c r="F19" s="6">
        <f>G19</f>
        <v>184239</v>
      </c>
      <c r="G19" s="6">
        <f>+G30</f>
        <v>184239</v>
      </c>
      <c r="H19" s="6">
        <v>0</v>
      </c>
      <c r="I19" s="6">
        <f>J19</f>
        <v>194372</v>
      </c>
      <c r="J19" s="6">
        <f>+J30</f>
        <v>194372</v>
      </c>
      <c r="K19" s="6">
        <v>0</v>
      </c>
      <c r="L19" s="139"/>
      <c r="N19" s="141"/>
    </row>
    <row r="20" spans="1:12" ht="31.5" customHeight="1">
      <c r="A20" s="31" t="s">
        <v>26</v>
      </c>
      <c r="B20" s="74" t="s">
        <v>133</v>
      </c>
      <c r="C20" s="39">
        <f>D20</f>
        <v>9795247</v>
      </c>
      <c r="D20" s="39">
        <v>9795247</v>
      </c>
      <c r="E20" s="39">
        <v>0</v>
      </c>
      <c r="F20" s="6">
        <f>G20</f>
        <v>10451529</v>
      </c>
      <c r="G20" s="6">
        <v>10451529</v>
      </c>
      <c r="H20" s="6">
        <v>0</v>
      </c>
      <c r="I20" s="6">
        <f>J20</f>
        <v>11026366</v>
      </c>
      <c r="J20" s="6">
        <v>11026366</v>
      </c>
      <c r="K20" s="6">
        <v>0</v>
      </c>
      <c r="L20" s="25"/>
    </row>
    <row r="21" spans="1:12" ht="18" customHeight="1">
      <c r="A21" s="3" t="s">
        <v>5</v>
      </c>
      <c r="B21" s="38"/>
      <c r="C21" s="75"/>
      <c r="D21" s="75"/>
      <c r="E21" s="75"/>
      <c r="F21" s="75"/>
      <c r="G21" s="75"/>
      <c r="H21" s="75"/>
      <c r="I21" s="75"/>
      <c r="J21" s="75"/>
      <c r="K21" s="75"/>
      <c r="L21" s="76"/>
    </row>
    <row r="22" spans="1:12" ht="15">
      <c r="A22" s="31" t="s">
        <v>6</v>
      </c>
      <c r="B22" s="38"/>
      <c r="C22" s="75"/>
      <c r="D22" s="75"/>
      <c r="E22" s="75"/>
      <c r="F22" s="75"/>
      <c r="G22" s="75"/>
      <c r="H22" s="75"/>
      <c r="I22" s="75"/>
      <c r="J22" s="75"/>
      <c r="K22" s="75"/>
      <c r="L22" s="76"/>
    </row>
    <row r="23" spans="1:13" ht="18" customHeight="1">
      <c r="A23" s="77" t="s">
        <v>12</v>
      </c>
      <c r="B23" s="38"/>
      <c r="C23" s="40">
        <f>D23+E23</f>
        <v>3412</v>
      </c>
      <c r="D23" s="40">
        <v>3412</v>
      </c>
      <c r="E23" s="40">
        <v>0</v>
      </c>
      <c r="F23" s="40">
        <f>G23+H23</f>
        <v>3412</v>
      </c>
      <c r="G23" s="40">
        <v>3412</v>
      </c>
      <c r="H23" s="40">
        <v>0</v>
      </c>
      <c r="I23" s="40">
        <f>J23+K23</f>
        <v>3412</v>
      </c>
      <c r="J23" s="40">
        <v>3412</v>
      </c>
      <c r="K23" s="40">
        <v>0</v>
      </c>
      <c r="L23" s="78"/>
      <c r="M23" s="161"/>
    </row>
    <row r="24" spans="1:13" ht="17.25" customHeight="1">
      <c r="A24" s="79" t="s">
        <v>20</v>
      </c>
      <c r="B24" s="38"/>
      <c r="C24" s="80"/>
      <c r="D24" s="80"/>
      <c r="E24" s="80"/>
      <c r="F24" s="80"/>
      <c r="G24" s="80"/>
      <c r="H24" s="80"/>
      <c r="I24" s="80"/>
      <c r="J24" s="80"/>
      <c r="K24" s="80"/>
      <c r="L24" s="76"/>
      <c r="M24" s="161"/>
    </row>
    <row r="25" spans="1:12" ht="16.5">
      <c r="A25" s="81" t="s">
        <v>15</v>
      </c>
      <c r="B25" s="38"/>
      <c r="C25" s="43">
        <f>D25+E25</f>
        <v>2870.8226846424386</v>
      </c>
      <c r="D25" s="43">
        <f>D20/D23</f>
        <v>2870.8226846424386</v>
      </c>
      <c r="E25" s="43">
        <v>0</v>
      </c>
      <c r="F25" s="43">
        <f>G25+H25</f>
        <v>3063.167936694021</v>
      </c>
      <c r="G25" s="11">
        <f>G20/G23</f>
        <v>3063.167936694021</v>
      </c>
      <c r="H25" s="43">
        <v>0</v>
      </c>
      <c r="I25" s="43">
        <f>J25+K25</f>
        <v>3231.6430246189916</v>
      </c>
      <c r="J25" s="11">
        <f>J20/J23</f>
        <v>3231.6430246189916</v>
      </c>
      <c r="K25" s="43">
        <v>0</v>
      </c>
      <c r="L25" s="29"/>
    </row>
    <row r="26" spans="1:12" ht="16.5">
      <c r="A26" s="4" t="s">
        <v>19</v>
      </c>
      <c r="B26" s="38"/>
      <c r="C26" s="43"/>
      <c r="D26" s="43"/>
      <c r="E26" s="43"/>
      <c r="F26" s="43"/>
      <c r="G26" s="11"/>
      <c r="H26" s="43"/>
      <c r="I26" s="43"/>
      <c r="J26" s="11"/>
      <c r="K26" s="43"/>
      <c r="L26" s="29"/>
    </row>
    <row r="27" spans="1:12" ht="38.25" customHeight="1">
      <c r="A27" s="81" t="s">
        <v>32</v>
      </c>
      <c r="B27" s="38"/>
      <c r="C27" s="82">
        <f>D27+E27</f>
        <v>87.01070813204934</v>
      </c>
      <c r="D27" s="82">
        <f>D20/11257519*100</f>
        <v>87.01070813204934</v>
      </c>
      <c r="E27" s="82">
        <v>0</v>
      </c>
      <c r="F27" s="82">
        <f>G27+H27</f>
        <v>106.70000460427389</v>
      </c>
      <c r="G27" s="12">
        <f>G20/D20*100</f>
        <v>106.70000460427389</v>
      </c>
      <c r="H27" s="82">
        <v>0</v>
      </c>
      <c r="I27" s="82">
        <f>J27+K27</f>
        <v>105.50002779497622</v>
      </c>
      <c r="J27" s="12">
        <f>J20/G20*100</f>
        <v>105.50002779497622</v>
      </c>
      <c r="K27" s="82">
        <v>0</v>
      </c>
      <c r="L27" s="29"/>
    </row>
    <row r="28" spans="1:12" ht="22.5" customHeight="1">
      <c r="A28" s="166" t="s">
        <v>29</v>
      </c>
      <c r="B28" s="38" t="s">
        <v>24</v>
      </c>
      <c r="C28" s="39">
        <f>C29+C30</f>
        <v>867656</v>
      </c>
      <c r="D28" s="39">
        <f>D29+D30</f>
        <v>867656</v>
      </c>
      <c r="E28" s="39">
        <f>E29+E30</f>
        <v>0</v>
      </c>
      <c r="F28" s="39">
        <f aca="true" t="shared" si="0" ref="F28:K28">F29+F30</f>
        <v>925790</v>
      </c>
      <c r="G28" s="39">
        <f t="shared" si="0"/>
        <v>925790</v>
      </c>
      <c r="H28" s="39">
        <f t="shared" si="0"/>
        <v>0</v>
      </c>
      <c r="I28" s="39">
        <f>I29+I30</f>
        <v>976709</v>
      </c>
      <c r="J28" s="39">
        <f>J29+J30</f>
        <v>976709</v>
      </c>
      <c r="K28" s="39">
        <f t="shared" si="0"/>
        <v>0</v>
      </c>
      <c r="L28" s="83"/>
    </row>
    <row r="29" spans="1:13" ht="22.5" customHeight="1">
      <c r="A29" s="166"/>
      <c r="B29" s="74" t="s">
        <v>133</v>
      </c>
      <c r="C29" s="39">
        <f>D29+E29</f>
        <v>694986</v>
      </c>
      <c r="D29" s="39">
        <v>694986</v>
      </c>
      <c r="E29" s="39">
        <v>0</v>
      </c>
      <c r="F29" s="39">
        <f>G29+H29</f>
        <v>741551</v>
      </c>
      <c r="G29" s="6">
        <v>741551</v>
      </c>
      <c r="H29" s="6">
        <v>0</v>
      </c>
      <c r="I29" s="39">
        <f>J29+K29</f>
        <v>782337</v>
      </c>
      <c r="J29" s="6">
        <v>782337</v>
      </c>
      <c r="K29" s="6">
        <v>0</v>
      </c>
      <c r="L29" s="25"/>
      <c r="M29" s="161"/>
    </row>
    <row r="30" spans="1:13" ht="22.5" customHeight="1">
      <c r="A30" s="166"/>
      <c r="B30" s="74" t="s">
        <v>134</v>
      </c>
      <c r="C30" s="39">
        <f>D30+E30</f>
        <v>172670</v>
      </c>
      <c r="D30" s="39">
        <v>172670</v>
      </c>
      <c r="E30" s="39">
        <v>0</v>
      </c>
      <c r="F30" s="39">
        <f>G30+H30</f>
        <v>184239</v>
      </c>
      <c r="G30" s="6">
        <v>184239</v>
      </c>
      <c r="H30" s="39">
        <v>0</v>
      </c>
      <c r="I30" s="39">
        <f>J30+K30</f>
        <v>194372</v>
      </c>
      <c r="J30" s="6">
        <v>194372</v>
      </c>
      <c r="K30" s="39">
        <v>0</v>
      </c>
      <c r="L30" s="83"/>
      <c r="M30" s="161"/>
    </row>
    <row r="31" spans="1:12" ht="16.5">
      <c r="A31" s="3" t="s">
        <v>5</v>
      </c>
      <c r="B31" s="38"/>
      <c r="C31" s="80"/>
      <c r="D31" s="80"/>
      <c r="E31" s="80"/>
      <c r="F31" s="80"/>
      <c r="G31" s="80"/>
      <c r="H31" s="80"/>
      <c r="I31" s="80"/>
      <c r="J31" s="80"/>
      <c r="K31" s="80"/>
      <c r="L31" s="76"/>
    </row>
    <row r="32" spans="1:12" ht="16.5">
      <c r="A32" s="31" t="s">
        <v>6</v>
      </c>
      <c r="B32" s="38"/>
      <c r="C32" s="80"/>
      <c r="D32" s="80"/>
      <c r="E32" s="80"/>
      <c r="F32" s="80"/>
      <c r="G32" s="80"/>
      <c r="H32" s="80"/>
      <c r="I32" s="80"/>
      <c r="J32" s="80"/>
      <c r="K32" s="80"/>
      <c r="L32" s="76"/>
    </row>
    <row r="33" spans="1:12" ht="17.25" customHeight="1">
      <c r="A33" s="77" t="s">
        <v>13</v>
      </c>
      <c r="B33" s="38"/>
      <c r="C33" s="84">
        <f>D33+E33</f>
        <v>203</v>
      </c>
      <c r="D33" s="84">
        <v>203</v>
      </c>
      <c r="E33" s="84">
        <v>0</v>
      </c>
      <c r="F33" s="84">
        <f>G33+H33</f>
        <v>203</v>
      </c>
      <c r="G33" s="84">
        <v>203</v>
      </c>
      <c r="H33" s="84">
        <v>0</v>
      </c>
      <c r="I33" s="84">
        <f>J33+K33</f>
        <v>203</v>
      </c>
      <c r="J33" s="84">
        <v>203</v>
      </c>
      <c r="K33" s="84">
        <v>0</v>
      </c>
      <c r="L33" s="78"/>
    </row>
    <row r="34" spans="1:12" ht="19.5" customHeight="1">
      <c r="A34" s="28"/>
      <c r="B34" s="1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ht="26.25" customHeight="1">
      <c r="A35" s="18"/>
      <c r="B35" s="19"/>
      <c r="C35" s="20"/>
      <c r="D35" s="20"/>
      <c r="E35" s="20"/>
      <c r="F35" s="20"/>
      <c r="G35" s="20"/>
      <c r="H35" s="20"/>
      <c r="I35" s="157" t="s">
        <v>131</v>
      </c>
      <c r="J35" s="157"/>
      <c r="K35" s="157"/>
      <c r="L35" s="20"/>
    </row>
    <row r="36" spans="1:12" ht="14.25">
      <c r="A36" s="21">
        <v>1</v>
      </c>
      <c r="B36" s="22">
        <v>2</v>
      </c>
      <c r="C36" s="23">
        <v>3</v>
      </c>
      <c r="D36" s="23">
        <v>4</v>
      </c>
      <c r="E36" s="23">
        <v>5</v>
      </c>
      <c r="F36" s="23">
        <v>6</v>
      </c>
      <c r="G36" s="23">
        <v>7</v>
      </c>
      <c r="H36" s="23">
        <v>8</v>
      </c>
      <c r="I36" s="23">
        <v>9</v>
      </c>
      <c r="J36" s="23">
        <v>10</v>
      </c>
      <c r="K36" s="23">
        <v>11</v>
      </c>
      <c r="L36" s="30"/>
    </row>
    <row r="37" spans="1:12" ht="18.75" customHeight="1">
      <c r="A37" s="79" t="s">
        <v>20</v>
      </c>
      <c r="B37" s="38"/>
      <c r="C37" s="80"/>
      <c r="D37" s="80"/>
      <c r="E37" s="80"/>
      <c r="F37" s="80"/>
      <c r="G37" s="80"/>
      <c r="H37" s="80"/>
      <c r="I37" s="80"/>
      <c r="J37" s="80"/>
      <c r="K37" s="80"/>
      <c r="L37" s="76"/>
    </row>
    <row r="38" spans="1:12" ht="15.75" customHeight="1">
      <c r="A38" s="81" t="s">
        <v>16</v>
      </c>
      <c r="B38" s="38"/>
      <c r="C38" s="43">
        <f>D38+E38</f>
        <v>4274.167487684729</v>
      </c>
      <c r="D38" s="43">
        <f>D28/D33</f>
        <v>4274.167487684729</v>
      </c>
      <c r="E38" s="43">
        <v>0</v>
      </c>
      <c r="F38" s="43">
        <f>G38+H38</f>
        <v>4560.541871921182</v>
      </c>
      <c r="G38" s="11">
        <f>G28/G33</f>
        <v>4560.541871921182</v>
      </c>
      <c r="H38" s="11">
        <v>0</v>
      </c>
      <c r="I38" s="43">
        <f>I28/I33</f>
        <v>4811.374384236453</v>
      </c>
      <c r="J38" s="11">
        <f>J28/J33</f>
        <v>4811.374384236453</v>
      </c>
      <c r="K38" s="11">
        <v>0</v>
      </c>
      <c r="L38" s="85"/>
    </row>
    <row r="39" spans="1:12" ht="16.5">
      <c r="A39" s="4" t="s">
        <v>19</v>
      </c>
      <c r="B39" s="38"/>
      <c r="C39" s="43"/>
      <c r="D39" s="43"/>
      <c r="E39" s="43"/>
      <c r="F39" s="43"/>
      <c r="G39" s="11"/>
      <c r="H39" s="11"/>
      <c r="I39" s="43"/>
      <c r="J39" s="11"/>
      <c r="K39" s="11"/>
      <c r="L39" s="85"/>
    </row>
    <row r="40" spans="1:12" ht="31.5" customHeight="1">
      <c r="A40" s="81" t="s">
        <v>32</v>
      </c>
      <c r="B40" s="38"/>
      <c r="C40" s="82">
        <f>C28/756662*100</f>
        <v>114.66890104168044</v>
      </c>
      <c r="D40" s="82">
        <f>D28/681662*100</f>
        <v>127.28537016879334</v>
      </c>
      <c r="E40" s="82">
        <v>0</v>
      </c>
      <c r="F40" s="82">
        <f>F28/C28*100</f>
        <v>106.70012078519598</v>
      </c>
      <c r="G40" s="12">
        <f>G28/D28*100</f>
        <v>106.70012078519598</v>
      </c>
      <c r="H40" s="12">
        <v>0</v>
      </c>
      <c r="I40" s="82">
        <f>I28/F28*100</f>
        <v>105.5000594087212</v>
      </c>
      <c r="J40" s="12">
        <f>J28/G28*100</f>
        <v>105.5000594087212</v>
      </c>
      <c r="K40" s="12">
        <v>0</v>
      </c>
      <c r="L40" s="85"/>
    </row>
    <row r="41" spans="1:12" ht="46.5" customHeight="1">
      <c r="A41" s="9" t="s">
        <v>95</v>
      </c>
      <c r="B41" s="86" t="s">
        <v>133</v>
      </c>
      <c r="C41" s="39">
        <f>D41+E41</f>
        <v>185500</v>
      </c>
      <c r="D41" s="39">
        <v>185500</v>
      </c>
      <c r="E41" s="39">
        <v>0</v>
      </c>
      <c r="F41" s="39">
        <f>G41+H41</f>
        <v>197929</v>
      </c>
      <c r="G41" s="6">
        <v>197929</v>
      </c>
      <c r="H41" s="39">
        <v>0</v>
      </c>
      <c r="I41" s="39">
        <f>J41+K41</f>
        <v>208815</v>
      </c>
      <c r="J41" s="6">
        <v>208815</v>
      </c>
      <c r="K41" s="39">
        <v>0</v>
      </c>
      <c r="L41" s="83"/>
    </row>
    <row r="42" spans="1:12" ht="15">
      <c r="A42" s="3" t="s">
        <v>5</v>
      </c>
      <c r="B42" s="38"/>
      <c r="C42" s="75"/>
      <c r="D42" s="75"/>
      <c r="E42" s="75"/>
      <c r="F42" s="75"/>
      <c r="G42" s="75"/>
      <c r="H42" s="75"/>
      <c r="I42" s="75"/>
      <c r="J42" s="75"/>
      <c r="K42" s="75"/>
      <c r="L42" s="76"/>
    </row>
    <row r="43" spans="1:12" ht="15">
      <c r="A43" s="31" t="s">
        <v>6</v>
      </c>
      <c r="B43" s="38"/>
      <c r="C43" s="75"/>
      <c r="D43" s="75"/>
      <c r="E43" s="75"/>
      <c r="F43" s="75"/>
      <c r="G43" s="75"/>
      <c r="H43" s="75"/>
      <c r="I43" s="75"/>
      <c r="J43" s="75"/>
      <c r="K43" s="75"/>
      <c r="L43" s="76"/>
    </row>
    <row r="44" spans="1:12" ht="29.25" customHeight="1">
      <c r="A44" s="87" t="s">
        <v>14</v>
      </c>
      <c r="B44" s="38"/>
      <c r="C44" s="84">
        <f>D44+E44</f>
        <v>465</v>
      </c>
      <c r="D44" s="84">
        <v>465</v>
      </c>
      <c r="E44" s="84">
        <v>0</v>
      </c>
      <c r="F44" s="84">
        <f>G44+H44</f>
        <v>465</v>
      </c>
      <c r="G44" s="84">
        <v>465</v>
      </c>
      <c r="H44" s="84">
        <v>0</v>
      </c>
      <c r="I44" s="84">
        <f>J44+K44</f>
        <v>465</v>
      </c>
      <c r="J44" s="84">
        <v>465</v>
      </c>
      <c r="K44" s="84">
        <v>0</v>
      </c>
      <c r="L44" s="78"/>
    </row>
    <row r="45" spans="1:12" ht="15">
      <c r="A45" s="79" t="s">
        <v>20</v>
      </c>
      <c r="B45" s="38"/>
      <c r="C45" s="88"/>
      <c r="D45" s="88"/>
      <c r="E45" s="88"/>
      <c r="F45" s="88"/>
      <c r="G45" s="88"/>
      <c r="H45" s="88"/>
      <c r="I45" s="88"/>
      <c r="J45" s="88"/>
      <c r="K45" s="88"/>
      <c r="L45" s="29"/>
    </row>
    <row r="46" spans="1:12" ht="18" customHeight="1">
      <c r="A46" s="81" t="s">
        <v>17</v>
      </c>
      <c r="B46" s="38"/>
      <c r="C46" s="43">
        <f>D46+E46</f>
        <v>398.9247311827957</v>
      </c>
      <c r="D46" s="43">
        <f>D41/D44</f>
        <v>398.9247311827957</v>
      </c>
      <c r="E46" s="43">
        <v>0</v>
      </c>
      <c r="F46" s="43">
        <f>G46+H46</f>
        <v>425.6537634408602</v>
      </c>
      <c r="G46" s="11">
        <f>G41/G44</f>
        <v>425.6537634408602</v>
      </c>
      <c r="H46" s="43">
        <v>0</v>
      </c>
      <c r="I46" s="43">
        <f>J46+K46</f>
        <v>449.06451612903226</v>
      </c>
      <c r="J46" s="11">
        <f>J41/J44</f>
        <v>449.06451612903226</v>
      </c>
      <c r="K46" s="43">
        <v>0</v>
      </c>
      <c r="L46" s="29"/>
    </row>
    <row r="47" spans="1:12" ht="18" customHeight="1">
      <c r="A47" s="4" t="s">
        <v>19</v>
      </c>
      <c r="B47" s="38"/>
      <c r="C47" s="43"/>
      <c r="D47" s="43"/>
      <c r="E47" s="43"/>
      <c r="F47" s="43"/>
      <c r="G47" s="11"/>
      <c r="H47" s="43"/>
      <c r="I47" s="43"/>
      <c r="J47" s="11"/>
      <c r="K47" s="43"/>
      <c r="L47" s="29"/>
    </row>
    <row r="48" spans="1:12" ht="33" customHeight="1">
      <c r="A48" s="35" t="s">
        <v>32</v>
      </c>
      <c r="B48" s="38"/>
      <c r="C48" s="82">
        <f>D48+E48</f>
        <v>106.60919540229885</v>
      </c>
      <c r="D48" s="82">
        <f>D41/174000*100</f>
        <v>106.60919540229885</v>
      </c>
      <c r="E48" s="82">
        <v>0</v>
      </c>
      <c r="F48" s="82">
        <f>F41/C41*100</f>
        <v>106.70026954177898</v>
      </c>
      <c r="G48" s="12">
        <f>G41/D41*100</f>
        <v>106.70026954177898</v>
      </c>
      <c r="H48" s="82">
        <v>0</v>
      </c>
      <c r="I48" s="82">
        <f>I41/F41*100</f>
        <v>105.49995200299098</v>
      </c>
      <c r="J48" s="12">
        <f>J41/G41*100</f>
        <v>105.49995200299098</v>
      </c>
      <c r="K48" s="82">
        <v>0</v>
      </c>
      <c r="L48" s="29"/>
    </row>
    <row r="49" spans="1:12" ht="48" customHeight="1">
      <c r="A49" s="89" t="s">
        <v>158</v>
      </c>
      <c r="B49" s="86" t="s">
        <v>133</v>
      </c>
      <c r="C49" s="39">
        <f>D49+E49</f>
        <v>68552</v>
      </c>
      <c r="D49" s="39">
        <v>68552</v>
      </c>
      <c r="E49" s="39">
        <v>0</v>
      </c>
      <c r="F49" s="39">
        <f>G49+H49</f>
        <v>73145</v>
      </c>
      <c r="G49" s="6">
        <v>73145</v>
      </c>
      <c r="H49" s="39">
        <v>0</v>
      </c>
      <c r="I49" s="39">
        <f>J49+K49</f>
        <v>77168</v>
      </c>
      <c r="J49" s="6">
        <v>77168</v>
      </c>
      <c r="K49" s="39">
        <v>0</v>
      </c>
      <c r="L49" s="83"/>
    </row>
    <row r="50" spans="1:12" ht="19.5" customHeight="1">
      <c r="A50" s="3" t="s">
        <v>5</v>
      </c>
      <c r="B50" s="38"/>
      <c r="C50" s="88"/>
      <c r="D50" s="88"/>
      <c r="E50" s="88"/>
      <c r="F50" s="88"/>
      <c r="G50" s="88"/>
      <c r="H50" s="88"/>
      <c r="I50" s="88"/>
      <c r="J50" s="88"/>
      <c r="K50" s="88"/>
      <c r="L50" s="29"/>
    </row>
    <row r="51" spans="1:12" ht="16.5">
      <c r="A51" s="4" t="s">
        <v>35</v>
      </c>
      <c r="B51" s="38"/>
      <c r="C51" s="80"/>
      <c r="D51" s="80"/>
      <c r="E51" s="80"/>
      <c r="F51" s="80"/>
      <c r="G51" s="80"/>
      <c r="H51" s="80"/>
      <c r="I51" s="80"/>
      <c r="J51" s="80"/>
      <c r="K51" s="80"/>
      <c r="L51" s="76"/>
    </row>
    <row r="52" spans="1:12" ht="30">
      <c r="A52" s="81" t="s">
        <v>75</v>
      </c>
      <c r="B52" s="38"/>
      <c r="C52" s="84">
        <f>+D52+E52</f>
        <v>2</v>
      </c>
      <c r="D52" s="84">
        <v>2</v>
      </c>
      <c r="E52" s="84">
        <v>0</v>
      </c>
      <c r="F52" s="84">
        <f>G52+H52</f>
        <v>2</v>
      </c>
      <c r="G52" s="84">
        <v>2</v>
      </c>
      <c r="H52" s="84">
        <v>0</v>
      </c>
      <c r="I52" s="84">
        <f>J52+K52</f>
        <v>2</v>
      </c>
      <c r="J52" s="84">
        <v>2</v>
      </c>
      <c r="K52" s="84">
        <v>0</v>
      </c>
      <c r="L52" s="76"/>
    </row>
    <row r="53" spans="1:12" ht="15" customHeight="1">
      <c r="A53" s="79" t="s">
        <v>20</v>
      </c>
      <c r="B53" s="38"/>
      <c r="C53" s="88"/>
      <c r="D53" s="88"/>
      <c r="E53" s="88"/>
      <c r="F53" s="88"/>
      <c r="G53" s="88"/>
      <c r="H53" s="88"/>
      <c r="I53" s="88"/>
      <c r="J53" s="88"/>
      <c r="K53" s="88"/>
      <c r="L53" s="29"/>
    </row>
    <row r="54" spans="1:12" ht="29.25" customHeight="1">
      <c r="A54" s="81" t="s">
        <v>74</v>
      </c>
      <c r="B54" s="38"/>
      <c r="C54" s="43">
        <f>D54+E54</f>
        <v>34276</v>
      </c>
      <c r="D54" s="11">
        <f>+D49/D52</f>
        <v>34276</v>
      </c>
      <c r="E54" s="43">
        <v>0</v>
      </c>
      <c r="F54" s="43">
        <f>G54+H54</f>
        <v>36572.5</v>
      </c>
      <c r="G54" s="11">
        <f>+G49/G52</f>
        <v>36572.5</v>
      </c>
      <c r="H54" s="43">
        <v>0</v>
      </c>
      <c r="I54" s="43">
        <f>J54+K54</f>
        <v>38584</v>
      </c>
      <c r="J54" s="11">
        <f>+J49/J52</f>
        <v>38584</v>
      </c>
      <c r="K54" s="43">
        <v>0</v>
      </c>
      <c r="L54" s="29"/>
    </row>
    <row r="55" spans="1:12" ht="19.5" customHeight="1">
      <c r="A55" s="4" t="s">
        <v>19</v>
      </c>
      <c r="B55" s="38"/>
      <c r="C55" s="43"/>
      <c r="D55" s="43"/>
      <c r="E55" s="43"/>
      <c r="F55" s="43"/>
      <c r="G55" s="43"/>
      <c r="H55" s="43"/>
      <c r="I55" s="43"/>
      <c r="J55" s="43"/>
      <c r="K55" s="43"/>
      <c r="L55" s="29"/>
    </row>
    <row r="56" spans="1:12" ht="29.25" customHeight="1">
      <c r="A56" s="81" t="s">
        <v>32</v>
      </c>
      <c r="B56" s="38"/>
      <c r="C56" s="12">
        <f>C49/14924*100</f>
        <v>459.34065934065933</v>
      </c>
      <c r="D56" s="12">
        <f>D49/14924*100</f>
        <v>459.34065934065933</v>
      </c>
      <c r="E56" s="82">
        <v>0</v>
      </c>
      <c r="F56" s="12">
        <f>F49/C49*100</f>
        <v>106.70002333994633</v>
      </c>
      <c r="G56" s="12">
        <f>G49/D49*100</f>
        <v>106.70002333994633</v>
      </c>
      <c r="H56" s="82">
        <v>0</v>
      </c>
      <c r="I56" s="82">
        <f>+J56+K56</f>
        <v>105.50003417868616</v>
      </c>
      <c r="J56" s="12">
        <f>J49/G49*100</f>
        <v>105.50003417868616</v>
      </c>
      <c r="K56" s="82">
        <v>0</v>
      </c>
      <c r="L56" s="29"/>
    </row>
    <row r="57" spans="1:12" ht="57.75" customHeight="1">
      <c r="A57" s="9" t="s">
        <v>159</v>
      </c>
      <c r="B57" s="86" t="s">
        <v>133</v>
      </c>
      <c r="C57" s="39">
        <f>D57+E57</f>
        <v>18560</v>
      </c>
      <c r="D57" s="39">
        <v>18560</v>
      </c>
      <c r="E57" s="39">
        <v>0</v>
      </c>
      <c r="F57" s="39">
        <f>G57+H57</f>
        <v>19804</v>
      </c>
      <c r="G57" s="6">
        <v>19804</v>
      </c>
      <c r="H57" s="39">
        <v>0</v>
      </c>
      <c r="I57" s="39">
        <f>J57+K57</f>
        <v>20893</v>
      </c>
      <c r="J57" s="6">
        <v>20893</v>
      </c>
      <c r="K57" s="39">
        <v>0</v>
      </c>
      <c r="L57" s="83"/>
    </row>
    <row r="58" spans="1:12" ht="15">
      <c r="A58" s="3" t="s">
        <v>5</v>
      </c>
      <c r="B58" s="38"/>
      <c r="C58" s="75"/>
      <c r="D58" s="75"/>
      <c r="E58" s="75"/>
      <c r="F58" s="75"/>
      <c r="G58" s="75"/>
      <c r="H58" s="75"/>
      <c r="I58" s="75"/>
      <c r="J58" s="75"/>
      <c r="K58" s="75"/>
      <c r="L58" s="76"/>
    </row>
    <row r="59" spans="1:12" ht="15">
      <c r="A59" s="31" t="s">
        <v>6</v>
      </c>
      <c r="B59" s="38"/>
      <c r="C59" s="75"/>
      <c r="D59" s="75"/>
      <c r="E59" s="75"/>
      <c r="F59" s="75"/>
      <c r="G59" s="75"/>
      <c r="H59" s="75"/>
      <c r="I59" s="75"/>
      <c r="J59" s="75"/>
      <c r="K59" s="75"/>
      <c r="L59" s="76"/>
    </row>
    <row r="60" spans="1:12" ht="45.75" customHeight="1">
      <c r="A60" s="87" t="s">
        <v>98</v>
      </c>
      <c r="B60" s="38"/>
      <c r="C60" s="84">
        <f>D60+E60</f>
        <v>232</v>
      </c>
      <c r="D60" s="84">
        <v>232</v>
      </c>
      <c r="E60" s="84">
        <v>0</v>
      </c>
      <c r="F60" s="84">
        <f>G60+H60</f>
        <v>232</v>
      </c>
      <c r="G60" s="84">
        <v>232</v>
      </c>
      <c r="H60" s="84">
        <v>0</v>
      </c>
      <c r="I60" s="84">
        <f>J60+K60</f>
        <v>232</v>
      </c>
      <c r="J60" s="84">
        <v>232</v>
      </c>
      <c r="K60" s="84">
        <v>0</v>
      </c>
      <c r="L60" s="78"/>
    </row>
    <row r="61" spans="1:12" ht="15">
      <c r="A61" s="79" t="s">
        <v>20</v>
      </c>
      <c r="B61" s="38"/>
      <c r="C61" s="88"/>
      <c r="D61" s="88"/>
      <c r="E61" s="88"/>
      <c r="F61" s="88"/>
      <c r="G61" s="88"/>
      <c r="H61" s="88"/>
      <c r="I61" s="88"/>
      <c r="J61" s="88"/>
      <c r="K61" s="88"/>
      <c r="L61" s="29"/>
    </row>
    <row r="62" spans="1:12" ht="18" customHeight="1">
      <c r="A62" s="81" t="s">
        <v>84</v>
      </c>
      <c r="B62" s="38"/>
      <c r="C62" s="43">
        <f>D62+E62</f>
        <v>80</v>
      </c>
      <c r="D62" s="11">
        <f>D57/D60</f>
        <v>80</v>
      </c>
      <c r="E62" s="43">
        <v>0</v>
      </c>
      <c r="F62" s="43">
        <f>G62+H62</f>
        <v>85.36206896551724</v>
      </c>
      <c r="G62" s="11">
        <f>G57/G60</f>
        <v>85.36206896551724</v>
      </c>
      <c r="H62" s="43">
        <v>0</v>
      </c>
      <c r="I62" s="43">
        <f>J62+K62</f>
        <v>90.05603448275862</v>
      </c>
      <c r="J62" s="11">
        <f>+J57/J60</f>
        <v>90.05603448275862</v>
      </c>
      <c r="K62" s="43">
        <v>0</v>
      </c>
      <c r="L62" s="29"/>
    </row>
    <row r="63" spans="1:12" ht="18" customHeight="1">
      <c r="A63" s="4" t="s">
        <v>19</v>
      </c>
      <c r="B63" s="38"/>
      <c r="C63" s="43"/>
      <c r="D63" s="43"/>
      <c r="E63" s="43"/>
      <c r="F63" s="43"/>
      <c r="G63" s="11"/>
      <c r="H63" s="43"/>
      <c r="I63" s="43"/>
      <c r="J63" s="11"/>
      <c r="K63" s="43"/>
      <c r="L63" s="29"/>
    </row>
    <row r="64" spans="1:12" ht="21" customHeight="1">
      <c r="A64" s="35" t="s">
        <v>46</v>
      </c>
      <c r="B64" s="38"/>
      <c r="C64" s="82">
        <f>D64+E64</f>
        <v>91.42857142857143</v>
      </c>
      <c r="D64" s="82">
        <f>D57/20300*100</f>
        <v>91.42857142857143</v>
      </c>
      <c r="E64" s="82">
        <v>0</v>
      </c>
      <c r="F64" s="82">
        <f>F57/C57*100</f>
        <v>106.70258620689654</v>
      </c>
      <c r="G64" s="12">
        <f>G57/D57*100</f>
        <v>106.70258620689654</v>
      </c>
      <c r="H64" s="82">
        <v>0</v>
      </c>
      <c r="I64" s="82">
        <f>I57/F57*100</f>
        <v>105.49888911331044</v>
      </c>
      <c r="J64" s="12">
        <f>J57/G57*100</f>
        <v>105.49888911331044</v>
      </c>
      <c r="K64" s="82">
        <v>0</v>
      </c>
      <c r="L64" s="29"/>
    </row>
    <row r="65" spans="1:12" ht="19.5" customHeight="1">
      <c r="A65" s="28"/>
      <c r="B65" s="19"/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1:12" ht="26.25" customHeight="1">
      <c r="A66" s="18"/>
      <c r="B66" s="19"/>
      <c r="C66" s="20"/>
      <c r="D66" s="20"/>
      <c r="E66" s="20"/>
      <c r="F66" s="20"/>
      <c r="G66" s="20"/>
      <c r="H66" s="20"/>
      <c r="I66" s="157" t="s">
        <v>131</v>
      </c>
      <c r="J66" s="157"/>
      <c r="K66" s="157"/>
      <c r="L66" s="20"/>
    </row>
    <row r="67" spans="1:12" ht="14.25">
      <c r="A67" s="21">
        <v>1</v>
      </c>
      <c r="B67" s="22">
        <v>2</v>
      </c>
      <c r="C67" s="23">
        <v>3</v>
      </c>
      <c r="D67" s="23">
        <v>4</v>
      </c>
      <c r="E67" s="23">
        <v>5</v>
      </c>
      <c r="F67" s="23">
        <v>6</v>
      </c>
      <c r="G67" s="23">
        <v>7</v>
      </c>
      <c r="H67" s="23">
        <v>8</v>
      </c>
      <c r="I67" s="23">
        <v>9</v>
      </c>
      <c r="J67" s="23">
        <v>10</v>
      </c>
      <c r="K67" s="23">
        <v>11</v>
      </c>
      <c r="L67" s="30"/>
    </row>
    <row r="68" spans="1:12" ht="15.75" customHeight="1">
      <c r="A68" s="90" t="s">
        <v>135</v>
      </c>
      <c r="B68" s="86" t="s">
        <v>136</v>
      </c>
      <c r="C68" s="88"/>
      <c r="D68" s="88"/>
      <c r="E68" s="88"/>
      <c r="F68" s="88"/>
      <c r="G68" s="88"/>
      <c r="H68" s="88"/>
      <c r="I68" s="88"/>
      <c r="J68" s="88"/>
      <c r="K68" s="88"/>
      <c r="L68" s="29"/>
    </row>
    <row r="69" spans="1:12" ht="22.5" customHeight="1">
      <c r="A69" s="4" t="s">
        <v>82</v>
      </c>
      <c r="B69" s="38"/>
      <c r="C69" s="88"/>
      <c r="D69" s="88"/>
      <c r="E69" s="88"/>
      <c r="F69" s="88"/>
      <c r="G69" s="88"/>
      <c r="H69" s="88"/>
      <c r="I69" s="88"/>
      <c r="J69" s="88"/>
      <c r="K69" s="88"/>
      <c r="L69" s="29"/>
    </row>
    <row r="70" spans="1:12" ht="18.75" customHeight="1">
      <c r="A70" s="163" t="s">
        <v>144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42"/>
    </row>
    <row r="71" spans="1:12" ht="21.75" customHeight="1">
      <c r="A71" s="164" t="s">
        <v>145</v>
      </c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49"/>
    </row>
    <row r="72" spans="1:12" ht="45.75" customHeight="1">
      <c r="A72" s="31" t="s">
        <v>146</v>
      </c>
      <c r="B72" s="38"/>
      <c r="C72" s="39">
        <f>E72+D72</f>
        <v>1385920</v>
      </c>
      <c r="D72" s="39">
        <v>1385920</v>
      </c>
      <c r="E72" s="39">
        <v>0</v>
      </c>
      <c r="F72" s="39">
        <f>H72+G72</f>
        <v>1478776</v>
      </c>
      <c r="G72" s="6">
        <v>1478776</v>
      </c>
      <c r="H72" s="6">
        <f>E72*1.05</f>
        <v>0</v>
      </c>
      <c r="I72" s="39">
        <f>K72+J72</f>
        <v>1560109</v>
      </c>
      <c r="J72" s="6">
        <v>1560109</v>
      </c>
      <c r="K72" s="6">
        <f>H72*1.043</f>
        <v>0</v>
      </c>
      <c r="L72" s="103"/>
    </row>
    <row r="73" spans="1:12" ht="16.5">
      <c r="A73" s="81" t="s">
        <v>5</v>
      </c>
      <c r="B73" s="38"/>
      <c r="C73" s="80"/>
      <c r="D73" s="80"/>
      <c r="E73" s="80"/>
      <c r="F73" s="80"/>
      <c r="G73" s="80"/>
      <c r="H73" s="80"/>
      <c r="I73" s="80"/>
      <c r="J73" s="80"/>
      <c r="K73" s="80"/>
      <c r="L73" s="76"/>
    </row>
    <row r="74" spans="1:12" ht="16.5">
      <c r="A74" s="4" t="s">
        <v>35</v>
      </c>
      <c r="B74" s="38"/>
      <c r="C74" s="80"/>
      <c r="D74" s="80"/>
      <c r="E74" s="80"/>
      <c r="F74" s="80"/>
      <c r="G74" s="80"/>
      <c r="H74" s="80"/>
      <c r="I74" s="80"/>
      <c r="J74" s="80"/>
      <c r="K74" s="80"/>
      <c r="L74" s="76"/>
    </row>
    <row r="75" spans="1:12" ht="30">
      <c r="A75" s="35" t="s">
        <v>180</v>
      </c>
      <c r="B75" s="38"/>
      <c r="C75" s="84">
        <f>D75+E75</f>
        <v>3</v>
      </c>
      <c r="D75" s="84">
        <v>3</v>
      </c>
      <c r="E75" s="84">
        <v>0</v>
      </c>
      <c r="F75" s="84">
        <f>G75+H75</f>
        <v>3</v>
      </c>
      <c r="G75" s="84">
        <v>3</v>
      </c>
      <c r="H75" s="84">
        <v>0</v>
      </c>
      <c r="I75" s="84">
        <f>J75+K75</f>
        <v>3</v>
      </c>
      <c r="J75" s="84">
        <v>3</v>
      </c>
      <c r="K75" s="84">
        <v>0</v>
      </c>
      <c r="L75" s="76"/>
    </row>
    <row r="76" spans="1:12" ht="30">
      <c r="A76" s="35" t="s">
        <v>181</v>
      </c>
      <c r="B76" s="38"/>
      <c r="C76" s="84">
        <f>+D76</f>
        <v>1</v>
      </c>
      <c r="D76" s="84">
        <v>1</v>
      </c>
      <c r="E76" s="84">
        <v>0</v>
      </c>
      <c r="F76" s="84">
        <f>+G76</f>
        <v>1</v>
      </c>
      <c r="G76" s="84">
        <v>1</v>
      </c>
      <c r="H76" s="84">
        <v>0</v>
      </c>
      <c r="I76" s="84">
        <f>+J76</f>
        <v>1</v>
      </c>
      <c r="J76" s="84">
        <v>1</v>
      </c>
      <c r="K76" s="84">
        <v>0</v>
      </c>
      <c r="L76" s="76"/>
    </row>
    <row r="77" spans="1:12" ht="15.75" customHeight="1">
      <c r="A77" s="35" t="s">
        <v>182</v>
      </c>
      <c r="B77" s="38"/>
      <c r="C77" s="84">
        <f>+D77+E77</f>
        <v>1176</v>
      </c>
      <c r="D77" s="84">
        <f>1143+33</f>
        <v>1176</v>
      </c>
      <c r="E77" s="84">
        <v>0</v>
      </c>
      <c r="F77" s="84">
        <f>+G77+H77</f>
        <v>1176</v>
      </c>
      <c r="G77" s="84">
        <f>1143+33</f>
        <v>1176</v>
      </c>
      <c r="H77" s="84">
        <v>0</v>
      </c>
      <c r="I77" s="84">
        <f>+J77+K77</f>
        <v>1176</v>
      </c>
      <c r="J77" s="84">
        <f>1143+33</f>
        <v>1176</v>
      </c>
      <c r="K77" s="84">
        <v>0</v>
      </c>
      <c r="L77" s="76"/>
    </row>
    <row r="78" spans="1:12" ht="16.5">
      <c r="A78" s="91" t="s">
        <v>6</v>
      </c>
      <c r="B78" s="38"/>
      <c r="C78" s="80"/>
      <c r="D78" s="80"/>
      <c r="E78" s="80"/>
      <c r="F78" s="80"/>
      <c r="G78" s="80"/>
      <c r="H78" s="80"/>
      <c r="I78" s="80"/>
      <c r="J78" s="80"/>
      <c r="K78" s="80"/>
      <c r="L78" s="76"/>
    </row>
    <row r="79" spans="1:12" ht="30" customHeight="1">
      <c r="A79" s="92" t="s">
        <v>184</v>
      </c>
      <c r="B79" s="38"/>
      <c r="C79" s="40">
        <f>D79+E79</f>
        <v>73916</v>
      </c>
      <c r="D79" s="40">
        <f>886992/1/12</f>
        <v>73916</v>
      </c>
      <c r="E79" s="84">
        <v>0</v>
      </c>
      <c r="F79" s="40">
        <f>G79+H79</f>
        <v>78868.33333333333</v>
      </c>
      <c r="G79" s="40">
        <f>946420/12</f>
        <v>78868.33333333333</v>
      </c>
      <c r="H79" s="40">
        <v>0</v>
      </c>
      <c r="I79" s="40">
        <f>J79+K79</f>
        <v>83206.08333333333</v>
      </c>
      <c r="J79" s="40">
        <f>998473/12</f>
        <v>83206.08333333333</v>
      </c>
      <c r="K79" s="84">
        <v>0</v>
      </c>
      <c r="L79" s="78"/>
    </row>
    <row r="80" spans="1:12" ht="30">
      <c r="A80" s="92" t="s">
        <v>183</v>
      </c>
      <c r="B80" s="38"/>
      <c r="C80" s="40">
        <f>+D80</f>
        <v>13859.111111111111</v>
      </c>
      <c r="D80" s="40">
        <f>498928/3/12</f>
        <v>13859.111111111111</v>
      </c>
      <c r="E80" s="40">
        <v>0</v>
      </c>
      <c r="F80" s="40">
        <f>+G80</f>
        <v>14787.666666666666</v>
      </c>
      <c r="G80" s="40">
        <f>532356/3/12</f>
        <v>14787.666666666666</v>
      </c>
      <c r="H80" s="40">
        <v>0</v>
      </c>
      <c r="I80" s="40">
        <f>+J80</f>
        <v>15601</v>
      </c>
      <c r="J80" s="40">
        <f>561636/3/12</f>
        <v>15601</v>
      </c>
      <c r="K80" s="40">
        <v>0</v>
      </c>
      <c r="L80" s="76"/>
    </row>
    <row r="81" spans="1:12" ht="16.5">
      <c r="A81" s="4" t="s">
        <v>20</v>
      </c>
      <c r="B81" s="38"/>
      <c r="C81" s="80"/>
      <c r="D81" s="80"/>
      <c r="E81" s="80"/>
      <c r="F81" s="80"/>
      <c r="G81" s="80"/>
      <c r="H81" s="80"/>
      <c r="I81" s="80"/>
      <c r="J81" s="80"/>
      <c r="K81" s="80"/>
      <c r="L81" s="76"/>
    </row>
    <row r="82" spans="1:12" ht="64.5" customHeight="1">
      <c r="A82" s="7" t="s">
        <v>185</v>
      </c>
      <c r="B82" s="38"/>
      <c r="C82" s="43">
        <f>D82+E82</f>
        <v>100</v>
      </c>
      <c r="D82" s="43">
        <v>100</v>
      </c>
      <c r="E82" s="43">
        <v>0</v>
      </c>
      <c r="F82" s="43">
        <f>G82+H82</f>
        <v>100</v>
      </c>
      <c r="G82" s="11">
        <v>100</v>
      </c>
      <c r="H82" s="43">
        <v>0</v>
      </c>
      <c r="I82" s="43">
        <f>J82+K82</f>
        <v>100</v>
      </c>
      <c r="J82" s="11">
        <v>100</v>
      </c>
      <c r="K82" s="43">
        <v>0</v>
      </c>
      <c r="L82" s="25"/>
    </row>
    <row r="83" spans="1:12" ht="17.25" customHeight="1">
      <c r="A83" s="4" t="s">
        <v>19</v>
      </c>
      <c r="B83" s="38"/>
      <c r="C83" s="80"/>
      <c r="D83" s="80"/>
      <c r="E83" s="80"/>
      <c r="F83" s="80"/>
      <c r="G83" s="80"/>
      <c r="H83" s="80"/>
      <c r="I83" s="80"/>
      <c r="J83" s="80"/>
      <c r="K83" s="80"/>
      <c r="L83" s="76"/>
    </row>
    <row r="84" spans="1:13" ht="49.5" customHeight="1">
      <c r="A84" s="35" t="s">
        <v>147</v>
      </c>
      <c r="B84" s="38"/>
      <c r="C84" s="82">
        <f>D84+E84</f>
        <v>100</v>
      </c>
      <c r="D84" s="82">
        <v>100</v>
      </c>
      <c r="E84" s="82">
        <v>0</v>
      </c>
      <c r="F84" s="82">
        <f>G84+H84</f>
        <v>106.69994768836698</v>
      </c>
      <c r="G84" s="82">
        <f>G79/D79*100</f>
        <v>106.69994768836698</v>
      </c>
      <c r="H84" s="82">
        <v>0</v>
      </c>
      <c r="I84" s="82">
        <f>J84+K84</f>
        <v>105.49998943386657</v>
      </c>
      <c r="J84" s="82">
        <f>J79/G79*100</f>
        <v>105.49998943386657</v>
      </c>
      <c r="K84" s="82">
        <v>0</v>
      </c>
      <c r="L84" s="29"/>
      <c r="M84" s="100"/>
    </row>
    <row r="85" spans="1:12" ht="18.75" customHeight="1">
      <c r="A85" s="36" t="s">
        <v>137</v>
      </c>
      <c r="B85" s="74" t="s">
        <v>138</v>
      </c>
      <c r="C85" s="75"/>
      <c r="D85" s="75"/>
      <c r="E85" s="75"/>
      <c r="F85" s="75"/>
      <c r="G85" s="75"/>
      <c r="H85" s="75"/>
      <c r="I85" s="75"/>
      <c r="J85" s="75"/>
      <c r="K85" s="75"/>
      <c r="L85" s="76"/>
    </row>
    <row r="86" spans="1:12" ht="15">
      <c r="A86" s="4" t="s">
        <v>83</v>
      </c>
      <c r="B86" s="38"/>
      <c r="C86" s="75"/>
      <c r="D86" s="75"/>
      <c r="E86" s="75"/>
      <c r="F86" s="75"/>
      <c r="G86" s="75"/>
      <c r="H86" s="75"/>
      <c r="I86" s="75"/>
      <c r="J86" s="75"/>
      <c r="K86" s="75"/>
      <c r="L86" s="76"/>
    </row>
    <row r="87" spans="1:15" ht="39.75" customHeight="1">
      <c r="A87" s="174" t="s">
        <v>99</v>
      </c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25"/>
      <c r="M87" s="143"/>
      <c r="N87" s="144"/>
      <c r="O87" s="27"/>
    </row>
    <row r="88" spans="1:12" ht="30.75" customHeight="1">
      <c r="A88" s="175" t="s">
        <v>100</v>
      </c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45"/>
    </row>
    <row r="89" spans="1:12" ht="31.5" customHeight="1">
      <c r="A89" s="93" t="s">
        <v>102</v>
      </c>
      <c r="B89" s="38"/>
      <c r="C89" s="39">
        <f>E89+D89</f>
        <v>1716099</v>
      </c>
      <c r="D89" s="39">
        <v>1716099</v>
      </c>
      <c r="E89" s="39">
        <v>0</v>
      </c>
      <c r="F89" s="39">
        <f>H89+G89</f>
        <v>1831078</v>
      </c>
      <c r="G89" s="6">
        <v>1831078</v>
      </c>
      <c r="H89" s="6">
        <f>E89*1.05</f>
        <v>0</v>
      </c>
      <c r="I89" s="39">
        <f>K89+J89</f>
        <v>1931788</v>
      </c>
      <c r="J89" s="6">
        <v>1931788</v>
      </c>
      <c r="K89" s="6">
        <f>H89*1.043</f>
        <v>0</v>
      </c>
      <c r="L89" s="103"/>
    </row>
    <row r="90" spans="1:12" ht="22.5" customHeight="1">
      <c r="A90" s="81" t="s">
        <v>5</v>
      </c>
      <c r="B90" s="38"/>
      <c r="C90" s="80"/>
      <c r="D90" s="80"/>
      <c r="E90" s="80"/>
      <c r="F90" s="80"/>
      <c r="G90" s="80"/>
      <c r="H90" s="80"/>
      <c r="I90" s="80"/>
      <c r="J90" s="80"/>
      <c r="K90" s="80"/>
      <c r="L90" s="76"/>
    </row>
    <row r="91" spans="1:12" ht="19.5" customHeight="1">
      <c r="A91" s="4" t="s">
        <v>6</v>
      </c>
      <c r="B91" s="38"/>
      <c r="C91" s="80"/>
      <c r="D91" s="80"/>
      <c r="E91" s="80"/>
      <c r="F91" s="80"/>
      <c r="G91" s="80"/>
      <c r="H91" s="80"/>
      <c r="I91" s="80"/>
      <c r="J91" s="80"/>
      <c r="K91" s="80"/>
      <c r="L91" s="76"/>
    </row>
    <row r="92" spans="1:12" ht="22.5" customHeight="1">
      <c r="A92" s="81" t="s">
        <v>21</v>
      </c>
      <c r="B92" s="96"/>
      <c r="C92" s="40">
        <f aca="true" t="shared" si="1" ref="C92:C100">D92+E92</f>
        <v>852</v>
      </c>
      <c r="D92" s="40">
        <f>+D93+D97+D98+D99+D100</f>
        <v>852</v>
      </c>
      <c r="E92" s="40">
        <v>0</v>
      </c>
      <c r="F92" s="40">
        <f>G92+H92</f>
        <v>852</v>
      </c>
      <c r="G92" s="40">
        <f>G93+G97+G98+G99+G100</f>
        <v>852</v>
      </c>
      <c r="H92" s="40">
        <v>0</v>
      </c>
      <c r="I92" s="40">
        <f aca="true" t="shared" si="2" ref="I92:I100">J92+K92</f>
        <v>852</v>
      </c>
      <c r="J92" s="40">
        <f>J93+J97+J98+J99+J100</f>
        <v>852</v>
      </c>
      <c r="K92" s="40">
        <v>0</v>
      </c>
      <c r="L92" s="78"/>
    </row>
    <row r="93" spans="1:12" ht="22.5" customHeight="1">
      <c r="A93" s="81" t="s">
        <v>25</v>
      </c>
      <c r="B93" s="38"/>
      <c r="C93" s="94">
        <f t="shared" si="1"/>
        <v>1</v>
      </c>
      <c r="D93" s="94">
        <v>1</v>
      </c>
      <c r="E93" s="94">
        <v>0</v>
      </c>
      <c r="F93" s="94">
        <f aca="true" t="shared" si="3" ref="F93:F100">G93+H93</f>
        <v>1</v>
      </c>
      <c r="G93" s="94">
        <f>D93</f>
        <v>1</v>
      </c>
      <c r="H93" s="94">
        <v>0</v>
      </c>
      <c r="I93" s="94">
        <f t="shared" si="2"/>
        <v>1</v>
      </c>
      <c r="J93" s="94">
        <f>G93</f>
        <v>1</v>
      </c>
      <c r="K93" s="94">
        <v>0</v>
      </c>
      <c r="L93" s="95"/>
    </row>
    <row r="94" spans="1:12" ht="19.5" customHeight="1">
      <c r="A94" s="28"/>
      <c r="B94" s="19"/>
      <c r="C94" s="29"/>
      <c r="D94" s="29"/>
      <c r="E94" s="29"/>
      <c r="F94" s="29"/>
      <c r="G94" s="29"/>
      <c r="H94" s="29"/>
      <c r="I94" s="29"/>
      <c r="J94" s="29"/>
      <c r="K94" s="29"/>
      <c r="L94" s="29"/>
    </row>
    <row r="95" spans="1:12" ht="26.25" customHeight="1">
      <c r="A95" s="18"/>
      <c r="B95" s="19"/>
      <c r="C95" s="20"/>
      <c r="D95" s="20"/>
      <c r="E95" s="20"/>
      <c r="F95" s="20"/>
      <c r="G95" s="20"/>
      <c r="H95" s="20"/>
      <c r="I95" s="157" t="s">
        <v>131</v>
      </c>
      <c r="J95" s="157"/>
      <c r="K95" s="157"/>
      <c r="L95" s="20"/>
    </row>
    <row r="96" spans="1:12" ht="14.25">
      <c r="A96" s="21">
        <v>1</v>
      </c>
      <c r="B96" s="22">
        <v>2</v>
      </c>
      <c r="C96" s="23">
        <v>3</v>
      </c>
      <c r="D96" s="23">
        <v>4</v>
      </c>
      <c r="E96" s="23">
        <v>5</v>
      </c>
      <c r="F96" s="23">
        <v>6</v>
      </c>
      <c r="G96" s="23">
        <v>7</v>
      </c>
      <c r="H96" s="23">
        <v>8</v>
      </c>
      <c r="I96" s="23">
        <v>9</v>
      </c>
      <c r="J96" s="23">
        <v>10</v>
      </c>
      <c r="K96" s="23">
        <v>11</v>
      </c>
      <c r="L96" s="30"/>
    </row>
    <row r="97" spans="1:12" ht="20.25" customHeight="1">
      <c r="A97" s="81" t="s">
        <v>207</v>
      </c>
      <c r="B97" s="38"/>
      <c r="C97" s="94">
        <f t="shared" si="1"/>
        <v>518</v>
      </c>
      <c r="D97" s="94">
        <v>518</v>
      </c>
      <c r="E97" s="94">
        <v>0</v>
      </c>
      <c r="F97" s="94">
        <f t="shared" si="3"/>
        <v>518</v>
      </c>
      <c r="G97" s="94">
        <v>518</v>
      </c>
      <c r="H97" s="94">
        <v>0</v>
      </c>
      <c r="I97" s="94">
        <f t="shared" si="2"/>
        <v>518</v>
      </c>
      <c r="J97" s="94">
        <v>518</v>
      </c>
      <c r="K97" s="94">
        <v>0</v>
      </c>
      <c r="L97" s="95"/>
    </row>
    <row r="98" spans="1:12" ht="30.75" customHeight="1">
      <c r="A98" s="35" t="s">
        <v>101</v>
      </c>
      <c r="B98" s="38"/>
      <c r="C98" s="94">
        <f t="shared" si="1"/>
        <v>77</v>
      </c>
      <c r="D98" s="94">
        <v>77</v>
      </c>
      <c r="E98" s="94">
        <v>0</v>
      </c>
      <c r="F98" s="94">
        <f t="shared" si="3"/>
        <v>77</v>
      </c>
      <c r="G98" s="94">
        <v>77</v>
      </c>
      <c r="H98" s="94">
        <v>0</v>
      </c>
      <c r="I98" s="94">
        <f t="shared" si="2"/>
        <v>77</v>
      </c>
      <c r="J98" s="94">
        <v>77</v>
      </c>
      <c r="K98" s="94">
        <v>0</v>
      </c>
      <c r="L98" s="95"/>
    </row>
    <row r="99" spans="1:12" ht="31.5" customHeight="1">
      <c r="A99" s="35" t="s">
        <v>208</v>
      </c>
      <c r="B99" s="38"/>
      <c r="C99" s="94">
        <f t="shared" si="1"/>
        <v>72</v>
      </c>
      <c r="D99" s="94">
        <v>72</v>
      </c>
      <c r="E99" s="94">
        <v>0</v>
      </c>
      <c r="F99" s="94">
        <f t="shared" si="3"/>
        <v>72</v>
      </c>
      <c r="G99" s="94">
        <v>72</v>
      </c>
      <c r="H99" s="94">
        <v>0</v>
      </c>
      <c r="I99" s="94">
        <f t="shared" si="2"/>
        <v>72</v>
      </c>
      <c r="J99" s="94">
        <v>72</v>
      </c>
      <c r="K99" s="94">
        <v>0</v>
      </c>
      <c r="L99" s="95"/>
    </row>
    <row r="100" spans="1:14" ht="75.75" customHeight="1">
      <c r="A100" s="35" t="s">
        <v>130</v>
      </c>
      <c r="B100" s="38"/>
      <c r="C100" s="94">
        <f t="shared" si="1"/>
        <v>184</v>
      </c>
      <c r="D100" s="94">
        <v>184</v>
      </c>
      <c r="E100" s="94">
        <v>0</v>
      </c>
      <c r="F100" s="94">
        <f t="shared" si="3"/>
        <v>184</v>
      </c>
      <c r="G100" s="94">
        <v>184</v>
      </c>
      <c r="H100" s="94">
        <v>0</v>
      </c>
      <c r="I100" s="94">
        <f t="shared" si="2"/>
        <v>184</v>
      </c>
      <c r="J100" s="94">
        <v>184</v>
      </c>
      <c r="K100" s="94">
        <v>0</v>
      </c>
      <c r="L100" s="95"/>
      <c r="N100" s="146"/>
    </row>
    <row r="101" spans="1:12" ht="15">
      <c r="A101" s="4" t="s">
        <v>20</v>
      </c>
      <c r="B101" s="38"/>
      <c r="C101" s="88"/>
      <c r="D101" s="88"/>
      <c r="E101" s="88"/>
      <c r="F101" s="88"/>
      <c r="G101" s="88"/>
      <c r="H101" s="88"/>
      <c r="I101" s="88"/>
      <c r="J101" s="88"/>
      <c r="K101" s="88"/>
      <c r="L101" s="29"/>
    </row>
    <row r="102" spans="1:12" ht="36.75" customHeight="1">
      <c r="A102" s="35" t="s">
        <v>104</v>
      </c>
      <c r="B102" s="38"/>
      <c r="C102" s="43">
        <f aca="true" t="shared" si="4" ref="C102:C107">D102+E102</f>
        <v>2014.2007042253522</v>
      </c>
      <c r="D102" s="43">
        <f>D89/D92</f>
        <v>2014.2007042253522</v>
      </c>
      <c r="E102" s="43">
        <v>0</v>
      </c>
      <c r="F102" s="43">
        <f aca="true" t="shared" si="5" ref="F102:F107">G102+H102</f>
        <v>2149.152582159624</v>
      </c>
      <c r="G102" s="43">
        <f>G89/G92</f>
        <v>2149.152582159624</v>
      </c>
      <c r="H102" s="43">
        <v>0</v>
      </c>
      <c r="I102" s="43">
        <f aca="true" t="shared" si="6" ref="I102:I107">J102+K102</f>
        <v>2267.3568075117373</v>
      </c>
      <c r="J102" s="43">
        <f>J89/J92</f>
        <v>2267.3568075117373</v>
      </c>
      <c r="K102" s="43">
        <v>0</v>
      </c>
      <c r="L102" s="29"/>
    </row>
    <row r="103" spans="1:12" ht="20.25" customHeight="1">
      <c r="A103" s="35" t="s">
        <v>47</v>
      </c>
      <c r="B103" s="38"/>
      <c r="C103" s="43">
        <f t="shared" si="4"/>
        <v>18824</v>
      </c>
      <c r="D103" s="43">
        <f>18824/D93</f>
        <v>18824</v>
      </c>
      <c r="E103" s="43">
        <v>0</v>
      </c>
      <c r="F103" s="43">
        <f t="shared" si="5"/>
        <v>20085</v>
      </c>
      <c r="G103" s="43">
        <f>20085/G93</f>
        <v>20085</v>
      </c>
      <c r="H103" s="43">
        <v>0</v>
      </c>
      <c r="I103" s="43">
        <f t="shared" si="6"/>
        <v>21190</v>
      </c>
      <c r="J103" s="43">
        <f>21190/J93</f>
        <v>21190</v>
      </c>
      <c r="K103" s="43">
        <v>0</v>
      </c>
      <c r="L103" s="97"/>
    </row>
    <row r="104" spans="1:12" ht="18.75" customHeight="1">
      <c r="A104" s="35" t="s">
        <v>48</v>
      </c>
      <c r="B104" s="38"/>
      <c r="C104" s="43">
        <f t="shared" si="4"/>
        <v>1237.7992277992278</v>
      </c>
      <c r="D104" s="43">
        <f>641180/D97</f>
        <v>1237.7992277992278</v>
      </c>
      <c r="E104" s="43">
        <v>0</v>
      </c>
      <c r="F104" s="43">
        <f t="shared" si="5"/>
        <v>1320.7316602316603</v>
      </c>
      <c r="G104" s="43">
        <f>684139/G97</f>
        <v>1320.7316602316603</v>
      </c>
      <c r="H104" s="43">
        <v>0</v>
      </c>
      <c r="I104" s="43">
        <f t="shared" si="6"/>
        <v>1393.372586872587</v>
      </c>
      <c r="J104" s="43">
        <f>721767/J97</f>
        <v>1393.372586872587</v>
      </c>
      <c r="K104" s="43">
        <v>0</v>
      </c>
      <c r="L104" s="97"/>
    </row>
    <row r="105" spans="1:12" ht="33" customHeight="1">
      <c r="A105" s="81" t="s">
        <v>103</v>
      </c>
      <c r="B105" s="38"/>
      <c r="C105" s="43">
        <f t="shared" si="4"/>
        <v>3565.1688311688313</v>
      </c>
      <c r="D105" s="43">
        <f>274518/D98</f>
        <v>3565.1688311688313</v>
      </c>
      <c r="E105" s="43">
        <v>0</v>
      </c>
      <c r="F105" s="43">
        <f t="shared" si="5"/>
        <v>3804.038961038961</v>
      </c>
      <c r="G105" s="43">
        <f>292911/G98</f>
        <v>3804.038961038961</v>
      </c>
      <c r="H105" s="43">
        <v>0</v>
      </c>
      <c r="I105" s="43">
        <f t="shared" si="6"/>
        <v>4013.2597402597403</v>
      </c>
      <c r="J105" s="43">
        <f>309021/J98</f>
        <v>4013.2597402597403</v>
      </c>
      <c r="K105" s="43">
        <v>0</v>
      </c>
      <c r="L105" s="97"/>
    </row>
    <row r="106" spans="1:12" ht="33.75" customHeight="1">
      <c r="A106" s="35" t="s">
        <v>209</v>
      </c>
      <c r="B106" s="38"/>
      <c r="C106" s="43">
        <f t="shared" si="4"/>
        <v>2913.0833333333335</v>
      </c>
      <c r="D106" s="43">
        <f>209742/D99</f>
        <v>2913.0833333333335</v>
      </c>
      <c r="E106" s="43">
        <v>0</v>
      </c>
      <c r="F106" s="43">
        <f t="shared" si="5"/>
        <v>3108.2638888888887</v>
      </c>
      <c r="G106" s="43">
        <f>223795/G99</f>
        <v>3108.2638888888887</v>
      </c>
      <c r="H106" s="43">
        <v>0</v>
      </c>
      <c r="I106" s="43">
        <f t="shared" si="6"/>
        <v>3279.222222222222</v>
      </c>
      <c r="J106" s="43">
        <f>236104/J99</f>
        <v>3279.222222222222</v>
      </c>
      <c r="K106" s="43">
        <v>0</v>
      </c>
      <c r="L106" s="97"/>
    </row>
    <row r="107" spans="1:12" ht="36.75" customHeight="1">
      <c r="A107" s="35" t="s">
        <v>105</v>
      </c>
      <c r="B107" s="38"/>
      <c r="C107" s="43">
        <f t="shared" si="4"/>
        <v>3107.7989130434785</v>
      </c>
      <c r="D107" s="43">
        <f>571835/D100</f>
        <v>3107.7989130434785</v>
      </c>
      <c r="E107" s="43">
        <v>0</v>
      </c>
      <c r="F107" s="43">
        <f t="shared" si="5"/>
        <v>3316.021739130435</v>
      </c>
      <c r="G107" s="43">
        <f>610148/G100</f>
        <v>3316.021739130435</v>
      </c>
      <c r="H107" s="43">
        <v>0</v>
      </c>
      <c r="I107" s="43">
        <f t="shared" si="6"/>
        <v>3498.4021739130435</v>
      </c>
      <c r="J107" s="43">
        <f>643706/J100</f>
        <v>3498.4021739130435</v>
      </c>
      <c r="K107" s="43">
        <v>0</v>
      </c>
      <c r="L107" s="97"/>
    </row>
    <row r="108" spans="1:12" ht="17.25" customHeight="1">
      <c r="A108" s="4" t="s">
        <v>210</v>
      </c>
      <c r="B108" s="38"/>
      <c r="C108" s="43"/>
      <c r="D108" s="43"/>
      <c r="E108" s="43"/>
      <c r="F108" s="43"/>
      <c r="G108" s="43"/>
      <c r="H108" s="43"/>
      <c r="I108" s="43"/>
      <c r="J108" s="43"/>
      <c r="K108" s="43"/>
      <c r="L108" s="29"/>
    </row>
    <row r="109" spans="1:12" ht="19.5" customHeight="1">
      <c r="A109" s="98" t="s">
        <v>27</v>
      </c>
      <c r="B109" s="38"/>
      <c r="C109" s="43">
        <f>D109+E109</f>
        <v>100</v>
      </c>
      <c r="D109" s="43">
        <v>100</v>
      </c>
      <c r="E109" s="43">
        <v>0</v>
      </c>
      <c r="F109" s="43">
        <f>G109+H109</f>
        <v>100</v>
      </c>
      <c r="G109" s="43">
        <v>100</v>
      </c>
      <c r="H109" s="43">
        <v>0</v>
      </c>
      <c r="I109" s="43">
        <f>J109+K109</f>
        <v>100</v>
      </c>
      <c r="J109" s="43">
        <v>100</v>
      </c>
      <c r="K109" s="43">
        <v>0</v>
      </c>
      <c r="L109" s="29"/>
    </row>
    <row r="110" spans="1:12" ht="27.75" customHeight="1">
      <c r="A110" s="92" t="s">
        <v>33</v>
      </c>
      <c r="B110" s="38"/>
      <c r="C110" s="99">
        <f>D110+E110</f>
        <v>132.4588926427035</v>
      </c>
      <c r="D110" s="8">
        <f>D89/1295571*100</f>
        <v>132.4588926427035</v>
      </c>
      <c r="E110" s="99">
        <v>0</v>
      </c>
      <c r="F110" s="12">
        <f>F89/C89*100</f>
        <v>106.7000213857126</v>
      </c>
      <c r="G110" s="12">
        <f>G89/D89*100</f>
        <v>106.7000213857126</v>
      </c>
      <c r="H110" s="82">
        <v>0</v>
      </c>
      <c r="I110" s="12">
        <f>+I89/F89*100</f>
        <v>105.500038774973</v>
      </c>
      <c r="J110" s="12">
        <f>+J89/G89*100</f>
        <v>105.500038774973</v>
      </c>
      <c r="K110" s="99">
        <v>0</v>
      </c>
      <c r="L110" s="97"/>
    </row>
    <row r="111" spans="1:12" ht="15.75">
      <c r="A111" s="36" t="s">
        <v>139</v>
      </c>
      <c r="B111" s="74" t="s">
        <v>140</v>
      </c>
      <c r="C111" s="75"/>
      <c r="D111" s="75"/>
      <c r="E111" s="75"/>
      <c r="F111" s="75"/>
      <c r="G111" s="75"/>
      <c r="H111" s="75"/>
      <c r="I111" s="75"/>
      <c r="J111" s="75"/>
      <c r="K111" s="75"/>
      <c r="L111" s="76"/>
    </row>
    <row r="112" spans="1:13" ht="22.5" customHeight="1">
      <c r="A112" s="4" t="s">
        <v>83</v>
      </c>
      <c r="B112" s="38"/>
      <c r="C112" s="75"/>
      <c r="D112" s="75"/>
      <c r="E112" s="75"/>
      <c r="F112" s="75"/>
      <c r="G112" s="75"/>
      <c r="H112" s="75"/>
      <c r="I112" s="75"/>
      <c r="J112" s="75"/>
      <c r="K112" s="75"/>
      <c r="L112" s="76"/>
      <c r="M112" s="100"/>
    </row>
    <row r="113" spans="1:12" ht="20.25" customHeight="1">
      <c r="A113" s="162" t="s">
        <v>143</v>
      </c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25"/>
    </row>
    <row r="114" spans="1:12" ht="21" customHeight="1">
      <c r="A114" s="171" t="s">
        <v>9</v>
      </c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02"/>
    </row>
    <row r="115" spans="1:12" ht="19.5" customHeight="1">
      <c r="A115" s="128" t="s">
        <v>7</v>
      </c>
      <c r="B115" s="101"/>
      <c r="C115" s="6">
        <f>D115+E115</f>
        <v>1123242</v>
      </c>
      <c r="D115" s="6">
        <f>+D116+D132</f>
        <v>1123242</v>
      </c>
      <c r="E115" s="6">
        <f>E116+0</f>
        <v>0</v>
      </c>
      <c r="F115" s="129">
        <f aca="true" t="shared" si="7" ref="F115:K115">F116+F132</f>
        <v>1198500</v>
      </c>
      <c r="G115" s="129">
        <f t="shared" si="7"/>
        <v>1198500</v>
      </c>
      <c r="H115" s="129">
        <f t="shared" si="7"/>
        <v>0</v>
      </c>
      <c r="I115" s="129">
        <f t="shared" si="7"/>
        <v>1264417</v>
      </c>
      <c r="J115" s="129">
        <f t="shared" si="7"/>
        <v>1264417</v>
      </c>
      <c r="K115" s="129">
        <f t="shared" si="7"/>
        <v>0</v>
      </c>
      <c r="L115" s="130"/>
    </row>
    <row r="116" spans="1:13" ht="33" customHeight="1">
      <c r="A116" s="4" t="s">
        <v>36</v>
      </c>
      <c r="B116" s="38"/>
      <c r="C116" s="39">
        <f>E116+D116</f>
        <v>154475</v>
      </c>
      <c r="D116" s="39">
        <v>154475</v>
      </c>
      <c r="E116" s="39">
        <v>0</v>
      </c>
      <c r="F116" s="39">
        <f>H116+G116</f>
        <v>164825</v>
      </c>
      <c r="G116" s="6">
        <v>164825</v>
      </c>
      <c r="H116" s="6">
        <f>E116*1.05</f>
        <v>0</v>
      </c>
      <c r="I116" s="39">
        <f>K116+J116</f>
        <v>173890</v>
      </c>
      <c r="J116" s="6">
        <v>173890</v>
      </c>
      <c r="K116" s="6">
        <f>H116*1.043</f>
        <v>0</v>
      </c>
      <c r="L116" s="103"/>
      <c r="M116" s="104"/>
    </row>
    <row r="117" spans="1:12" ht="18" customHeight="1">
      <c r="A117" s="81" t="s">
        <v>10</v>
      </c>
      <c r="B117" s="38"/>
      <c r="C117" s="80"/>
      <c r="D117" s="80"/>
      <c r="E117" s="80"/>
      <c r="F117" s="80"/>
      <c r="G117" s="80"/>
      <c r="H117" s="80"/>
      <c r="I117" s="80"/>
      <c r="J117" s="80"/>
      <c r="K117" s="80"/>
      <c r="L117" s="76"/>
    </row>
    <row r="118" spans="1:12" ht="16.5">
      <c r="A118" s="4" t="s">
        <v>11</v>
      </c>
      <c r="B118" s="38"/>
      <c r="C118" s="80"/>
      <c r="D118" s="80"/>
      <c r="E118" s="80"/>
      <c r="F118" s="80"/>
      <c r="G118" s="80"/>
      <c r="H118" s="80"/>
      <c r="I118" s="80"/>
      <c r="J118" s="80"/>
      <c r="K118" s="80"/>
      <c r="L118" s="25"/>
    </row>
    <row r="119" spans="1:15" ht="19.5" customHeight="1">
      <c r="A119" s="81" t="s">
        <v>21</v>
      </c>
      <c r="B119" s="38"/>
      <c r="C119" s="84">
        <f>D119+E119</f>
        <v>19</v>
      </c>
      <c r="D119" s="40">
        <f>D120+D121</f>
        <v>19</v>
      </c>
      <c r="E119" s="84">
        <v>0</v>
      </c>
      <c r="F119" s="84">
        <f>G119+H119</f>
        <v>19</v>
      </c>
      <c r="G119" s="40">
        <f>G120+G121</f>
        <v>19</v>
      </c>
      <c r="H119" s="84">
        <v>0</v>
      </c>
      <c r="I119" s="84">
        <f>J119+K119</f>
        <v>19</v>
      </c>
      <c r="J119" s="40">
        <f>J120+J121</f>
        <v>19</v>
      </c>
      <c r="K119" s="84">
        <v>0</v>
      </c>
      <c r="L119" s="25"/>
      <c r="M119" s="78"/>
      <c r="N119" s="26"/>
      <c r="O119" s="27"/>
    </row>
    <row r="120" spans="1:12" ht="45" customHeight="1">
      <c r="A120" s="14" t="s">
        <v>96</v>
      </c>
      <c r="B120" s="38"/>
      <c r="C120" s="84">
        <f>D120+E120</f>
        <v>16</v>
      </c>
      <c r="D120" s="84">
        <v>16</v>
      </c>
      <c r="E120" s="84">
        <v>0</v>
      </c>
      <c r="F120" s="84">
        <f>G120+H120</f>
        <v>16</v>
      </c>
      <c r="G120" s="84">
        <v>16</v>
      </c>
      <c r="H120" s="84">
        <v>0</v>
      </c>
      <c r="I120" s="84">
        <f>J120+K120</f>
        <v>16</v>
      </c>
      <c r="J120" s="84">
        <v>16</v>
      </c>
      <c r="K120" s="84">
        <v>0</v>
      </c>
      <c r="L120" s="78"/>
    </row>
    <row r="121" spans="1:12" ht="34.5" customHeight="1">
      <c r="A121" s="14" t="s">
        <v>51</v>
      </c>
      <c r="B121" s="38"/>
      <c r="C121" s="84">
        <f>D121+E121</f>
        <v>3</v>
      </c>
      <c r="D121" s="84">
        <v>3</v>
      </c>
      <c r="E121" s="84">
        <v>0</v>
      </c>
      <c r="F121" s="84">
        <f>G121+H121</f>
        <v>3</v>
      </c>
      <c r="G121" s="84">
        <v>3</v>
      </c>
      <c r="H121" s="84">
        <v>0</v>
      </c>
      <c r="I121" s="84">
        <f>J121+K121</f>
        <v>3</v>
      </c>
      <c r="J121" s="84">
        <v>3</v>
      </c>
      <c r="K121" s="84">
        <v>0</v>
      </c>
      <c r="L121" s="78"/>
    </row>
    <row r="122" spans="1:12" ht="16.5">
      <c r="A122" s="4" t="s">
        <v>20</v>
      </c>
      <c r="B122" s="38"/>
      <c r="C122" s="80"/>
      <c r="D122" s="80"/>
      <c r="E122" s="80"/>
      <c r="F122" s="80"/>
      <c r="G122" s="80"/>
      <c r="H122" s="80"/>
      <c r="I122" s="80"/>
      <c r="J122" s="80"/>
      <c r="K122" s="80"/>
      <c r="L122" s="76"/>
    </row>
    <row r="123" spans="1:12" ht="30.75" customHeight="1">
      <c r="A123" s="35" t="s">
        <v>42</v>
      </c>
      <c r="B123" s="38"/>
      <c r="C123" s="43">
        <f>D123+E123</f>
        <v>8130.263157894737</v>
      </c>
      <c r="D123" s="43">
        <f>D116/D119</f>
        <v>8130.263157894737</v>
      </c>
      <c r="E123" s="43">
        <v>0</v>
      </c>
      <c r="F123" s="43">
        <f>G123+H123</f>
        <v>8675</v>
      </c>
      <c r="G123" s="11">
        <f>G116/G119</f>
        <v>8675</v>
      </c>
      <c r="H123" s="43">
        <v>0</v>
      </c>
      <c r="I123" s="43">
        <f>J123+K123</f>
        <v>9152.105263157895</v>
      </c>
      <c r="J123" s="11">
        <f>J116/J119</f>
        <v>9152.105263157895</v>
      </c>
      <c r="K123" s="43">
        <v>0</v>
      </c>
      <c r="L123" s="25"/>
    </row>
    <row r="124" spans="1:12" ht="19.5" customHeight="1">
      <c r="A124" s="28"/>
      <c r="B124" s="19"/>
      <c r="C124" s="29"/>
      <c r="D124" s="29"/>
      <c r="E124" s="29"/>
      <c r="F124" s="29"/>
      <c r="G124" s="29"/>
      <c r="H124" s="29"/>
      <c r="I124" s="29"/>
      <c r="J124" s="29"/>
      <c r="K124" s="29"/>
      <c r="L124" s="29"/>
    </row>
    <row r="125" spans="1:12" ht="26.25" customHeight="1">
      <c r="A125" s="18"/>
      <c r="B125" s="19"/>
      <c r="C125" s="20"/>
      <c r="D125" s="20"/>
      <c r="E125" s="20"/>
      <c r="F125" s="20"/>
      <c r="G125" s="20"/>
      <c r="H125" s="20"/>
      <c r="I125" s="157" t="s">
        <v>131</v>
      </c>
      <c r="J125" s="157"/>
      <c r="K125" s="157"/>
      <c r="L125" s="20"/>
    </row>
    <row r="126" spans="1:12" ht="14.25">
      <c r="A126" s="21">
        <v>1</v>
      </c>
      <c r="B126" s="22">
        <v>2</v>
      </c>
      <c r="C126" s="23">
        <v>3</v>
      </c>
      <c r="D126" s="23">
        <v>4</v>
      </c>
      <c r="E126" s="23">
        <v>5</v>
      </c>
      <c r="F126" s="23">
        <v>6</v>
      </c>
      <c r="G126" s="23">
        <v>7</v>
      </c>
      <c r="H126" s="23">
        <v>8</v>
      </c>
      <c r="I126" s="23">
        <v>9</v>
      </c>
      <c r="J126" s="23">
        <v>10</v>
      </c>
      <c r="K126" s="23">
        <v>11</v>
      </c>
      <c r="L126" s="30"/>
    </row>
    <row r="127" spans="1:12" ht="39.75" customHeight="1">
      <c r="A127" s="35" t="s">
        <v>43</v>
      </c>
      <c r="B127" s="38"/>
      <c r="C127" s="43">
        <f>D127+E127</f>
        <v>8908.75</v>
      </c>
      <c r="D127" s="43">
        <f>142540/D120</f>
        <v>8908.75</v>
      </c>
      <c r="E127" s="43">
        <v>0</v>
      </c>
      <c r="F127" s="43">
        <f>G127+H127</f>
        <v>9505.625</v>
      </c>
      <c r="G127" s="11">
        <f>152090/G120</f>
        <v>9505.625</v>
      </c>
      <c r="H127" s="43">
        <v>0</v>
      </c>
      <c r="I127" s="43">
        <f>J127+K127</f>
        <v>10028.4375</v>
      </c>
      <c r="J127" s="11">
        <f>160455/J120</f>
        <v>10028.4375</v>
      </c>
      <c r="K127" s="43">
        <v>0</v>
      </c>
      <c r="L127" s="29"/>
    </row>
    <row r="128" spans="1:12" ht="34.5" customHeight="1">
      <c r="A128" s="14" t="s">
        <v>52</v>
      </c>
      <c r="B128" s="38"/>
      <c r="C128" s="43">
        <f>D128+E128</f>
        <v>3978.3333333333335</v>
      </c>
      <c r="D128" s="43">
        <f>11935/D121</f>
        <v>3978.3333333333335</v>
      </c>
      <c r="E128" s="43">
        <v>0</v>
      </c>
      <c r="F128" s="43">
        <f>G128+H128</f>
        <v>4245</v>
      </c>
      <c r="G128" s="11">
        <f>12735/G121</f>
        <v>4245</v>
      </c>
      <c r="H128" s="43">
        <v>0</v>
      </c>
      <c r="I128" s="43">
        <f>J128+K128</f>
        <v>4478.333333333333</v>
      </c>
      <c r="J128" s="11">
        <f>13435/J121</f>
        <v>4478.333333333333</v>
      </c>
      <c r="K128" s="43">
        <v>0</v>
      </c>
      <c r="L128" s="29"/>
    </row>
    <row r="129" spans="1:12" ht="23.25" customHeight="1">
      <c r="A129" s="4" t="s">
        <v>19</v>
      </c>
      <c r="B129" s="38"/>
      <c r="C129" s="80"/>
      <c r="D129" s="80"/>
      <c r="E129" s="80"/>
      <c r="F129" s="80"/>
      <c r="G129" s="80"/>
      <c r="H129" s="80"/>
      <c r="I129" s="80"/>
      <c r="J129" s="80"/>
      <c r="K129" s="80"/>
      <c r="L129" s="76"/>
    </row>
    <row r="130" spans="1:12" ht="26.25" customHeight="1">
      <c r="A130" s="92" t="s">
        <v>27</v>
      </c>
      <c r="B130" s="38"/>
      <c r="C130" s="43">
        <f>D130+E130</f>
        <v>100</v>
      </c>
      <c r="D130" s="43">
        <v>100</v>
      </c>
      <c r="E130" s="43">
        <v>0</v>
      </c>
      <c r="F130" s="43">
        <f>G130+H130</f>
        <v>100</v>
      </c>
      <c r="G130" s="43">
        <v>100</v>
      </c>
      <c r="H130" s="43">
        <v>0</v>
      </c>
      <c r="I130" s="43">
        <f>J130+K130</f>
        <v>100</v>
      </c>
      <c r="J130" s="43">
        <v>100</v>
      </c>
      <c r="K130" s="43">
        <v>0</v>
      </c>
      <c r="L130" s="29"/>
    </row>
    <row r="131" spans="1:12" ht="37.5" customHeight="1">
      <c r="A131" s="7" t="s">
        <v>34</v>
      </c>
      <c r="B131" s="38"/>
      <c r="C131" s="43">
        <f>D131+E131</f>
        <v>108.49258689590752</v>
      </c>
      <c r="D131" s="43">
        <f>D116/142383*100</f>
        <v>108.49258689590752</v>
      </c>
      <c r="E131" s="43">
        <v>0</v>
      </c>
      <c r="F131" s="43">
        <f>G131+H131</f>
        <v>106.70011328693963</v>
      </c>
      <c r="G131" s="43">
        <f>G116/D116*100</f>
        <v>106.70011328693963</v>
      </c>
      <c r="H131" s="43">
        <v>0</v>
      </c>
      <c r="I131" s="43">
        <f>J131+K131</f>
        <v>105.49977248596998</v>
      </c>
      <c r="J131" s="43">
        <f>J116/G116*100</f>
        <v>105.49977248596998</v>
      </c>
      <c r="K131" s="43">
        <v>0</v>
      </c>
      <c r="L131" s="29"/>
    </row>
    <row r="132" spans="1:12" ht="39.75" customHeight="1">
      <c r="A132" s="5" t="s">
        <v>30</v>
      </c>
      <c r="B132" s="38"/>
      <c r="C132" s="39">
        <f>E132+D132</f>
        <v>968767</v>
      </c>
      <c r="D132" s="39">
        <v>968767</v>
      </c>
      <c r="E132" s="39">
        <v>0</v>
      </c>
      <c r="F132" s="39">
        <f>H132+G132</f>
        <v>1033675</v>
      </c>
      <c r="G132" s="6">
        <v>1033675</v>
      </c>
      <c r="H132" s="6">
        <f>E132*1.05</f>
        <v>0</v>
      </c>
      <c r="I132" s="39">
        <f>K132+J132</f>
        <v>1090527</v>
      </c>
      <c r="J132" s="6">
        <v>1090527</v>
      </c>
      <c r="K132" s="6">
        <f>H132*1.043</f>
        <v>0</v>
      </c>
      <c r="L132" s="103"/>
    </row>
    <row r="133" spans="1:12" ht="24" customHeight="1">
      <c r="A133" s="81" t="s">
        <v>10</v>
      </c>
      <c r="B133" s="38"/>
      <c r="C133" s="75"/>
      <c r="D133" s="75"/>
      <c r="E133" s="75"/>
      <c r="F133" s="75"/>
      <c r="G133" s="75"/>
      <c r="H133" s="75"/>
      <c r="I133" s="75"/>
      <c r="J133" s="75"/>
      <c r="K133" s="75"/>
      <c r="L133" s="76"/>
    </row>
    <row r="134" spans="1:12" ht="24.75" customHeight="1">
      <c r="A134" s="4" t="s">
        <v>11</v>
      </c>
      <c r="B134" s="38"/>
      <c r="C134" s="75"/>
      <c r="D134" s="75"/>
      <c r="E134" s="75"/>
      <c r="F134" s="75"/>
      <c r="G134" s="75"/>
      <c r="H134" s="75"/>
      <c r="I134" s="75"/>
      <c r="J134" s="75"/>
      <c r="K134" s="75"/>
      <c r="L134" s="76"/>
    </row>
    <row r="135" spans="1:12" ht="26.25" customHeight="1">
      <c r="A135" s="81" t="s">
        <v>22</v>
      </c>
      <c r="B135" s="38"/>
      <c r="C135" s="84">
        <f>D135+E135</f>
        <v>187</v>
      </c>
      <c r="D135" s="84">
        <v>187</v>
      </c>
      <c r="E135" s="84">
        <v>0</v>
      </c>
      <c r="F135" s="84">
        <f>G135+H135</f>
        <v>187</v>
      </c>
      <c r="G135" s="84">
        <v>187</v>
      </c>
      <c r="H135" s="84">
        <v>0</v>
      </c>
      <c r="I135" s="84">
        <f>J135+K135</f>
        <v>187</v>
      </c>
      <c r="J135" s="84">
        <v>187</v>
      </c>
      <c r="K135" s="84">
        <v>0</v>
      </c>
      <c r="L135" s="78"/>
    </row>
    <row r="136" spans="1:12" ht="26.25" customHeight="1">
      <c r="A136" s="4" t="s">
        <v>20</v>
      </c>
      <c r="B136" s="38"/>
      <c r="C136" s="80"/>
      <c r="D136" s="80"/>
      <c r="E136" s="80"/>
      <c r="F136" s="80"/>
      <c r="G136" s="80"/>
      <c r="H136" s="80"/>
      <c r="I136" s="80"/>
      <c r="J136" s="80"/>
      <c r="K136" s="80"/>
      <c r="L136" s="76"/>
    </row>
    <row r="137" spans="1:12" ht="23.25" customHeight="1">
      <c r="A137" s="81" t="s">
        <v>23</v>
      </c>
      <c r="B137" s="38"/>
      <c r="C137" s="43">
        <f>D137+E137</f>
        <v>5180.572192513369</v>
      </c>
      <c r="D137" s="43">
        <f>D132/D135</f>
        <v>5180.572192513369</v>
      </c>
      <c r="E137" s="43">
        <v>0</v>
      </c>
      <c r="F137" s="43">
        <f>G137+H137</f>
        <v>5527.673796791444</v>
      </c>
      <c r="G137" s="11">
        <f>G132/G135</f>
        <v>5527.673796791444</v>
      </c>
      <c r="H137" s="43">
        <v>0</v>
      </c>
      <c r="I137" s="43">
        <f>J137+K137</f>
        <v>5831.695187165776</v>
      </c>
      <c r="J137" s="11">
        <f>J132/J135</f>
        <v>5831.695187165776</v>
      </c>
      <c r="K137" s="43">
        <v>0</v>
      </c>
      <c r="L137" s="29"/>
    </row>
    <row r="138" spans="1:12" ht="27.75" customHeight="1">
      <c r="A138" s="4" t="s">
        <v>19</v>
      </c>
      <c r="B138" s="38"/>
      <c r="C138" s="75"/>
      <c r="D138" s="75"/>
      <c r="E138" s="75"/>
      <c r="F138" s="75"/>
      <c r="G138" s="75"/>
      <c r="H138" s="75"/>
      <c r="I138" s="75"/>
      <c r="J138" s="75"/>
      <c r="K138" s="75"/>
      <c r="L138" s="76"/>
    </row>
    <row r="139" spans="1:12" ht="33.75" customHeight="1">
      <c r="A139" s="92" t="s">
        <v>34</v>
      </c>
      <c r="B139" s="38"/>
      <c r="C139" s="82">
        <f>D139+E139</f>
        <v>129.38129115922268</v>
      </c>
      <c r="D139" s="82">
        <f>D132/748769*100</f>
        <v>129.38129115922268</v>
      </c>
      <c r="E139" s="82">
        <v>0</v>
      </c>
      <c r="F139" s="82">
        <f>G139+H139</f>
        <v>106.70006306986097</v>
      </c>
      <c r="G139" s="82">
        <f>G132/D132*100</f>
        <v>106.70006306986097</v>
      </c>
      <c r="H139" s="82">
        <v>0</v>
      </c>
      <c r="I139" s="82">
        <f>J139+K139</f>
        <v>105.49998790722424</v>
      </c>
      <c r="J139" s="82">
        <f>J132/G132*100</f>
        <v>105.49998790722424</v>
      </c>
      <c r="K139" s="82">
        <v>0</v>
      </c>
      <c r="L139" s="29"/>
    </row>
    <row r="140" spans="1:12" ht="18.75" customHeight="1">
      <c r="A140" s="36" t="s">
        <v>106</v>
      </c>
      <c r="B140" s="74" t="s">
        <v>213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19"/>
    </row>
    <row r="141" spans="1:12" ht="21" customHeight="1">
      <c r="A141" s="105" t="s">
        <v>83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19"/>
    </row>
    <row r="142" spans="1:12" ht="25.5" customHeight="1">
      <c r="A142" s="162" t="s">
        <v>214</v>
      </c>
      <c r="B142" s="162"/>
      <c r="C142" s="162"/>
      <c r="D142" s="162"/>
      <c r="E142" s="162"/>
      <c r="F142" s="162"/>
      <c r="G142" s="162"/>
      <c r="H142" s="162"/>
      <c r="I142" s="162"/>
      <c r="J142" s="162"/>
      <c r="K142" s="162"/>
      <c r="L142" s="106"/>
    </row>
    <row r="143" spans="1:12" ht="28.5" customHeight="1">
      <c r="A143" s="176" t="s">
        <v>215</v>
      </c>
      <c r="B143" s="177"/>
      <c r="C143" s="177"/>
      <c r="D143" s="177"/>
      <c r="E143" s="177"/>
      <c r="F143" s="177"/>
      <c r="G143" s="177"/>
      <c r="H143" s="177"/>
      <c r="I143" s="177"/>
      <c r="J143" s="177"/>
      <c r="K143" s="178"/>
      <c r="L143" s="107"/>
    </row>
    <row r="144" spans="1:15" ht="49.5" customHeight="1">
      <c r="A144" s="152" t="s">
        <v>216</v>
      </c>
      <c r="B144" s="108" t="s">
        <v>1</v>
      </c>
      <c r="C144" s="39">
        <f>E144+D144</f>
        <v>255150</v>
      </c>
      <c r="D144" s="39">
        <v>255150</v>
      </c>
      <c r="E144" s="39">
        <v>0</v>
      </c>
      <c r="F144" s="39">
        <f>H144+G144</f>
        <v>272245</v>
      </c>
      <c r="G144" s="6">
        <v>272245</v>
      </c>
      <c r="H144" s="6">
        <f>E144*1.05</f>
        <v>0</v>
      </c>
      <c r="I144" s="39">
        <f>K144+J144</f>
        <v>287218</v>
      </c>
      <c r="J144" s="6">
        <v>287218</v>
      </c>
      <c r="K144" s="6">
        <f>H144*1.05</f>
        <v>0</v>
      </c>
      <c r="L144" s="25"/>
      <c r="M144" s="103"/>
      <c r="N144" s="26"/>
      <c r="O144" s="27"/>
    </row>
    <row r="145" spans="1:12" ht="23.25" customHeight="1">
      <c r="A145" s="98" t="s">
        <v>5</v>
      </c>
      <c r="B145" s="38"/>
      <c r="C145" s="109"/>
      <c r="D145" s="109"/>
      <c r="E145" s="109"/>
      <c r="F145" s="109"/>
      <c r="G145" s="109"/>
      <c r="H145" s="109"/>
      <c r="I145" s="109"/>
      <c r="J145" s="109"/>
      <c r="K145" s="109"/>
      <c r="L145" s="110"/>
    </row>
    <row r="146" spans="1:12" ht="22.5" customHeight="1">
      <c r="A146" s="4" t="s">
        <v>11</v>
      </c>
      <c r="B146" s="38"/>
      <c r="C146" s="111"/>
      <c r="D146" s="111"/>
      <c r="E146" s="111"/>
      <c r="F146" s="111"/>
      <c r="G146" s="111"/>
      <c r="H146" s="111"/>
      <c r="I146" s="111"/>
      <c r="J146" s="111"/>
      <c r="K146" s="111"/>
      <c r="L146" s="112"/>
    </row>
    <row r="147" spans="1:12" ht="49.5" customHeight="1">
      <c r="A147" s="35" t="s">
        <v>217</v>
      </c>
      <c r="B147" s="38"/>
      <c r="C147" s="84">
        <f>D147+E147</f>
        <v>1</v>
      </c>
      <c r="D147" s="84">
        <v>1</v>
      </c>
      <c r="E147" s="84">
        <v>0</v>
      </c>
      <c r="F147" s="84">
        <f>G147+H147</f>
        <v>1</v>
      </c>
      <c r="G147" s="84">
        <f>D147</f>
        <v>1</v>
      </c>
      <c r="H147" s="84">
        <v>0</v>
      </c>
      <c r="I147" s="84">
        <f>J147+K147</f>
        <v>1</v>
      </c>
      <c r="J147" s="84">
        <f>D147</f>
        <v>1</v>
      </c>
      <c r="K147" s="84">
        <v>0</v>
      </c>
      <c r="L147" s="113"/>
    </row>
    <row r="148" spans="1:12" ht="31.5" customHeight="1">
      <c r="A148" s="35" t="s">
        <v>218</v>
      </c>
      <c r="B148" s="38"/>
      <c r="C148" s="84">
        <f>D148+E148</f>
        <v>189</v>
      </c>
      <c r="D148" s="84">
        <v>189</v>
      </c>
      <c r="E148" s="84">
        <v>0</v>
      </c>
      <c r="F148" s="84">
        <f>G148+H148</f>
        <v>189</v>
      </c>
      <c r="G148" s="84">
        <v>189</v>
      </c>
      <c r="H148" s="84">
        <v>0</v>
      </c>
      <c r="I148" s="84">
        <f>J148+K148</f>
        <v>189</v>
      </c>
      <c r="J148" s="84">
        <v>189</v>
      </c>
      <c r="K148" s="84">
        <v>0</v>
      </c>
      <c r="L148" s="113"/>
    </row>
    <row r="149" spans="1:12" ht="32.25" customHeight="1">
      <c r="A149" s="4" t="s">
        <v>20</v>
      </c>
      <c r="B149" s="38"/>
      <c r="C149" s="43"/>
      <c r="D149" s="43"/>
      <c r="E149" s="43"/>
      <c r="F149" s="43"/>
      <c r="G149" s="43"/>
      <c r="H149" s="43"/>
      <c r="I149" s="43"/>
      <c r="J149" s="43"/>
      <c r="K149" s="43"/>
      <c r="L149" s="112"/>
    </row>
    <row r="150" spans="1:12" ht="30" customHeight="1">
      <c r="A150" s="7" t="s">
        <v>40</v>
      </c>
      <c r="B150" s="38"/>
      <c r="C150" s="43">
        <f>+D150+E150</f>
        <v>112.5</v>
      </c>
      <c r="D150" s="11">
        <f>D144/D148/12</f>
        <v>112.5</v>
      </c>
      <c r="E150" s="43">
        <v>0</v>
      </c>
      <c r="F150" s="43">
        <f>+G150+H150</f>
        <v>120.03747795414462</v>
      </c>
      <c r="G150" s="11">
        <f>G144/G148/12</f>
        <v>120.03747795414462</v>
      </c>
      <c r="H150" s="43">
        <v>0</v>
      </c>
      <c r="I150" s="43">
        <f>+J150+K150</f>
        <v>126.63932980599647</v>
      </c>
      <c r="J150" s="11">
        <f>J144/J148/12</f>
        <v>126.63932980599647</v>
      </c>
      <c r="K150" s="43">
        <v>0</v>
      </c>
      <c r="L150" s="112"/>
    </row>
    <row r="151" spans="1:12" ht="22.5" customHeight="1">
      <c r="A151" s="4" t="s">
        <v>19</v>
      </c>
      <c r="B151" s="38"/>
      <c r="C151" s="43"/>
      <c r="D151" s="43"/>
      <c r="E151" s="43"/>
      <c r="F151" s="43"/>
      <c r="G151" s="43"/>
      <c r="H151" s="43"/>
      <c r="I151" s="43"/>
      <c r="J151" s="43"/>
      <c r="K151" s="43"/>
      <c r="L151" s="112"/>
    </row>
    <row r="152" spans="1:12" ht="18" customHeight="1">
      <c r="A152" s="98" t="s">
        <v>18</v>
      </c>
      <c r="B152" s="38"/>
      <c r="C152" s="82">
        <f>D152+E152</f>
        <v>100</v>
      </c>
      <c r="D152" s="82">
        <v>100</v>
      </c>
      <c r="E152" s="82">
        <v>0</v>
      </c>
      <c r="F152" s="82">
        <f>G152+H152</f>
        <v>100</v>
      </c>
      <c r="G152" s="82">
        <v>100</v>
      </c>
      <c r="H152" s="82">
        <v>0</v>
      </c>
      <c r="I152" s="82">
        <f>J152+K152</f>
        <v>100</v>
      </c>
      <c r="J152" s="82">
        <v>100</v>
      </c>
      <c r="K152" s="82">
        <v>0</v>
      </c>
      <c r="L152" s="112"/>
    </row>
    <row r="153" spans="1:12" ht="19.5" customHeight="1">
      <c r="A153" s="28"/>
      <c r="B153" s="19"/>
      <c r="C153" s="29"/>
      <c r="D153" s="29"/>
      <c r="E153" s="29"/>
      <c r="F153" s="29"/>
      <c r="G153" s="29"/>
      <c r="H153" s="29"/>
      <c r="I153" s="29"/>
      <c r="J153" s="29"/>
      <c r="K153" s="29"/>
      <c r="L153" s="29"/>
    </row>
    <row r="154" spans="1:12" ht="26.25" customHeight="1">
      <c r="A154" s="18"/>
      <c r="B154" s="19"/>
      <c r="C154" s="20"/>
      <c r="D154" s="20"/>
      <c r="E154" s="20"/>
      <c r="F154" s="20"/>
      <c r="G154" s="20"/>
      <c r="H154" s="20"/>
      <c r="I154" s="157" t="s">
        <v>131</v>
      </c>
      <c r="J154" s="157"/>
      <c r="K154" s="157"/>
      <c r="L154" s="20"/>
    </row>
    <row r="155" spans="1:12" ht="14.25">
      <c r="A155" s="21">
        <v>1</v>
      </c>
      <c r="B155" s="22">
        <v>2</v>
      </c>
      <c r="C155" s="23">
        <v>3</v>
      </c>
      <c r="D155" s="23">
        <v>4</v>
      </c>
      <c r="E155" s="23">
        <v>5</v>
      </c>
      <c r="F155" s="23">
        <v>6</v>
      </c>
      <c r="G155" s="23">
        <v>7</v>
      </c>
      <c r="H155" s="23">
        <v>8</v>
      </c>
      <c r="I155" s="23">
        <v>9</v>
      </c>
      <c r="J155" s="23">
        <v>10</v>
      </c>
      <c r="K155" s="23">
        <v>11</v>
      </c>
      <c r="L155" s="30"/>
    </row>
    <row r="156" spans="1:11" ht="20.25" customHeight="1">
      <c r="A156" s="1" t="s">
        <v>117</v>
      </c>
      <c r="B156" s="2" t="s">
        <v>118</v>
      </c>
      <c r="C156" s="38"/>
      <c r="D156" s="38"/>
      <c r="E156" s="38"/>
      <c r="F156" s="38"/>
      <c r="G156" s="38"/>
      <c r="H156" s="38"/>
      <c r="I156" s="38"/>
      <c r="J156" s="38"/>
      <c r="K156" s="38"/>
    </row>
    <row r="157" spans="1:11" ht="14.25">
      <c r="A157" s="105" t="s">
        <v>83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</row>
    <row r="158" spans="1:15" ht="32.25" customHeight="1">
      <c r="A158" s="163" t="s">
        <v>160</v>
      </c>
      <c r="B158" s="163"/>
      <c r="C158" s="163"/>
      <c r="D158" s="163"/>
      <c r="E158" s="163"/>
      <c r="F158" s="163"/>
      <c r="G158" s="163"/>
      <c r="H158" s="163"/>
      <c r="I158" s="163"/>
      <c r="J158" s="163"/>
      <c r="K158" s="163"/>
      <c r="N158" s="26"/>
      <c r="O158" s="68"/>
    </row>
    <row r="159" spans="1:11" ht="31.5" customHeight="1">
      <c r="A159" s="164" t="s">
        <v>85</v>
      </c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</row>
    <row r="160" spans="1:11" ht="42.75" customHeight="1">
      <c r="A160" s="114" t="s">
        <v>86</v>
      </c>
      <c r="B160" s="38"/>
      <c r="C160" s="39">
        <f>D160+E160</f>
        <v>278600</v>
      </c>
      <c r="D160" s="39">
        <v>278600</v>
      </c>
      <c r="E160" s="39">
        <v>0</v>
      </c>
      <c r="F160" s="39">
        <f>G160+H160</f>
        <v>297266</v>
      </c>
      <c r="G160" s="39">
        <v>297266</v>
      </c>
      <c r="H160" s="39">
        <v>0</v>
      </c>
      <c r="I160" s="39">
        <f>J160+K160</f>
        <v>313616</v>
      </c>
      <c r="J160" s="39">
        <v>313616</v>
      </c>
      <c r="K160" s="39">
        <v>0</v>
      </c>
    </row>
    <row r="161" spans="1:11" ht="15">
      <c r="A161" s="3" t="s">
        <v>5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</row>
    <row r="162" spans="1:11" ht="14.25">
      <c r="A162" s="31" t="s">
        <v>6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</row>
    <row r="163" spans="1:11" ht="43.5" customHeight="1">
      <c r="A163" s="92" t="s">
        <v>49</v>
      </c>
      <c r="B163" s="38"/>
      <c r="C163" s="94">
        <f>D163+E163</f>
        <v>130</v>
      </c>
      <c r="D163" s="94">
        <v>130</v>
      </c>
      <c r="E163" s="94">
        <v>0</v>
      </c>
      <c r="F163" s="94">
        <f>G163+H163</f>
        <v>130</v>
      </c>
      <c r="G163" s="94">
        <v>130</v>
      </c>
      <c r="H163" s="94">
        <v>0</v>
      </c>
      <c r="I163" s="94">
        <f>J163+K163</f>
        <v>130</v>
      </c>
      <c r="J163" s="94">
        <v>130</v>
      </c>
      <c r="K163" s="94">
        <v>0</v>
      </c>
    </row>
    <row r="164" spans="1:11" ht="14.25">
      <c r="A164" s="4" t="s">
        <v>20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</row>
    <row r="165" spans="1:11" ht="30">
      <c r="A165" s="92" t="s">
        <v>50</v>
      </c>
      <c r="B165" s="38"/>
      <c r="C165" s="115">
        <f>D165+E165</f>
        <v>2143.076923076923</v>
      </c>
      <c r="D165" s="115">
        <f>D160/D163</f>
        <v>2143.076923076923</v>
      </c>
      <c r="E165" s="115"/>
      <c r="F165" s="115">
        <f>G165+H165</f>
        <v>2286.6615384615384</v>
      </c>
      <c r="G165" s="115">
        <f>+G160/G163</f>
        <v>2286.6615384615384</v>
      </c>
      <c r="H165" s="115"/>
      <c r="I165" s="115">
        <f>J165+K165</f>
        <v>2412.4307692307693</v>
      </c>
      <c r="J165" s="115">
        <f>+J160/J163</f>
        <v>2412.4307692307693</v>
      </c>
      <c r="K165" s="115"/>
    </row>
    <row r="166" spans="1:11" ht="14.25">
      <c r="A166" s="4" t="s">
        <v>19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</row>
    <row r="167" spans="1:11" ht="16.5">
      <c r="A167" s="7" t="s">
        <v>46</v>
      </c>
      <c r="B167" s="38"/>
      <c r="C167" s="99">
        <f>+C160/225100*100</f>
        <v>123.76721457130164</v>
      </c>
      <c r="D167" s="99">
        <f>+D160/225100*100</f>
        <v>123.76721457130164</v>
      </c>
      <c r="E167" s="94">
        <v>0</v>
      </c>
      <c r="F167" s="99">
        <f>+F160/C160*100</f>
        <v>106.69992821249103</v>
      </c>
      <c r="G167" s="99">
        <f>+G160/D160*100</f>
        <v>106.69992821249103</v>
      </c>
      <c r="H167" s="99">
        <v>0</v>
      </c>
      <c r="I167" s="99">
        <f>J167+K167</f>
        <v>105.50012446764849</v>
      </c>
      <c r="J167" s="99">
        <f>+J160/G160*100</f>
        <v>105.50012446764849</v>
      </c>
      <c r="K167" s="99">
        <v>0</v>
      </c>
    </row>
    <row r="168" spans="1:11" ht="15.75">
      <c r="A168" s="1" t="s">
        <v>141</v>
      </c>
      <c r="B168" s="74" t="s">
        <v>142</v>
      </c>
      <c r="C168" s="38"/>
      <c r="D168" s="38"/>
      <c r="E168" s="38"/>
      <c r="F168" s="38"/>
      <c r="G168" s="38"/>
      <c r="H168" s="38"/>
      <c r="I168" s="38"/>
      <c r="J168" s="38"/>
      <c r="K168" s="38"/>
    </row>
    <row r="169" spans="1:12" ht="14.25">
      <c r="A169" s="105" t="s">
        <v>83</v>
      </c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19"/>
    </row>
    <row r="170" spans="1:12" ht="21" customHeight="1">
      <c r="A170" s="155" t="s">
        <v>161</v>
      </c>
      <c r="B170" s="155"/>
      <c r="C170" s="155"/>
      <c r="D170" s="155"/>
      <c r="E170" s="155"/>
      <c r="F170" s="155"/>
      <c r="G170" s="155"/>
      <c r="H170" s="155"/>
      <c r="I170" s="155"/>
      <c r="J170" s="155"/>
      <c r="K170" s="155"/>
      <c r="L170" s="54"/>
    </row>
    <row r="171" spans="1:12" ht="22.5" customHeight="1">
      <c r="A171" s="173" t="s">
        <v>88</v>
      </c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55"/>
    </row>
    <row r="172" spans="1:12" ht="22.5" customHeight="1">
      <c r="A172" s="118" t="s">
        <v>7</v>
      </c>
      <c r="B172" s="42"/>
      <c r="C172" s="119">
        <f>D172+E172</f>
        <v>81525</v>
      </c>
      <c r="D172" s="119">
        <f>+D173</f>
        <v>81525</v>
      </c>
      <c r="E172" s="119">
        <v>0</v>
      </c>
      <c r="F172" s="119">
        <f>G172+H172</f>
        <v>86987</v>
      </c>
      <c r="G172" s="119">
        <f>+G173</f>
        <v>86987</v>
      </c>
      <c r="H172" s="119">
        <v>0</v>
      </c>
      <c r="I172" s="119">
        <f>J172+K172</f>
        <v>91771</v>
      </c>
      <c r="J172" s="119">
        <f>+J173</f>
        <v>91771</v>
      </c>
      <c r="K172" s="119">
        <v>0</v>
      </c>
      <c r="L172" s="120"/>
    </row>
    <row r="173" spans="1:11" ht="50.25" customHeight="1">
      <c r="A173" s="9" t="s">
        <v>162</v>
      </c>
      <c r="B173" s="38"/>
      <c r="C173" s="116">
        <f>D173+E173</f>
        <v>81525</v>
      </c>
      <c r="D173" s="116">
        <v>81525</v>
      </c>
      <c r="E173" s="116">
        <v>0</v>
      </c>
      <c r="F173" s="116">
        <f>G173+H173</f>
        <v>86987</v>
      </c>
      <c r="G173" s="116">
        <v>86987</v>
      </c>
      <c r="H173" s="116">
        <v>0</v>
      </c>
      <c r="I173" s="116">
        <f>J173+K173</f>
        <v>91771</v>
      </c>
      <c r="J173" s="116">
        <v>91771</v>
      </c>
      <c r="K173" s="116">
        <v>0</v>
      </c>
    </row>
    <row r="174" spans="1:11" ht="21" customHeight="1">
      <c r="A174" s="3" t="s">
        <v>5</v>
      </c>
      <c r="B174" s="38"/>
      <c r="C174" s="99"/>
      <c r="D174" s="82"/>
      <c r="E174" s="82"/>
      <c r="F174" s="82"/>
      <c r="G174" s="82"/>
      <c r="H174" s="82"/>
      <c r="I174" s="82"/>
      <c r="J174" s="82"/>
      <c r="K174" s="82"/>
    </row>
    <row r="175" spans="1:11" ht="19.5" customHeight="1">
      <c r="A175" s="31" t="s">
        <v>89</v>
      </c>
      <c r="B175" s="38"/>
      <c r="C175" s="99"/>
      <c r="D175" s="82"/>
      <c r="E175" s="82"/>
      <c r="F175" s="82"/>
      <c r="G175" s="82"/>
      <c r="H175" s="82"/>
      <c r="I175" s="82"/>
      <c r="J175" s="82"/>
      <c r="K175" s="82"/>
    </row>
    <row r="176" spans="1:11" ht="53.25" customHeight="1">
      <c r="A176" s="7" t="s">
        <v>90</v>
      </c>
      <c r="B176" s="38"/>
      <c r="C176" s="99">
        <f>D176+E176</f>
        <v>81.5</v>
      </c>
      <c r="D176" s="82">
        <v>81.5</v>
      </c>
      <c r="E176" s="82">
        <v>0</v>
      </c>
      <c r="F176" s="82">
        <f>G176+H176</f>
        <v>87</v>
      </c>
      <c r="G176" s="82">
        <v>87</v>
      </c>
      <c r="H176" s="82">
        <v>0</v>
      </c>
      <c r="I176" s="82">
        <f>J176+K176</f>
        <v>91.8</v>
      </c>
      <c r="J176" s="82">
        <v>91.8</v>
      </c>
      <c r="K176" s="82">
        <v>0</v>
      </c>
    </row>
    <row r="177" spans="1:11" ht="24.75" customHeight="1">
      <c r="A177" s="31" t="s">
        <v>6</v>
      </c>
      <c r="B177" s="38"/>
      <c r="C177" s="99"/>
      <c r="D177" s="82"/>
      <c r="E177" s="82"/>
      <c r="F177" s="82"/>
      <c r="G177" s="82"/>
      <c r="H177" s="82"/>
      <c r="I177" s="82"/>
      <c r="J177" s="82"/>
      <c r="K177" s="82"/>
    </row>
    <row r="178" spans="1:11" ht="24.75" customHeight="1">
      <c r="A178" s="3" t="s">
        <v>91</v>
      </c>
      <c r="B178" s="38"/>
      <c r="C178" s="84">
        <f>D178+E178</f>
        <v>190028</v>
      </c>
      <c r="D178" s="84">
        <v>190028</v>
      </c>
      <c r="E178" s="84">
        <v>0</v>
      </c>
      <c r="F178" s="40">
        <f>G178+H178</f>
        <v>190028</v>
      </c>
      <c r="G178" s="84">
        <v>190028</v>
      </c>
      <c r="H178" s="40">
        <v>0</v>
      </c>
      <c r="I178" s="40">
        <f>J178+K178</f>
        <v>190028</v>
      </c>
      <c r="J178" s="84">
        <v>190028</v>
      </c>
      <c r="K178" s="40">
        <v>0</v>
      </c>
    </row>
    <row r="179" spans="1:11" ht="16.5">
      <c r="A179" s="4" t="s">
        <v>20</v>
      </c>
      <c r="B179" s="38"/>
      <c r="C179" s="99"/>
      <c r="D179" s="82"/>
      <c r="E179" s="82"/>
      <c r="F179" s="82"/>
      <c r="G179" s="82"/>
      <c r="H179" s="82"/>
      <c r="I179" s="82"/>
      <c r="J179" s="82"/>
      <c r="K179" s="82"/>
    </row>
    <row r="180" spans="1:11" ht="26.25" customHeight="1">
      <c r="A180" s="7" t="s">
        <v>92</v>
      </c>
      <c r="B180" s="38"/>
      <c r="C180" s="115">
        <f>D180+E180</f>
        <v>0.4288841644389248</v>
      </c>
      <c r="D180" s="115">
        <f>+D176/D178*1000</f>
        <v>0.4288841644389248</v>
      </c>
      <c r="E180" s="82">
        <v>0</v>
      </c>
      <c r="F180" s="43">
        <f>G180+H180</f>
        <v>0.45782726756057</v>
      </c>
      <c r="G180" s="115">
        <f>+G176/G178*1000</f>
        <v>0.45782726756057</v>
      </c>
      <c r="H180" s="43">
        <v>0</v>
      </c>
      <c r="I180" s="43">
        <f>J180+K180</f>
        <v>0.48308670301218765</v>
      </c>
      <c r="J180" s="115">
        <f>+J176/J178*1000</f>
        <v>0.48308670301218765</v>
      </c>
      <c r="K180" s="43">
        <v>0</v>
      </c>
    </row>
    <row r="181" spans="1:11" ht="16.5">
      <c r="A181" s="4" t="s">
        <v>19</v>
      </c>
      <c r="B181" s="38"/>
      <c r="C181" s="99"/>
      <c r="D181" s="82"/>
      <c r="E181" s="82"/>
      <c r="F181" s="82"/>
      <c r="G181" s="82"/>
      <c r="H181" s="82"/>
      <c r="I181" s="82"/>
      <c r="J181" s="82"/>
      <c r="K181" s="82"/>
    </row>
    <row r="182" spans="1:11" ht="25.5" customHeight="1">
      <c r="A182" s="7" t="s">
        <v>93</v>
      </c>
      <c r="B182" s="38"/>
      <c r="C182" s="99">
        <f>D182+E182</f>
        <v>100</v>
      </c>
      <c r="D182" s="82">
        <v>100</v>
      </c>
      <c r="E182" s="82">
        <v>0</v>
      </c>
      <c r="F182" s="82">
        <f>G182+H182</f>
        <v>100</v>
      </c>
      <c r="G182" s="82">
        <v>100</v>
      </c>
      <c r="H182" s="82">
        <v>0</v>
      </c>
      <c r="I182" s="82">
        <f>J182+K182</f>
        <v>100</v>
      </c>
      <c r="J182" s="82">
        <v>100</v>
      </c>
      <c r="K182" s="82">
        <v>0</v>
      </c>
    </row>
    <row r="183" spans="1:12" ht="19.5" customHeight="1">
      <c r="A183" s="28"/>
      <c r="B183" s="19"/>
      <c r="C183" s="29"/>
      <c r="D183" s="29"/>
      <c r="E183" s="29"/>
      <c r="F183" s="29"/>
      <c r="G183" s="29"/>
      <c r="H183" s="29"/>
      <c r="I183" s="29"/>
      <c r="J183" s="29"/>
      <c r="K183" s="29"/>
      <c r="L183" s="29"/>
    </row>
    <row r="184" spans="1:12" ht="26.25" customHeight="1">
      <c r="A184" s="18"/>
      <c r="B184" s="19"/>
      <c r="C184" s="20"/>
      <c r="D184" s="20"/>
      <c r="E184" s="20"/>
      <c r="F184" s="20"/>
      <c r="G184" s="20"/>
      <c r="H184" s="20"/>
      <c r="I184" s="157" t="s">
        <v>131</v>
      </c>
      <c r="J184" s="157"/>
      <c r="K184" s="157"/>
      <c r="L184" s="20"/>
    </row>
    <row r="185" spans="1:12" ht="14.25">
      <c r="A185" s="21">
        <v>1</v>
      </c>
      <c r="B185" s="22">
        <v>2</v>
      </c>
      <c r="C185" s="23">
        <v>3</v>
      </c>
      <c r="D185" s="23">
        <v>4</v>
      </c>
      <c r="E185" s="23">
        <v>5</v>
      </c>
      <c r="F185" s="23">
        <v>6</v>
      </c>
      <c r="G185" s="23">
        <v>7</v>
      </c>
      <c r="H185" s="23">
        <v>8</v>
      </c>
      <c r="I185" s="23">
        <v>9</v>
      </c>
      <c r="J185" s="23">
        <v>10</v>
      </c>
      <c r="K185" s="23">
        <v>11</v>
      </c>
      <c r="L185" s="30"/>
    </row>
    <row r="186" spans="1:11" ht="18" customHeight="1">
      <c r="A186" s="165" t="s">
        <v>163</v>
      </c>
      <c r="B186" s="165"/>
      <c r="C186" s="165"/>
      <c r="D186" s="165"/>
      <c r="E186" s="165"/>
      <c r="F186" s="165"/>
      <c r="G186" s="165"/>
      <c r="H186" s="165"/>
      <c r="I186" s="165"/>
      <c r="J186" s="165"/>
      <c r="K186" s="165"/>
    </row>
    <row r="187" spans="1:11" ht="33" customHeight="1">
      <c r="A187" s="156" t="s">
        <v>119</v>
      </c>
      <c r="B187" s="156"/>
      <c r="C187" s="156"/>
      <c r="D187" s="156"/>
      <c r="E187" s="156"/>
      <c r="F187" s="156"/>
      <c r="G187" s="156"/>
      <c r="H187" s="156"/>
      <c r="I187" s="156"/>
      <c r="J187" s="156"/>
      <c r="K187" s="156"/>
    </row>
    <row r="188" spans="1:11" ht="16.5">
      <c r="A188" s="126" t="s">
        <v>7</v>
      </c>
      <c r="B188" s="127" t="s">
        <v>120</v>
      </c>
      <c r="C188" s="6">
        <f>D188+E188</f>
        <v>64349664</v>
      </c>
      <c r="D188" s="6">
        <f>+D190+D215+D226++D236</f>
        <v>64117064</v>
      </c>
      <c r="E188" s="6">
        <f>+E190+E215+E226++E236</f>
        <v>232600</v>
      </c>
      <c r="F188" s="6">
        <f>G188+H188</f>
        <v>68661092</v>
      </c>
      <c r="G188" s="6">
        <f>+G190+G215+G226++G236</f>
        <v>68412908</v>
      </c>
      <c r="H188" s="6">
        <f>+H190+H215+H226++H236</f>
        <v>248184</v>
      </c>
      <c r="I188" s="39">
        <f>J188+K188</f>
        <v>72437452</v>
      </c>
      <c r="J188" s="6">
        <f>+J190+J215+J226++J236</f>
        <v>72175618</v>
      </c>
      <c r="K188" s="6">
        <f>+K190+K215+K226++K236</f>
        <v>261834</v>
      </c>
    </row>
    <row r="189" spans="1:14" ht="21.75" customHeight="1">
      <c r="A189" s="51" t="s">
        <v>123</v>
      </c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N189" s="26"/>
    </row>
    <row r="190" spans="1:14" ht="45.75" customHeight="1">
      <c r="A190" s="5" t="s">
        <v>164</v>
      </c>
      <c r="B190" s="38"/>
      <c r="C190" s="119">
        <f>D190+E190</f>
        <v>742736</v>
      </c>
      <c r="D190" s="119">
        <f>D192+D193+D194+D195</f>
        <v>510136</v>
      </c>
      <c r="E190" s="119">
        <f>E192+E193+E194</f>
        <v>232600</v>
      </c>
      <c r="F190" s="122">
        <f>+G190+H190</f>
        <v>792499</v>
      </c>
      <c r="G190" s="119">
        <f>G192+G193+G194+G195</f>
        <v>544315</v>
      </c>
      <c r="H190" s="119">
        <f>H192+H193+H194</f>
        <v>248184</v>
      </c>
      <c r="I190" s="119">
        <f>J190+K190</f>
        <v>836087</v>
      </c>
      <c r="J190" s="119">
        <f>J192+J193+J194+J195</f>
        <v>574253</v>
      </c>
      <c r="K190" s="119">
        <f>K192+K193+K194</f>
        <v>261834</v>
      </c>
      <c r="N190" s="26"/>
    </row>
    <row r="191" spans="1:14" ht="16.5" customHeight="1">
      <c r="A191" s="31" t="s">
        <v>64</v>
      </c>
      <c r="B191" s="38"/>
      <c r="C191" s="123"/>
      <c r="D191" s="82"/>
      <c r="E191" s="82"/>
      <c r="F191" s="122"/>
      <c r="G191" s="11"/>
      <c r="H191" s="43"/>
      <c r="I191" s="122"/>
      <c r="J191" s="11"/>
      <c r="K191" s="43"/>
      <c r="N191" s="26"/>
    </row>
    <row r="192" spans="1:14" ht="20.25" customHeight="1">
      <c r="A192" s="34" t="s">
        <v>148</v>
      </c>
      <c r="B192" s="38"/>
      <c r="C192" s="82">
        <f>D192</f>
        <v>38400</v>
      </c>
      <c r="D192" s="43">
        <v>38400</v>
      </c>
      <c r="E192" s="43">
        <v>0</v>
      </c>
      <c r="F192" s="66">
        <f>G192+H192</f>
        <v>40973</v>
      </c>
      <c r="G192" s="11">
        <v>40973</v>
      </c>
      <c r="H192" s="43">
        <v>0</v>
      </c>
      <c r="I192" s="66">
        <f>J192+K192</f>
        <v>43227</v>
      </c>
      <c r="J192" s="11">
        <v>43227</v>
      </c>
      <c r="K192" s="43">
        <v>0</v>
      </c>
      <c r="N192" s="26"/>
    </row>
    <row r="193" spans="1:14" ht="30.75" customHeight="1">
      <c r="A193" s="32" t="s">
        <v>73</v>
      </c>
      <c r="B193" s="38"/>
      <c r="C193" s="82">
        <f>D193</f>
        <v>392300</v>
      </c>
      <c r="D193" s="43">
        <v>392300</v>
      </c>
      <c r="E193" s="43">
        <v>0</v>
      </c>
      <c r="F193" s="66">
        <f>G193+H193</f>
        <v>418584</v>
      </c>
      <c r="G193" s="11">
        <v>418584</v>
      </c>
      <c r="H193" s="43">
        <v>0</v>
      </c>
      <c r="I193" s="66">
        <f>J193+K193</f>
        <v>441606</v>
      </c>
      <c r="J193" s="11">
        <v>441606</v>
      </c>
      <c r="K193" s="43">
        <v>0</v>
      </c>
      <c r="N193" s="26"/>
    </row>
    <row r="194" spans="1:14" ht="21" customHeight="1">
      <c r="A194" s="121" t="s">
        <v>77</v>
      </c>
      <c r="B194" s="38"/>
      <c r="C194" s="82">
        <f>+D194+E194</f>
        <v>232600</v>
      </c>
      <c r="D194" s="43">
        <v>0</v>
      </c>
      <c r="E194" s="65">
        <v>232600</v>
      </c>
      <c r="F194" s="66">
        <f>G194+H194</f>
        <v>248184</v>
      </c>
      <c r="G194" s="11">
        <v>0</v>
      </c>
      <c r="H194" s="65">
        <v>248184</v>
      </c>
      <c r="I194" s="66">
        <f>J194+K194</f>
        <v>261834</v>
      </c>
      <c r="J194" s="11">
        <v>0</v>
      </c>
      <c r="K194" s="43">
        <v>261834</v>
      </c>
      <c r="N194" s="26"/>
    </row>
    <row r="195" spans="1:14" ht="43.5" customHeight="1">
      <c r="A195" s="92" t="s">
        <v>124</v>
      </c>
      <c r="B195" s="38"/>
      <c r="C195" s="82">
        <f>+D195</f>
        <v>79436</v>
      </c>
      <c r="D195" s="43">
        <v>79436</v>
      </c>
      <c r="E195" s="43">
        <v>0</v>
      </c>
      <c r="F195" s="66">
        <f>+G195</f>
        <v>84758</v>
      </c>
      <c r="G195" s="11">
        <v>84758</v>
      </c>
      <c r="H195" s="43">
        <v>0</v>
      </c>
      <c r="I195" s="66">
        <f>+J195</f>
        <v>89420</v>
      </c>
      <c r="J195" s="11">
        <v>89420</v>
      </c>
      <c r="K195" s="43">
        <v>0</v>
      </c>
      <c r="N195" s="26"/>
    </row>
    <row r="196" spans="1:14" ht="21.75" customHeight="1">
      <c r="A196" s="4" t="s">
        <v>65</v>
      </c>
      <c r="B196" s="38"/>
      <c r="C196" s="82"/>
      <c r="D196" s="82"/>
      <c r="E196" s="82"/>
      <c r="F196" s="82"/>
      <c r="G196" s="12"/>
      <c r="H196" s="82"/>
      <c r="I196" s="82"/>
      <c r="J196" s="12"/>
      <c r="K196" s="82"/>
      <c r="N196" s="26"/>
    </row>
    <row r="197" spans="1:14" ht="21.75" customHeight="1">
      <c r="A197" s="32" t="s">
        <v>66</v>
      </c>
      <c r="B197" s="38"/>
      <c r="C197" s="40">
        <f>D197</f>
        <v>2</v>
      </c>
      <c r="D197" s="40">
        <v>2</v>
      </c>
      <c r="E197" s="40">
        <v>0</v>
      </c>
      <c r="F197" s="40">
        <f>G197</f>
        <v>2</v>
      </c>
      <c r="G197" s="24">
        <v>2</v>
      </c>
      <c r="H197" s="40">
        <v>0</v>
      </c>
      <c r="I197" s="40">
        <f>J197</f>
        <v>2</v>
      </c>
      <c r="J197" s="24">
        <v>2</v>
      </c>
      <c r="K197" s="40">
        <v>0</v>
      </c>
      <c r="N197" s="26"/>
    </row>
    <row r="198" spans="1:14" ht="39" customHeight="1">
      <c r="A198" s="32" t="s">
        <v>67</v>
      </c>
      <c r="B198" s="38"/>
      <c r="C198" s="40">
        <f>D198</f>
        <v>3270</v>
      </c>
      <c r="D198" s="40">
        <v>3270</v>
      </c>
      <c r="E198" s="40">
        <v>0</v>
      </c>
      <c r="F198" s="40">
        <f>G198</f>
        <v>3270</v>
      </c>
      <c r="G198" s="24">
        <v>3270</v>
      </c>
      <c r="H198" s="40">
        <v>0</v>
      </c>
      <c r="I198" s="40">
        <f>J198</f>
        <v>3270</v>
      </c>
      <c r="J198" s="24">
        <v>3270</v>
      </c>
      <c r="K198" s="40">
        <v>0</v>
      </c>
      <c r="N198" s="26"/>
    </row>
    <row r="199" spans="1:14" ht="33" customHeight="1">
      <c r="A199" s="92" t="s">
        <v>76</v>
      </c>
      <c r="B199" s="38"/>
      <c r="C199" s="40">
        <f>+E199</f>
        <v>5</v>
      </c>
      <c r="D199" s="40">
        <v>0</v>
      </c>
      <c r="E199" s="40">
        <v>5</v>
      </c>
      <c r="F199" s="40">
        <f>G199+H199</f>
        <v>5</v>
      </c>
      <c r="G199" s="24">
        <v>0</v>
      </c>
      <c r="H199" s="40">
        <v>5</v>
      </c>
      <c r="I199" s="40">
        <f>J199+K199</f>
        <v>5</v>
      </c>
      <c r="J199" s="24">
        <v>0</v>
      </c>
      <c r="K199" s="40">
        <v>5</v>
      </c>
      <c r="N199" s="26"/>
    </row>
    <row r="200" spans="1:14" ht="33" customHeight="1">
      <c r="A200" s="7" t="s">
        <v>125</v>
      </c>
      <c r="B200" s="38"/>
      <c r="C200" s="40">
        <f>+D200</f>
        <v>182</v>
      </c>
      <c r="D200" s="40">
        <v>182</v>
      </c>
      <c r="E200" s="40">
        <v>0</v>
      </c>
      <c r="F200" s="40">
        <f>+G200</f>
        <v>182</v>
      </c>
      <c r="G200" s="24">
        <v>182</v>
      </c>
      <c r="H200" s="40">
        <v>0</v>
      </c>
      <c r="I200" s="40">
        <f>+J200</f>
        <v>182</v>
      </c>
      <c r="J200" s="24">
        <v>182</v>
      </c>
      <c r="K200" s="40">
        <v>0</v>
      </c>
      <c r="N200" s="26"/>
    </row>
    <row r="201" spans="1:14" ht="21.75" customHeight="1">
      <c r="A201" s="4" t="s">
        <v>68</v>
      </c>
      <c r="B201" s="38"/>
      <c r="C201" s="82"/>
      <c r="D201" s="82"/>
      <c r="E201" s="82"/>
      <c r="F201" s="82"/>
      <c r="G201" s="12"/>
      <c r="H201" s="82"/>
      <c r="I201" s="82"/>
      <c r="J201" s="12"/>
      <c r="K201" s="82"/>
      <c r="N201" s="26"/>
    </row>
    <row r="202" spans="1:14" ht="21.75" customHeight="1">
      <c r="A202" s="117" t="s">
        <v>69</v>
      </c>
      <c r="B202" s="38"/>
      <c r="C202" s="43">
        <f>D202</f>
        <v>1600</v>
      </c>
      <c r="D202" s="43">
        <f>D192/D197/12</f>
        <v>1600</v>
      </c>
      <c r="E202" s="43">
        <v>0</v>
      </c>
      <c r="F202" s="43">
        <f>G202</f>
        <v>1707.2083333333333</v>
      </c>
      <c r="G202" s="11">
        <f>+G192/G197/12</f>
        <v>1707.2083333333333</v>
      </c>
      <c r="H202" s="43">
        <v>0</v>
      </c>
      <c r="I202" s="43">
        <f>J202</f>
        <v>1801.125</v>
      </c>
      <c r="J202" s="11">
        <f>J192/J197/12</f>
        <v>1801.125</v>
      </c>
      <c r="K202" s="43">
        <v>0</v>
      </c>
      <c r="N202" s="26"/>
    </row>
    <row r="203" spans="1:14" ht="50.25" customHeight="1">
      <c r="A203" s="32" t="s">
        <v>70</v>
      </c>
      <c r="B203" s="38"/>
      <c r="C203" s="43">
        <f>D203</f>
        <v>119.96941896024465</v>
      </c>
      <c r="D203" s="43">
        <f>D193/D198</f>
        <v>119.96941896024465</v>
      </c>
      <c r="E203" s="43">
        <v>0</v>
      </c>
      <c r="F203" s="43">
        <f>G203</f>
        <v>128.0073394495413</v>
      </c>
      <c r="G203" s="11">
        <f>+G193/G198</f>
        <v>128.0073394495413</v>
      </c>
      <c r="H203" s="43">
        <v>0</v>
      </c>
      <c r="I203" s="43">
        <f>J203</f>
        <v>135.04770642201834</v>
      </c>
      <c r="J203" s="11">
        <f>J193/J198</f>
        <v>135.04770642201834</v>
      </c>
      <c r="K203" s="43">
        <v>0</v>
      </c>
      <c r="N203" s="26"/>
    </row>
    <row r="204" spans="1:14" ht="21" customHeight="1">
      <c r="A204" s="121" t="s">
        <v>78</v>
      </c>
      <c r="B204" s="38"/>
      <c r="C204" s="43">
        <f>+E204</f>
        <v>46520</v>
      </c>
      <c r="D204" s="43">
        <v>0</v>
      </c>
      <c r="E204" s="43">
        <f>+E194/E199</f>
        <v>46520</v>
      </c>
      <c r="F204" s="43">
        <f>+G204+H204</f>
        <v>49636.8</v>
      </c>
      <c r="G204" s="11">
        <v>0</v>
      </c>
      <c r="H204" s="43">
        <f>+H194/H199</f>
        <v>49636.8</v>
      </c>
      <c r="I204" s="43">
        <f>J204+K204</f>
        <v>52366.8</v>
      </c>
      <c r="J204" s="11">
        <v>0</v>
      </c>
      <c r="K204" s="43">
        <f>K194/K199</f>
        <v>52366.8</v>
      </c>
      <c r="N204" s="26"/>
    </row>
    <row r="205" spans="1:14" ht="31.5" customHeight="1">
      <c r="A205" s="7" t="s">
        <v>126</v>
      </c>
      <c r="B205" s="38"/>
      <c r="C205" s="43">
        <f>+D205</f>
        <v>436.46153846153845</v>
      </c>
      <c r="D205" s="43">
        <f>+D195/D200</f>
        <v>436.46153846153845</v>
      </c>
      <c r="E205" s="43">
        <v>0</v>
      </c>
      <c r="F205" s="43">
        <f>+G205</f>
        <v>465.7032967032967</v>
      </c>
      <c r="G205" s="11">
        <f>+G195/G200</f>
        <v>465.7032967032967</v>
      </c>
      <c r="H205" s="43">
        <v>0</v>
      </c>
      <c r="I205" s="43">
        <f>+J205</f>
        <v>491.31868131868134</v>
      </c>
      <c r="J205" s="11">
        <f>J195/J200</f>
        <v>491.31868131868134</v>
      </c>
      <c r="K205" s="43">
        <v>0</v>
      </c>
      <c r="N205" s="26"/>
    </row>
    <row r="206" spans="1:14" ht="18.75" customHeight="1">
      <c r="A206" s="4" t="s">
        <v>71</v>
      </c>
      <c r="B206" s="38"/>
      <c r="C206" s="82"/>
      <c r="D206" s="82"/>
      <c r="E206" s="82"/>
      <c r="F206" s="82"/>
      <c r="G206" s="12"/>
      <c r="H206" s="82"/>
      <c r="I206" s="82"/>
      <c r="J206" s="12"/>
      <c r="K206" s="82"/>
      <c r="N206" s="26"/>
    </row>
    <row r="207" spans="1:14" ht="34.5" customHeight="1">
      <c r="A207" s="7" t="s">
        <v>72</v>
      </c>
      <c r="B207" s="38"/>
      <c r="C207" s="82">
        <f>D207</f>
        <v>100</v>
      </c>
      <c r="D207" s="82">
        <v>100</v>
      </c>
      <c r="E207" s="82">
        <v>0</v>
      </c>
      <c r="F207" s="82">
        <f>G207</f>
        <v>100</v>
      </c>
      <c r="G207" s="12">
        <v>100</v>
      </c>
      <c r="H207" s="82">
        <v>0</v>
      </c>
      <c r="I207" s="82">
        <f>J207</f>
        <v>100</v>
      </c>
      <c r="J207" s="12">
        <v>100</v>
      </c>
      <c r="K207" s="82">
        <v>0</v>
      </c>
      <c r="N207" s="26"/>
    </row>
    <row r="208" spans="1:14" ht="36" customHeight="1">
      <c r="A208" s="7" t="s">
        <v>79</v>
      </c>
      <c r="B208" s="38"/>
      <c r="C208" s="82">
        <f>D208</f>
        <v>100</v>
      </c>
      <c r="D208" s="82">
        <v>100</v>
      </c>
      <c r="E208" s="82">
        <v>0</v>
      </c>
      <c r="F208" s="82">
        <f>G208</f>
        <v>100</v>
      </c>
      <c r="G208" s="12">
        <v>100</v>
      </c>
      <c r="H208" s="82">
        <v>0</v>
      </c>
      <c r="I208" s="82">
        <f>J208</f>
        <v>100</v>
      </c>
      <c r="J208" s="12">
        <v>100</v>
      </c>
      <c r="K208" s="82">
        <v>0</v>
      </c>
      <c r="N208" s="26"/>
    </row>
    <row r="209" spans="1:14" ht="23.25" customHeight="1">
      <c r="A209" s="42" t="s">
        <v>80</v>
      </c>
      <c r="B209" s="38"/>
      <c r="C209" s="82">
        <f>+E209</f>
        <v>100</v>
      </c>
      <c r="D209" s="82">
        <v>0</v>
      </c>
      <c r="E209" s="82">
        <v>100</v>
      </c>
      <c r="F209" s="82">
        <f>+G209+H209</f>
        <v>100</v>
      </c>
      <c r="G209" s="12">
        <v>0</v>
      </c>
      <c r="H209" s="82">
        <v>100</v>
      </c>
      <c r="I209" s="82">
        <f>J209+K209</f>
        <v>100</v>
      </c>
      <c r="J209" s="12">
        <v>0</v>
      </c>
      <c r="K209" s="82">
        <v>100</v>
      </c>
      <c r="N209" s="26"/>
    </row>
    <row r="210" spans="1:14" ht="30" customHeight="1">
      <c r="A210" s="42" t="s">
        <v>127</v>
      </c>
      <c r="B210" s="38"/>
      <c r="C210" s="82">
        <v>100</v>
      </c>
      <c r="D210" s="82">
        <v>100</v>
      </c>
      <c r="E210" s="82">
        <v>0</v>
      </c>
      <c r="F210" s="82">
        <v>100</v>
      </c>
      <c r="G210" s="12">
        <v>100</v>
      </c>
      <c r="H210" s="82">
        <v>0</v>
      </c>
      <c r="I210" s="82">
        <v>100</v>
      </c>
      <c r="J210" s="12">
        <v>100</v>
      </c>
      <c r="K210" s="82">
        <v>0</v>
      </c>
      <c r="N210" s="26"/>
    </row>
    <row r="211" spans="1:12" ht="19.5" customHeight="1">
      <c r="A211" s="28"/>
      <c r="B211" s="19"/>
      <c r="C211" s="29"/>
      <c r="D211" s="29"/>
      <c r="E211" s="29"/>
      <c r="F211" s="29"/>
      <c r="G211" s="29"/>
      <c r="H211" s="29"/>
      <c r="I211" s="29"/>
      <c r="J211" s="29"/>
      <c r="K211" s="29"/>
      <c r="L211" s="29"/>
    </row>
    <row r="212" spans="1:12" ht="26.25" customHeight="1">
      <c r="A212" s="18"/>
      <c r="B212" s="19"/>
      <c r="C212" s="20"/>
      <c r="D212" s="20"/>
      <c r="E212" s="20"/>
      <c r="F212" s="20"/>
      <c r="G212" s="20"/>
      <c r="H212" s="20"/>
      <c r="I212" s="157" t="s">
        <v>131</v>
      </c>
      <c r="J212" s="157"/>
      <c r="K212" s="157"/>
      <c r="L212" s="20"/>
    </row>
    <row r="213" spans="1:12" ht="14.25">
      <c r="A213" s="21">
        <v>1</v>
      </c>
      <c r="B213" s="22">
        <v>2</v>
      </c>
      <c r="C213" s="23">
        <v>3</v>
      </c>
      <c r="D213" s="23">
        <v>4</v>
      </c>
      <c r="E213" s="23">
        <v>5</v>
      </c>
      <c r="F213" s="23">
        <v>6</v>
      </c>
      <c r="G213" s="23">
        <v>7</v>
      </c>
      <c r="H213" s="23">
        <v>8</v>
      </c>
      <c r="I213" s="23">
        <v>9</v>
      </c>
      <c r="J213" s="23">
        <v>10</v>
      </c>
      <c r="K213" s="23">
        <v>11</v>
      </c>
      <c r="L213" s="30"/>
    </row>
    <row r="214" spans="1:11" ht="21" customHeight="1">
      <c r="A214" s="51" t="s">
        <v>122</v>
      </c>
      <c r="B214" s="51"/>
      <c r="C214" s="51"/>
      <c r="D214" s="51"/>
      <c r="E214" s="51"/>
      <c r="F214" s="51"/>
      <c r="G214" s="51"/>
      <c r="H214" s="51"/>
      <c r="I214" s="51"/>
      <c r="J214" s="51"/>
      <c r="K214" s="51"/>
    </row>
    <row r="215" spans="1:11" ht="30.75" customHeight="1">
      <c r="A215" s="5" t="s">
        <v>165</v>
      </c>
      <c r="B215" s="70"/>
      <c r="C215" s="39">
        <f>D215+E215</f>
        <v>1436397</v>
      </c>
      <c r="D215" s="39">
        <v>1436397</v>
      </c>
      <c r="E215" s="39">
        <v>0</v>
      </c>
      <c r="F215" s="6">
        <f>G215+H215</f>
        <v>1532636</v>
      </c>
      <c r="G215" s="6">
        <v>1532636</v>
      </c>
      <c r="H215" s="6">
        <v>0</v>
      </c>
      <c r="I215" s="39">
        <f>J215+K215</f>
        <v>1616931</v>
      </c>
      <c r="J215" s="6">
        <v>1616931</v>
      </c>
      <c r="K215" s="39">
        <v>0</v>
      </c>
    </row>
    <row r="216" spans="1:14" ht="18" customHeight="1">
      <c r="A216" s="3" t="s">
        <v>5</v>
      </c>
      <c r="B216" s="38"/>
      <c r="C216" s="124"/>
      <c r="D216" s="75"/>
      <c r="E216" s="75"/>
      <c r="F216" s="75"/>
      <c r="G216" s="75"/>
      <c r="H216" s="75"/>
      <c r="I216" s="75"/>
      <c r="J216" s="75"/>
      <c r="K216" s="75"/>
      <c r="N216" s="26"/>
    </row>
    <row r="217" spans="1:14" ht="15">
      <c r="A217" s="31" t="s">
        <v>6</v>
      </c>
      <c r="B217" s="38"/>
      <c r="C217" s="124"/>
      <c r="D217" s="75"/>
      <c r="E217" s="75"/>
      <c r="F217" s="75"/>
      <c r="G217" s="75"/>
      <c r="H217" s="75"/>
      <c r="I217" s="75"/>
      <c r="J217" s="75"/>
      <c r="K217" s="75"/>
      <c r="N217" s="26"/>
    </row>
    <row r="218" spans="1:14" ht="34.5" customHeight="1">
      <c r="A218" s="87" t="s">
        <v>60</v>
      </c>
      <c r="B218" s="38"/>
      <c r="C218" s="40">
        <f>+D218</f>
        <v>4105</v>
      </c>
      <c r="D218" s="40">
        <v>4105</v>
      </c>
      <c r="E218" s="40">
        <v>0</v>
      </c>
      <c r="F218" s="40">
        <f>+G218</f>
        <v>4105</v>
      </c>
      <c r="G218" s="40">
        <v>4105</v>
      </c>
      <c r="H218" s="84">
        <v>0</v>
      </c>
      <c r="I218" s="84">
        <f>+J218</f>
        <v>4105</v>
      </c>
      <c r="J218" s="84">
        <v>4105</v>
      </c>
      <c r="K218" s="84">
        <v>0</v>
      </c>
      <c r="N218" s="26"/>
    </row>
    <row r="219" spans="1:14" ht="34.5" customHeight="1">
      <c r="A219" s="87" t="s">
        <v>61</v>
      </c>
      <c r="B219" s="38"/>
      <c r="C219" s="40">
        <f>+D219</f>
        <v>24</v>
      </c>
      <c r="D219" s="84">
        <v>24</v>
      </c>
      <c r="E219" s="84">
        <v>0</v>
      </c>
      <c r="F219" s="84">
        <f>+G219</f>
        <v>24</v>
      </c>
      <c r="G219" s="84">
        <v>24</v>
      </c>
      <c r="H219" s="84">
        <v>0</v>
      </c>
      <c r="I219" s="84">
        <f>J219+K219</f>
        <v>24</v>
      </c>
      <c r="J219" s="84">
        <v>24</v>
      </c>
      <c r="K219" s="84">
        <v>0</v>
      </c>
      <c r="N219" s="26"/>
    </row>
    <row r="220" spans="1:14" ht="17.25" customHeight="1">
      <c r="A220" s="79" t="s">
        <v>20</v>
      </c>
      <c r="B220" s="38"/>
      <c r="C220" s="80"/>
      <c r="D220" s="80"/>
      <c r="E220" s="80"/>
      <c r="F220" s="80"/>
      <c r="G220" s="80"/>
      <c r="H220" s="80"/>
      <c r="I220" s="80"/>
      <c r="J220" s="80"/>
      <c r="K220" s="80"/>
      <c r="N220" s="26"/>
    </row>
    <row r="221" spans="1:14" ht="32.25" customHeight="1">
      <c r="A221" s="87" t="s">
        <v>62</v>
      </c>
      <c r="B221" s="38"/>
      <c r="C221" s="43">
        <f>D221</f>
        <v>119309.75</v>
      </c>
      <c r="D221" s="43">
        <f>1431717/12</f>
        <v>119309.75</v>
      </c>
      <c r="E221" s="43">
        <v>0</v>
      </c>
      <c r="F221" s="43">
        <f>+G221</f>
        <v>127303.5</v>
      </c>
      <c r="G221" s="43">
        <f>1527642/12</f>
        <v>127303.5</v>
      </c>
      <c r="H221" s="43">
        <v>0</v>
      </c>
      <c r="I221" s="43">
        <f>+J221</f>
        <v>134305.16666666666</v>
      </c>
      <c r="J221" s="11">
        <f>1611662/12</f>
        <v>134305.16666666666</v>
      </c>
      <c r="K221" s="43">
        <v>0</v>
      </c>
      <c r="N221" s="26"/>
    </row>
    <row r="222" spans="1:14" ht="30" customHeight="1">
      <c r="A222" s="7" t="s">
        <v>63</v>
      </c>
      <c r="B222" s="38"/>
      <c r="C222" s="43">
        <f>+D222</f>
        <v>195</v>
      </c>
      <c r="D222" s="43">
        <f>4680/D219</f>
        <v>195</v>
      </c>
      <c r="E222" s="43">
        <v>0</v>
      </c>
      <c r="F222" s="43">
        <f>+G222</f>
        <v>208.08333333333334</v>
      </c>
      <c r="G222" s="11">
        <f>4994/G219</f>
        <v>208.08333333333334</v>
      </c>
      <c r="H222" s="43">
        <v>0</v>
      </c>
      <c r="I222" s="43">
        <f>+J222</f>
        <v>219.54166666666666</v>
      </c>
      <c r="J222" s="11">
        <f>5269/J219</f>
        <v>219.54166666666666</v>
      </c>
      <c r="K222" s="43">
        <v>0</v>
      </c>
      <c r="N222" s="26"/>
    </row>
    <row r="223" spans="1:14" ht="16.5">
      <c r="A223" s="4" t="s">
        <v>149</v>
      </c>
      <c r="B223" s="38"/>
      <c r="C223" s="43"/>
      <c r="D223" s="43"/>
      <c r="E223" s="43"/>
      <c r="F223" s="43"/>
      <c r="G223" s="11"/>
      <c r="H223" s="43"/>
      <c r="I223" s="43"/>
      <c r="J223" s="11"/>
      <c r="K223" s="43"/>
      <c r="N223" s="26"/>
    </row>
    <row r="224" spans="1:14" ht="21.75" customHeight="1">
      <c r="A224" s="81" t="s">
        <v>59</v>
      </c>
      <c r="B224" s="38"/>
      <c r="C224" s="82">
        <f>+D224</f>
        <v>100</v>
      </c>
      <c r="D224" s="82">
        <v>100</v>
      </c>
      <c r="E224" s="82">
        <v>0</v>
      </c>
      <c r="F224" s="82">
        <f>G224+H224</f>
        <v>100</v>
      </c>
      <c r="G224" s="12">
        <v>100</v>
      </c>
      <c r="H224" s="82">
        <v>0</v>
      </c>
      <c r="I224" s="82">
        <f>J224+K224</f>
        <v>100</v>
      </c>
      <c r="J224" s="12">
        <v>100</v>
      </c>
      <c r="K224" s="82">
        <v>0</v>
      </c>
      <c r="N224" s="26"/>
    </row>
    <row r="225" spans="1:11" ht="21.75" customHeight="1">
      <c r="A225" s="51" t="s">
        <v>121</v>
      </c>
      <c r="B225" s="67"/>
      <c r="C225" s="67"/>
      <c r="D225" s="67"/>
      <c r="E225" s="67"/>
      <c r="F225" s="67"/>
      <c r="G225" s="67"/>
      <c r="H225" s="67"/>
      <c r="I225" s="67"/>
      <c r="J225" s="67"/>
      <c r="K225" s="67"/>
    </row>
    <row r="226" spans="1:11" ht="45.75" customHeight="1">
      <c r="A226" s="31" t="s">
        <v>166</v>
      </c>
      <c r="B226" s="32"/>
      <c r="C226" s="39">
        <f>D226+E226</f>
        <v>24508500</v>
      </c>
      <c r="D226" s="11">
        <v>24508500</v>
      </c>
      <c r="E226" s="6">
        <v>0</v>
      </c>
      <c r="F226" s="6">
        <f>+G226</f>
        <v>26150570</v>
      </c>
      <c r="G226" s="11">
        <v>26150570</v>
      </c>
      <c r="H226" s="6">
        <v>0</v>
      </c>
      <c r="I226" s="39">
        <f>J226+K226</f>
        <v>27588851</v>
      </c>
      <c r="J226" s="11">
        <v>27588851</v>
      </c>
      <c r="K226" s="43">
        <v>0</v>
      </c>
    </row>
    <row r="227" spans="1:14" ht="18" customHeight="1">
      <c r="A227" s="3" t="s">
        <v>5</v>
      </c>
      <c r="B227" s="38"/>
      <c r="C227" s="124"/>
      <c r="D227" s="75"/>
      <c r="E227" s="75"/>
      <c r="F227" s="75"/>
      <c r="G227" s="75"/>
      <c r="H227" s="75"/>
      <c r="I227" s="75"/>
      <c r="J227" s="75"/>
      <c r="K227" s="75"/>
      <c r="N227" s="26"/>
    </row>
    <row r="228" spans="1:14" ht="15">
      <c r="A228" s="31" t="s">
        <v>6</v>
      </c>
      <c r="B228" s="38"/>
      <c r="C228" s="124"/>
      <c r="D228" s="75"/>
      <c r="E228" s="75"/>
      <c r="F228" s="75"/>
      <c r="G228" s="75"/>
      <c r="H228" s="75"/>
      <c r="I228" s="75"/>
      <c r="J228" s="75"/>
      <c r="K228" s="75"/>
      <c r="N228" s="26"/>
    </row>
    <row r="229" spans="1:14" ht="27.75" customHeight="1">
      <c r="A229" s="77" t="s">
        <v>55</v>
      </c>
      <c r="B229" s="38"/>
      <c r="C229" s="40">
        <f>+D229</f>
        <v>59320</v>
      </c>
      <c r="D229" s="40">
        <v>59320</v>
      </c>
      <c r="E229" s="40">
        <v>0</v>
      </c>
      <c r="F229" s="40">
        <f>+G229</f>
        <v>59320</v>
      </c>
      <c r="G229" s="40">
        <v>59320</v>
      </c>
      <c r="H229" s="84">
        <v>0</v>
      </c>
      <c r="I229" s="84">
        <f>+J229</f>
        <v>59320</v>
      </c>
      <c r="J229" s="84">
        <v>59320</v>
      </c>
      <c r="K229" s="84">
        <v>0</v>
      </c>
      <c r="N229" s="26"/>
    </row>
    <row r="230" spans="1:14" ht="27.75" customHeight="1">
      <c r="A230" s="77" t="s">
        <v>56</v>
      </c>
      <c r="B230" s="38"/>
      <c r="C230" s="84">
        <v>1</v>
      </c>
      <c r="D230" s="84">
        <v>1</v>
      </c>
      <c r="E230" s="84">
        <v>0</v>
      </c>
      <c r="F230" s="84">
        <f>+G230</f>
        <v>1</v>
      </c>
      <c r="G230" s="84">
        <v>1</v>
      </c>
      <c r="H230" s="84">
        <v>0</v>
      </c>
      <c r="I230" s="84">
        <f>+J230</f>
        <v>1</v>
      </c>
      <c r="J230" s="84">
        <v>1</v>
      </c>
      <c r="K230" s="84">
        <v>0</v>
      </c>
      <c r="N230" s="26"/>
    </row>
    <row r="231" spans="1:14" ht="17.25" customHeight="1">
      <c r="A231" s="79" t="s">
        <v>20</v>
      </c>
      <c r="B231" s="38"/>
      <c r="C231" s="125"/>
      <c r="D231" s="80"/>
      <c r="E231" s="80"/>
      <c r="F231" s="80"/>
      <c r="G231" s="80"/>
      <c r="H231" s="80"/>
      <c r="I231" s="80"/>
      <c r="J231" s="80"/>
      <c r="K231" s="80"/>
      <c r="N231" s="26"/>
    </row>
    <row r="232" spans="1:14" ht="30">
      <c r="A232" s="81" t="s">
        <v>57</v>
      </c>
      <c r="B232" s="38"/>
      <c r="C232" s="43">
        <f>D232+E232</f>
        <v>2042375</v>
      </c>
      <c r="D232" s="43">
        <f>+D226/12</f>
        <v>2042375</v>
      </c>
      <c r="E232" s="43">
        <v>0</v>
      </c>
      <c r="F232" s="43">
        <f>G232+H232</f>
        <v>2179214.1666666665</v>
      </c>
      <c r="G232" s="43">
        <f>+G226/12</f>
        <v>2179214.1666666665</v>
      </c>
      <c r="H232" s="43">
        <v>0</v>
      </c>
      <c r="I232" s="43">
        <f>J232+K232</f>
        <v>2299070.9166666665</v>
      </c>
      <c r="J232" s="43">
        <f>+J226/12</f>
        <v>2299070.9166666665</v>
      </c>
      <c r="K232" s="43">
        <v>0</v>
      </c>
      <c r="N232" s="26"/>
    </row>
    <row r="233" spans="1:14" ht="16.5">
      <c r="A233" s="4" t="s">
        <v>19</v>
      </c>
      <c r="B233" s="38"/>
      <c r="C233" s="43"/>
      <c r="D233" s="43"/>
      <c r="E233" s="43"/>
      <c r="F233" s="43"/>
      <c r="G233" s="11"/>
      <c r="H233" s="43"/>
      <c r="I233" s="43"/>
      <c r="J233" s="11"/>
      <c r="K233" s="43"/>
      <c r="N233" s="26"/>
    </row>
    <row r="234" spans="1:14" ht="21.75" customHeight="1">
      <c r="A234" s="81" t="s">
        <v>18</v>
      </c>
      <c r="B234" s="38"/>
      <c r="C234" s="82">
        <f>+D234</f>
        <v>100</v>
      </c>
      <c r="D234" s="82">
        <v>100</v>
      </c>
      <c r="E234" s="82">
        <v>0</v>
      </c>
      <c r="F234" s="82">
        <f>G234+H234</f>
        <v>100</v>
      </c>
      <c r="G234" s="12">
        <v>100</v>
      </c>
      <c r="H234" s="82">
        <v>0</v>
      </c>
      <c r="I234" s="82">
        <f>J234+K234</f>
        <v>100</v>
      </c>
      <c r="J234" s="12">
        <v>100</v>
      </c>
      <c r="K234" s="82">
        <v>0</v>
      </c>
      <c r="N234" s="26"/>
    </row>
    <row r="235" spans="1:11" ht="21.75" customHeight="1">
      <c r="A235" s="51" t="s">
        <v>106</v>
      </c>
      <c r="B235" s="51"/>
      <c r="C235" s="51"/>
      <c r="D235" s="51"/>
      <c r="E235" s="51"/>
      <c r="F235" s="51"/>
      <c r="G235" s="51"/>
      <c r="H235" s="51"/>
      <c r="I235" s="51"/>
      <c r="J235" s="51"/>
      <c r="K235" s="51"/>
    </row>
    <row r="236" spans="1:11" ht="30.75" customHeight="1">
      <c r="A236" s="31" t="s">
        <v>211</v>
      </c>
      <c r="B236" s="70"/>
      <c r="C236" s="39">
        <f>D236+E236</f>
        <v>37662031</v>
      </c>
      <c r="D236" s="39">
        <v>37662031</v>
      </c>
      <c r="E236" s="39">
        <v>0</v>
      </c>
      <c r="F236" s="122">
        <f>G236+H236</f>
        <v>40185387</v>
      </c>
      <c r="G236" s="122">
        <v>40185387</v>
      </c>
      <c r="H236" s="6">
        <v>0</v>
      </c>
      <c r="I236" s="6">
        <f>J236+K236</f>
        <v>42395583</v>
      </c>
      <c r="J236" s="6">
        <v>42395583</v>
      </c>
      <c r="K236" s="6">
        <v>0</v>
      </c>
    </row>
    <row r="237" spans="1:14" ht="18" customHeight="1">
      <c r="A237" s="3" t="s">
        <v>5</v>
      </c>
      <c r="B237" s="38"/>
      <c r="C237" s="124"/>
      <c r="D237" s="75"/>
      <c r="E237" s="75"/>
      <c r="F237" s="75"/>
      <c r="G237" s="75"/>
      <c r="H237" s="75"/>
      <c r="I237" s="75"/>
      <c r="J237" s="75"/>
      <c r="K237" s="75"/>
      <c r="N237" s="26"/>
    </row>
    <row r="238" spans="1:14" ht="15">
      <c r="A238" s="31" t="s">
        <v>6</v>
      </c>
      <c r="B238" s="38"/>
      <c r="C238" s="124"/>
      <c r="D238" s="75"/>
      <c r="E238" s="75"/>
      <c r="F238" s="75"/>
      <c r="G238" s="75"/>
      <c r="H238" s="75"/>
      <c r="I238" s="75"/>
      <c r="J238" s="75"/>
      <c r="K238" s="75"/>
      <c r="N238" s="26"/>
    </row>
    <row r="239" spans="1:14" ht="27.75" customHeight="1">
      <c r="A239" s="77" t="s">
        <v>58</v>
      </c>
      <c r="B239" s="38"/>
      <c r="C239" s="40">
        <f>+D239</f>
        <v>59320</v>
      </c>
      <c r="D239" s="40">
        <v>59320</v>
      </c>
      <c r="E239" s="40">
        <v>0</v>
      </c>
      <c r="F239" s="40">
        <f>+G239</f>
        <v>59320</v>
      </c>
      <c r="G239" s="40">
        <v>59320</v>
      </c>
      <c r="H239" s="84">
        <v>0</v>
      </c>
      <c r="I239" s="40">
        <f>J239+K239</f>
        <v>59320</v>
      </c>
      <c r="J239" s="40">
        <v>59320</v>
      </c>
      <c r="K239" s="84">
        <v>0</v>
      </c>
      <c r="N239" s="26"/>
    </row>
    <row r="240" spans="1:14" ht="27.75" customHeight="1">
      <c r="A240" s="77" t="s">
        <v>56</v>
      </c>
      <c r="B240" s="38"/>
      <c r="C240" s="84">
        <v>1</v>
      </c>
      <c r="D240" s="84">
        <v>1</v>
      </c>
      <c r="E240" s="84">
        <v>0</v>
      </c>
      <c r="F240" s="84">
        <f>+G240</f>
        <v>1</v>
      </c>
      <c r="G240" s="84">
        <v>1</v>
      </c>
      <c r="H240" s="84">
        <v>0</v>
      </c>
      <c r="I240" s="84">
        <f>+J240</f>
        <v>1</v>
      </c>
      <c r="J240" s="84">
        <v>1</v>
      </c>
      <c r="K240" s="84">
        <v>0</v>
      </c>
      <c r="N240" s="26"/>
    </row>
    <row r="241" spans="1:14" ht="17.25" customHeight="1">
      <c r="A241" s="79" t="s">
        <v>20</v>
      </c>
      <c r="B241" s="38"/>
      <c r="C241" s="125"/>
      <c r="D241" s="80"/>
      <c r="E241" s="80"/>
      <c r="F241" s="125"/>
      <c r="G241" s="80"/>
      <c r="H241" s="80"/>
      <c r="I241" s="125"/>
      <c r="J241" s="80"/>
      <c r="K241" s="80"/>
      <c r="N241" s="26"/>
    </row>
    <row r="242" spans="1:14" ht="30">
      <c r="A242" s="81" t="s">
        <v>57</v>
      </c>
      <c r="B242" s="38"/>
      <c r="C242" s="43">
        <f>D242+E242</f>
        <v>3138502.5833333335</v>
      </c>
      <c r="D242" s="43">
        <f>D236/12</f>
        <v>3138502.5833333335</v>
      </c>
      <c r="E242" s="43">
        <v>0</v>
      </c>
      <c r="F242" s="43">
        <f>G242+H242</f>
        <v>3348782.25</v>
      </c>
      <c r="G242" s="43">
        <f>G236/12</f>
        <v>3348782.25</v>
      </c>
      <c r="H242" s="43">
        <v>0</v>
      </c>
      <c r="I242" s="43">
        <f>J242+K242</f>
        <v>3532965.25</v>
      </c>
      <c r="J242" s="11">
        <f>J236/12</f>
        <v>3532965.25</v>
      </c>
      <c r="K242" s="43">
        <v>0</v>
      </c>
      <c r="N242" s="26"/>
    </row>
    <row r="243" spans="1:14" ht="16.5">
      <c r="A243" s="4" t="s">
        <v>19</v>
      </c>
      <c r="B243" s="38"/>
      <c r="C243" s="43"/>
      <c r="D243" s="43"/>
      <c r="E243" s="43"/>
      <c r="F243" s="43"/>
      <c r="G243" s="11"/>
      <c r="H243" s="43"/>
      <c r="I243" s="43"/>
      <c r="J243" s="11"/>
      <c r="K243" s="43"/>
      <c r="N243" s="26"/>
    </row>
    <row r="244" spans="1:14" ht="18" customHeight="1">
      <c r="A244" s="81" t="s">
        <v>18</v>
      </c>
      <c r="B244" s="38"/>
      <c r="C244" s="82">
        <f>+D244</f>
        <v>100</v>
      </c>
      <c r="D244" s="82">
        <v>100</v>
      </c>
      <c r="E244" s="82">
        <v>0</v>
      </c>
      <c r="F244" s="82">
        <f>G244+H244</f>
        <v>100</v>
      </c>
      <c r="G244" s="12">
        <v>100</v>
      </c>
      <c r="H244" s="82">
        <v>0</v>
      </c>
      <c r="I244" s="82">
        <f>J244+K244</f>
        <v>100</v>
      </c>
      <c r="J244" s="12">
        <v>100</v>
      </c>
      <c r="K244" s="82">
        <v>0</v>
      </c>
      <c r="N244" s="26"/>
    </row>
    <row r="245" spans="1:12" ht="19.5" customHeight="1">
      <c r="A245" s="28"/>
      <c r="B245" s="19"/>
      <c r="C245" s="29"/>
      <c r="D245" s="29"/>
      <c r="E245" s="29"/>
      <c r="F245" s="29"/>
      <c r="G245" s="29"/>
      <c r="H245" s="29"/>
      <c r="I245" s="29"/>
      <c r="J245" s="29"/>
      <c r="K245" s="29"/>
      <c r="L245" s="29"/>
    </row>
    <row r="246" spans="1:12" ht="26.25" customHeight="1">
      <c r="A246" s="18"/>
      <c r="B246" s="19"/>
      <c r="C246" s="20"/>
      <c r="D246" s="20"/>
      <c r="E246" s="20"/>
      <c r="F246" s="20"/>
      <c r="G246" s="20"/>
      <c r="H246" s="20"/>
      <c r="I246" s="157" t="s">
        <v>131</v>
      </c>
      <c r="J246" s="157"/>
      <c r="K246" s="157"/>
      <c r="L246" s="20"/>
    </row>
    <row r="247" spans="1:12" ht="14.25">
      <c r="A247" s="21">
        <v>1</v>
      </c>
      <c r="B247" s="22">
        <v>2</v>
      </c>
      <c r="C247" s="23">
        <v>3</v>
      </c>
      <c r="D247" s="23">
        <v>4</v>
      </c>
      <c r="E247" s="23">
        <v>5</v>
      </c>
      <c r="F247" s="23">
        <v>6</v>
      </c>
      <c r="G247" s="23">
        <v>7</v>
      </c>
      <c r="H247" s="23">
        <v>8</v>
      </c>
      <c r="I247" s="23">
        <v>9</v>
      </c>
      <c r="J247" s="23">
        <v>10</v>
      </c>
      <c r="K247" s="23">
        <v>11</v>
      </c>
      <c r="L247" s="30"/>
    </row>
    <row r="248" spans="1:14" ht="18" customHeight="1">
      <c r="A248" s="51" t="s">
        <v>193</v>
      </c>
      <c r="B248" s="52" t="s">
        <v>194</v>
      </c>
      <c r="C248" s="82"/>
      <c r="D248" s="82"/>
      <c r="E248" s="82"/>
      <c r="F248" s="82"/>
      <c r="G248" s="12"/>
      <c r="H248" s="82"/>
      <c r="I248" s="82"/>
      <c r="J248" s="12"/>
      <c r="K248" s="82"/>
      <c r="N248" s="26"/>
    </row>
    <row r="249" spans="1:14" ht="18" customHeight="1">
      <c r="A249" s="4" t="s">
        <v>53</v>
      </c>
      <c r="B249" s="38"/>
      <c r="C249" s="82"/>
      <c r="D249" s="82"/>
      <c r="E249" s="82"/>
      <c r="F249" s="82"/>
      <c r="G249" s="12"/>
      <c r="H249" s="82"/>
      <c r="I249" s="82"/>
      <c r="J249" s="12"/>
      <c r="K249" s="82"/>
      <c r="N249" s="26"/>
    </row>
    <row r="250" spans="1:14" ht="32.25" customHeight="1">
      <c r="A250" s="155" t="s">
        <v>195</v>
      </c>
      <c r="B250" s="155"/>
      <c r="C250" s="155"/>
      <c r="D250" s="155"/>
      <c r="E250" s="155"/>
      <c r="F250" s="155"/>
      <c r="G250" s="155"/>
      <c r="H250" s="155"/>
      <c r="I250" s="155"/>
      <c r="J250" s="155"/>
      <c r="K250" s="155"/>
      <c r="L250" s="54"/>
      <c r="N250" s="26"/>
    </row>
    <row r="251" spans="1:14" ht="26.25" customHeight="1">
      <c r="A251" s="154" t="s">
        <v>196</v>
      </c>
      <c r="B251" s="154"/>
      <c r="C251" s="154"/>
      <c r="D251" s="154"/>
      <c r="E251" s="154"/>
      <c r="F251" s="154"/>
      <c r="G251" s="154"/>
      <c r="H251" s="154"/>
      <c r="I251" s="154"/>
      <c r="J251" s="154"/>
      <c r="K251" s="154"/>
      <c r="L251" s="55"/>
      <c r="N251" s="26"/>
    </row>
    <row r="252" spans="1:14" ht="18" customHeight="1">
      <c r="A252" s="33" t="s">
        <v>7</v>
      </c>
      <c r="B252" s="38"/>
      <c r="C252" s="82"/>
      <c r="D252" s="82"/>
      <c r="E252" s="82"/>
      <c r="F252" s="82"/>
      <c r="G252" s="12"/>
      <c r="H252" s="82"/>
      <c r="I252" s="82"/>
      <c r="J252" s="12"/>
      <c r="K252" s="82"/>
      <c r="N252" s="26"/>
    </row>
    <row r="253" spans="1:14" ht="66" customHeight="1">
      <c r="A253" s="56" t="s">
        <v>197</v>
      </c>
      <c r="B253" s="38"/>
      <c r="C253" s="57">
        <f>+D253+E253</f>
        <v>1812956</v>
      </c>
      <c r="D253" s="58">
        <v>1812956</v>
      </c>
      <c r="E253" s="58">
        <v>0</v>
      </c>
      <c r="F253" s="57">
        <f>G253+H253</f>
        <v>1934424</v>
      </c>
      <c r="G253" s="59">
        <f>+ROUND(D253*1.067,0)</f>
        <v>1934424</v>
      </c>
      <c r="H253" s="59">
        <v>0</v>
      </c>
      <c r="I253" s="57">
        <f>J253+K253</f>
        <v>2040817</v>
      </c>
      <c r="J253" s="59">
        <f>+ROUND(G253*1.055,0)</f>
        <v>2040817</v>
      </c>
      <c r="K253" s="59">
        <v>0</v>
      </c>
      <c r="N253" s="26"/>
    </row>
    <row r="254" spans="1:14" ht="18" customHeight="1">
      <c r="A254" s="3" t="s">
        <v>5</v>
      </c>
      <c r="B254" s="38"/>
      <c r="C254" s="57"/>
      <c r="D254" s="82"/>
      <c r="E254" s="82"/>
      <c r="F254" s="57"/>
      <c r="G254" s="12"/>
      <c r="H254" s="82"/>
      <c r="I254" s="57"/>
      <c r="J254" s="12"/>
      <c r="K254" s="82"/>
      <c r="N254" s="26"/>
    </row>
    <row r="255" spans="1:14" ht="18" customHeight="1">
      <c r="A255" s="31" t="s">
        <v>6</v>
      </c>
      <c r="B255" s="38"/>
      <c r="C255" s="57"/>
      <c r="D255" s="82"/>
      <c r="E255" s="82"/>
      <c r="F255" s="57"/>
      <c r="G255" s="12"/>
      <c r="H255" s="82"/>
      <c r="I255" s="57"/>
      <c r="J255" s="12"/>
      <c r="K255" s="82"/>
      <c r="N255" s="26"/>
    </row>
    <row r="256" spans="1:14" ht="18" customHeight="1">
      <c r="A256" s="147" t="s">
        <v>203</v>
      </c>
      <c r="B256" s="38"/>
      <c r="C256" s="63">
        <f aca="true" t="shared" si="8" ref="C256:C271">+D256+E256</f>
        <v>312</v>
      </c>
      <c r="D256" s="63">
        <v>312</v>
      </c>
      <c r="E256" s="63">
        <v>0</v>
      </c>
      <c r="F256" s="63">
        <f aca="true" t="shared" si="9" ref="F256:F271">G256+H256</f>
        <v>312</v>
      </c>
      <c r="G256" s="64">
        <v>312</v>
      </c>
      <c r="H256" s="63">
        <v>0</v>
      </c>
      <c r="I256" s="63">
        <f aca="true" t="shared" si="10" ref="I256:I271">J256+K256</f>
        <v>312</v>
      </c>
      <c r="J256" s="64">
        <v>312</v>
      </c>
      <c r="K256" s="63">
        <v>0</v>
      </c>
      <c r="N256" s="26"/>
    </row>
    <row r="257" spans="1:14" ht="28.5" customHeight="1">
      <c r="A257" s="61" t="s">
        <v>198</v>
      </c>
      <c r="B257" s="38"/>
      <c r="C257" s="63">
        <f t="shared" si="8"/>
        <v>700</v>
      </c>
      <c r="D257" s="63">
        <f>+D258+D259+D260+D261+D262</f>
        <v>700</v>
      </c>
      <c r="E257" s="63">
        <v>0</v>
      </c>
      <c r="F257" s="63">
        <f t="shared" si="9"/>
        <v>700</v>
      </c>
      <c r="G257" s="63">
        <f>+G258+G259+G260+G261+G262</f>
        <v>700</v>
      </c>
      <c r="H257" s="63">
        <v>0</v>
      </c>
      <c r="I257" s="63">
        <f t="shared" si="10"/>
        <v>700</v>
      </c>
      <c r="J257" s="63">
        <f>+J258+J259+J260+J261+J262</f>
        <v>700</v>
      </c>
      <c r="K257" s="63">
        <v>0</v>
      </c>
      <c r="N257" s="26"/>
    </row>
    <row r="258" spans="1:14" ht="15.75" customHeight="1">
      <c r="A258" s="60" t="s">
        <v>199</v>
      </c>
      <c r="B258" s="38"/>
      <c r="C258" s="63">
        <f t="shared" si="8"/>
        <v>330</v>
      </c>
      <c r="D258" s="63">
        <f>140+190</f>
        <v>330</v>
      </c>
      <c r="E258" s="63">
        <v>0</v>
      </c>
      <c r="F258" s="63">
        <f t="shared" si="9"/>
        <v>330</v>
      </c>
      <c r="G258" s="64">
        <v>330</v>
      </c>
      <c r="H258" s="63">
        <v>0</v>
      </c>
      <c r="I258" s="63">
        <f t="shared" si="10"/>
        <v>330</v>
      </c>
      <c r="J258" s="64">
        <v>330</v>
      </c>
      <c r="K258" s="63">
        <v>0</v>
      </c>
      <c r="N258" s="26"/>
    </row>
    <row r="259" spans="1:14" ht="15.75" customHeight="1">
      <c r="A259" s="60" t="s">
        <v>200</v>
      </c>
      <c r="B259" s="38"/>
      <c r="C259" s="63">
        <f t="shared" si="8"/>
        <v>332</v>
      </c>
      <c r="D259" s="63">
        <f>186+146</f>
        <v>332</v>
      </c>
      <c r="E259" s="63">
        <v>0</v>
      </c>
      <c r="F259" s="63">
        <f t="shared" si="9"/>
        <v>332</v>
      </c>
      <c r="G259" s="64">
        <v>332</v>
      </c>
      <c r="H259" s="63">
        <v>0</v>
      </c>
      <c r="I259" s="63">
        <f t="shared" si="10"/>
        <v>332</v>
      </c>
      <c r="J259" s="64">
        <v>332</v>
      </c>
      <c r="K259" s="63">
        <v>0</v>
      </c>
      <c r="N259" s="26"/>
    </row>
    <row r="260" spans="1:14" ht="15.75" customHeight="1">
      <c r="A260" s="60" t="s">
        <v>201</v>
      </c>
      <c r="B260" s="38"/>
      <c r="C260" s="63">
        <f t="shared" si="8"/>
        <v>2</v>
      </c>
      <c r="D260" s="63">
        <v>2</v>
      </c>
      <c r="E260" s="63">
        <v>0</v>
      </c>
      <c r="F260" s="63">
        <f t="shared" si="9"/>
        <v>2</v>
      </c>
      <c r="G260" s="64">
        <v>2</v>
      </c>
      <c r="H260" s="63">
        <v>0</v>
      </c>
      <c r="I260" s="63">
        <f t="shared" si="10"/>
        <v>2</v>
      </c>
      <c r="J260" s="64">
        <v>2</v>
      </c>
      <c r="K260" s="63">
        <v>0</v>
      </c>
      <c r="N260" s="26"/>
    </row>
    <row r="261" spans="1:14" ht="15.75" customHeight="1">
      <c r="A261" s="60" t="s">
        <v>202</v>
      </c>
      <c r="B261" s="38"/>
      <c r="C261" s="63">
        <f t="shared" si="8"/>
        <v>35</v>
      </c>
      <c r="D261" s="63">
        <f>15+20</f>
        <v>35</v>
      </c>
      <c r="E261" s="63">
        <v>0</v>
      </c>
      <c r="F261" s="63">
        <f t="shared" si="9"/>
        <v>35</v>
      </c>
      <c r="G261" s="64">
        <f>15+20</f>
        <v>35</v>
      </c>
      <c r="H261" s="63">
        <v>0</v>
      </c>
      <c r="I261" s="63">
        <f t="shared" si="10"/>
        <v>35</v>
      </c>
      <c r="J261" s="64">
        <f>20+15</f>
        <v>35</v>
      </c>
      <c r="K261" s="63">
        <v>0</v>
      </c>
      <c r="N261" s="26"/>
    </row>
    <row r="262" spans="1:14" ht="48.75" customHeight="1">
      <c r="A262" s="61" t="s">
        <v>212</v>
      </c>
      <c r="B262" s="38"/>
      <c r="C262" s="63">
        <f t="shared" si="8"/>
        <v>1</v>
      </c>
      <c r="D262" s="63">
        <v>1</v>
      </c>
      <c r="E262" s="63">
        <v>0</v>
      </c>
      <c r="F262" s="63">
        <f t="shared" si="9"/>
        <v>1</v>
      </c>
      <c r="G262" s="64">
        <v>1</v>
      </c>
      <c r="H262" s="63">
        <v>0</v>
      </c>
      <c r="I262" s="63">
        <f t="shared" si="10"/>
        <v>1</v>
      </c>
      <c r="J262" s="64">
        <v>1</v>
      </c>
      <c r="K262" s="63">
        <v>0</v>
      </c>
      <c r="N262" s="26"/>
    </row>
    <row r="263" spans="1:14" ht="18" customHeight="1">
      <c r="A263" s="31" t="s">
        <v>20</v>
      </c>
      <c r="B263" s="38"/>
      <c r="C263" s="58"/>
      <c r="D263" s="82"/>
      <c r="E263" s="82"/>
      <c r="F263" s="58"/>
      <c r="G263" s="12"/>
      <c r="H263" s="82"/>
      <c r="I263" s="58"/>
      <c r="J263" s="12"/>
      <c r="K263" s="82"/>
      <c r="N263" s="26"/>
    </row>
    <row r="264" spans="1:14" ht="30.75" customHeight="1">
      <c r="A264" s="61" t="s">
        <v>219</v>
      </c>
      <c r="B264" s="38"/>
      <c r="C264" s="65">
        <f t="shared" si="8"/>
        <v>215.82809523809524</v>
      </c>
      <c r="D264" s="65">
        <f>+D253/D257/12</f>
        <v>215.82809523809524</v>
      </c>
      <c r="E264" s="65">
        <v>0</v>
      </c>
      <c r="F264" s="65">
        <f t="shared" si="9"/>
        <v>230.28857142857143</v>
      </c>
      <c r="G264" s="65">
        <f>+G253/G257/12</f>
        <v>230.28857142857143</v>
      </c>
      <c r="H264" s="65">
        <v>0</v>
      </c>
      <c r="I264" s="65">
        <f t="shared" si="10"/>
        <v>242.95440476190478</v>
      </c>
      <c r="J264" s="65">
        <f>+J253/J257/12</f>
        <v>242.95440476190478</v>
      </c>
      <c r="K264" s="65">
        <v>0</v>
      </c>
      <c r="N264" s="26"/>
    </row>
    <row r="265" spans="1:14" ht="16.5" customHeight="1">
      <c r="A265" s="60" t="s">
        <v>199</v>
      </c>
      <c r="B265" s="38"/>
      <c r="C265" s="65">
        <f t="shared" si="8"/>
        <v>258.19873737373734</v>
      </c>
      <c r="D265" s="65">
        <f>+(496927+525540)/12/D258</f>
        <v>258.19873737373734</v>
      </c>
      <c r="E265" s="65">
        <v>0</v>
      </c>
      <c r="F265" s="65">
        <f t="shared" si="9"/>
        <v>275.49805277777773</v>
      </c>
      <c r="G265" s="65">
        <f>+(496927+525540)*1.067/12/G258</f>
        <v>275.49805277777773</v>
      </c>
      <c r="H265" s="65">
        <v>0</v>
      </c>
      <c r="I265" s="65">
        <f t="shared" si="10"/>
        <v>290.6504456805555</v>
      </c>
      <c r="J265" s="65">
        <f>+(496927+525540)*1.067*1.055/12/J258</f>
        <v>290.6504456805555</v>
      </c>
      <c r="K265" s="65">
        <v>0</v>
      </c>
      <c r="N265" s="26"/>
    </row>
    <row r="266" spans="1:14" ht="16.5" customHeight="1">
      <c r="A266" s="60" t="s">
        <v>200</v>
      </c>
      <c r="B266" s="38"/>
      <c r="C266" s="65">
        <f t="shared" si="8"/>
        <v>178.05170682730923</v>
      </c>
      <c r="D266" s="65">
        <f>+(440128+269230)/12/D259</f>
        <v>178.05170682730923</v>
      </c>
      <c r="E266" s="65">
        <v>0</v>
      </c>
      <c r="F266" s="65">
        <f t="shared" si="9"/>
        <v>189.98117118473894</v>
      </c>
      <c r="G266" s="65">
        <f>+(440128+269230)*1.067/12/G259</f>
        <v>189.98117118473894</v>
      </c>
      <c r="H266" s="65">
        <v>0</v>
      </c>
      <c r="I266" s="65">
        <f t="shared" si="10"/>
        <v>200.43013559989956</v>
      </c>
      <c r="J266" s="65">
        <f>+(440128+269230)*1.067*1.055/12/J259</f>
        <v>200.43013559989956</v>
      </c>
      <c r="K266" s="65">
        <v>0</v>
      </c>
      <c r="N266" s="26"/>
    </row>
    <row r="267" spans="1:14" ht="16.5" customHeight="1">
      <c r="A267" s="60" t="s">
        <v>201</v>
      </c>
      <c r="B267" s="38"/>
      <c r="C267" s="65">
        <f t="shared" si="8"/>
        <v>197.19</v>
      </c>
      <c r="D267" s="153">
        <v>197.19</v>
      </c>
      <c r="E267" s="65">
        <v>0</v>
      </c>
      <c r="F267" s="65">
        <f t="shared" si="9"/>
        <v>210.42129166666666</v>
      </c>
      <c r="G267" s="65">
        <f>+(4733)*1.067/12/G260</f>
        <v>210.42129166666666</v>
      </c>
      <c r="H267" s="65">
        <v>0</v>
      </c>
      <c r="I267" s="65">
        <f t="shared" si="10"/>
        <v>221.99446270833332</v>
      </c>
      <c r="J267" s="65">
        <f>+(4733)*1.067*1.055/12/J260</f>
        <v>221.99446270833332</v>
      </c>
      <c r="K267" s="65">
        <v>0</v>
      </c>
      <c r="N267" s="26"/>
    </row>
    <row r="268" spans="1:14" ht="16.5" customHeight="1">
      <c r="A268" s="60" t="s">
        <v>202</v>
      </c>
      <c r="B268" s="38"/>
      <c r="C268" s="65">
        <f t="shared" si="8"/>
        <v>178.5404761904762</v>
      </c>
      <c r="D268" s="153">
        <f>+(47326+27661)/12/D261</f>
        <v>178.5404761904762</v>
      </c>
      <c r="E268" s="65">
        <v>0</v>
      </c>
      <c r="F268" s="65">
        <f t="shared" si="9"/>
        <v>190.50268809523808</v>
      </c>
      <c r="G268" s="65">
        <f>+(47326+27661)*1.067/12/G261</f>
        <v>190.50268809523808</v>
      </c>
      <c r="H268" s="65">
        <v>0</v>
      </c>
      <c r="I268" s="65">
        <f t="shared" si="10"/>
        <v>200.98033594047615</v>
      </c>
      <c r="J268" s="65">
        <f>+(47326+27661)*1.067*1.055/12/J261</f>
        <v>200.98033594047615</v>
      </c>
      <c r="K268" s="65">
        <v>0</v>
      </c>
      <c r="N268" s="26"/>
    </row>
    <row r="269" spans="1:14" ht="48.75" customHeight="1">
      <c r="A269" s="61" t="s">
        <v>212</v>
      </c>
      <c r="B269" s="38"/>
      <c r="C269" s="65">
        <f t="shared" si="8"/>
        <v>107.57</v>
      </c>
      <c r="D269" s="153">
        <v>107.57</v>
      </c>
      <c r="E269" s="65">
        <v>0</v>
      </c>
      <c r="F269" s="65">
        <f t="shared" si="9"/>
        <v>114.79141666666665</v>
      </c>
      <c r="G269" s="65">
        <f>+(1291)*1.067/12/G262</f>
        <v>114.79141666666665</v>
      </c>
      <c r="H269" s="65">
        <v>0</v>
      </c>
      <c r="I269" s="65">
        <f t="shared" si="10"/>
        <v>121.1049445833333</v>
      </c>
      <c r="J269" s="65">
        <f>+(1291)*1.067*1.055/12/J262</f>
        <v>121.1049445833333</v>
      </c>
      <c r="K269" s="65">
        <v>0</v>
      </c>
      <c r="N269" s="26"/>
    </row>
    <row r="270" spans="1:14" ht="20.25" customHeight="1">
      <c r="A270" s="62" t="s">
        <v>19</v>
      </c>
      <c r="B270" s="38"/>
      <c r="C270" s="65"/>
      <c r="D270" s="65"/>
      <c r="E270" s="65"/>
      <c r="F270" s="65"/>
      <c r="G270" s="66"/>
      <c r="H270" s="65"/>
      <c r="I270" s="65"/>
      <c r="J270" s="66"/>
      <c r="K270" s="65"/>
      <c r="N270" s="26"/>
    </row>
    <row r="271" spans="1:14" ht="33" customHeight="1">
      <c r="A271" s="148" t="s">
        <v>204</v>
      </c>
      <c r="B271" s="38"/>
      <c r="C271" s="65">
        <f t="shared" si="8"/>
        <v>100</v>
      </c>
      <c r="D271" s="65">
        <v>100</v>
      </c>
      <c r="E271" s="65">
        <v>0</v>
      </c>
      <c r="F271" s="65">
        <f t="shared" si="9"/>
        <v>100</v>
      </c>
      <c r="G271" s="66">
        <v>100</v>
      </c>
      <c r="H271" s="65">
        <v>0</v>
      </c>
      <c r="I271" s="65">
        <f t="shared" si="10"/>
        <v>100</v>
      </c>
      <c r="J271" s="66">
        <v>100</v>
      </c>
      <c r="K271" s="65">
        <v>0</v>
      </c>
      <c r="N271" s="26"/>
    </row>
    <row r="272" spans="1:12" ht="21.75" customHeight="1">
      <c r="A272" s="51" t="s">
        <v>128</v>
      </c>
      <c r="B272" s="52" t="s">
        <v>129</v>
      </c>
      <c r="C272" s="67"/>
      <c r="D272" s="67"/>
      <c r="E272" s="67"/>
      <c r="F272" s="67"/>
      <c r="G272" s="67"/>
      <c r="H272" s="67"/>
      <c r="I272" s="67"/>
      <c r="J272" s="67"/>
      <c r="K272" s="67"/>
      <c r="L272" s="68"/>
    </row>
    <row r="273" spans="1:14" ht="21.75" customHeight="1">
      <c r="A273" s="4" t="s">
        <v>53</v>
      </c>
      <c r="B273" s="38"/>
      <c r="C273" s="53"/>
      <c r="D273" s="53"/>
      <c r="E273" s="53"/>
      <c r="F273" s="53"/>
      <c r="G273" s="53"/>
      <c r="H273" s="53"/>
      <c r="I273" s="53"/>
      <c r="J273" s="53"/>
      <c r="K273" s="53"/>
      <c r="N273" s="26"/>
    </row>
    <row r="274" spans="1:12" ht="35.25" customHeight="1">
      <c r="A274" s="155" t="s">
        <v>190</v>
      </c>
      <c r="B274" s="155"/>
      <c r="C274" s="155"/>
      <c r="D274" s="155"/>
      <c r="E274" s="155"/>
      <c r="F274" s="155"/>
      <c r="G274" s="155"/>
      <c r="H274" s="155"/>
      <c r="I274" s="155"/>
      <c r="J274" s="155"/>
      <c r="K274" s="155"/>
      <c r="L274" s="54"/>
    </row>
    <row r="275" spans="1:12" ht="21.75" customHeight="1">
      <c r="A275" s="156" t="s">
        <v>54</v>
      </c>
      <c r="B275" s="156"/>
      <c r="C275" s="156"/>
      <c r="D275" s="156"/>
      <c r="E275" s="156"/>
      <c r="F275" s="156"/>
      <c r="G275" s="156"/>
      <c r="H275" s="156"/>
      <c r="I275" s="156"/>
      <c r="J275" s="156"/>
      <c r="K275" s="156"/>
      <c r="L275" s="55"/>
    </row>
    <row r="276" spans="1:12" ht="21.75" customHeight="1">
      <c r="A276" s="33" t="s">
        <v>7</v>
      </c>
      <c r="B276" s="42"/>
      <c r="C276" s="39">
        <f>+D276+E276</f>
        <v>73900</v>
      </c>
      <c r="D276" s="39">
        <f>+D277</f>
        <v>73900</v>
      </c>
      <c r="E276" s="39">
        <v>0</v>
      </c>
      <c r="F276" s="39">
        <f>+H276+G276</f>
        <v>0</v>
      </c>
      <c r="G276" s="39">
        <f>+G277</f>
        <v>0</v>
      </c>
      <c r="H276" s="39">
        <v>0</v>
      </c>
      <c r="I276" s="39">
        <f>+K276+J276</f>
        <v>0</v>
      </c>
      <c r="J276" s="39">
        <f>+J277</f>
        <v>0</v>
      </c>
      <c r="K276" s="39">
        <v>0</v>
      </c>
      <c r="L276" s="69"/>
    </row>
    <row r="277" spans="1:12" ht="55.5" customHeight="1">
      <c r="A277" s="56" t="s">
        <v>205</v>
      </c>
      <c r="B277" s="70"/>
      <c r="C277" s="43">
        <f>D277+E277</f>
        <v>73900</v>
      </c>
      <c r="D277" s="43">
        <v>73900</v>
      </c>
      <c r="E277" s="43">
        <v>0</v>
      </c>
      <c r="F277" s="43">
        <f>G277+H277</f>
        <v>0</v>
      </c>
      <c r="G277" s="43">
        <v>0</v>
      </c>
      <c r="H277" s="43">
        <v>0</v>
      </c>
      <c r="I277" s="43">
        <f>J277+K277</f>
        <v>0</v>
      </c>
      <c r="J277" s="43">
        <v>0</v>
      </c>
      <c r="K277" s="43">
        <v>0</v>
      </c>
      <c r="L277" s="68"/>
    </row>
    <row r="278" spans="1:12" ht="19.5" customHeight="1">
      <c r="A278" s="28"/>
      <c r="B278" s="19"/>
      <c r="C278" s="29"/>
      <c r="D278" s="29"/>
      <c r="E278" s="29"/>
      <c r="F278" s="29"/>
      <c r="G278" s="29"/>
      <c r="H278" s="29"/>
      <c r="I278" s="29"/>
      <c r="J278" s="29"/>
      <c r="K278" s="29"/>
      <c r="L278" s="29"/>
    </row>
    <row r="279" spans="1:12" ht="26.25" customHeight="1">
      <c r="A279" s="18"/>
      <c r="B279" s="19"/>
      <c r="C279" s="20"/>
      <c r="D279" s="20"/>
      <c r="E279" s="20"/>
      <c r="F279" s="20"/>
      <c r="G279" s="20"/>
      <c r="H279" s="20"/>
      <c r="I279" s="157" t="s">
        <v>131</v>
      </c>
      <c r="J279" s="157"/>
      <c r="K279" s="157"/>
      <c r="L279" s="20"/>
    </row>
    <row r="280" spans="1:12" ht="14.25">
      <c r="A280" s="21">
        <v>1</v>
      </c>
      <c r="B280" s="22">
        <v>2</v>
      </c>
      <c r="C280" s="23">
        <v>3</v>
      </c>
      <c r="D280" s="23">
        <v>4</v>
      </c>
      <c r="E280" s="23">
        <v>5</v>
      </c>
      <c r="F280" s="23">
        <v>6</v>
      </c>
      <c r="G280" s="23">
        <v>7</v>
      </c>
      <c r="H280" s="23">
        <v>8</v>
      </c>
      <c r="I280" s="23">
        <v>9</v>
      </c>
      <c r="J280" s="23">
        <v>10</v>
      </c>
      <c r="K280" s="23">
        <v>11</v>
      </c>
      <c r="L280" s="30"/>
    </row>
    <row r="281" spans="1:12" ht="21.75" customHeight="1">
      <c r="A281" s="1" t="s">
        <v>107</v>
      </c>
      <c r="B281" s="2" t="s">
        <v>108</v>
      </c>
      <c r="C281" s="3"/>
      <c r="D281" s="3"/>
      <c r="E281" s="3"/>
      <c r="F281" s="3"/>
      <c r="G281" s="3"/>
      <c r="H281" s="3"/>
      <c r="I281" s="3"/>
      <c r="J281" s="3"/>
      <c r="K281" s="3"/>
      <c r="L281" s="28"/>
    </row>
    <row r="282" spans="1:13" ht="27.75" customHeight="1">
      <c r="A282" s="4" t="s">
        <v>37</v>
      </c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28"/>
      <c r="M282" s="100"/>
    </row>
    <row r="283" spans="1:12" ht="35.25" customHeight="1">
      <c r="A283" s="181" t="s">
        <v>191</v>
      </c>
      <c r="B283" s="182"/>
      <c r="C283" s="182"/>
      <c r="D283" s="182"/>
      <c r="E283" s="182"/>
      <c r="F283" s="182"/>
      <c r="G283" s="182"/>
      <c r="H283" s="182"/>
      <c r="I283" s="182"/>
      <c r="J283" s="182"/>
      <c r="K283" s="183"/>
      <c r="L283" s="144"/>
    </row>
    <row r="284" spans="1:12" ht="21.75" customHeight="1">
      <c r="A284" s="184" t="s">
        <v>152</v>
      </c>
      <c r="B284" s="185"/>
      <c r="C284" s="185"/>
      <c r="D284" s="185"/>
      <c r="E284" s="185"/>
      <c r="F284" s="185"/>
      <c r="G284" s="185"/>
      <c r="H284" s="185"/>
      <c r="I284" s="185"/>
      <c r="J284" s="185"/>
      <c r="K284" s="186"/>
      <c r="L284" s="149"/>
    </row>
    <row r="285" spans="1:12" ht="21.75" customHeight="1">
      <c r="A285" s="15" t="s">
        <v>7</v>
      </c>
      <c r="B285" s="16"/>
      <c r="C285" s="17">
        <f>+D285</f>
        <v>46448</v>
      </c>
      <c r="D285" s="17">
        <f>+D286+D296+D306</f>
        <v>46448</v>
      </c>
      <c r="E285" s="17">
        <v>0</v>
      </c>
      <c r="F285" s="17">
        <f>+G285</f>
        <v>49561</v>
      </c>
      <c r="G285" s="17">
        <f>+G286+G296+G306</f>
        <v>49561</v>
      </c>
      <c r="H285" s="17">
        <v>0</v>
      </c>
      <c r="I285" s="17">
        <f>+J285</f>
        <v>52286</v>
      </c>
      <c r="J285" s="17">
        <f>+J286+J296+J306</f>
        <v>52286</v>
      </c>
      <c r="K285" s="17">
        <v>0</v>
      </c>
      <c r="L285" s="50"/>
    </row>
    <row r="286" spans="1:12" ht="55.5" customHeight="1">
      <c r="A286" s="5" t="s">
        <v>167</v>
      </c>
      <c r="B286" s="3"/>
      <c r="C286" s="6">
        <f>D286+E286</f>
        <v>5184</v>
      </c>
      <c r="D286" s="6">
        <v>5184</v>
      </c>
      <c r="E286" s="6">
        <v>0</v>
      </c>
      <c r="F286" s="6">
        <f>G286+H286</f>
        <v>5532</v>
      </c>
      <c r="G286" s="6">
        <v>5532</v>
      </c>
      <c r="H286" s="6">
        <v>0</v>
      </c>
      <c r="I286" s="6">
        <f>J286+K286</f>
        <v>5836</v>
      </c>
      <c r="J286" s="6">
        <v>5836</v>
      </c>
      <c r="K286" s="6">
        <v>0</v>
      </c>
      <c r="L286" s="37"/>
    </row>
    <row r="287" spans="1:12" ht="17.25" customHeight="1">
      <c r="A287" s="7" t="s">
        <v>5</v>
      </c>
      <c r="B287" s="3"/>
      <c r="C287" s="8"/>
      <c r="D287" s="8"/>
      <c r="E287" s="8"/>
      <c r="F287" s="8"/>
      <c r="G287" s="8"/>
      <c r="H287" s="8"/>
      <c r="I287" s="8"/>
      <c r="J287" s="8"/>
      <c r="K287" s="8"/>
      <c r="L287" s="37"/>
    </row>
    <row r="288" spans="1:12" ht="17.25" customHeight="1">
      <c r="A288" s="9" t="s">
        <v>6</v>
      </c>
      <c r="B288" s="3"/>
      <c r="C288" s="8"/>
      <c r="D288" s="8"/>
      <c r="E288" s="8"/>
      <c r="F288" s="8"/>
      <c r="G288" s="8"/>
      <c r="H288" s="8"/>
      <c r="I288" s="8"/>
      <c r="J288" s="8"/>
      <c r="K288" s="8"/>
      <c r="L288" s="37"/>
    </row>
    <row r="289" spans="1:12" ht="30" customHeight="1">
      <c r="A289" s="7" t="s">
        <v>150</v>
      </c>
      <c r="B289" s="3"/>
      <c r="C289" s="10">
        <f>D289+E289</f>
        <v>2</v>
      </c>
      <c r="D289" s="10">
        <v>2</v>
      </c>
      <c r="E289" s="10">
        <v>0</v>
      </c>
      <c r="F289" s="10">
        <f>G289+H289</f>
        <v>2</v>
      </c>
      <c r="G289" s="10">
        <v>2</v>
      </c>
      <c r="H289" s="10">
        <v>0</v>
      </c>
      <c r="I289" s="10">
        <f>J289+K289</f>
        <v>2</v>
      </c>
      <c r="J289" s="10">
        <v>2</v>
      </c>
      <c r="K289" s="10">
        <v>0</v>
      </c>
      <c r="L289" s="37"/>
    </row>
    <row r="290" spans="1:12" ht="47.25" customHeight="1">
      <c r="A290" s="7" t="s">
        <v>109</v>
      </c>
      <c r="B290" s="3"/>
      <c r="C290" s="10">
        <f>+D290</f>
        <v>1</v>
      </c>
      <c r="D290" s="10">
        <v>1</v>
      </c>
      <c r="E290" s="10">
        <v>0</v>
      </c>
      <c r="F290" s="10">
        <f>+G290</f>
        <v>1</v>
      </c>
      <c r="G290" s="10">
        <v>1</v>
      </c>
      <c r="H290" s="10">
        <v>0</v>
      </c>
      <c r="I290" s="10">
        <f>J290+K290</f>
        <v>1</v>
      </c>
      <c r="J290" s="10">
        <v>1</v>
      </c>
      <c r="K290" s="10">
        <v>0</v>
      </c>
      <c r="L290" s="37"/>
    </row>
    <row r="291" spans="1:12" ht="20.25" customHeight="1">
      <c r="A291" s="7" t="s">
        <v>38</v>
      </c>
      <c r="B291" s="3"/>
      <c r="C291" s="10">
        <f>D291+E291</f>
        <v>160</v>
      </c>
      <c r="D291" s="10">
        <v>160</v>
      </c>
      <c r="E291" s="10">
        <v>0</v>
      </c>
      <c r="F291" s="10">
        <f>G291+H291</f>
        <v>160</v>
      </c>
      <c r="G291" s="10">
        <v>160</v>
      </c>
      <c r="H291" s="10">
        <v>0</v>
      </c>
      <c r="I291" s="10">
        <f>J291+K291</f>
        <v>160</v>
      </c>
      <c r="J291" s="10">
        <v>160</v>
      </c>
      <c r="K291" s="10">
        <v>0</v>
      </c>
      <c r="L291" s="37"/>
    </row>
    <row r="292" spans="1:12" ht="17.25" customHeight="1">
      <c r="A292" s="9" t="s">
        <v>20</v>
      </c>
      <c r="B292" s="3"/>
      <c r="C292" s="8"/>
      <c r="D292" s="8"/>
      <c r="E292" s="8"/>
      <c r="F292" s="8"/>
      <c r="G292" s="8"/>
      <c r="H292" s="8"/>
      <c r="I292" s="8"/>
      <c r="J292" s="8"/>
      <c r="K292" s="8"/>
      <c r="L292" s="37"/>
    </row>
    <row r="293" spans="1:12" ht="17.25" customHeight="1">
      <c r="A293" s="7" t="s">
        <v>44</v>
      </c>
      <c r="B293" s="3"/>
      <c r="C293" s="11">
        <f>D293+E293</f>
        <v>10.8</v>
      </c>
      <c r="D293" s="11">
        <f>+D286/3/D291</f>
        <v>10.8</v>
      </c>
      <c r="E293" s="11">
        <v>0</v>
      </c>
      <c r="F293" s="11">
        <f>G293+H293</f>
        <v>11.525</v>
      </c>
      <c r="G293" s="11">
        <f>+G286/3/G291</f>
        <v>11.525</v>
      </c>
      <c r="H293" s="11">
        <v>0</v>
      </c>
      <c r="I293" s="11">
        <f>J293+K293</f>
        <v>12.158333333333333</v>
      </c>
      <c r="J293" s="11">
        <f>+J286/3/J291</f>
        <v>12.158333333333333</v>
      </c>
      <c r="K293" s="11">
        <v>0</v>
      </c>
      <c r="L293" s="37"/>
    </row>
    <row r="294" spans="1:12" ht="17.25" customHeight="1">
      <c r="A294" s="5" t="s">
        <v>19</v>
      </c>
      <c r="B294" s="3"/>
      <c r="C294" s="8"/>
      <c r="D294" s="8"/>
      <c r="E294" s="8"/>
      <c r="F294" s="8"/>
      <c r="G294" s="8"/>
      <c r="H294" s="8"/>
      <c r="I294" s="8"/>
      <c r="J294" s="8"/>
      <c r="K294" s="8"/>
      <c r="L294" s="37"/>
    </row>
    <row r="295" spans="1:12" ht="17.25" customHeight="1">
      <c r="A295" s="7" t="s">
        <v>46</v>
      </c>
      <c r="B295" s="3"/>
      <c r="C295" s="8">
        <f>D295+E295</f>
        <v>63.49050826699326</v>
      </c>
      <c r="D295" s="8">
        <f>+D286/8165*100</f>
        <v>63.49050826699326</v>
      </c>
      <c r="E295" s="8">
        <v>0</v>
      </c>
      <c r="F295" s="8">
        <f>G295+H295</f>
        <v>106.71296296296295</v>
      </c>
      <c r="G295" s="8">
        <f>+G286/D286*100</f>
        <v>106.71296296296295</v>
      </c>
      <c r="H295" s="8">
        <v>0</v>
      </c>
      <c r="I295" s="8">
        <f>J295+K295</f>
        <v>105.49530007230659</v>
      </c>
      <c r="J295" s="8">
        <f>J286/G286*100</f>
        <v>105.49530007230659</v>
      </c>
      <c r="K295" s="8">
        <v>0</v>
      </c>
      <c r="L295" s="37"/>
    </row>
    <row r="296" spans="1:12" ht="35.25" customHeight="1">
      <c r="A296" s="5" t="s">
        <v>168</v>
      </c>
      <c r="B296" s="3"/>
      <c r="C296" s="6">
        <f>D296+E296</f>
        <v>35904</v>
      </c>
      <c r="D296" s="6">
        <v>35904</v>
      </c>
      <c r="E296" s="6">
        <v>0</v>
      </c>
      <c r="F296" s="6">
        <f>G296+H296</f>
        <v>38310</v>
      </c>
      <c r="G296" s="6">
        <v>38310</v>
      </c>
      <c r="H296" s="6">
        <v>0</v>
      </c>
      <c r="I296" s="6">
        <f>J296+K296</f>
        <v>40417</v>
      </c>
      <c r="J296" s="6">
        <v>40417</v>
      </c>
      <c r="K296" s="6">
        <v>0</v>
      </c>
      <c r="L296" s="37"/>
    </row>
    <row r="297" spans="1:12" ht="17.25" customHeight="1">
      <c r="A297" s="7" t="s">
        <v>5</v>
      </c>
      <c r="B297" s="3"/>
      <c r="C297" s="8"/>
      <c r="D297" s="8"/>
      <c r="E297" s="8"/>
      <c r="F297" s="8"/>
      <c r="G297" s="8"/>
      <c r="H297" s="8"/>
      <c r="I297" s="8"/>
      <c r="J297" s="8"/>
      <c r="K297" s="8"/>
      <c r="L297" s="37"/>
    </row>
    <row r="298" spans="1:12" ht="17.25" customHeight="1">
      <c r="A298" s="9" t="s">
        <v>6</v>
      </c>
      <c r="B298" s="3"/>
      <c r="C298" s="8"/>
      <c r="D298" s="8"/>
      <c r="E298" s="8"/>
      <c r="F298" s="8"/>
      <c r="G298" s="8"/>
      <c r="H298" s="8"/>
      <c r="I298" s="8"/>
      <c r="J298" s="8"/>
      <c r="K298" s="8"/>
      <c r="L298" s="37"/>
    </row>
    <row r="299" spans="1:12" ht="27" customHeight="1">
      <c r="A299" s="7" t="s">
        <v>150</v>
      </c>
      <c r="B299" s="3"/>
      <c r="C299" s="10">
        <f>D299+E299</f>
        <v>16</v>
      </c>
      <c r="D299" s="10">
        <v>16</v>
      </c>
      <c r="E299" s="10">
        <v>0</v>
      </c>
      <c r="F299" s="10">
        <f>G299+H299</f>
        <v>16</v>
      </c>
      <c r="G299" s="10">
        <v>16</v>
      </c>
      <c r="H299" s="10">
        <v>0</v>
      </c>
      <c r="I299" s="10">
        <f>J299+K299</f>
        <v>16</v>
      </c>
      <c r="J299" s="10">
        <v>16</v>
      </c>
      <c r="K299" s="10">
        <v>0</v>
      </c>
      <c r="L299" s="37"/>
    </row>
    <row r="300" spans="1:12" ht="46.5" customHeight="1">
      <c r="A300" s="7" t="s">
        <v>109</v>
      </c>
      <c r="B300" s="3"/>
      <c r="C300" s="10">
        <f>+D300</f>
        <v>1</v>
      </c>
      <c r="D300" s="10">
        <v>1</v>
      </c>
      <c r="E300" s="10">
        <v>0</v>
      </c>
      <c r="F300" s="10">
        <v>1</v>
      </c>
      <c r="G300" s="10">
        <v>1</v>
      </c>
      <c r="H300" s="10">
        <v>0</v>
      </c>
      <c r="I300" s="10">
        <f>+J300</f>
        <v>1</v>
      </c>
      <c r="J300" s="10">
        <v>1</v>
      </c>
      <c r="K300" s="10">
        <v>0</v>
      </c>
      <c r="L300" s="37"/>
    </row>
    <row r="301" spans="1:12" ht="17.25" customHeight="1">
      <c r="A301" s="7" t="s">
        <v>38</v>
      </c>
      <c r="B301" s="3"/>
      <c r="C301" s="10">
        <f>D301+E301</f>
        <v>160</v>
      </c>
      <c r="D301" s="10">
        <v>160</v>
      </c>
      <c r="E301" s="10">
        <v>0</v>
      </c>
      <c r="F301" s="10">
        <f>G301+H301</f>
        <v>160</v>
      </c>
      <c r="G301" s="10">
        <v>160</v>
      </c>
      <c r="H301" s="10">
        <v>0</v>
      </c>
      <c r="I301" s="10">
        <f>J301+K301</f>
        <v>160</v>
      </c>
      <c r="J301" s="10">
        <v>160</v>
      </c>
      <c r="K301" s="10">
        <v>0</v>
      </c>
      <c r="L301" s="37"/>
    </row>
    <row r="302" spans="1:12" ht="17.25" customHeight="1">
      <c r="A302" s="9" t="s">
        <v>20</v>
      </c>
      <c r="B302" s="3"/>
      <c r="C302" s="8"/>
      <c r="D302" s="8"/>
      <c r="E302" s="8"/>
      <c r="F302" s="8"/>
      <c r="G302" s="8"/>
      <c r="H302" s="8"/>
      <c r="I302" s="8"/>
      <c r="J302" s="8"/>
      <c r="K302" s="8"/>
      <c r="L302" s="37"/>
    </row>
    <row r="303" spans="1:12" ht="17.25" customHeight="1">
      <c r="A303" s="7" t="s">
        <v>44</v>
      </c>
      <c r="B303" s="3"/>
      <c r="C303" s="11">
        <f>D303+E303</f>
        <v>13.2</v>
      </c>
      <c r="D303" s="11">
        <f>+D296/(D299+D300)/D301</f>
        <v>13.2</v>
      </c>
      <c r="E303" s="11">
        <v>0</v>
      </c>
      <c r="F303" s="11">
        <f>G303+H303</f>
        <v>14.084558823529411</v>
      </c>
      <c r="G303" s="11">
        <f>+G296/(G299+G300)/G301</f>
        <v>14.084558823529411</v>
      </c>
      <c r="H303" s="11">
        <v>0</v>
      </c>
      <c r="I303" s="11">
        <f>J303+K303</f>
        <v>14.859191176470588</v>
      </c>
      <c r="J303" s="11">
        <f>+J296/(J299+J300)/J301</f>
        <v>14.859191176470588</v>
      </c>
      <c r="K303" s="11">
        <v>0</v>
      </c>
      <c r="L303" s="37"/>
    </row>
    <row r="304" spans="1:12" ht="17.25" customHeight="1">
      <c r="A304" s="5" t="s">
        <v>19</v>
      </c>
      <c r="B304" s="3"/>
      <c r="C304" s="8"/>
      <c r="D304" s="8"/>
      <c r="E304" s="8"/>
      <c r="F304" s="8"/>
      <c r="G304" s="8"/>
      <c r="H304" s="8"/>
      <c r="I304" s="8"/>
      <c r="J304" s="8"/>
      <c r="K304" s="8"/>
      <c r="L304" s="37"/>
    </row>
    <row r="305" spans="1:12" ht="17.25" customHeight="1">
      <c r="A305" s="7" t="s">
        <v>46</v>
      </c>
      <c r="B305" s="3"/>
      <c r="C305" s="8">
        <f>D305+E305</f>
        <v>70.30212840946916</v>
      </c>
      <c r="D305" s="12">
        <f>+D296/51071*100</f>
        <v>70.30212840946916</v>
      </c>
      <c r="E305" s="8">
        <v>0</v>
      </c>
      <c r="F305" s="11">
        <f>G305+H305</f>
        <v>106.70120320855614</v>
      </c>
      <c r="G305" s="11">
        <f>+G296/D296*100</f>
        <v>106.70120320855614</v>
      </c>
      <c r="H305" s="8">
        <v>0</v>
      </c>
      <c r="I305" s="8">
        <f>J305+K305</f>
        <v>105.49986948577394</v>
      </c>
      <c r="J305" s="8">
        <f>J296/G296*100</f>
        <v>105.49986948577394</v>
      </c>
      <c r="K305" s="8">
        <v>0</v>
      </c>
      <c r="L305" s="37"/>
    </row>
    <row r="306" spans="1:12" ht="32.25" customHeight="1">
      <c r="A306" s="13" t="s">
        <v>170</v>
      </c>
      <c r="B306" s="3"/>
      <c r="C306" s="6">
        <f>D306+E306</f>
        <v>5360</v>
      </c>
      <c r="D306" s="6">
        <v>5360</v>
      </c>
      <c r="E306" s="6">
        <v>0</v>
      </c>
      <c r="F306" s="6">
        <f>G306+H306</f>
        <v>5719</v>
      </c>
      <c r="G306" s="6">
        <v>5719</v>
      </c>
      <c r="H306" s="6">
        <v>0</v>
      </c>
      <c r="I306" s="6">
        <f>J306+K306</f>
        <v>6033</v>
      </c>
      <c r="J306" s="6">
        <v>6033</v>
      </c>
      <c r="K306" s="6">
        <v>0</v>
      </c>
      <c r="L306" s="37"/>
    </row>
    <row r="307" spans="1:12" ht="17.25" customHeight="1">
      <c r="A307" s="7" t="s">
        <v>5</v>
      </c>
      <c r="B307" s="3"/>
      <c r="C307" s="8"/>
      <c r="D307" s="8"/>
      <c r="E307" s="8"/>
      <c r="F307" s="8"/>
      <c r="G307" s="8"/>
      <c r="H307" s="8"/>
      <c r="I307" s="8"/>
      <c r="J307" s="8"/>
      <c r="K307" s="8"/>
      <c r="L307" s="37"/>
    </row>
    <row r="308" spans="1:12" ht="17.25" customHeight="1">
      <c r="A308" s="9" t="s">
        <v>6</v>
      </c>
      <c r="B308" s="3"/>
      <c r="C308" s="8"/>
      <c r="D308" s="8"/>
      <c r="E308" s="8"/>
      <c r="F308" s="8"/>
      <c r="G308" s="8"/>
      <c r="H308" s="8"/>
      <c r="I308" s="8"/>
      <c r="J308" s="8"/>
      <c r="K308" s="8"/>
      <c r="L308" s="37"/>
    </row>
    <row r="309" spans="1:12" ht="32.25" customHeight="1">
      <c r="A309" s="14" t="s">
        <v>169</v>
      </c>
      <c r="B309" s="3"/>
      <c r="C309" s="10">
        <v>20</v>
      </c>
      <c r="D309" s="10">
        <v>20</v>
      </c>
      <c r="E309" s="10">
        <v>0</v>
      </c>
      <c r="F309" s="10">
        <f>+G309</f>
        <v>20</v>
      </c>
      <c r="G309" s="10">
        <v>20</v>
      </c>
      <c r="H309" s="10">
        <v>0</v>
      </c>
      <c r="I309" s="10">
        <f>+J309</f>
        <v>20</v>
      </c>
      <c r="J309" s="10">
        <v>20</v>
      </c>
      <c r="K309" s="10">
        <v>0</v>
      </c>
      <c r="L309" s="37"/>
    </row>
    <row r="310" spans="1:12" ht="45" customHeight="1">
      <c r="A310" s="14" t="s">
        <v>110</v>
      </c>
      <c r="B310" s="3"/>
      <c r="C310" s="10">
        <f>+D310</f>
        <v>2</v>
      </c>
      <c r="D310" s="10">
        <v>2</v>
      </c>
      <c r="E310" s="10">
        <v>0</v>
      </c>
      <c r="F310" s="10">
        <f>+G310</f>
        <v>2</v>
      </c>
      <c r="G310" s="10">
        <v>2</v>
      </c>
      <c r="H310" s="10">
        <v>0</v>
      </c>
      <c r="I310" s="10">
        <f>+J310</f>
        <v>2</v>
      </c>
      <c r="J310" s="10">
        <v>2</v>
      </c>
      <c r="K310" s="10">
        <v>0</v>
      </c>
      <c r="L310" s="37"/>
    </row>
    <row r="311" spans="1:12" ht="28.5" customHeight="1">
      <c r="A311" s="14" t="s">
        <v>111</v>
      </c>
      <c r="B311" s="3"/>
      <c r="C311" s="10">
        <f>+D311</f>
        <v>45</v>
      </c>
      <c r="D311" s="10">
        <v>45</v>
      </c>
      <c r="E311" s="10">
        <v>0</v>
      </c>
      <c r="F311" s="10">
        <f>+G311</f>
        <v>45</v>
      </c>
      <c r="G311" s="10">
        <v>45</v>
      </c>
      <c r="H311" s="10">
        <v>0</v>
      </c>
      <c r="I311" s="10">
        <f>+J311</f>
        <v>45</v>
      </c>
      <c r="J311" s="10">
        <v>45</v>
      </c>
      <c r="K311" s="10">
        <v>0</v>
      </c>
      <c r="L311" s="37"/>
    </row>
    <row r="312" spans="1:12" ht="5.25" customHeight="1">
      <c r="A312" s="28"/>
      <c r="B312" s="19"/>
      <c r="C312" s="29"/>
      <c r="D312" s="29"/>
      <c r="E312" s="29"/>
      <c r="F312" s="29"/>
      <c r="G312" s="29"/>
      <c r="H312" s="29"/>
      <c r="I312" s="29"/>
      <c r="J312" s="29"/>
      <c r="K312" s="29"/>
      <c r="L312" s="29"/>
    </row>
    <row r="313" spans="1:12" ht="26.25" customHeight="1">
      <c r="A313" s="18"/>
      <c r="B313" s="19"/>
      <c r="C313" s="20"/>
      <c r="D313" s="20"/>
      <c r="E313" s="20"/>
      <c r="F313" s="20"/>
      <c r="G313" s="20"/>
      <c r="H313" s="20"/>
      <c r="I313" s="160" t="s">
        <v>131</v>
      </c>
      <c r="J313" s="160"/>
      <c r="K313" s="160"/>
      <c r="L313" s="20"/>
    </row>
    <row r="314" spans="1:12" ht="14.25">
      <c r="A314" s="21">
        <v>1</v>
      </c>
      <c r="B314" s="22">
        <v>2</v>
      </c>
      <c r="C314" s="23">
        <v>3</v>
      </c>
      <c r="D314" s="23">
        <v>4</v>
      </c>
      <c r="E314" s="23">
        <v>5</v>
      </c>
      <c r="F314" s="23">
        <v>6</v>
      </c>
      <c r="G314" s="23">
        <v>7</v>
      </c>
      <c r="H314" s="23">
        <v>8</v>
      </c>
      <c r="I314" s="23">
        <v>9</v>
      </c>
      <c r="J314" s="23">
        <v>10</v>
      </c>
      <c r="K314" s="23">
        <v>11</v>
      </c>
      <c r="L314" s="30"/>
    </row>
    <row r="315" spans="1:12" ht="17.25" customHeight="1">
      <c r="A315" s="9" t="s">
        <v>20</v>
      </c>
      <c r="B315" s="3"/>
      <c r="C315" s="8"/>
      <c r="D315" s="8"/>
      <c r="E315" s="8"/>
      <c r="F315" s="8"/>
      <c r="G315" s="8"/>
      <c r="H315" s="8"/>
      <c r="I315" s="8"/>
      <c r="J315" s="8"/>
      <c r="K315" s="8"/>
      <c r="L315" s="37"/>
    </row>
    <row r="316" spans="1:12" ht="17.25" customHeight="1">
      <c r="A316" s="7" t="s">
        <v>84</v>
      </c>
      <c r="B316" s="3"/>
      <c r="C316" s="8">
        <f>D316+E316</f>
        <v>80</v>
      </c>
      <c r="D316" s="8">
        <f>+D306/(D309+D310+D311)</f>
        <v>80</v>
      </c>
      <c r="E316" s="8">
        <v>0</v>
      </c>
      <c r="F316" s="8">
        <f>G316+H316</f>
        <v>85.35820895522389</v>
      </c>
      <c r="G316" s="8">
        <f>+G306/(G309+G310+G311)</f>
        <v>85.35820895522389</v>
      </c>
      <c r="H316" s="8">
        <v>0</v>
      </c>
      <c r="I316" s="8">
        <f>J316+K316</f>
        <v>90.04477611940298</v>
      </c>
      <c r="J316" s="8">
        <f>+J306/(J309+J310+J311)</f>
        <v>90.04477611940298</v>
      </c>
      <c r="K316" s="8">
        <v>0</v>
      </c>
      <c r="L316" s="37"/>
    </row>
    <row r="317" spans="1:12" ht="17.25" customHeight="1">
      <c r="A317" s="5" t="s">
        <v>19</v>
      </c>
      <c r="B317" s="3"/>
      <c r="C317" s="8"/>
      <c r="D317" s="8"/>
      <c r="E317" s="8"/>
      <c r="F317" s="8"/>
      <c r="G317" s="8"/>
      <c r="H317" s="8"/>
      <c r="I317" s="8"/>
      <c r="J317" s="8"/>
      <c r="K317" s="8"/>
      <c r="L317" s="37"/>
    </row>
    <row r="318" spans="1:12" ht="21" customHeight="1">
      <c r="A318" s="7" t="s">
        <v>46</v>
      </c>
      <c r="B318" s="3"/>
      <c r="C318" s="8">
        <f>+D318</f>
        <v>382.8571428571429</v>
      </c>
      <c r="D318" s="8">
        <f>+D306/1400*100</f>
        <v>382.8571428571429</v>
      </c>
      <c r="E318" s="8">
        <v>0</v>
      </c>
      <c r="F318" s="8">
        <f>+G318</f>
        <v>106.69776119402985</v>
      </c>
      <c r="G318" s="8">
        <f>+G306/D306*100</f>
        <v>106.69776119402985</v>
      </c>
      <c r="H318" s="8">
        <v>0</v>
      </c>
      <c r="I318" s="8">
        <f>+J318</f>
        <v>105.49047036195138</v>
      </c>
      <c r="J318" s="8">
        <f>+J306/G306*100</f>
        <v>105.49047036195138</v>
      </c>
      <c r="K318" s="8">
        <v>0</v>
      </c>
      <c r="L318" s="37"/>
    </row>
    <row r="319" spans="1:12" ht="30.75" customHeight="1">
      <c r="A319" s="5" t="s">
        <v>39</v>
      </c>
      <c r="B319" s="38"/>
      <c r="C319" s="53"/>
      <c r="D319" s="53"/>
      <c r="E319" s="53"/>
      <c r="F319" s="53"/>
      <c r="G319" s="53"/>
      <c r="H319" s="53"/>
      <c r="I319" s="53"/>
      <c r="J319" s="53"/>
      <c r="K319" s="53"/>
      <c r="L319" s="95"/>
    </row>
    <row r="320" spans="1:12" ht="30" customHeight="1">
      <c r="A320" s="180" t="s">
        <v>192</v>
      </c>
      <c r="B320" s="180"/>
      <c r="C320" s="180"/>
      <c r="D320" s="180"/>
      <c r="E320" s="180"/>
      <c r="F320" s="180"/>
      <c r="G320" s="180"/>
      <c r="H320" s="180"/>
      <c r="I320" s="180"/>
      <c r="J320" s="180"/>
      <c r="K320" s="180"/>
      <c r="L320" s="150"/>
    </row>
    <row r="321" spans="1:12" ht="24.75" customHeight="1">
      <c r="A321" s="179" t="s">
        <v>153</v>
      </c>
      <c r="B321" s="179"/>
      <c r="C321" s="179"/>
      <c r="D321" s="179"/>
      <c r="E321" s="179"/>
      <c r="F321" s="179"/>
      <c r="G321" s="179"/>
      <c r="H321" s="179"/>
      <c r="I321" s="179"/>
      <c r="J321" s="179"/>
      <c r="K321" s="179"/>
      <c r="L321" s="49"/>
    </row>
    <row r="322" spans="1:12" ht="18.75" customHeight="1">
      <c r="A322" s="15" t="s">
        <v>7</v>
      </c>
      <c r="B322" s="16"/>
      <c r="C322" s="17">
        <f>D322+E322</f>
        <v>262840</v>
      </c>
      <c r="D322" s="17">
        <f>+D324+D334+D348</f>
        <v>262840</v>
      </c>
      <c r="E322" s="17">
        <f>+E324+E334+E348</f>
        <v>0</v>
      </c>
      <c r="F322" s="17">
        <f>G322+H322</f>
        <v>280450</v>
      </c>
      <c r="G322" s="17">
        <f>+G324+G334+G348</f>
        <v>280450</v>
      </c>
      <c r="H322" s="17">
        <f>+H324+H334+H348</f>
        <v>0</v>
      </c>
      <c r="I322" s="17">
        <f>J322+K322</f>
        <v>295874</v>
      </c>
      <c r="J322" s="17">
        <f>+J324+J334+J348</f>
        <v>295874</v>
      </c>
      <c r="K322" s="17">
        <f>+K324+K334+K348</f>
        <v>0</v>
      </c>
      <c r="L322" s="50"/>
    </row>
    <row r="323" spans="1:12" ht="18.75" customHeight="1">
      <c r="A323" s="1" t="s">
        <v>112</v>
      </c>
      <c r="B323" s="2" t="s">
        <v>113</v>
      </c>
      <c r="C323" s="16"/>
      <c r="D323" s="16"/>
      <c r="E323" s="16"/>
      <c r="F323" s="16"/>
      <c r="G323" s="16"/>
      <c r="H323" s="16"/>
      <c r="I323" s="16"/>
      <c r="J323" s="16"/>
      <c r="K323" s="16"/>
      <c r="L323" s="50"/>
    </row>
    <row r="324" spans="1:12" ht="30" customHeight="1">
      <c r="A324" s="5" t="s">
        <v>171</v>
      </c>
      <c r="B324" s="3"/>
      <c r="C324" s="6">
        <f>D324+E324</f>
        <v>90160</v>
      </c>
      <c r="D324" s="6">
        <v>90160</v>
      </c>
      <c r="E324" s="6">
        <v>0</v>
      </c>
      <c r="F324" s="6">
        <f>G324+H324</f>
        <v>96200</v>
      </c>
      <c r="G324" s="6">
        <v>96200</v>
      </c>
      <c r="H324" s="6">
        <v>0</v>
      </c>
      <c r="I324" s="6">
        <f>J324+K324</f>
        <v>101491</v>
      </c>
      <c r="J324" s="6">
        <v>101491</v>
      </c>
      <c r="K324" s="6">
        <v>0</v>
      </c>
      <c r="L324" s="25"/>
    </row>
    <row r="325" spans="1:12" ht="16.5" customHeight="1">
      <c r="A325" s="3" t="s">
        <v>5</v>
      </c>
      <c r="B325" s="3"/>
      <c r="C325" s="12"/>
      <c r="D325" s="12"/>
      <c r="E325" s="12"/>
      <c r="F325" s="12"/>
      <c r="G325" s="12"/>
      <c r="H325" s="12"/>
      <c r="I325" s="12"/>
      <c r="J325" s="12"/>
      <c r="K325" s="12"/>
      <c r="L325" s="25"/>
    </row>
    <row r="326" spans="1:12" ht="16.5" customHeight="1">
      <c r="A326" s="31" t="s">
        <v>6</v>
      </c>
      <c r="B326" s="3"/>
      <c r="C326" s="12"/>
      <c r="D326" s="12"/>
      <c r="E326" s="12"/>
      <c r="F326" s="12"/>
      <c r="G326" s="12"/>
      <c r="H326" s="12"/>
      <c r="I326" s="12"/>
      <c r="J326" s="12"/>
      <c r="K326" s="12"/>
      <c r="L326" s="25"/>
    </row>
    <row r="327" spans="1:12" ht="48" customHeight="1">
      <c r="A327" s="7" t="s">
        <v>151</v>
      </c>
      <c r="B327" s="3"/>
      <c r="C327" s="24">
        <f>D327+E327</f>
        <v>45</v>
      </c>
      <c r="D327" s="24">
        <v>45</v>
      </c>
      <c r="E327" s="24">
        <v>0</v>
      </c>
      <c r="F327" s="24">
        <f>G327+H327</f>
        <v>45</v>
      </c>
      <c r="G327" s="24">
        <v>45</v>
      </c>
      <c r="H327" s="24">
        <v>0</v>
      </c>
      <c r="I327" s="24">
        <f>J327+K327</f>
        <v>45</v>
      </c>
      <c r="J327" s="24">
        <v>45</v>
      </c>
      <c r="K327" s="24">
        <v>0</v>
      </c>
      <c r="L327" s="25"/>
    </row>
    <row r="328" spans="1:12" ht="45.75" customHeight="1">
      <c r="A328" s="7" t="s">
        <v>172</v>
      </c>
      <c r="B328" s="3"/>
      <c r="C328" s="24">
        <f>+D328</f>
        <v>1</v>
      </c>
      <c r="D328" s="24">
        <v>1</v>
      </c>
      <c r="E328" s="24">
        <v>0</v>
      </c>
      <c r="F328" s="24">
        <f>+G328</f>
        <v>1</v>
      </c>
      <c r="G328" s="24">
        <v>1</v>
      </c>
      <c r="H328" s="24">
        <v>0</v>
      </c>
      <c r="I328" s="24">
        <f>+J328</f>
        <v>1</v>
      </c>
      <c r="J328" s="24">
        <v>1</v>
      </c>
      <c r="K328" s="24">
        <v>0</v>
      </c>
      <c r="L328" s="25"/>
    </row>
    <row r="329" spans="1:12" ht="29.25" customHeight="1">
      <c r="A329" s="32" t="s">
        <v>173</v>
      </c>
      <c r="B329" s="3"/>
      <c r="C329" s="10">
        <f>D329+E329</f>
        <v>140</v>
      </c>
      <c r="D329" s="10">
        <v>140</v>
      </c>
      <c r="E329" s="10">
        <v>0</v>
      </c>
      <c r="F329" s="10">
        <f>G329+H329</f>
        <v>140</v>
      </c>
      <c r="G329" s="10">
        <v>140</v>
      </c>
      <c r="H329" s="10">
        <v>0</v>
      </c>
      <c r="I329" s="10">
        <f>J329+K329</f>
        <v>140</v>
      </c>
      <c r="J329" s="10">
        <v>140</v>
      </c>
      <c r="K329" s="10">
        <v>0</v>
      </c>
      <c r="L329" s="25"/>
    </row>
    <row r="330" spans="1:12" ht="16.5" customHeight="1">
      <c r="A330" s="33" t="s">
        <v>20</v>
      </c>
      <c r="B330" s="3"/>
      <c r="C330" s="12"/>
      <c r="D330" s="12"/>
      <c r="E330" s="12"/>
      <c r="F330" s="12"/>
      <c r="G330" s="12"/>
      <c r="H330" s="12"/>
      <c r="I330" s="12"/>
      <c r="J330" s="12"/>
      <c r="K330" s="12"/>
      <c r="L330" s="25"/>
    </row>
    <row r="331" spans="1:12" ht="16.5" customHeight="1">
      <c r="A331" s="34" t="s">
        <v>45</v>
      </c>
      <c r="B331" s="3"/>
      <c r="C331" s="11">
        <f>D331+E331</f>
        <v>14</v>
      </c>
      <c r="D331" s="11">
        <f>+D324/(D327+D328)/D329</f>
        <v>14</v>
      </c>
      <c r="E331" s="11">
        <v>0</v>
      </c>
      <c r="F331" s="11">
        <f>G331+H331</f>
        <v>14.937888198757765</v>
      </c>
      <c r="G331" s="11">
        <f>+G324/(G327+G328)/G329</f>
        <v>14.937888198757765</v>
      </c>
      <c r="H331" s="11">
        <v>0</v>
      </c>
      <c r="I331" s="11">
        <f>J331+K331</f>
        <v>15.759472049689439</v>
      </c>
      <c r="J331" s="11">
        <f>+J324/(J327+J328)/J329</f>
        <v>15.759472049689439</v>
      </c>
      <c r="K331" s="11">
        <v>0</v>
      </c>
      <c r="L331" s="25"/>
    </row>
    <row r="332" spans="1:12" ht="16.5" customHeight="1">
      <c r="A332" s="4" t="s">
        <v>19</v>
      </c>
      <c r="B332" s="3"/>
      <c r="C332" s="12"/>
      <c r="D332" s="12"/>
      <c r="E332" s="12"/>
      <c r="F332" s="12"/>
      <c r="G332" s="12"/>
      <c r="H332" s="12"/>
      <c r="I332" s="12"/>
      <c r="J332" s="12"/>
      <c r="K332" s="12"/>
      <c r="L332" s="25"/>
    </row>
    <row r="333" spans="1:12" ht="16.5" customHeight="1">
      <c r="A333" s="7" t="s">
        <v>46</v>
      </c>
      <c r="B333" s="3"/>
      <c r="C333" s="12">
        <f>D333+E333</f>
        <v>91.34751773049645</v>
      </c>
      <c r="D333" s="12">
        <f>D324/98700*100</f>
        <v>91.34751773049645</v>
      </c>
      <c r="E333" s="12">
        <v>0</v>
      </c>
      <c r="F333" s="12">
        <f>G333+H333</f>
        <v>106.69920141969831</v>
      </c>
      <c r="G333" s="12">
        <f>G324/D324*100</f>
        <v>106.69920141969831</v>
      </c>
      <c r="H333" s="12">
        <v>0</v>
      </c>
      <c r="I333" s="12">
        <f>J333+K333</f>
        <v>105.5</v>
      </c>
      <c r="J333" s="12">
        <f>J324/G324*100</f>
        <v>105.5</v>
      </c>
      <c r="K333" s="12">
        <v>0</v>
      </c>
      <c r="L333" s="25"/>
    </row>
    <row r="334" spans="1:12" ht="43.5" customHeight="1">
      <c r="A334" s="5" t="s">
        <v>176</v>
      </c>
      <c r="B334" s="3"/>
      <c r="C334" s="6">
        <f>D334+E334</f>
        <v>14080</v>
      </c>
      <c r="D334" s="6">
        <v>14080</v>
      </c>
      <c r="E334" s="6">
        <v>0</v>
      </c>
      <c r="F334" s="6">
        <f>G334+H334</f>
        <v>15023</v>
      </c>
      <c r="G334" s="6">
        <v>15023</v>
      </c>
      <c r="H334" s="6">
        <v>0</v>
      </c>
      <c r="I334" s="6">
        <f>J334+K334</f>
        <v>15849</v>
      </c>
      <c r="J334" s="6">
        <v>15849</v>
      </c>
      <c r="K334" s="6">
        <v>0</v>
      </c>
      <c r="L334" s="25"/>
    </row>
    <row r="335" spans="1:12" ht="16.5" customHeight="1">
      <c r="A335" s="3" t="s">
        <v>5</v>
      </c>
      <c r="B335" s="3"/>
      <c r="C335" s="12"/>
      <c r="D335" s="12"/>
      <c r="E335" s="12"/>
      <c r="F335" s="12"/>
      <c r="G335" s="12"/>
      <c r="H335" s="12"/>
      <c r="I335" s="12"/>
      <c r="J335" s="12"/>
      <c r="K335" s="12"/>
      <c r="L335" s="25"/>
    </row>
    <row r="336" spans="1:12" ht="16.5" customHeight="1">
      <c r="A336" s="31" t="s">
        <v>6</v>
      </c>
      <c r="B336" s="3"/>
      <c r="C336" s="12"/>
      <c r="D336" s="12"/>
      <c r="E336" s="12"/>
      <c r="F336" s="12"/>
      <c r="G336" s="12"/>
      <c r="H336" s="12"/>
      <c r="I336" s="12"/>
      <c r="J336" s="12"/>
      <c r="K336" s="12"/>
      <c r="L336" s="25"/>
    </row>
    <row r="337" spans="1:12" ht="44.25" customHeight="1">
      <c r="A337" s="35" t="s">
        <v>174</v>
      </c>
      <c r="B337" s="3"/>
      <c r="C337" s="24">
        <f>+D337</f>
        <v>45</v>
      </c>
      <c r="D337" s="24">
        <v>45</v>
      </c>
      <c r="E337" s="24">
        <v>0</v>
      </c>
      <c r="F337" s="24">
        <f>G337+H337</f>
        <v>45</v>
      </c>
      <c r="G337" s="24">
        <v>45</v>
      </c>
      <c r="H337" s="24">
        <v>0</v>
      </c>
      <c r="I337" s="24">
        <f>J337+K337</f>
        <v>45</v>
      </c>
      <c r="J337" s="24">
        <v>45</v>
      </c>
      <c r="K337" s="24">
        <v>0</v>
      </c>
      <c r="L337" s="25"/>
    </row>
    <row r="338" spans="1:12" ht="42.75" customHeight="1">
      <c r="A338" s="35" t="s">
        <v>175</v>
      </c>
      <c r="B338" s="3"/>
      <c r="C338" s="24">
        <f>+D338</f>
        <v>1</v>
      </c>
      <c r="D338" s="24">
        <v>1</v>
      </c>
      <c r="E338" s="24">
        <v>0</v>
      </c>
      <c r="F338" s="24">
        <f>G338+H338</f>
        <v>1</v>
      </c>
      <c r="G338" s="24">
        <v>1</v>
      </c>
      <c r="H338" s="24">
        <v>0</v>
      </c>
      <c r="I338" s="24">
        <f>J338+K338</f>
        <v>1</v>
      </c>
      <c r="J338" s="24">
        <v>1</v>
      </c>
      <c r="K338" s="24">
        <v>0</v>
      </c>
      <c r="L338" s="25"/>
    </row>
    <row r="339" spans="1:12" ht="53.25" customHeight="1">
      <c r="A339" s="35" t="s">
        <v>114</v>
      </c>
      <c r="B339" s="3"/>
      <c r="C339" s="24">
        <f>+D339</f>
        <v>130</v>
      </c>
      <c r="D339" s="24">
        <v>130</v>
      </c>
      <c r="E339" s="24">
        <v>0</v>
      </c>
      <c r="F339" s="24">
        <f>+G339</f>
        <v>130</v>
      </c>
      <c r="G339" s="24">
        <f>102+28</f>
        <v>130</v>
      </c>
      <c r="H339" s="24">
        <v>0</v>
      </c>
      <c r="I339" s="24">
        <f>+J339</f>
        <v>130</v>
      </c>
      <c r="J339" s="24">
        <v>130</v>
      </c>
      <c r="K339" s="24">
        <v>0</v>
      </c>
      <c r="L339" s="25"/>
    </row>
    <row r="340" spans="1:12" ht="17.25" customHeight="1">
      <c r="A340" s="9" t="s">
        <v>20</v>
      </c>
      <c r="B340" s="3"/>
      <c r="C340" s="12"/>
      <c r="D340" s="12"/>
      <c r="E340" s="12"/>
      <c r="F340" s="12"/>
      <c r="G340" s="12"/>
      <c r="H340" s="12"/>
      <c r="I340" s="12"/>
      <c r="J340" s="12"/>
      <c r="K340" s="12"/>
      <c r="L340" s="25"/>
    </row>
    <row r="341" spans="1:12" ht="17.25" customHeight="1">
      <c r="A341" s="7" t="s">
        <v>84</v>
      </c>
      <c r="B341" s="3"/>
      <c r="C341" s="12">
        <f>D341+E341</f>
        <v>80</v>
      </c>
      <c r="D341" s="12">
        <f>+D334/(D337+D338+D339)</f>
        <v>80</v>
      </c>
      <c r="E341" s="12">
        <v>0</v>
      </c>
      <c r="F341" s="12">
        <f>G341+H341</f>
        <v>85.35795454545455</v>
      </c>
      <c r="G341" s="12">
        <f>+G334/(G337+G338+G339)</f>
        <v>85.35795454545455</v>
      </c>
      <c r="H341" s="12">
        <v>0</v>
      </c>
      <c r="I341" s="12">
        <f>J341+K341</f>
        <v>90.05113636363636</v>
      </c>
      <c r="J341" s="12">
        <f>+J334/(J337+J338+J339)</f>
        <v>90.05113636363636</v>
      </c>
      <c r="K341" s="12">
        <v>0</v>
      </c>
      <c r="L341" s="25"/>
    </row>
    <row r="342" spans="1:12" ht="16.5" customHeight="1">
      <c r="A342" s="5" t="s">
        <v>19</v>
      </c>
      <c r="B342" s="3"/>
      <c r="C342" s="12"/>
      <c r="D342" s="12"/>
      <c r="E342" s="12"/>
      <c r="F342" s="12"/>
      <c r="G342" s="12"/>
      <c r="H342" s="12"/>
      <c r="I342" s="12"/>
      <c r="J342" s="12"/>
      <c r="K342" s="12"/>
      <c r="L342" s="25"/>
    </row>
    <row r="343" spans="1:12" ht="18.75" customHeight="1">
      <c r="A343" s="7" t="s">
        <v>46</v>
      </c>
      <c r="B343" s="3"/>
      <c r="C343" s="12">
        <f>+D343</f>
        <v>648.8479262672811</v>
      </c>
      <c r="D343" s="12">
        <f>+D334/2170*100</f>
        <v>648.8479262672811</v>
      </c>
      <c r="E343" s="12">
        <v>0</v>
      </c>
      <c r="F343" s="12">
        <f>+G343</f>
        <v>106.69744318181817</v>
      </c>
      <c r="G343" s="12">
        <f>+G334/D334*100</f>
        <v>106.69744318181817</v>
      </c>
      <c r="H343" s="12">
        <v>0</v>
      </c>
      <c r="I343" s="12">
        <f>+J343</f>
        <v>105.49823603807495</v>
      </c>
      <c r="J343" s="12">
        <f>+J334/G334*100</f>
        <v>105.49823603807495</v>
      </c>
      <c r="K343" s="12">
        <v>0</v>
      </c>
      <c r="L343" s="25"/>
    </row>
    <row r="344" spans="1:12" ht="19.5" customHeight="1">
      <c r="A344" s="28"/>
      <c r="B344" s="19"/>
      <c r="C344" s="29"/>
      <c r="D344" s="29"/>
      <c r="E344" s="29"/>
      <c r="F344" s="29"/>
      <c r="G344" s="29"/>
      <c r="H344" s="29"/>
      <c r="I344" s="29"/>
      <c r="J344" s="29"/>
      <c r="K344" s="29"/>
      <c r="L344" s="29"/>
    </row>
    <row r="345" spans="1:12" ht="26.25" customHeight="1">
      <c r="A345" s="18"/>
      <c r="B345" s="19"/>
      <c r="C345" s="20"/>
      <c r="D345" s="20"/>
      <c r="E345" s="20"/>
      <c r="F345" s="20"/>
      <c r="G345" s="20"/>
      <c r="H345" s="20"/>
      <c r="I345" s="160" t="s">
        <v>131</v>
      </c>
      <c r="J345" s="160"/>
      <c r="K345" s="160"/>
      <c r="L345" s="20"/>
    </row>
    <row r="346" spans="1:12" ht="14.25">
      <c r="A346" s="21">
        <v>1</v>
      </c>
      <c r="B346" s="22">
        <v>2</v>
      </c>
      <c r="C346" s="23">
        <v>3</v>
      </c>
      <c r="D346" s="23">
        <v>4</v>
      </c>
      <c r="E346" s="23">
        <v>5</v>
      </c>
      <c r="F346" s="23">
        <v>6</v>
      </c>
      <c r="G346" s="23">
        <v>7</v>
      </c>
      <c r="H346" s="23">
        <v>8</v>
      </c>
      <c r="I346" s="23">
        <v>9</v>
      </c>
      <c r="J346" s="23">
        <v>10</v>
      </c>
      <c r="K346" s="23">
        <v>11</v>
      </c>
      <c r="L346" s="30"/>
    </row>
    <row r="347" spans="1:12" ht="22.5" customHeight="1">
      <c r="A347" s="36" t="s">
        <v>115</v>
      </c>
      <c r="B347" s="2" t="s">
        <v>116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37"/>
    </row>
    <row r="348" spans="1:11" ht="45.75" customHeight="1">
      <c r="A348" s="5" t="s">
        <v>177</v>
      </c>
      <c r="B348" s="38"/>
      <c r="C348" s="39">
        <f>D348+E348</f>
        <v>158600</v>
      </c>
      <c r="D348" s="39">
        <v>158600</v>
      </c>
      <c r="E348" s="39">
        <v>0</v>
      </c>
      <c r="F348" s="39">
        <f>+G348</f>
        <v>169227</v>
      </c>
      <c r="G348" s="39">
        <v>169227</v>
      </c>
      <c r="H348" s="39">
        <v>0</v>
      </c>
      <c r="I348" s="39">
        <f>J348+K348</f>
        <v>178534</v>
      </c>
      <c r="J348" s="39">
        <v>178534</v>
      </c>
      <c r="K348" s="39">
        <v>0</v>
      </c>
    </row>
    <row r="349" spans="1:11" ht="15">
      <c r="A349" s="7" t="s">
        <v>5</v>
      </c>
      <c r="B349" s="38"/>
      <c r="C349" s="38"/>
      <c r="D349" s="38"/>
      <c r="E349" s="38"/>
      <c r="F349" s="38"/>
      <c r="G349" s="38"/>
      <c r="H349" s="38"/>
      <c r="I349" s="38"/>
      <c r="J349" s="38"/>
      <c r="K349" s="38"/>
    </row>
    <row r="350" spans="1:11" ht="14.25">
      <c r="A350" s="9" t="s">
        <v>6</v>
      </c>
      <c r="B350" s="38"/>
      <c r="C350" s="38"/>
      <c r="D350" s="38"/>
      <c r="E350" s="38"/>
      <c r="F350" s="38"/>
      <c r="G350" s="38"/>
      <c r="H350" s="38"/>
      <c r="I350" s="38"/>
      <c r="J350" s="38"/>
      <c r="K350" s="38"/>
    </row>
    <row r="351" spans="1:11" ht="45" customHeight="1">
      <c r="A351" s="7" t="s">
        <v>178</v>
      </c>
      <c r="B351" s="38"/>
      <c r="C351" s="40">
        <f>D351+E351</f>
        <v>25</v>
      </c>
      <c r="D351" s="40">
        <v>25</v>
      </c>
      <c r="E351" s="40">
        <v>0</v>
      </c>
      <c r="F351" s="40">
        <f>G351+H351</f>
        <v>25</v>
      </c>
      <c r="G351" s="40">
        <v>25</v>
      </c>
      <c r="H351" s="40">
        <v>0</v>
      </c>
      <c r="I351" s="40">
        <f>J351+K351</f>
        <v>25</v>
      </c>
      <c r="J351" s="40">
        <v>25</v>
      </c>
      <c r="K351" s="40">
        <v>0</v>
      </c>
    </row>
    <row r="352" spans="1:11" ht="46.5" customHeight="1">
      <c r="A352" s="7" t="s">
        <v>179</v>
      </c>
      <c r="B352" s="38"/>
      <c r="C352" s="40">
        <f>D352+E352</f>
        <v>1</v>
      </c>
      <c r="D352" s="40">
        <v>1</v>
      </c>
      <c r="E352" s="40">
        <v>0</v>
      </c>
      <c r="F352" s="40">
        <f>G352+H352</f>
        <v>1</v>
      </c>
      <c r="G352" s="40">
        <v>1</v>
      </c>
      <c r="H352" s="40">
        <v>0</v>
      </c>
      <c r="I352" s="40">
        <f>J352+K352</f>
        <v>1</v>
      </c>
      <c r="J352" s="40">
        <v>1</v>
      </c>
      <c r="K352" s="40">
        <v>0</v>
      </c>
    </row>
    <row r="353" spans="1:11" ht="16.5">
      <c r="A353" s="5" t="s">
        <v>20</v>
      </c>
      <c r="B353" s="38"/>
      <c r="C353" s="41"/>
      <c r="D353" s="41"/>
      <c r="E353" s="41"/>
      <c r="F353" s="41"/>
      <c r="G353" s="41" t="s">
        <v>94</v>
      </c>
      <c r="H353" s="41"/>
      <c r="I353" s="41"/>
      <c r="J353" s="41"/>
      <c r="K353" s="41"/>
    </row>
    <row r="354" spans="1:11" ht="20.25" customHeight="1">
      <c r="A354" s="42" t="s">
        <v>41</v>
      </c>
      <c r="B354" s="38"/>
      <c r="C354" s="43">
        <f>D354+E354</f>
        <v>6100</v>
      </c>
      <c r="D354" s="43">
        <f>+D348/(D351+D352)</f>
        <v>6100</v>
      </c>
      <c r="E354" s="43">
        <v>0</v>
      </c>
      <c r="F354" s="43">
        <f>+G354</f>
        <v>6508.7307692307695</v>
      </c>
      <c r="G354" s="43">
        <f>+G348/(G351+G352)</f>
        <v>6508.7307692307695</v>
      </c>
      <c r="H354" s="43">
        <v>0</v>
      </c>
      <c r="I354" s="43">
        <f>J354+K354</f>
        <v>6866.692307692308</v>
      </c>
      <c r="J354" s="43">
        <f>+J348/(J351+J352)</f>
        <v>6866.692307692308</v>
      </c>
      <c r="K354" s="43">
        <v>0</v>
      </c>
    </row>
    <row r="355" spans="1:11" ht="14.25">
      <c r="A355" s="5" t="s">
        <v>19</v>
      </c>
      <c r="B355" s="38"/>
      <c r="C355" s="38"/>
      <c r="D355" s="38"/>
      <c r="E355" s="38"/>
      <c r="F355" s="38"/>
      <c r="G355" s="38"/>
      <c r="H355" s="38"/>
      <c r="I355" s="38"/>
      <c r="J355" s="38"/>
      <c r="K355" s="38"/>
    </row>
    <row r="356" spans="1:11" ht="16.5">
      <c r="A356" s="7" t="s">
        <v>46</v>
      </c>
      <c r="B356" s="38"/>
      <c r="C356" s="44">
        <f>D356+E356</f>
        <v>180.22727272727272</v>
      </c>
      <c r="D356" s="44">
        <f>D348/88000*100</f>
        <v>180.22727272727272</v>
      </c>
      <c r="E356" s="44">
        <v>0</v>
      </c>
      <c r="F356" s="44">
        <f>G356+H356</f>
        <v>106.70050441361916</v>
      </c>
      <c r="G356" s="44">
        <f>G348/D348*100</f>
        <v>106.70050441361916</v>
      </c>
      <c r="H356" s="44">
        <v>0</v>
      </c>
      <c r="I356" s="44">
        <f>J356+K356</f>
        <v>105.49971340270761</v>
      </c>
      <c r="J356" s="44">
        <f>J348/G348*100</f>
        <v>105.49971340270761</v>
      </c>
      <c r="K356" s="44">
        <v>0</v>
      </c>
    </row>
    <row r="357" spans="1:12" ht="19.5" customHeight="1">
      <c r="A357" s="28"/>
      <c r="B357" s="19"/>
      <c r="C357" s="29"/>
      <c r="D357" s="29"/>
      <c r="E357" s="29"/>
      <c r="F357" s="29"/>
      <c r="G357" s="29"/>
      <c r="H357" s="29"/>
      <c r="I357" s="29"/>
      <c r="J357" s="29"/>
      <c r="K357" s="29"/>
      <c r="L357" s="29"/>
    </row>
    <row r="360" spans="1:14" ht="22.5" customHeight="1">
      <c r="A360" s="45" t="s">
        <v>188</v>
      </c>
      <c r="B360" s="45"/>
      <c r="C360" s="46"/>
      <c r="D360" s="47"/>
      <c r="E360" s="46"/>
      <c r="F360" s="46"/>
      <c r="G360" s="46"/>
      <c r="H360" s="46"/>
      <c r="I360" s="46"/>
      <c r="J360" s="46"/>
      <c r="N360" s="26"/>
    </row>
    <row r="361" spans="1:14" ht="17.25" customHeight="1">
      <c r="A361" s="45" t="s">
        <v>186</v>
      </c>
      <c r="B361" s="45"/>
      <c r="C361" s="46"/>
      <c r="D361" s="46"/>
      <c r="E361" s="46"/>
      <c r="F361" s="46"/>
      <c r="G361" s="46"/>
      <c r="H361" s="46"/>
      <c r="I361" s="48"/>
      <c r="J361" s="46"/>
      <c r="N361" s="26"/>
    </row>
    <row r="362" spans="1:14" ht="19.5" customHeight="1">
      <c r="A362" s="45" t="s">
        <v>187</v>
      </c>
      <c r="B362" s="45"/>
      <c r="C362" s="46"/>
      <c r="D362" s="46"/>
      <c r="E362" s="46"/>
      <c r="F362" s="46"/>
      <c r="G362" s="46"/>
      <c r="H362" s="46"/>
      <c r="I362" s="48"/>
      <c r="J362" s="46" t="s">
        <v>189</v>
      </c>
      <c r="N362" s="26"/>
    </row>
    <row r="363" spans="1:14" ht="17.25" customHeight="1">
      <c r="A363" s="45"/>
      <c r="B363" s="45"/>
      <c r="C363" s="46"/>
      <c r="D363" s="47"/>
      <c r="E363" s="46"/>
      <c r="F363" s="46"/>
      <c r="H363" s="46"/>
      <c r="I363" s="46"/>
      <c r="N363" s="26"/>
    </row>
    <row r="364" spans="1:14" ht="19.5" customHeight="1">
      <c r="A364" s="45"/>
      <c r="B364" s="45"/>
      <c r="C364" s="46"/>
      <c r="D364" s="46"/>
      <c r="E364" s="46"/>
      <c r="F364" s="46"/>
      <c r="G364" s="46"/>
      <c r="H364" s="46"/>
      <c r="N364" s="26"/>
    </row>
    <row r="365" spans="1:8" ht="18.75">
      <c r="A365" s="151"/>
      <c r="B365" s="45"/>
      <c r="C365" s="46"/>
      <c r="D365" s="46"/>
      <c r="E365" s="46"/>
      <c r="F365" s="46"/>
      <c r="G365" s="46"/>
      <c r="H365" s="46"/>
    </row>
    <row r="366" spans="1:8" ht="18.75">
      <c r="A366" s="151"/>
      <c r="B366" s="45"/>
      <c r="C366" s="46"/>
      <c r="D366" s="46"/>
      <c r="E366" s="46"/>
      <c r="F366" s="46"/>
      <c r="G366" s="46"/>
      <c r="H366" s="46"/>
    </row>
  </sheetData>
  <sheetProtection/>
  <mergeCells count="53">
    <mergeCell ref="A321:K321"/>
    <mergeCell ref="A320:K320"/>
    <mergeCell ref="A187:K187"/>
    <mergeCell ref="I154:K154"/>
    <mergeCell ref="I184:K184"/>
    <mergeCell ref="A283:K283"/>
    <mergeCell ref="A158:K158"/>
    <mergeCell ref="A284:K284"/>
    <mergeCell ref="A250:K250"/>
    <mergeCell ref="A159:K159"/>
    <mergeCell ref="I212:K212"/>
    <mergeCell ref="A170:K170"/>
    <mergeCell ref="A171:K171"/>
    <mergeCell ref="I66:K66"/>
    <mergeCell ref="A87:K87"/>
    <mergeCell ref="A88:K88"/>
    <mergeCell ref="I95:K95"/>
    <mergeCell ref="A143:K143"/>
    <mergeCell ref="A15:K15"/>
    <mergeCell ref="A17:A19"/>
    <mergeCell ref="A114:K114"/>
    <mergeCell ref="I35:K35"/>
    <mergeCell ref="F7:H8"/>
    <mergeCell ref="J9:K9"/>
    <mergeCell ref="C9:C10"/>
    <mergeCell ref="A16:K16"/>
    <mergeCell ref="H1:J1"/>
    <mergeCell ref="A5:K5"/>
    <mergeCell ref="G9:H9"/>
    <mergeCell ref="I7:K8"/>
    <mergeCell ref="H2:K2"/>
    <mergeCell ref="B7:B10"/>
    <mergeCell ref="A7:A10"/>
    <mergeCell ref="I313:K313"/>
    <mergeCell ref="I345:K345"/>
    <mergeCell ref="M23:M24"/>
    <mergeCell ref="M29:M30"/>
    <mergeCell ref="A113:K113"/>
    <mergeCell ref="A142:K142"/>
    <mergeCell ref="A70:K70"/>
    <mergeCell ref="A71:K71"/>
    <mergeCell ref="A186:K186"/>
    <mergeCell ref="A28:A30"/>
    <mergeCell ref="A251:K251"/>
    <mergeCell ref="A274:K274"/>
    <mergeCell ref="A275:K275"/>
    <mergeCell ref="I246:K246"/>
    <mergeCell ref="I279:K279"/>
    <mergeCell ref="C7:E8"/>
    <mergeCell ref="F9:F10"/>
    <mergeCell ref="D9:E9"/>
    <mergeCell ref="I9:I10"/>
    <mergeCell ref="I125:K125"/>
  </mergeCells>
  <printOptions horizontalCentered="1"/>
  <pageMargins left="0.7874015748031497" right="0.7874015748031497" top="1.1811023622047245" bottom="0.5905511811023623" header="0.5118110236220472" footer="0.3937007874015748"/>
  <pageSetup fitToHeight="39" fitToWidth="22" horizontalDpi="600" verticalDpi="600" orientation="landscape" paperSize="9" scale="58" r:id="rId1"/>
  <rowBreaks count="10" manualBreakCount="10">
    <brk id="34" max="10" man="1"/>
    <brk id="65" max="10" man="1"/>
    <brk id="94" max="10" man="1"/>
    <brk id="124" max="10" man="1"/>
    <brk id="153" max="10" man="1"/>
    <brk id="183" max="10" man="1"/>
    <brk id="211" max="10" man="1"/>
    <brk id="245" max="10" man="1"/>
    <brk id="311" max="10" man="1"/>
    <brk id="34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2018-09-19T13:04:14Z</cp:lastPrinted>
  <dcterms:created xsi:type="dcterms:W3CDTF">1996-10-08T23:32:33Z</dcterms:created>
  <dcterms:modified xsi:type="dcterms:W3CDTF">2018-09-24T13:17:31Z</dcterms:modified>
  <cp:category/>
  <cp:version/>
  <cp:contentType/>
  <cp:contentStatus/>
</cp:coreProperties>
</file>