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565" firstSheet="1" activeTab="5"/>
  </bookViews>
  <sheets>
    <sheet name="Лист1" sheetId="1" state="hidden" r:id="rId1"/>
    <sheet name="дод.2" sheetId="2" r:id="rId2"/>
    <sheet name="дод.3" sheetId="3" r:id="rId3"/>
    <sheet name="дод.4" sheetId="4" r:id="rId4"/>
    <sheet name="дод.5" sheetId="5" r:id="rId5"/>
    <sheet name="дод.1" sheetId="6" r:id="rId6"/>
  </sheets>
  <externalReferences>
    <externalReference r:id="rId7"/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I47" i="2" l="1"/>
  <c r="G47" i="2"/>
  <c r="E47" i="2"/>
  <c r="C47" i="2"/>
  <c r="I46" i="2"/>
  <c r="G46" i="2"/>
  <c r="E46" i="2"/>
  <c r="C46" i="2"/>
  <c r="J39" i="2"/>
  <c r="H39" i="2"/>
  <c r="F39" i="2"/>
  <c r="D39" i="2"/>
  <c r="I38" i="2"/>
  <c r="J38" i="2" s="1"/>
  <c r="G38" i="2"/>
  <c r="H38" i="2" s="1"/>
  <c r="E38" i="2"/>
  <c r="F38" i="2" s="1"/>
  <c r="C38" i="2"/>
  <c r="D38" i="2" s="1"/>
  <c r="J37" i="2"/>
  <c r="H37" i="2"/>
  <c r="F37" i="2"/>
  <c r="D37" i="2"/>
  <c r="I36" i="2"/>
  <c r="J36" i="2" s="1"/>
  <c r="G36" i="2"/>
  <c r="H36" i="2" s="1"/>
  <c r="E36" i="2"/>
  <c r="F36" i="2" s="1"/>
  <c r="C36" i="2"/>
  <c r="D36" i="2" s="1"/>
  <c r="I35" i="2"/>
  <c r="J35" i="2" s="1"/>
  <c r="G35" i="2"/>
  <c r="H35" i="2" s="1"/>
  <c r="E35" i="2"/>
  <c r="F35" i="2" s="1"/>
  <c r="C35" i="2"/>
  <c r="D35" i="2" s="1"/>
  <c r="J34" i="2"/>
  <c r="H34" i="2"/>
  <c r="F34" i="2"/>
  <c r="D34" i="2"/>
  <c r="J32" i="2"/>
  <c r="H32" i="2"/>
  <c r="F32" i="2"/>
  <c r="D32" i="2"/>
  <c r="J31" i="2"/>
  <c r="H31" i="2"/>
  <c r="F31" i="2"/>
  <c r="D31" i="2"/>
  <c r="I30" i="2"/>
  <c r="J30" i="2" s="1"/>
  <c r="G30" i="2"/>
  <c r="H30" i="2" s="1"/>
  <c r="E30" i="2"/>
  <c r="F30" i="2" s="1"/>
  <c r="C30" i="2"/>
  <c r="D30" i="2" s="1"/>
  <c r="I29" i="2"/>
  <c r="J29" i="2" s="1"/>
  <c r="G29" i="2"/>
  <c r="H29" i="2" s="1"/>
  <c r="E29" i="2"/>
  <c r="F29" i="2" s="1"/>
  <c r="C29" i="2"/>
  <c r="D29" i="2" s="1"/>
  <c r="D28" i="2" s="1"/>
  <c r="I27" i="2"/>
  <c r="J27" i="2" s="1"/>
  <c r="G27" i="2"/>
  <c r="H27" i="2" s="1"/>
  <c r="F27" i="2"/>
  <c r="E27" i="2"/>
  <c r="D27" i="2"/>
  <c r="C27" i="2"/>
  <c r="J26" i="2"/>
  <c r="I26" i="2"/>
  <c r="G26" i="2"/>
  <c r="H26" i="2" s="1"/>
  <c r="E26" i="2"/>
  <c r="F26" i="2" s="1"/>
  <c r="C26" i="2"/>
  <c r="D26" i="2" s="1"/>
  <c r="D25" i="2" s="1"/>
  <c r="I25" i="2"/>
  <c r="J25" i="2" s="1"/>
  <c r="G25" i="2"/>
  <c r="H25" i="2" s="1"/>
  <c r="E25" i="2"/>
  <c r="F25" i="2" s="1"/>
  <c r="C25" i="2"/>
  <c r="I24" i="2"/>
  <c r="J24" i="2" s="1"/>
  <c r="G24" i="2"/>
  <c r="H24" i="2" s="1"/>
  <c r="E24" i="2"/>
  <c r="F24" i="2" s="1"/>
  <c r="C24" i="2"/>
  <c r="D24" i="2" s="1"/>
  <c r="I23" i="2"/>
  <c r="J23" i="2" s="1"/>
  <c r="G23" i="2"/>
  <c r="H23" i="2" s="1"/>
  <c r="E23" i="2"/>
  <c r="F23" i="2" s="1"/>
  <c r="C23" i="2"/>
  <c r="D23" i="2" s="1"/>
  <c r="D22" i="2" s="1"/>
  <c r="I22" i="2"/>
  <c r="J22" i="2" s="1"/>
  <c r="G22" i="2"/>
  <c r="H22" i="2" s="1"/>
  <c r="E22" i="2"/>
  <c r="F22" i="2" s="1"/>
  <c r="C22" i="2"/>
  <c r="I21" i="2"/>
  <c r="J21" i="2" s="1"/>
  <c r="G21" i="2"/>
  <c r="H21" i="2" s="1"/>
  <c r="E21" i="2"/>
  <c r="F21" i="2" s="1"/>
  <c r="C21" i="2"/>
  <c r="D21" i="2" s="1"/>
  <c r="I20" i="2"/>
  <c r="J20" i="2" s="1"/>
  <c r="G20" i="2"/>
  <c r="H20" i="2" s="1"/>
  <c r="E20" i="2"/>
  <c r="F20" i="2" s="1"/>
  <c r="C20" i="2"/>
  <c r="D20" i="2" s="1"/>
  <c r="I19" i="2"/>
  <c r="J19" i="2" s="1"/>
  <c r="G19" i="2"/>
  <c r="H19" i="2" s="1"/>
  <c r="E19" i="2"/>
  <c r="F19" i="2" s="1"/>
  <c r="C19" i="2"/>
  <c r="D19" i="2" s="1"/>
  <c r="I18" i="2"/>
  <c r="J18" i="2" s="1"/>
  <c r="G18" i="2"/>
  <c r="H18" i="2" s="1"/>
  <c r="E18" i="2"/>
  <c r="F18" i="2" s="1"/>
  <c r="D18" i="2"/>
  <c r="I17" i="2"/>
  <c r="J17" i="2" s="1"/>
  <c r="G17" i="2"/>
  <c r="H17" i="2" s="1"/>
  <c r="E17" i="2"/>
  <c r="F17" i="2" s="1"/>
  <c r="C17" i="2"/>
  <c r="D17" i="2" s="1"/>
  <c r="I16" i="2"/>
  <c r="J16" i="2" s="1"/>
  <c r="G16" i="2"/>
  <c r="H16" i="2" s="1"/>
  <c r="E16" i="2"/>
  <c r="F16" i="2" s="1"/>
  <c r="D16" i="2"/>
  <c r="I15" i="2"/>
  <c r="J15" i="2" s="1"/>
  <c r="G15" i="2"/>
  <c r="H15" i="2" s="1"/>
  <c r="E15" i="2"/>
  <c r="F15" i="2" s="1"/>
  <c r="C15" i="2"/>
  <c r="D15" i="2" s="1"/>
  <c r="I14" i="2"/>
  <c r="J14" i="2" s="1"/>
  <c r="G14" i="2"/>
  <c r="H14" i="2" s="1"/>
  <c r="E14" i="2"/>
  <c r="F14" i="2" s="1"/>
  <c r="C14" i="2"/>
  <c r="D14" i="2" s="1"/>
  <c r="I13" i="2"/>
  <c r="J13" i="2" s="1"/>
  <c r="G13" i="2"/>
  <c r="H13" i="2" s="1"/>
  <c r="E13" i="2"/>
  <c r="F13" i="2" s="1"/>
  <c r="C13" i="2"/>
  <c r="D13" i="2" s="1"/>
  <c r="I12" i="2"/>
  <c r="G12" i="2"/>
  <c r="E12" i="2"/>
  <c r="C12" i="2"/>
  <c r="I11" i="2"/>
  <c r="G11" i="2"/>
  <c r="E11" i="2"/>
  <c r="C11" i="2"/>
  <c r="F26" i="5"/>
  <c r="E26" i="5"/>
  <c r="D26" i="5"/>
  <c r="C26" i="5"/>
  <c r="F24" i="5"/>
  <c r="E24" i="5"/>
  <c r="D24" i="5"/>
  <c r="C24" i="5"/>
  <c r="F23" i="5"/>
  <c r="F27" i="5" s="1"/>
  <c r="E23" i="5"/>
  <c r="E27" i="5" s="1"/>
  <c r="D23" i="5"/>
  <c r="D27" i="5" s="1"/>
  <c r="C23" i="5"/>
  <c r="C27" i="5" s="1"/>
  <c r="F22" i="5"/>
  <c r="E22" i="5"/>
  <c r="D22" i="5"/>
  <c r="C22" i="5"/>
  <c r="F21" i="5"/>
  <c r="E21" i="5"/>
  <c r="D21" i="5"/>
  <c r="C21" i="5"/>
  <c r="F20" i="5"/>
  <c r="E20" i="5"/>
  <c r="D20" i="5"/>
  <c r="C20" i="5"/>
  <c r="F19" i="5"/>
  <c r="E19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I33" i="4"/>
  <c r="G33" i="4"/>
  <c r="E33" i="4"/>
  <c r="C33" i="4"/>
  <c r="K26" i="4"/>
  <c r="J26" i="4"/>
  <c r="I26" i="4"/>
  <c r="H26" i="4"/>
  <c r="G26" i="4"/>
  <c r="F26" i="4"/>
  <c r="E26" i="4"/>
  <c r="D26" i="4"/>
  <c r="C26" i="4"/>
  <c r="I21" i="4"/>
  <c r="G21" i="4"/>
  <c r="H21" i="4" s="1"/>
  <c r="E21" i="4"/>
  <c r="C21" i="4"/>
  <c r="D21" i="4" s="1"/>
  <c r="I20" i="4"/>
  <c r="G20" i="4"/>
  <c r="H20" i="4" s="1"/>
  <c r="H19" i="4" s="1"/>
  <c r="E20" i="4"/>
  <c r="C20" i="4"/>
  <c r="D20" i="4" s="1"/>
  <c r="D19" i="4" s="1"/>
  <c r="J19" i="4"/>
  <c r="I19" i="4"/>
  <c r="E19" i="4"/>
  <c r="I18" i="4"/>
  <c r="K18" i="4" s="1"/>
  <c r="G18" i="4"/>
  <c r="H18" i="4" s="1"/>
  <c r="E18" i="4"/>
  <c r="F18" i="4" s="1"/>
  <c r="C18" i="4"/>
  <c r="D18" i="4" s="1"/>
  <c r="I17" i="4"/>
  <c r="K17" i="4" s="1"/>
  <c r="K16" i="4" s="1"/>
  <c r="G17" i="4"/>
  <c r="H17" i="4" s="1"/>
  <c r="H16" i="4" s="1"/>
  <c r="E17" i="4"/>
  <c r="F17" i="4" s="1"/>
  <c r="F16" i="4" s="1"/>
  <c r="C17" i="4"/>
  <c r="D17" i="4" s="1"/>
  <c r="D16" i="4" s="1"/>
  <c r="J16" i="4"/>
  <c r="G16" i="4"/>
  <c r="C16" i="4"/>
  <c r="I15" i="4"/>
  <c r="G15" i="4"/>
  <c r="H15" i="4" s="1"/>
  <c r="E15" i="4"/>
  <c r="C15" i="4"/>
  <c r="D15" i="4" s="1"/>
  <c r="I14" i="4"/>
  <c r="G14" i="4"/>
  <c r="H14" i="4" s="1"/>
  <c r="H13" i="4" s="1"/>
  <c r="E14" i="4"/>
  <c r="C14" i="4"/>
  <c r="D14" i="4" s="1"/>
  <c r="D13" i="4" s="1"/>
  <c r="J13" i="4"/>
  <c r="K12" i="4"/>
  <c r="I12" i="4"/>
  <c r="H12" i="4"/>
  <c r="G12" i="4"/>
  <c r="F12" i="4"/>
  <c r="E12" i="4"/>
  <c r="D12" i="4"/>
  <c r="C12" i="4"/>
  <c r="K11" i="4"/>
  <c r="I11" i="4"/>
  <c r="H11" i="4"/>
  <c r="G11" i="4"/>
  <c r="F11" i="4"/>
  <c r="E11" i="4"/>
  <c r="D11" i="4"/>
  <c r="C11" i="4"/>
  <c r="J10" i="4"/>
  <c r="J24" i="4" s="1"/>
  <c r="J31" i="4" s="1"/>
  <c r="I38" i="3"/>
  <c r="G38" i="3"/>
  <c r="E38" i="3"/>
  <c r="C38" i="3"/>
  <c r="K31" i="3"/>
  <c r="J31" i="3"/>
  <c r="I31" i="3"/>
  <c r="H31" i="3"/>
  <c r="G31" i="3"/>
  <c r="F31" i="3"/>
  <c r="E31" i="3"/>
  <c r="D31" i="3"/>
  <c r="C31" i="3"/>
  <c r="K28" i="3"/>
  <c r="F28" i="3"/>
  <c r="D28" i="3"/>
  <c r="K27" i="3"/>
  <c r="H27" i="3"/>
  <c r="F27" i="3"/>
  <c r="D27" i="3"/>
  <c r="I26" i="3"/>
  <c r="K26" i="3" s="1"/>
  <c r="G26" i="3"/>
  <c r="H26" i="3" s="1"/>
  <c r="E26" i="3"/>
  <c r="F26" i="3" s="1"/>
  <c r="C26" i="3"/>
  <c r="D26" i="3" s="1"/>
  <c r="I25" i="3"/>
  <c r="K25" i="3" s="1"/>
  <c r="G25" i="3"/>
  <c r="H25" i="3" s="1"/>
  <c r="E25" i="3"/>
  <c r="F25" i="3" s="1"/>
  <c r="C25" i="3"/>
  <c r="D25" i="3" s="1"/>
  <c r="J24" i="3"/>
  <c r="I24" i="3"/>
  <c r="K24" i="3" s="1"/>
  <c r="G24" i="3"/>
  <c r="H24" i="3" s="1"/>
  <c r="E24" i="3"/>
  <c r="F24" i="3" s="1"/>
  <c r="C24" i="3"/>
  <c r="L24" i="3" s="1"/>
  <c r="I23" i="3"/>
  <c r="K23" i="3" s="1"/>
  <c r="G23" i="3"/>
  <c r="H23" i="3" s="1"/>
  <c r="E23" i="3"/>
  <c r="F23" i="3" s="1"/>
  <c r="C23" i="3"/>
  <c r="D23" i="3" s="1"/>
  <c r="I22" i="3"/>
  <c r="K22" i="3" s="1"/>
  <c r="G22" i="3"/>
  <c r="H22" i="3" s="1"/>
  <c r="E22" i="3"/>
  <c r="F22" i="3" s="1"/>
  <c r="C22" i="3"/>
  <c r="D22" i="3" s="1"/>
  <c r="J21" i="3"/>
  <c r="I21" i="3"/>
  <c r="K21" i="3" s="1"/>
  <c r="G21" i="3"/>
  <c r="H21" i="3" s="1"/>
  <c r="E21" i="3"/>
  <c r="F21" i="3" s="1"/>
  <c r="C21" i="3"/>
  <c r="L21" i="3" s="1"/>
  <c r="K20" i="3"/>
  <c r="H20" i="3"/>
  <c r="F20" i="3"/>
  <c r="D20" i="3"/>
  <c r="K19" i="3"/>
  <c r="H19" i="3"/>
  <c r="F19" i="3"/>
  <c r="D19" i="3"/>
  <c r="J18" i="3"/>
  <c r="I18" i="3"/>
  <c r="K18" i="3" s="1"/>
  <c r="H18" i="3"/>
  <c r="G18" i="3"/>
  <c r="F18" i="3"/>
  <c r="E18" i="3"/>
  <c r="D18" i="3"/>
  <c r="C18" i="3"/>
  <c r="K17" i="3"/>
  <c r="H17" i="3"/>
  <c r="F17" i="3"/>
  <c r="C17" i="3"/>
  <c r="D17" i="3" s="1"/>
  <c r="K16" i="3"/>
  <c r="H16" i="3"/>
  <c r="F16" i="3"/>
  <c r="D16" i="3"/>
  <c r="C16" i="3"/>
  <c r="K15" i="3"/>
  <c r="H15" i="3"/>
  <c r="F15" i="3"/>
  <c r="C15" i="3"/>
  <c r="D15" i="3" s="1"/>
  <c r="I14" i="3"/>
  <c r="K14" i="3" s="1"/>
  <c r="K12" i="3" s="1"/>
  <c r="K11" i="3" s="1"/>
  <c r="K29" i="3" s="1"/>
  <c r="K36" i="3" s="1"/>
  <c r="G14" i="3"/>
  <c r="H14" i="3" s="1"/>
  <c r="H12" i="3" s="1"/>
  <c r="H11" i="3" s="1"/>
  <c r="H29" i="3" s="1"/>
  <c r="H36" i="3" s="1"/>
  <c r="E14" i="3"/>
  <c r="F14" i="3" s="1"/>
  <c r="F12" i="3" s="1"/>
  <c r="F11" i="3" s="1"/>
  <c r="F29" i="3" s="1"/>
  <c r="F36" i="3" s="1"/>
  <c r="C14" i="3"/>
  <c r="D14" i="3" s="1"/>
  <c r="D12" i="3" s="1"/>
  <c r="C13" i="3"/>
  <c r="J12" i="3"/>
  <c r="I12" i="3"/>
  <c r="I11" i="3" s="1"/>
  <c r="I29" i="3" s="1"/>
  <c r="I36" i="3" s="1"/>
  <c r="I37" i="3" s="1"/>
  <c r="G12" i="3"/>
  <c r="G11" i="3" s="1"/>
  <c r="G29" i="3" s="1"/>
  <c r="G36" i="3" s="1"/>
  <c r="G37" i="3" s="1"/>
  <c r="E12" i="3"/>
  <c r="E11" i="3" s="1"/>
  <c r="E29" i="3" s="1"/>
  <c r="E36" i="3" s="1"/>
  <c r="E37" i="3" s="1"/>
  <c r="C12" i="3"/>
  <c r="C11" i="3" s="1"/>
  <c r="C29" i="3" s="1"/>
  <c r="J11" i="3"/>
  <c r="J29" i="3" s="1"/>
  <c r="J36" i="3" s="1"/>
  <c r="J37" i="3" s="1"/>
  <c r="M44" i="6"/>
  <c r="R42" i="6"/>
  <c r="K42" i="6"/>
  <c r="I42" i="6"/>
  <c r="G42" i="6"/>
  <c r="E42" i="6"/>
  <c r="K40" i="6"/>
  <c r="I40" i="6"/>
  <c r="G40" i="6"/>
  <c r="E40" i="6"/>
  <c r="M39" i="6"/>
  <c r="P38" i="6"/>
  <c r="K37" i="6"/>
  <c r="L37" i="6" s="1"/>
  <c r="I37" i="6"/>
  <c r="J37" i="6" s="1"/>
  <c r="G37" i="6"/>
  <c r="H37" i="6" s="1"/>
  <c r="E37" i="6"/>
  <c r="K36" i="6"/>
  <c r="L36" i="6" s="1"/>
  <c r="I36" i="6"/>
  <c r="J36" i="6" s="1"/>
  <c r="G36" i="6"/>
  <c r="H36" i="6" s="1"/>
  <c r="E36" i="6"/>
  <c r="F36" i="6" s="1"/>
  <c r="K35" i="6"/>
  <c r="L35" i="6" s="1"/>
  <c r="I35" i="6"/>
  <c r="J35" i="6" s="1"/>
  <c r="G35" i="6"/>
  <c r="H35" i="6" s="1"/>
  <c r="E35" i="6"/>
  <c r="M35" i="6" s="1"/>
  <c r="K34" i="6"/>
  <c r="L34" i="6" s="1"/>
  <c r="I34" i="6"/>
  <c r="J34" i="6" s="1"/>
  <c r="G34" i="6"/>
  <c r="H34" i="6" s="1"/>
  <c r="E34" i="6"/>
  <c r="M34" i="6" s="1"/>
  <c r="I33" i="6"/>
  <c r="E33" i="6"/>
  <c r="K31" i="6"/>
  <c r="L31" i="6" s="1"/>
  <c r="I31" i="6"/>
  <c r="J31" i="6" s="1"/>
  <c r="G31" i="6"/>
  <c r="H31" i="6" s="1"/>
  <c r="E31" i="6"/>
  <c r="F31" i="6" s="1"/>
  <c r="K30" i="6"/>
  <c r="L30" i="6" s="1"/>
  <c r="I30" i="6"/>
  <c r="J30" i="6" s="1"/>
  <c r="G30" i="6"/>
  <c r="H30" i="6" s="1"/>
  <c r="E30" i="6"/>
  <c r="K29" i="6"/>
  <c r="L29" i="6" s="1"/>
  <c r="I29" i="6"/>
  <c r="J29" i="6" s="1"/>
  <c r="G29" i="6"/>
  <c r="H29" i="6" s="1"/>
  <c r="H28" i="6" s="1"/>
  <c r="E29" i="6"/>
  <c r="F29" i="6" s="1"/>
  <c r="K28" i="6"/>
  <c r="I28" i="6"/>
  <c r="G28" i="6"/>
  <c r="E28" i="6"/>
  <c r="K27" i="6"/>
  <c r="L27" i="6" s="1"/>
  <c r="I27" i="6"/>
  <c r="J27" i="6" s="1"/>
  <c r="G27" i="6"/>
  <c r="H27" i="6" s="1"/>
  <c r="E27" i="6"/>
  <c r="M27" i="6" s="1"/>
  <c r="K26" i="6"/>
  <c r="L26" i="6" s="1"/>
  <c r="I26" i="6"/>
  <c r="J26" i="6" s="1"/>
  <c r="G26" i="6"/>
  <c r="H26" i="6" s="1"/>
  <c r="E26" i="6"/>
  <c r="F26" i="6" s="1"/>
  <c r="K25" i="6"/>
  <c r="L25" i="6" s="1"/>
  <c r="I25" i="6"/>
  <c r="J25" i="6" s="1"/>
  <c r="G25" i="6"/>
  <c r="H25" i="6" s="1"/>
  <c r="E25" i="6"/>
  <c r="M25" i="6" s="1"/>
  <c r="K24" i="6"/>
  <c r="I24" i="6"/>
  <c r="E24" i="6"/>
  <c r="K23" i="6"/>
  <c r="L23" i="6" s="1"/>
  <c r="I23" i="6"/>
  <c r="J23" i="6" s="1"/>
  <c r="G23" i="6"/>
  <c r="H23" i="6" s="1"/>
  <c r="E23" i="6"/>
  <c r="F23" i="6" s="1"/>
  <c r="K22" i="6"/>
  <c r="I22" i="6"/>
  <c r="G22" i="6"/>
  <c r="E22" i="6"/>
  <c r="K21" i="6"/>
  <c r="L21" i="6" s="1"/>
  <c r="I21" i="6"/>
  <c r="J21" i="6" s="1"/>
  <c r="G21" i="6"/>
  <c r="H21" i="6" s="1"/>
  <c r="E21" i="6"/>
  <c r="F21" i="6" s="1"/>
  <c r="K20" i="6"/>
  <c r="I20" i="6"/>
  <c r="G20" i="6"/>
  <c r="E20" i="6"/>
  <c r="M20" i="6" s="1"/>
  <c r="K19" i="6"/>
  <c r="K43" i="6" s="1"/>
  <c r="I19" i="6"/>
  <c r="I43" i="6" s="1"/>
  <c r="G19" i="6"/>
  <c r="G43" i="6" s="1"/>
  <c r="E19" i="6"/>
  <c r="E43" i="6" s="1"/>
  <c r="K18" i="6"/>
  <c r="L18" i="6" s="1"/>
  <c r="I18" i="6"/>
  <c r="J18" i="6" s="1"/>
  <c r="G18" i="6"/>
  <c r="H18" i="6" s="1"/>
  <c r="E18" i="6"/>
  <c r="M18" i="6" s="1"/>
  <c r="K17" i="6"/>
  <c r="L17" i="6" s="1"/>
  <c r="I17" i="6"/>
  <c r="J17" i="6" s="1"/>
  <c r="G17" i="6"/>
  <c r="H17" i="6" s="1"/>
  <c r="E17" i="6"/>
  <c r="F17" i="6" s="1"/>
  <c r="K16" i="6"/>
  <c r="L16" i="6" s="1"/>
  <c r="I16" i="6"/>
  <c r="J16" i="6" s="1"/>
  <c r="G16" i="6"/>
  <c r="H16" i="6" s="1"/>
  <c r="E16" i="6"/>
  <c r="M16" i="6" s="1"/>
  <c r="K15" i="6"/>
  <c r="L15" i="6" s="1"/>
  <c r="I15" i="6"/>
  <c r="J15" i="6" s="1"/>
  <c r="G15" i="6"/>
  <c r="H15" i="6" s="1"/>
  <c r="E15" i="6"/>
  <c r="F15" i="6" s="1"/>
  <c r="K14" i="6"/>
  <c r="L14" i="6" s="1"/>
  <c r="I14" i="6"/>
  <c r="J14" i="6" s="1"/>
  <c r="G14" i="6"/>
  <c r="H14" i="6" s="1"/>
  <c r="E14" i="6"/>
  <c r="M14" i="6" s="1"/>
  <c r="K13" i="6"/>
  <c r="L13" i="6" s="1"/>
  <c r="I13" i="6"/>
  <c r="J13" i="6" s="1"/>
  <c r="G13" i="6"/>
  <c r="H13" i="6" s="1"/>
  <c r="E13" i="6"/>
  <c r="F13" i="6" s="1"/>
  <c r="K12" i="6"/>
  <c r="L12" i="6" s="1"/>
  <c r="L11" i="6" s="1"/>
  <c r="I12" i="6"/>
  <c r="J12" i="6" s="1"/>
  <c r="J11" i="6" s="1"/>
  <c r="G12" i="6"/>
  <c r="H12" i="6" s="1"/>
  <c r="H11" i="6" s="1"/>
  <c r="E12" i="6"/>
  <c r="M12" i="6" s="1"/>
  <c r="I11" i="6"/>
  <c r="E11" i="6"/>
  <c r="I10" i="6"/>
  <c r="I32" i="6" s="1"/>
  <c r="I38" i="6" s="1"/>
  <c r="E10" i="6"/>
  <c r="E32" i="6" s="1"/>
  <c r="C5" i="6"/>
  <c r="D42" i="2" l="1"/>
  <c r="D12" i="2"/>
  <c r="D11" i="2" s="1"/>
  <c r="H42" i="2"/>
  <c r="H12" i="2"/>
  <c r="H11" i="2" s="1"/>
  <c r="F42" i="2"/>
  <c r="F12" i="2"/>
  <c r="F11" i="2" s="1"/>
  <c r="J42" i="2"/>
  <c r="J12" i="2"/>
  <c r="J11" i="2" s="1"/>
  <c r="C28" i="2"/>
  <c r="E28" i="2"/>
  <c r="F28" i="2" s="1"/>
  <c r="G28" i="2"/>
  <c r="H28" i="2" s="1"/>
  <c r="I28" i="2"/>
  <c r="J28" i="2" s="1"/>
  <c r="C29" i="5"/>
  <c r="D30" i="5" s="1"/>
  <c r="C28" i="5"/>
  <c r="E29" i="5"/>
  <c r="E28" i="5"/>
  <c r="D29" i="5"/>
  <c r="D28" i="5"/>
  <c r="F29" i="5"/>
  <c r="F28" i="5"/>
  <c r="D10" i="4"/>
  <c r="D24" i="4" s="1"/>
  <c r="D31" i="4" s="1"/>
  <c r="H10" i="4"/>
  <c r="H24" i="4" s="1"/>
  <c r="H31" i="4" s="1"/>
  <c r="F14" i="4"/>
  <c r="K14" i="4"/>
  <c r="F15" i="4"/>
  <c r="K15" i="4"/>
  <c r="E16" i="4"/>
  <c r="I16" i="4"/>
  <c r="C19" i="4"/>
  <c r="G19" i="4"/>
  <c r="F20" i="4"/>
  <c r="K20" i="4"/>
  <c r="F21" i="4"/>
  <c r="K21" i="4"/>
  <c r="C13" i="4"/>
  <c r="C10" i="4" s="1"/>
  <c r="C24" i="4" s="1"/>
  <c r="C31" i="4" s="1"/>
  <c r="E13" i="4"/>
  <c r="E10" i="4" s="1"/>
  <c r="E24" i="4" s="1"/>
  <c r="E31" i="4" s="1"/>
  <c r="G13" i="4"/>
  <c r="G10" i="4" s="1"/>
  <c r="G24" i="4" s="1"/>
  <c r="G31" i="4" s="1"/>
  <c r="I13" i="4"/>
  <c r="I10" i="4" s="1"/>
  <c r="I24" i="4" s="1"/>
  <c r="I31" i="4" s="1"/>
  <c r="C36" i="3"/>
  <c r="C37" i="3" s="1"/>
  <c r="L29" i="3"/>
  <c r="D21" i="3"/>
  <c r="D11" i="3" s="1"/>
  <c r="D29" i="3" s="1"/>
  <c r="D36" i="3" s="1"/>
  <c r="D24" i="3"/>
  <c r="M37" i="6"/>
  <c r="F22" i="6"/>
  <c r="F20" i="6" s="1"/>
  <c r="H22" i="6"/>
  <c r="H20" i="6" s="1"/>
  <c r="J22" i="6"/>
  <c r="J20" i="6" s="1"/>
  <c r="L22" i="6"/>
  <c r="L20" i="6" s="1"/>
  <c r="G24" i="6"/>
  <c r="F25" i="6"/>
  <c r="H24" i="6"/>
  <c r="L24" i="6"/>
  <c r="M28" i="6"/>
  <c r="M30" i="6"/>
  <c r="G33" i="6"/>
  <c r="K33" i="6"/>
  <c r="F34" i="6"/>
  <c r="H33" i="6"/>
  <c r="G11" i="6"/>
  <c r="G10" i="6" s="1"/>
  <c r="G32" i="6" s="1"/>
  <c r="G38" i="6" s="1"/>
  <c r="K11" i="6"/>
  <c r="K10" i="6" s="1"/>
  <c r="K32" i="6" s="1"/>
  <c r="K38" i="6" s="1"/>
  <c r="F12" i="6"/>
  <c r="F14" i="6"/>
  <c r="F16" i="6"/>
  <c r="F18" i="6"/>
  <c r="M24" i="6"/>
  <c r="J24" i="6"/>
  <c r="L28" i="6"/>
  <c r="M33" i="6"/>
  <c r="J33" i="6"/>
  <c r="L33" i="6"/>
  <c r="M13" i="6"/>
  <c r="M15" i="6"/>
  <c r="M17" i="6"/>
  <c r="M19" i="6"/>
  <c r="M21" i="6"/>
  <c r="P28" i="6"/>
  <c r="J28" i="6"/>
  <c r="M32" i="6"/>
  <c r="E38" i="6"/>
  <c r="M10" i="6"/>
  <c r="F19" i="6"/>
  <c r="H19" i="6"/>
  <c r="H10" i="6" s="1"/>
  <c r="H32" i="6" s="1"/>
  <c r="H38" i="6" s="1"/>
  <c r="J19" i="6"/>
  <c r="J10" i="6" s="1"/>
  <c r="J32" i="6" s="1"/>
  <c r="J38" i="6" s="1"/>
  <c r="L19" i="6"/>
  <c r="L10" i="6" s="1"/>
  <c r="L32" i="6" s="1"/>
  <c r="L38" i="6" s="1"/>
  <c r="P24" i="6"/>
  <c r="M23" i="6"/>
  <c r="M26" i="6"/>
  <c r="F27" i="6"/>
  <c r="F24" i="6" s="1"/>
  <c r="M29" i="6"/>
  <c r="F30" i="6"/>
  <c r="F28" i="6" s="1"/>
  <c r="M31" i="6"/>
  <c r="F35" i="6"/>
  <c r="M36" i="6"/>
  <c r="F37" i="6"/>
  <c r="M22" i="6"/>
  <c r="M40" i="6"/>
  <c r="O12" i="6" s="1"/>
  <c r="AB9" i="1"/>
  <c r="I33" i="2" l="1"/>
  <c r="E33" i="2"/>
  <c r="G33" i="2"/>
  <c r="C33" i="2"/>
  <c r="K19" i="4"/>
  <c r="K13" i="4"/>
  <c r="K10" i="4" s="1"/>
  <c r="K24" i="4" s="1"/>
  <c r="K31" i="4" s="1"/>
  <c r="F19" i="4"/>
  <c r="F13" i="4"/>
  <c r="F10" i="4" s="1"/>
  <c r="F24" i="4" s="1"/>
  <c r="F31" i="4" s="1"/>
  <c r="M11" i="6"/>
  <c r="F11" i="6"/>
  <c r="O39" i="6"/>
  <c r="O31" i="6"/>
  <c r="O26" i="6"/>
  <c r="O35" i="6"/>
  <c r="O33" i="6"/>
  <c r="O27" i="6"/>
  <c r="O24" i="6"/>
  <c r="O10" i="6"/>
  <c r="M38" i="6"/>
  <c r="N10" i="6" s="1"/>
  <c r="O32" i="6"/>
  <c r="P42" i="6"/>
  <c r="P32" i="6"/>
  <c r="N32" i="6"/>
  <c r="O28" i="6"/>
  <c r="M43" i="6"/>
  <c r="N19" i="6"/>
  <c r="O19" i="6"/>
  <c r="N15" i="6"/>
  <c r="O15" i="6"/>
  <c r="O20" i="6"/>
  <c r="O11" i="6"/>
  <c r="N36" i="6"/>
  <c r="O36" i="6"/>
  <c r="N29" i="6"/>
  <c r="O29" i="6"/>
  <c r="O22" i="6"/>
  <c r="N22" i="6"/>
  <c r="F33" i="6"/>
  <c r="N23" i="6"/>
  <c r="O23" i="6"/>
  <c r="O34" i="6"/>
  <c r="O25" i="6"/>
  <c r="O37" i="6"/>
  <c r="O30" i="6"/>
  <c r="N21" i="6"/>
  <c r="O21" i="6"/>
  <c r="N17" i="6"/>
  <c r="O17" i="6"/>
  <c r="N13" i="6"/>
  <c r="O13" i="6"/>
  <c r="O18" i="6"/>
  <c r="O16" i="6"/>
  <c r="O14" i="6"/>
  <c r="F10" i="6"/>
  <c r="F32" i="6" s="1"/>
  <c r="F38" i="6" s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B9" i="1"/>
  <c r="AA7" i="1"/>
  <c r="Z7" i="1"/>
  <c r="AA5" i="1"/>
  <c r="Z5" i="1"/>
  <c r="H33" i="2" l="1"/>
  <c r="G40" i="2"/>
  <c r="F33" i="2"/>
  <c r="E40" i="2"/>
  <c r="D33" i="2"/>
  <c r="C40" i="2"/>
  <c r="J33" i="2"/>
  <c r="I40" i="2"/>
  <c r="M45" i="6"/>
  <c r="N43" i="6"/>
  <c r="N38" i="6"/>
  <c r="O38" i="6"/>
  <c r="N11" i="6"/>
  <c r="N20" i="6"/>
  <c r="N28" i="6"/>
  <c r="N27" i="6"/>
  <c r="N33" i="6"/>
  <c r="N35" i="6"/>
  <c r="N12" i="6"/>
  <c r="N14" i="6"/>
  <c r="N16" i="6"/>
  <c r="N18" i="6"/>
  <c r="N30" i="6"/>
  <c r="N37" i="6"/>
  <c r="N24" i="6"/>
  <c r="N25" i="6"/>
  <c r="N34" i="6"/>
  <c r="N39" i="6"/>
  <c r="N26" i="6"/>
  <c r="N31" i="6"/>
  <c r="I41" i="2" l="1"/>
  <c r="I51" i="2" s="1"/>
  <c r="J40" i="2"/>
  <c r="D40" i="2"/>
  <c r="C41" i="2"/>
  <c r="C51" i="2" s="1"/>
  <c r="E41" i="2"/>
  <c r="E51" i="2" s="1"/>
  <c r="F40" i="2"/>
  <c r="H40" i="2"/>
  <c r="G41" i="2"/>
  <c r="G51" i="2" s="1"/>
  <c r="H43" i="2" l="1"/>
  <c r="H44" i="2"/>
  <c r="H45" i="2" s="1"/>
  <c r="F43" i="2"/>
  <c r="F44" i="2"/>
  <c r="F45" i="2" s="1"/>
  <c r="J43" i="2"/>
  <c r="J44" i="2"/>
  <c r="J45" i="2" s="1"/>
  <c r="D43" i="2"/>
  <c r="D44" i="2"/>
  <c r="D45" i="2" s="1"/>
</calcChain>
</file>

<file path=xl/sharedStrings.xml><?xml version="1.0" encoding="utf-8"?>
<sst xmlns="http://schemas.openxmlformats.org/spreadsheetml/2006/main" count="432" uniqueCount="211">
  <si>
    <t>опалення</t>
  </si>
  <si>
    <t>ГВП</t>
  </si>
  <si>
    <t>Гкал</t>
  </si>
  <si>
    <t>тис.грн.</t>
  </si>
  <si>
    <t>січень</t>
  </si>
  <si>
    <t>лютий</t>
  </si>
  <si>
    <t>березень</t>
  </si>
  <si>
    <t>квітень</t>
  </si>
  <si>
    <t>листопад</t>
  </si>
  <si>
    <t>грудень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</si>
  <si>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</si>
  <si>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</si>
  <si>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</si>
  <si>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</si>
  <si>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</si>
  <si>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</si>
  <si>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послуга</t>
  </si>
  <si>
    <t>всього 2018 рік</t>
  </si>
  <si>
    <t>с приладами обліку</t>
  </si>
  <si>
    <t>без приладів обліку</t>
  </si>
  <si>
    <t>з рушникосушильником</t>
  </si>
  <si>
    <t>без рушникосушильників</t>
  </si>
  <si>
    <t>Додаток 1</t>
  </si>
  <si>
    <t>до рішення виконавчого комітету</t>
  </si>
  <si>
    <t>від                      №</t>
  </si>
  <si>
    <t>Структура тарифа на теплову енергію</t>
  </si>
  <si>
    <t>(найменування ліцензіата)</t>
  </si>
  <si>
    <t>без ПДВ</t>
  </si>
  <si>
    <t>№ з/п</t>
  </si>
  <si>
    <t>Показники</t>
  </si>
  <si>
    <t>Для потреб населення</t>
  </si>
  <si>
    <t>Для  потреб бюджетних установ</t>
  </si>
  <si>
    <t>Для  потреб інших споживачів</t>
  </si>
  <si>
    <t>Для  потреб релігії</t>
  </si>
  <si>
    <t>Всього, тис.грн.</t>
  </si>
  <si>
    <t>Питома вага, %</t>
  </si>
  <si>
    <t>грн/Гкал</t>
  </si>
  <si>
    <t>Виробнича собівартість, у  т.ч.:</t>
  </si>
  <si>
    <t>1.1</t>
  </si>
  <si>
    <t>прямі матеріальні витрати, у т.ч.:</t>
  </si>
  <si>
    <t>1.1.1</t>
  </si>
  <si>
    <t>витрати на паливо</t>
  </si>
  <si>
    <t>ел</t>
  </si>
  <si>
    <t>1.1.2</t>
  </si>
  <si>
    <t>витрати на електроенергію</t>
  </si>
  <si>
    <t>1.1.3</t>
  </si>
  <si>
    <t xml:space="preserve">витрати на покупну теплову енергію   </t>
  </si>
  <si>
    <t>1.1.4</t>
  </si>
  <si>
    <t>собівартість теплової енергії власних  КГУ</t>
  </si>
  <si>
    <t>1.1.5</t>
  </si>
  <si>
    <t>транспортування теплової енергії</t>
  </si>
  <si>
    <t>собівартість теплової енергії власних ТЕЦ, ТЕС, АЕС, когенераційних установок</t>
  </si>
  <si>
    <t>1.1.6</t>
  </si>
  <si>
    <t>вода для технологічних потреб та водовідведення</t>
  </si>
  <si>
    <t>мат</t>
  </si>
  <si>
    <t>1.1.7</t>
  </si>
  <si>
    <t>матеріали, запасні  частини та інші матеріальні ресурси</t>
  </si>
  <si>
    <t>1.2</t>
  </si>
  <si>
    <t>прямі витрати на оплату праці</t>
  </si>
  <si>
    <t>1.3</t>
  </si>
  <si>
    <t>інші прямі витрати, у т.ч.:</t>
  </si>
  <si>
    <t>1.3.1</t>
  </si>
  <si>
    <t xml:space="preserve"> відрахування  на соціальні заходи</t>
  </si>
  <si>
    <t>1.3.2</t>
  </si>
  <si>
    <t xml:space="preserve"> амортизаційні відрахування</t>
  </si>
  <si>
    <t>іп</t>
  </si>
  <si>
    <t>1.3.3</t>
  </si>
  <si>
    <t xml:space="preserve"> інші прямі витрати</t>
  </si>
  <si>
    <t>1.4</t>
  </si>
  <si>
    <t>загальновиробничі витрати, у т.ч.:</t>
  </si>
  <si>
    <t>1.4.1</t>
  </si>
  <si>
    <t>витрати на оплату праці</t>
  </si>
  <si>
    <t>1.4.2</t>
  </si>
  <si>
    <t>відрахування  на соціальні заходи</t>
  </si>
  <si>
    <t>1.4.3</t>
  </si>
  <si>
    <t>інші витрати</t>
  </si>
  <si>
    <t>Адміністративні витрати, у т.ч.:</t>
  </si>
  <si>
    <t>2.1</t>
  </si>
  <si>
    <t>2.2</t>
  </si>
  <si>
    <t>відрахування на соціальні заходи</t>
  </si>
  <si>
    <t>2.3</t>
  </si>
  <si>
    <t>Повна собівартість*</t>
  </si>
  <si>
    <t>Розрахунковий прибуток, усього *, у т.ч.:</t>
  </si>
  <si>
    <t>7.1</t>
  </si>
  <si>
    <t>податок на прибуток</t>
  </si>
  <si>
    <t>7.2</t>
  </si>
  <si>
    <t xml:space="preserve"> дивіденди</t>
  </si>
  <si>
    <t>7.3</t>
  </si>
  <si>
    <t xml:space="preserve"> резервний фонд (капітал)</t>
  </si>
  <si>
    <t>7.4</t>
  </si>
  <si>
    <t>на розвиток виробництва (виробничі інвестиції)</t>
  </si>
  <si>
    <t>Вартість виробництва теплової енергії за відповідними тарифами</t>
  </si>
  <si>
    <t>прибуток</t>
  </si>
  <si>
    <t>Середні тарифи на теплову енергію, грн/ГкалТарифи на виробництво теплової енергії</t>
  </si>
  <si>
    <t>Обсяг реалізації  теплової енергії власним споживачам, Гкал</t>
  </si>
  <si>
    <t>11</t>
  </si>
  <si>
    <t>Рівень рентабельності, %</t>
  </si>
  <si>
    <t>ФОТ С ОТЧИСЛЕНИЯМИ</t>
  </si>
  <si>
    <t>была в 2013 года</t>
  </si>
  <si>
    <t>ФОТ ПОСЛУГА+ВНЕШТАТНИКИ</t>
  </si>
  <si>
    <t>всего</t>
  </si>
  <si>
    <t>Директор ДКППВ ПАТ "Сумське НВО"</t>
  </si>
  <si>
    <t>М.В. Жовтобрюх</t>
  </si>
  <si>
    <t>Додаток 2</t>
  </si>
  <si>
    <r>
      <t xml:space="preserve">Структура тарифів на </t>
    </r>
    <r>
      <rPr>
        <b/>
        <sz val="14"/>
        <color rgb="FFC00000"/>
        <rFont val="Times New Roman"/>
        <family val="1"/>
        <charset val="204"/>
      </rPr>
      <t>виробництво</t>
    </r>
    <r>
      <rPr>
        <b/>
        <sz val="14"/>
        <rFont val="Times New Roman"/>
        <family val="1"/>
        <charset val="204"/>
      </rPr>
      <t xml:space="preserve"> теплової енергії</t>
    </r>
  </si>
  <si>
    <t>Публічного акціонерного товариства «Сумське машинобудівне науково-виробниче об'єднання»</t>
  </si>
  <si>
    <t xml:space="preserve">№ з/п </t>
  </si>
  <si>
    <t xml:space="preserve">Найменування показників </t>
  </si>
  <si>
    <t>Для потреб бюджетних установ</t>
  </si>
  <si>
    <t xml:space="preserve">Для потреб інших споживачів </t>
  </si>
  <si>
    <t>Для потреб релігійних                     організацій</t>
  </si>
  <si>
    <t>тис. грн на рік</t>
  </si>
  <si>
    <t xml:space="preserve">Виробнича собівартість, у т. ч.: </t>
  </si>
  <si>
    <t xml:space="preserve">прямі матеріальні витрати, у т. ч.: </t>
  </si>
  <si>
    <t>витрати на паливо для виробництва теплової енергії котельнями</t>
  </si>
  <si>
    <t xml:space="preserve">собівартість теплової енергії власних  КГУ
</t>
  </si>
  <si>
    <t>1.1.3.1</t>
  </si>
  <si>
    <t>витрати на паливо у собівартості теплової енергії власних ТЕЦ, ТЕС, АЕС, КГУ</t>
  </si>
  <si>
    <t>витрати на покупну теплову енергію</t>
  </si>
  <si>
    <t>1.1.4.1</t>
  </si>
  <si>
    <t>витрати на паливо у витратах на покупну теплову енергію</t>
  </si>
  <si>
    <t xml:space="preserve">вода для технологічних потреб та водовідведення </t>
  </si>
  <si>
    <t xml:space="preserve">матеріали, запасні частини та інші матеріальні ресурси </t>
  </si>
  <si>
    <t xml:space="preserve">прямі витрати на оплату праці з відрахуваннями на соціальні заходи </t>
  </si>
  <si>
    <t xml:space="preserve">інші прямі витрати, у т. ч.: </t>
  </si>
  <si>
    <t xml:space="preserve">амортизаційні відрахування </t>
  </si>
  <si>
    <t xml:space="preserve">інші прямі витрати </t>
  </si>
  <si>
    <t xml:space="preserve">загальновиробничі витрати, у т. ч.: </t>
  </si>
  <si>
    <t xml:space="preserve">витрати на оплату праці з відрахуваннями на соціальні заходи </t>
  </si>
  <si>
    <t xml:space="preserve">інші витрати </t>
  </si>
  <si>
    <t>2</t>
  </si>
  <si>
    <t xml:space="preserve">Адміністративні витрати, у т. ч.: 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</si>
  <si>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</si>
  <si>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</si>
  <si>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</si>
  <si>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</si>
  <si>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</si>
  <si>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 xml:space="preserve">податок на прибуток </t>
  </si>
  <si>
    <t xml:space="preserve">резервний фонд (капітал) та дивіденди </t>
  </si>
  <si>
    <t xml:space="preserve">на розвиток виробництва (виробничі інвестиції) </t>
  </si>
  <si>
    <t>інше використання прибутку (прибуток у тарифах ТЕЦ, ТЕС, КГУ)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</si>
  <si>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</si>
  <si>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</si>
  <si>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>9.1</t>
  </si>
  <si>
    <t>Паливна складова</t>
  </si>
  <si>
    <t>9.2</t>
  </si>
  <si>
    <t>Решта витрат, крім паливної складової</t>
  </si>
  <si>
    <t>10</t>
  </si>
  <si>
    <t>Паливна складова, %</t>
  </si>
  <si>
    <t>Решта витрат, крім паливної складової, %</t>
  </si>
  <si>
    <t xml:space="preserve">Обсяг реалізації теплової енергії власним споживачам, Гкал </t>
  </si>
  <si>
    <t>Директор Дирекції КППВ ПАТ "Сумське НВО"</t>
  </si>
  <si>
    <t>Додаток 3</t>
  </si>
  <si>
    <t>від                     №</t>
  </si>
  <si>
    <r>
      <t xml:space="preserve">Структура тарифів на </t>
    </r>
    <r>
      <rPr>
        <b/>
        <sz val="14"/>
        <color rgb="FFC00000"/>
        <rFont val="Times New Roman"/>
        <family val="1"/>
        <charset val="204"/>
      </rPr>
      <t>транспортування</t>
    </r>
    <r>
      <rPr>
        <b/>
        <sz val="14"/>
        <rFont val="Times New Roman"/>
        <family val="1"/>
        <charset val="204"/>
      </rPr>
      <t xml:space="preserve"> теплової енергії</t>
    </r>
  </si>
  <si>
    <t xml:space="preserve">без ПДВ </t>
  </si>
  <si>
    <t>Для потреб бюджетних  установ</t>
  </si>
  <si>
    <t>Для потреб релігійних              організацій</t>
  </si>
  <si>
    <t>витрати на електроенергію, у т. ч.:</t>
  </si>
  <si>
    <t xml:space="preserve">транспортування теплової енергії тепловими мережами інших підприємств </t>
  </si>
  <si>
    <t>3</t>
  </si>
  <si>
    <t>4</t>
  </si>
  <si>
    <t>5</t>
  </si>
  <si>
    <t xml:space="preserve">Повна собівартість </t>
  </si>
  <si>
    <t>6</t>
  </si>
  <si>
    <t xml:space="preserve">Розрахунковий прибуток,  у т. ч.: </t>
  </si>
  <si>
    <t xml:space="preserve">інше використання прибутку </t>
  </si>
  <si>
    <t>Вартість транспортування теплової енергії за відповідним тарифом</t>
  </si>
  <si>
    <t xml:space="preserve">Тарифи на транспортування теплової енергії, грн/Гкал </t>
  </si>
  <si>
    <t xml:space="preserve">Корисний відпуск теплової енергії з мереж ліцензіата, Гкал,  у т. ч.: </t>
  </si>
  <si>
    <t>Додаток 4</t>
  </si>
  <si>
    <r>
      <t>Структура тарифів на</t>
    </r>
    <r>
      <rPr>
        <b/>
        <sz val="17"/>
        <color rgb="FFC00000"/>
        <rFont val="Times New Roman"/>
        <family val="1"/>
        <charset val="204"/>
      </rPr>
      <t xml:space="preserve"> постачання</t>
    </r>
    <r>
      <rPr>
        <b/>
        <sz val="17"/>
        <rFont val="Times New Roman"/>
        <family val="1"/>
        <charset val="204"/>
      </rPr>
      <t xml:space="preserve"> теплової енергії</t>
    </r>
  </si>
  <si>
    <t>прямі матеріальні витрати</t>
  </si>
  <si>
    <t xml:space="preserve">Інші операційні витрати </t>
  </si>
  <si>
    <t xml:space="preserve">Вартість постачання теплової енергії за відповідним тарифом </t>
  </si>
  <si>
    <t xml:space="preserve">Тарифи на постачання теплової енергії, грн/Гкал </t>
  </si>
  <si>
    <t>Обсяг реалізації теплової енергії власним споживачам, Гкал</t>
  </si>
  <si>
    <t>Додаток 5</t>
  </si>
  <si>
    <t>до Порядку розгляду органами місцевого самоврядування розрахунків тарифів на теплову енергію, її виробництво, транспортування та постачання, а також  розрахунків тарифів на комунальні послуги, поданих для їх встановлення (підпункт 1 пункту 4 розділу II)</t>
  </si>
  <si>
    <t>Структура одноставкових тарифів на послуги постачання теплової енергії та  постачання гарячої води, що надаються населенню  публічним акціонерним товариством "Сумське машинобудівне науково-виробниче об'єднання"</t>
  </si>
  <si>
    <t>Назва показника</t>
  </si>
  <si>
    <t>Послуга з постачання теплової енергії</t>
  </si>
  <si>
    <t>Послуга з постачання гарячої води</t>
  </si>
  <si>
    <t xml:space="preserve"> для абонентів житлових будинків з будинковими та квартирними приладами обліку теплової енергії</t>
  </si>
  <si>
    <t xml:space="preserve"> для абонентів житлових будинків без будинкових та квартирних приладів обліку теплової енергії</t>
  </si>
  <si>
    <t>за умови підключення рушникосушиль-ників до системи гарячого водопостачання</t>
  </si>
  <si>
    <t>за умови відсутності рушникосушиль-ників</t>
  </si>
  <si>
    <r>
      <t>грн/м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на рік</t>
    </r>
  </si>
  <si>
    <r>
      <t>грн/м</t>
    </r>
    <r>
      <rPr>
        <vertAlign val="superscript"/>
        <sz val="11"/>
        <color indexed="8"/>
        <rFont val="Times New Roman"/>
        <family val="1"/>
        <charset val="204"/>
      </rPr>
      <t>3</t>
    </r>
  </si>
  <si>
    <t xml:space="preserve">Собівартість власної теплової енергії, врахована у встановлених тарифах на теплову енергію для потреб населення </t>
  </si>
  <si>
    <t>Витрати на утримання персоналу по наданню послуг,   усього, у тому числі:</t>
  </si>
  <si>
    <t xml:space="preserve"> 2.1</t>
  </si>
  <si>
    <t xml:space="preserve"> 2.2</t>
  </si>
  <si>
    <t>інші витрати абонентської служби</t>
  </si>
  <si>
    <t>Витрати  з проведення періодичної повірки, обслуговування і ремонту квартирних засобів обліку, у тому числі їх демонтажу, транспортування та монтажу після повірки</t>
  </si>
  <si>
    <t>x</t>
  </si>
  <si>
    <t>Витрати на придбання води на послугу з централізованого постачання гарячої води</t>
  </si>
  <si>
    <t>Решта витрат, крім послуг банку</t>
  </si>
  <si>
    <t>Собівартість послуг без урахування послуг банку</t>
  </si>
  <si>
    <t>Послуги банку</t>
  </si>
  <si>
    <t>Повна планова собівартість послуг з урахуванням послуг банку</t>
  </si>
  <si>
    <t>Розрахунковий прибуток, усього, у тому числі:</t>
  </si>
  <si>
    <t xml:space="preserve"> 9.1</t>
  </si>
  <si>
    <t>чистий прибуток</t>
  </si>
  <si>
    <t xml:space="preserve"> 9.2</t>
  </si>
  <si>
    <t>Плановані тарифи на послуги</t>
  </si>
  <si>
    <t>Податок на додану вартість</t>
  </si>
  <si>
    <t>Плановані тарифи на послуги з ПДВ</t>
  </si>
  <si>
    <r>
      <t>Планований тариф на послугу з централізованого опалення, грн/м</t>
    </r>
    <r>
      <rPr>
        <vertAlign val="superscript"/>
        <sz val="14"/>
        <color indexed="8"/>
        <rFont val="Times New Roman"/>
        <family val="1"/>
        <charset val="204"/>
      </rPr>
      <t>2</t>
    </r>
    <r>
      <rPr>
        <sz val="14"/>
        <rFont val="Arial Cyr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за місяць протягом опалювального періоду, з ПДВ</t>
    </r>
  </si>
  <si>
    <t>х</t>
  </si>
  <si>
    <t>Планована тривалість опалювального 
періоду, діб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</si>
</sst>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7" formatCode="0.00000000"/>
  </numFmts>
  <fonts count="4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7"/>
      <color rgb="FFC0000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11"/>
      <color rgb="FF292B2C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0" fontId="19" fillId="0" borderId="0"/>
    <xf numFmtId="0" fontId="13" fillId="0" borderId="0"/>
  </cellStyleXfs>
  <cellXfs count="40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4" fillId="0" borderId="0" xfId="3" applyNumberFormat="1" applyFont="1"/>
    <xf numFmtId="49" fontId="4" fillId="0" borderId="0" xfId="3" applyNumberFormat="1" applyFont="1" applyAlignment="1">
      <alignment horizontal="center"/>
    </xf>
    <xf numFmtId="0" fontId="4" fillId="0" borderId="0" xfId="3" applyFont="1"/>
    <xf numFmtId="0" fontId="5" fillId="0" borderId="0" xfId="3" applyFont="1" applyFill="1" applyBorder="1"/>
    <xf numFmtId="0" fontId="6" fillId="0" borderId="0" xfId="3" applyFont="1" applyFill="1" applyBorder="1"/>
    <xf numFmtId="0" fontId="5" fillId="0" borderId="0" xfId="3" applyFont="1" applyFill="1" applyBorder="1" applyAlignment="1">
      <alignment horizontal="justify" wrapText="1"/>
    </xf>
    <xf numFmtId="0" fontId="7" fillId="0" borderId="0" xfId="3" applyFont="1" applyFill="1" applyBorder="1" applyAlignment="1" applyProtection="1">
      <alignment horizontal="center"/>
    </xf>
    <xf numFmtId="49" fontId="4" fillId="0" borderId="0" xfId="3" applyNumberFormat="1" applyFont="1" applyProtection="1"/>
    <xf numFmtId="49" fontId="4" fillId="0" borderId="0" xfId="3" applyNumberFormat="1" applyFont="1" applyAlignment="1" applyProtection="1">
      <alignment horizontal="center"/>
    </xf>
    <xf numFmtId="0" fontId="1" fillId="0" borderId="0" xfId="0" applyFont="1" applyAlignment="1"/>
    <xf numFmtId="0" fontId="8" fillId="0" borderId="0" xfId="3" applyFont="1" applyAlignment="1" applyProtection="1">
      <alignment horizontal="center"/>
    </xf>
    <xf numFmtId="0" fontId="4" fillId="0" borderId="0" xfId="3" applyFont="1" applyProtection="1"/>
    <xf numFmtId="0" fontId="9" fillId="0" borderId="0" xfId="3" applyNumberFormat="1" applyFont="1" applyAlignment="1" applyProtection="1">
      <alignment horizontal="center"/>
    </xf>
    <xf numFmtId="0" fontId="4" fillId="0" borderId="0" xfId="0" applyFont="1" applyAlignment="1"/>
    <xf numFmtId="0" fontId="4" fillId="0" borderId="0" xfId="3" applyNumberFormat="1" applyFont="1" applyBorder="1" applyAlignment="1" applyProtection="1">
      <alignment horizontal="center"/>
    </xf>
    <xf numFmtId="0" fontId="4" fillId="0" borderId="0" xfId="3" applyNumberFormat="1" applyFont="1" applyAlignment="1" applyProtection="1">
      <alignment horizontal="center"/>
    </xf>
    <xf numFmtId="0" fontId="10" fillId="0" borderId="4" xfId="3" applyFont="1" applyBorder="1" applyAlignment="1" applyProtection="1">
      <alignment horizontal="center" vertical="top"/>
    </xf>
    <xf numFmtId="0" fontId="4" fillId="0" borderId="4" xfId="0" applyFont="1" applyBorder="1" applyAlignment="1"/>
    <xf numFmtId="0" fontId="10" fillId="0" borderId="5" xfId="3" applyFont="1" applyBorder="1" applyAlignment="1" applyProtection="1">
      <alignment horizontal="center" vertical="top"/>
    </xf>
    <xf numFmtId="49" fontId="10" fillId="0" borderId="2" xfId="3" applyNumberFormat="1" applyFont="1" applyBorder="1" applyAlignment="1" applyProtection="1">
      <alignment vertical="center" wrapText="1"/>
    </xf>
    <xf numFmtId="49" fontId="10" fillId="0" borderId="6" xfId="3" applyNumberFormat="1" applyFont="1" applyBorder="1" applyAlignment="1" applyProtection="1">
      <alignment horizontal="center" vertical="center" wrapText="1"/>
    </xf>
    <xf numFmtId="0" fontId="1" fillId="0" borderId="7" xfId="3" applyFont="1" applyBorder="1" applyAlignment="1" applyProtection="1">
      <alignment horizontal="center" vertical="center" wrapText="1"/>
    </xf>
    <xf numFmtId="0" fontId="11" fillId="0" borderId="8" xfId="3" applyFont="1" applyBorder="1" applyAlignment="1" applyProtection="1">
      <alignment horizontal="center" vertical="center" wrapText="1"/>
    </xf>
    <xf numFmtId="0" fontId="11" fillId="0" borderId="9" xfId="3" applyFont="1" applyBorder="1" applyAlignment="1" applyProtection="1">
      <alignment horizontal="center" vertical="center" wrapText="1"/>
    </xf>
    <xf numFmtId="0" fontId="11" fillId="0" borderId="10" xfId="3" applyFont="1" applyBorder="1" applyAlignment="1" applyProtection="1">
      <alignment horizontal="center" vertical="center" wrapText="1"/>
    </xf>
    <xf numFmtId="0" fontId="11" fillId="0" borderId="11" xfId="3" applyFont="1" applyBorder="1" applyAlignment="1" applyProtection="1">
      <alignment horizontal="center" vertical="center" wrapText="1"/>
    </xf>
    <xf numFmtId="0" fontId="11" fillId="0" borderId="9" xfId="3" applyFont="1" applyBorder="1" applyAlignment="1" applyProtection="1">
      <alignment horizontal="center" vertical="center"/>
    </xf>
    <xf numFmtId="0" fontId="11" fillId="0" borderId="10" xfId="3" applyFont="1" applyBorder="1" applyAlignment="1" applyProtection="1">
      <alignment horizontal="center" vertical="center"/>
    </xf>
    <xf numFmtId="0" fontId="12" fillId="0" borderId="10" xfId="3" applyFont="1" applyBorder="1" applyAlignment="1" applyProtection="1">
      <alignment horizontal="center" vertical="center"/>
    </xf>
    <xf numFmtId="0" fontId="11" fillId="0" borderId="3" xfId="3" applyFont="1" applyBorder="1" applyAlignment="1" applyProtection="1">
      <alignment horizontal="center" vertical="center"/>
    </xf>
    <xf numFmtId="0" fontId="4" fillId="0" borderId="1" xfId="3" applyFont="1" applyBorder="1"/>
    <xf numFmtId="49" fontId="10" fillId="0" borderId="12" xfId="3" applyNumberFormat="1" applyFont="1" applyBorder="1" applyAlignment="1" applyProtection="1">
      <alignment horizontal="center" vertical="center" wrapText="1"/>
    </xf>
    <xf numFmtId="0" fontId="1" fillId="0" borderId="1" xfId="3" applyFont="1" applyBorder="1" applyAlignment="1" applyProtection="1">
      <alignment horizontal="center" vertical="center" wrapText="1"/>
    </xf>
    <xf numFmtId="0" fontId="11" fillId="0" borderId="13" xfId="3" applyFont="1" applyBorder="1" applyAlignment="1" applyProtection="1">
      <alignment horizontal="center" vertical="center" wrapText="1"/>
    </xf>
    <xf numFmtId="0" fontId="10" fillId="0" borderId="12" xfId="3" applyFont="1" applyBorder="1" applyAlignment="1" applyProtection="1">
      <alignment horizontal="center" vertical="center" wrapText="1"/>
    </xf>
    <xf numFmtId="0" fontId="10" fillId="0" borderId="14" xfId="3" applyFont="1" applyBorder="1" applyAlignment="1" applyProtection="1">
      <alignment horizontal="center" vertical="center" wrapText="1"/>
    </xf>
    <xf numFmtId="0" fontId="10" fillId="0" borderId="3" xfId="3" applyFont="1" applyBorder="1" applyAlignment="1" applyProtection="1">
      <alignment horizontal="center" vertical="center" wrapText="1"/>
    </xf>
    <xf numFmtId="0" fontId="10" fillId="0" borderId="2" xfId="3" applyFont="1" applyBorder="1" applyAlignment="1" applyProtection="1">
      <alignment horizontal="center" vertical="center" wrapText="1"/>
    </xf>
    <xf numFmtId="0" fontId="12" fillId="0" borderId="15" xfId="3" applyFont="1" applyBorder="1" applyAlignment="1" applyProtection="1">
      <alignment horizontal="center" vertical="center"/>
    </xf>
    <xf numFmtId="49" fontId="10" fillId="0" borderId="2" xfId="3" applyNumberFormat="1" applyFont="1" applyBorder="1" applyAlignment="1" applyProtection="1">
      <alignment horizontal="center" vertical="center" wrapText="1"/>
    </xf>
    <xf numFmtId="49" fontId="10" fillId="0" borderId="12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center" vertical="center" wrapText="1"/>
    </xf>
    <xf numFmtId="0" fontId="4" fillId="0" borderId="12" xfId="3" applyFont="1" applyBorder="1"/>
    <xf numFmtId="0" fontId="4" fillId="0" borderId="14" xfId="3" applyFont="1" applyBorder="1"/>
    <xf numFmtId="0" fontId="8" fillId="0" borderId="15" xfId="3" applyFont="1" applyBorder="1"/>
    <xf numFmtId="0" fontId="4" fillId="0" borderId="3" xfId="3" applyFont="1" applyBorder="1"/>
    <xf numFmtId="49" fontId="10" fillId="0" borderId="2" xfId="3" applyNumberFormat="1" applyFont="1" applyBorder="1" applyAlignment="1" applyProtection="1">
      <alignment horizontal="right" vertical="center" wrapText="1"/>
    </xf>
    <xf numFmtId="49" fontId="2" fillId="2" borderId="12" xfId="3" applyNumberFormat="1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4" fontId="8" fillId="2" borderId="12" xfId="3" applyNumberFormat="1" applyFont="1" applyFill="1" applyBorder="1" applyAlignment="1" applyProtection="1">
      <alignment horizontal="center" vertical="center" wrapText="1"/>
    </xf>
    <xf numFmtId="4" fontId="8" fillId="2" borderId="15" xfId="3" applyNumberFormat="1" applyFont="1" applyFill="1" applyBorder="1" applyAlignment="1" applyProtection="1">
      <alignment horizontal="center" vertical="center" wrapText="1"/>
    </xf>
    <xf numFmtId="4" fontId="8" fillId="2" borderId="3" xfId="3" applyNumberFormat="1" applyFont="1" applyFill="1" applyBorder="1" applyAlignment="1" applyProtection="1">
      <alignment horizontal="center" vertical="center" wrapText="1"/>
    </xf>
    <xf numFmtId="4" fontId="8" fillId="2" borderId="5" xfId="3" applyNumberFormat="1" applyFont="1" applyFill="1" applyBorder="1" applyAlignment="1" applyProtection="1">
      <alignment horizontal="center" vertical="center" wrapText="1"/>
    </xf>
    <xf numFmtId="9" fontId="8" fillId="2" borderId="3" xfId="2" applyFont="1" applyFill="1" applyBorder="1" applyAlignment="1" applyProtection="1">
      <alignment horizontal="center" vertical="center" wrapText="1"/>
    </xf>
    <xf numFmtId="2" fontId="4" fillId="0" borderId="0" xfId="3" applyNumberFormat="1" applyFont="1"/>
    <xf numFmtId="4" fontId="4" fillId="0" borderId="0" xfId="3" applyNumberFormat="1" applyFont="1"/>
    <xf numFmtId="49" fontId="2" fillId="3" borderId="12" xfId="3" applyNumberFormat="1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 applyProtection="1">
      <alignment vertical="center" wrapText="1"/>
    </xf>
    <xf numFmtId="0" fontId="2" fillId="3" borderId="2" xfId="3" applyFont="1" applyFill="1" applyBorder="1" applyAlignment="1" applyProtection="1">
      <alignment horizontal="center" vertical="center" wrapText="1"/>
    </xf>
    <xf numFmtId="4" fontId="14" fillId="3" borderId="12" xfId="3" applyNumberFormat="1" applyFont="1" applyFill="1" applyBorder="1" applyAlignment="1" applyProtection="1">
      <alignment horizontal="center" vertical="center" wrapText="1"/>
    </xf>
    <xf numFmtId="4" fontId="8" fillId="3" borderId="15" xfId="3" applyNumberFormat="1" applyFont="1" applyFill="1" applyBorder="1" applyAlignment="1" applyProtection="1">
      <alignment horizontal="center" vertical="center" wrapText="1"/>
    </xf>
    <xf numFmtId="4" fontId="14" fillId="3" borderId="3" xfId="3" applyNumberFormat="1" applyFont="1" applyFill="1" applyBorder="1" applyAlignment="1" applyProtection="1">
      <alignment horizontal="center" vertical="center" wrapText="1"/>
    </xf>
    <xf numFmtId="4" fontId="8" fillId="3" borderId="5" xfId="3" applyNumberFormat="1" applyFont="1" applyFill="1" applyBorder="1" applyAlignment="1" applyProtection="1">
      <alignment horizontal="center" vertical="center" wrapText="1"/>
    </xf>
    <xf numFmtId="10" fontId="8" fillId="3" borderId="3" xfId="2" applyNumberFormat="1" applyFont="1" applyFill="1" applyBorder="1" applyAlignment="1" applyProtection="1">
      <alignment horizontal="center" vertical="center" wrapText="1"/>
    </xf>
    <xf numFmtId="49" fontId="1" fillId="0" borderId="12" xfId="3" applyNumberFormat="1" applyFont="1" applyBorder="1" applyAlignment="1" applyProtection="1">
      <alignment horizontal="center" vertical="center" wrapText="1"/>
    </xf>
    <xf numFmtId="0" fontId="1" fillId="0" borderId="1" xfId="3" applyFont="1" applyBorder="1" applyAlignment="1" applyProtection="1">
      <alignment vertical="center" wrapText="1"/>
    </xf>
    <xf numFmtId="0" fontId="1" fillId="0" borderId="2" xfId="3" applyFont="1" applyBorder="1" applyAlignment="1" applyProtection="1">
      <alignment horizontal="center" vertical="center" wrapText="1"/>
    </xf>
    <xf numFmtId="4" fontId="15" fillId="0" borderId="12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3" applyNumberFormat="1" applyFont="1" applyFill="1" applyBorder="1" applyAlignment="1" applyProtection="1">
      <alignment horizontal="center" vertical="center" wrapText="1"/>
      <protection locked="0"/>
    </xf>
    <xf numFmtId="4" fontId="15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3" xfId="2" applyNumberFormat="1" applyFont="1" applyFill="1" applyBorder="1" applyAlignment="1" applyProtection="1">
      <alignment horizontal="center" vertical="center" wrapText="1"/>
    </xf>
    <xf numFmtId="4" fontId="15" fillId="0" borderId="12" xfId="3" applyNumberFormat="1" applyFont="1" applyFill="1" applyBorder="1" applyAlignment="1" applyProtection="1">
      <alignment horizontal="center" vertical="center" wrapText="1"/>
    </xf>
    <xf numFmtId="4" fontId="15" fillId="0" borderId="3" xfId="3" applyNumberFormat="1" applyFont="1" applyFill="1" applyBorder="1" applyAlignment="1" applyProtection="1">
      <alignment horizontal="center" vertical="center" wrapText="1"/>
    </xf>
    <xf numFmtId="4" fontId="4" fillId="0" borderId="2" xfId="3" applyNumberFormat="1" applyFont="1" applyFill="1" applyBorder="1" applyAlignment="1" applyProtection="1">
      <alignment horizontal="center" vertical="center" wrapText="1"/>
    </xf>
    <xf numFmtId="4" fontId="4" fillId="0" borderId="14" xfId="3" applyNumberFormat="1" applyFont="1" applyFill="1" applyBorder="1" applyAlignment="1" applyProtection="1">
      <alignment horizontal="center" vertical="center" wrapText="1"/>
    </xf>
    <xf numFmtId="2" fontId="4" fillId="4" borderId="0" xfId="3" applyNumberFormat="1" applyFont="1" applyFill="1"/>
    <xf numFmtId="4" fontId="15" fillId="0" borderId="14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3" applyNumberFormat="1" applyFont="1" applyFill="1" applyBorder="1" applyAlignment="1" applyProtection="1">
      <alignment horizontal="center" vertical="center" wrapText="1"/>
    </xf>
    <xf numFmtId="4" fontId="8" fillId="0" borderId="15" xfId="3" applyNumberFormat="1" applyFont="1" applyFill="1" applyBorder="1" applyAlignment="1" applyProtection="1">
      <alignment horizontal="center" vertical="center" wrapText="1"/>
    </xf>
    <xf numFmtId="4" fontId="14" fillId="2" borderId="12" xfId="3" applyNumberFormat="1" applyFont="1" applyFill="1" applyBorder="1" applyAlignment="1" applyProtection="1">
      <alignment horizontal="center" vertical="center" wrapText="1"/>
    </xf>
    <xf numFmtId="4" fontId="14" fillId="2" borderId="3" xfId="3" applyNumberFormat="1" applyFont="1" applyFill="1" applyBorder="1" applyAlignment="1" applyProtection="1">
      <alignment horizontal="center" vertical="center" wrapText="1"/>
    </xf>
    <xf numFmtId="10" fontId="8" fillId="2" borderId="3" xfId="2" applyNumberFormat="1" applyFont="1" applyFill="1" applyBorder="1" applyAlignment="1" applyProtection="1">
      <alignment horizontal="center" vertical="center" wrapText="1"/>
    </xf>
    <xf numFmtId="4" fontId="15" fillId="0" borderId="16" xfId="3" applyNumberFormat="1" applyFont="1" applyFill="1" applyBorder="1" applyAlignment="1" applyProtection="1">
      <alignment horizontal="center" vertical="center" wrapText="1"/>
    </xf>
    <xf numFmtId="49" fontId="16" fillId="0" borderId="2" xfId="3" applyNumberFormat="1" applyFont="1" applyBorder="1" applyAlignment="1" applyProtection="1">
      <alignment horizontal="right" vertical="center" wrapText="1"/>
    </xf>
    <xf numFmtId="4" fontId="8" fillId="0" borderId="0" xfId="3" applyNumberFormat="1" applyFont="1"/>
    <xf numFmtId="0" fontId="8" fillId="0" borderId="0" xfId="3" applyFont="1"/>
    <xf numFmtId="4" fontId="8" fillId="2" borderId="12" xfId="3" applyNumberFormat="1" applyFont="1" applyFill="1" applyBorder="1" applyAlignment="1" applyProtection="1">
      <alignment horizontal="center" vertical="center" wrapText="1"/>
      <protection locked="0"/>
    </xf>
    <xf numFmtId="4" fontId="8" fillId="2" borderId="15" xfId="3" applyNumberFormat="1" applyFont="1" applyFill="1" applyBorder="1" applyAlignment="1" applyProtection="1">
      <alignment horizontal="center" vertical="center" wrapText="1"/>
      <protection locked="0"/>
    </xf>
    <xf numFmtId="4" fontId="8" fillId="2" borderId="3" xfId="3" applyNumberFormat="1" applyFont="1" applyFill="1" applyBorder="1" applyAlignment="1" applyProtection="1">
      <alignment horizontal="center" vertical="center" wrapText="1"/>
      <protection locked="0"/>
    </xf>
    <xf numFmtId="4" fontId="8" fillId="2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4" applyFont="1"/>
    <xf numFmtId="4" fontId="4" fillId="0" borderId="12" xfId="3" applyNumberFormat="1" applyFont="1" applyFill="1" applyBorder="1" applyAlignment="1" applyProtection="1">
      <alignment horizontal="center" vertical="center" wrapText="1"/>
    </xf>
    <xf numFmtId="2" fontId="4" fillId="0" borderId="14" xfId="3" applyNumberFormat="1" applyFont="1" applyFill="1" applyBorder="1" applyAlignment="1" applyProtection="1">
      <alignment horizontal="center" vertical="center" wrapText="1"/>
    </xf>
    <xf numFmtId="2" fontId="15" fillId="0" borderId="2" xfId="3" applyNumberFormat="1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center" vertical="center" wrapText="1"/>
    </xf>
    <xf numFmtId="4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2" fontId="4" fillId="0" borderId="2" xfId="3" applyNumberFormat="1" applyFont="1" applyFill="1" applyBorder="1" applyAlignment="1" applyProtection="1">
      <alignment horizontal="center" vertical="center" wrapText="1"/>
    </xf>
    <xf numFmtId="49" fontId="2" fillId="4" borderId="12" xfId="3" applyNumberFormat="1" applyFont="1" applyFill="1" applyBorder="1" applyAlignment="1" applyProtection="1">
      <alignment horizontal="center" vertical="center" wrapText="1"/>
    </xf>
    <xf numFmtId="0" fontId="2" fillId="4" borderId="1" xfId="3" applyFont="1" applyFill="1" applyBorder="1" applyAlignment="1" applyProtection="1">
      <alignment vertical="center" wrapText="1"/>
    </xf>
    <xf numFmtId="0" fontId="2" fillId="4" borderId="2" xfId="3" applyFont="1" applyFill="1" applyBorder="1" applyAlignment="1" applyProtection="1">
      <alignment horizontal="center" vertical="center" wrapText="1"/>
    </xf>
    <xf numFmtId="4" fontId="8" fillId="4" borderId="12" xfId="3" applyNumberFormat="1" applyFont="1" applyFill="1" applyBorder="1" applyAlignment="1" applyProtection="1">
      <alignment horizontal="center" vertical="center" wrapText="1"/>
    </xf>
    <xf numFmtId="4" fontId="17" fillId="4" borderId="15" xfId="3" applyNumberFormat="1" applyFont="1" applyFill="1" applyBorder="1" applyAlignment="1" applyProtection="1">
      <alignment horizontal="center" vertical="center" wrapText="1"/>
    </xf>
    <xf numFmtId="4" fontId="14" fillId="4" borderId="3" xfId="3" applyNumberFormat="1" applyFont="1" applyFill="1" applyBorder="1" applyAlignment="1" applyProtection="1">
      <alignment horizontal="center" vertical="center" wrapText="1"/>
    </xf>
    <xf numFmtId="4" fontId="17" fillId="4" borderId="5" xfId="3" applyNumberFormat="1" applyFont="1" applyFill="1" applyBorder="1" applyAlignment="1" applyProtection="1">
      <alignment horizontal="center" vertical="center" wrapText="1"/>
    </xf>
    <xf numFmtId="4" fontId="14" fillId="4" borderId="12" xfId="3" applyNumberFormat="1" applyFont="1" applyFill="1" applyBorder="1" applyAlignment="1" applyProtection="1">
      <alignment horizontal="center" vertical="center" wrapText="1"/>
    </xf>
    <xf numFmtId="4" fontId="2" fillId="4" borderId="15" xfId="3" applyNumberFormat="1" applyFont="1" applyFill="1" applyBorder="1" applyAlignment="1" applyProtection="1">
      <alignment horizontal="center" vertical="center" wrapText="1"/>
    </xf>
    <xf numFmtId="49" fontId="1" fillId="5" borderId="12" xfId="3" applyNumberFormat="1" applyFont="1" applyFill="1" applyBorder="1" applyAlignment="1" applyProtection="1">
      <alignment horizontal="center" vertical="center" wrapText="1"/>
    </xf>
    <xf numFmtId="0" fontId="1" fillId="5" borderId="1" xfId="3" applyFont="1" applyFill="1" applyBorder="1" applyAlignment="1" applyProtection="1">
      <alignment vertical="center" wrapText="1"/>
    </xf>
    <xf numFmtId="0" fontId="1" fillId="5" borderId="2" xfId="3" applyFont="1" applyFill="1" applyBorder="1" applyAlignment="1" applyProtection="1">
      <alignment horizontal="center" vertical="center" wrapText="1"/>
    </xf>
    <xf numFmtId="2" fontId="4" fillId="5" borderId="12" xfId="3" applyNumberFormat="1" applyFont="1" applyFill="1" applyBorder="1" applyAlignment="1" applyProtection="1">
      <alignment horizontal="center" vertical="center" wrapText="1"/>
    </xf>
    <xf numFmtId="2" fontId="8" fillId="5" borderId="14" xfId="3" applyNumberFormat="1" applyFont="1" applyFill="1" applyBorder="1" applyAlignment="1" applyProtection="1">
      <alignment horizontal="center" vertical="center" wrapText="1"/>
    </xf>
    <xf numFmtId="2" fontId="4" fillId="5" borderId="3" xfId="3" applyNumberFormat="1" applyFont="1" applyFill="1" applyBorder="1" applyAlignment="1" applyProtection="1">
      <alignment horizontal="center" vertical="center" wrapText="1"/>
    </xf>
    <xf numFmtId="2" fontId="8" fillId="5" borderId="2" xfId="3" applyNumberFormat="1" applyFont="1" applyFill="1" applyBorder="1" applyAlignment="1" applyProtection="1">
      <alignment horizontal="center" vertical="center" wrapText="1"/>
    </xf>
    <xf numFmtId="0" fontId="4" fillId="5" borderId="12" xfId="3" applyFont="1" applyFill="1" applyBorder="1"/>
    <xf numFmtId="0" fontId="4" fillId="5" borderId="15" xfId="3" applyFont="1" applyFill="1" applyBorder="1"/>
    <xf numFmtId="49" fontId="2" fillId="0" borderId="12" xfId="3" applyNumberFormat="1" applyFont="1" applyBorder="1" applyAlignment="1" applyProtection="1">
      <alignment horizontal="center" vertical="center" wrapText="1"/>
    </xf>
    <xf numFmtId="0" fontId="2" fillId="0" borderId="1" xfId="3" applyFont="1" applyBorder="1" applyAlignment="1" applyProtection="1">
      <alignment vertical="center" wrapText="1"/>
    </xf>
    <xf numFmtId="0" fontId="2" fillId="0" borderId="2" xfId="3" applyFont="1" applyBorder="1" applyAlignment="1" applyProtection="1">
      <alignment horizontal="center" vertical="center" wrapText="1"/>
    </xf>
    <xf numFmtId="4" fontId="14" fillId="0" borderId="12" xfId="4" applyNumberFormat="1" applyFont="1" applyFill="1" applyBorder="1" applyAlignment="1" applyProtection="1">
      <alignment horizontal="center" vertical="center" wrapText="1"/>
    </xf>
    <xf numFmtId="4" fontId="18" fillId="0" borderId="14" xfId="3" applyNumberFormat="1" applyFont="1" applyFill="1" applyBorder="1" applyAlignment="1" applyProtection="1">
      <alignment horizontal="center" vertical="center" wrapText="1"/>
    </xf>
    <xf numFmtId="4" fontId="14" fillId="0" borderId="3" xfId="4" applyNumberFormat="1" applyFont="1" applyFill="1" applyBorder="1" applyAlignment="1" applyProtection="1">
      <alignment horizontal="center" vertical="center" wrapText="1"/>
    </xf>
    <xf numFmtId="4" fontId="14" fillId="0" borderId="2" xfId="3" applyNumberFormat="1" applyFont="1" applyFill="1" applyBorder="1" applyAlignment="1" applyProtection="1">
      <alignment horizontal="center" vertical="center" wrapText="1"/>
    </xf>
    <xf numFmtId="4" fontId="14" fillId="0" borderId="14" xfId="3" applyNumberFormat="1" applyFont="1" applyFill="1" applyBorder="1" applyAlignment="1" applyProtection="1">
      <alignment horizontal="center" vertical="center" wrapText="1"/>
    </xf>
    <xf numFmtId="43" fontId="14" fillId="0" borderId="14" xfId="3" applyNumberFormat="1" applyFont="1" applyFill="1" applyBorder="1"/>
    <xf numFmtId="4" fontId="14" fillId="0" borderId="15" xfId="3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3" applyNumberFormat="1" applyFont="1" applyBorder="1" applyAlignment="1" applyProtection="1">
      <alignment horizontal="right" vertical="center" wrapText="1"/>
    </xf>
    <xf numFmtId="164" fontId="8" fillId="0" borderId="12" xfId="4" applyFont="1" applyFill="1" applyBorder="1" applyAlignment="1" applyProtection="1">
      <alignment horizontal="center" vertical="center" wrapText="1"/>
    </xf>
    <xf numFmtId="0" fontId="8" fillId="0" borderId="14" xfId="3" applyNumberFormat="1" applyFont="1" applyFill="1" applyBorder="1" applyAlignment="1" applyProtection="1">
      <alignment horizontal="center" vertical="center" wrapText="1"/>
    </xf>
    <xf numFmtId="164" fontId="8" fillId="0" borderId="3" xfId="4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8" fillId="0" borderId="14" xfId="3" applyFont="1" applyFill="1" applyBorder="1"/>
    <xf numFmtId="4" fontId="8" fillId="0" borderId="15" xfId="3" applyNumberFormat="1" applyFont="1" applyFill="1" applyBorder="1" applyAlignment="1" applyProtection="1">
      <alignment horizontal="center" vertical="center" wrapText="1"/>
      <protection locked="0"/>
    </xf>
    <xf numFmtId="49" fontId="16" fillId="0" borderId="17" xfId="3" applyNumberFormat="1" applyFont="1" applyBorder="1" applyAlignment="1" applyProtection="1">
      <alignment horizontal="center" vertical="center" wrapText="1"/>
    </xf>
    <xf numFmtId="0" fontId="16" fillId="0" borderId="18" xfId="3" applyFont="1" applyBorder="1" applyAlignment="1" applyProtection="1">
      <alignment vertical="center" wrapText="1"/>
    </xf>
    <xf numFmtId="0" fontId="4" fillId="0" borderId="19" xfId="3" applyFont="1" applyBorder="1"/>
    <xf numFmtId="2" fontId="4" fillId="0" borderId="17" xfId="3" applyNumberFormat="1" applyFont="1" applyBorder="1"/>
    <xf numFmtId="0" fontId="4" fillId="0" borderId="20" xfId="3" applyFont="1" applyBorder="1"/>
    <xf numFmtId="2" fontId="4" fillId="0" borderId="21" xfId="3" applyNumberFormat="1" applyFont="1" applyBorder="1"/>
    <xf numFmtId="2" fontId="4" fillId="0" borderId="19" xfId="3" applyNumberFormat="1" applyFont="1" applyBorder="1"/>
    <xf numFmtId="2" fontId="4" fillId="0" borderId="20" xfId="3" applyNumberFormat="1" applyFont="1" applyBorder="1"/>
    <xf numFmtId="0" fontId="4" fillId="0" borderId="22" xfId="3" applyFont="1" applyBorder="1"/>
    <xf numFmtId="49" fontId="16" fillId="0" borderId="0" xfId="3" applyNumberFormat="1" applyFont="1" applyBorder="1" applyAlignment="1" applyProtection="1">
      <alignment horizontal="center" vertical="center" wrapText="1"/>
    </xf>
    <xf numFmtId="0" fontId="16" fillId="0" borderId="23" xfId="3" applyFont="1" applyBorder="1" applyAlignment="1" applyProtection="1">
      <alignment vertical="center" wrapText="1"/>
    </xf>
    <xf numFmtId="0" fontId="4" fillId="0" borderId="23" xfId="3" applyFont="1" applyBorder="1"/>
    <xf numFmtId="4" fontId="4" fillId="0" borderId="23" xfId="3" applyNumberFormat="1" applyFont="1" applyBorder="1"/>
    <xf numFmtId="165" fontId="4" fillId="0" borderId="1" xfId="2" applyNumberFormat="1" applyFont="1" applyBorder="1"/>
    <xf numFmtId="165" fontId="4" fillId="0" borderId="0" xfId="2" applyNumberFormat="1" applyFont="1"/>
    <xf numFmtId="3" fontId="4" fillId="0" borderId="1" xfId="3" applyNumberFormat="1" applyFont="1" applyBorder="1"/>
    <xf numFmtId="0" fontId="4" fillId="0" borderId="0" xfId="3" applyFont="1" applyBorder="1"/>
    <xf numFmtId="3" fontId="4" fillId="0" borderId="0" xfId="3" applyNumberFormat="1" applyFont="1" applyBorder="1"/>
    <xf numFmtId="0" fontId="2" fillId="0" borderId="0" xfId="3" applyFont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vertical="center" wrapText="1"/>
    </xf>
    <xf numFmtId="0" fontId="2" fillId="0" borderId="24" xfId="3" applyFont="1" applyBorder="1" applyAlignment="1" applyProtection="1">
      <alignment vertical="center" wrapText="1"/>
    </xf>
    <xf numFmtId="0" fontId="2" fillId="0" borderId="0" xfId="3" applyFont="1" applyBorder="1" applyAlignment="1" applyProtection="1">
      <alignment horizontal="center" vertical="center" wrapText="1"/>
    </xf>
    <xf numFmtId="0" fontId="20" fillId="0" borderId="0" xfId="5" applyFont="1" applyFill="1" applyAlignment="1">
      <alignment horizontal="right" vertical="center"/>
    </xf>
    <xf numFmtId="0" fontId="21" fillId="0" borderId="0" xfId="5" applyFont="1" applyFill="1"/>
    <xf numFmtId="0" fontId="22" fillId="0" borderId="0" xfId="5" applyFont="1" applyFill="1" applyBorder="1" applyAlignment="1"/>
    <xf numFmtId="0" fontId="19" fillId="0" borderId="0" xfId="5" applyFill="1"/>
    <xf numFmtId="0" fontId="23" fillId="0" borderId="0" xfId="5" applyFont="1" applyFill="1"/>
    <xf numFmtId="0" fontId="17" fillId="0" borderId="0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vertical="center" wrapText="1"/>
    </xf>
    <xf numFmtId="0" fontId="25" fillId="0" borderId="0" xfId="5" applyFont="1" applyFill="1" applyBorder="1" applyAlignment="1">
      <alignment vertical="center" wrapText="1"/>
    </xf>
    <xf numFmtId="0" fontId="20" fillId="0" borderId="0" xfId="5" applyFont="1" applyFill="1" applyAlignment="1">
      <alignment horizontal="right"/>
    </xf>
    <xf numFmtId="0" fontId="26" fillId="0" borderId="24" xfId="5" applyFont="1" applyFill="1" applyBorder="1" applyAlignment="1">
      <alignment horizontal="center"/>
    </xf>
    <xf numFmtId="0" fontId="26" fillId="0" borderId="24" xfId="5" applyFont="1" applyFill="1" applyBorder="1" applyAlignment="1">
      <alignment vertical="center"/>
    </xf>
    <xf numFmtId="0" fontId="26" fillId="0" borderId="0" xfId="5" applyFont="1" applyFill="1" applyBorder="1" applyAlignment="1">
      <alignment horizontal="right" vertical="center"/>
    </xf>
    <xf numFmtId="0" fontId="26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0" fillId="0" borderId="1" xfId="5" applyNumberFormat="1" applyFont="1" applyFill="1" applyBorder="1" applyAlignment="1">
      <alignment horizontal="center" wrapText="1"/>
    </xf>
    <xf numFmtId="0" fontId="27" fillId="0" borderId="1" xfId="5" applyNumberFormat="1" applyFont="1" applyFill="1" applyBorder="1" applyAlignment="1">
      <alignment horizontal="center" wrapText="1"/>
    </xf>
    <xf numFmtId="0" fontId="19" fillId="0" borderId="1" xfId="5" applyFill="1" applyBorder="1" applyAlignment="1">
      <alignment horizontal="center"/>
    </xf>
    <xf numFmtId="0" fontId="26" fillId="0" borderId="1" xfId="5" applyFont="1" applyFill="1" applyBorder="1" applyAlignment="1">
      <alignment horizontal="center" wrapText="1"/>
    </xf>
    <xf numFmtId="0" fontId="26" fillId="0" borderId="1" xfId="5" applyFont="1" applyFill="1" applyBorder="1" applyAlignment="1">
      <alignment wrapText="1"/>
    </xf>
    <xf numFmtId="4" fontId="26" fillId="0" borderId="1" xfId="5" applyNumberFormat="1" applyFont="1" applyFill="1" applyBorder="1" applyAlignment="1">
      <alignment horizontal="center" wrapText="1"/>
    </xf>
    <xf numFmtId="49" fontId="26" fillId="0" borderId="1" xfId="5" applyNumberFormat="1" applyFont="1" applyFill="1" applyBorder="1" applyAlignment="1">
      <alignment horizontal="center" wrapText="1"/>
    </xf>
    <xf numFmtId="4" fontId="20" fillId="0" borderId="1" xfId="5" applyNumberFormat="1" applyFont="1" applyFill="1" applyBorder="1" applyAlignment="1">
      <alignment horizontal="center" wrapText="1"/>
    </xf>
    <xf numFmtId="2" fontId="20" fillId="0" borderId="1" xfId="5" applyNumberFormat="1" applyFont="1" applyFill="1" applyBorder="1" applyAlignment="1">
      <alignment horizontal="center" wrapText="1"/>
    </xf>
    <xf numFmtId="164" fontId="20" fillId="0" borderId="1" xfId="4" applyFont="1" applyFill="1" applyBorder="1" applyAlignment="1">
      <alignment horizontal="center" wrapText="1"/>
    </xf>
    <xf numFmtId="49" fontId="20" fillId="0" borderId="1" xfId="5" applyNumberFormat="1" applyFont="1" applyFill="1" applyBorder="1" applyAlignment="1">
      <alignment horizontal="center" wrapText="1"/>
    </xf>
    <xf numFmtId="0" fontId="20" fillId="0" borderId="1" xfId="5" applyFont="1" applyFill="1" applyBorder="1" applyAlignment="1">
      <alignment wrapText="1"/>
    </xf>
    <xf numFmtId="2" fontId="15" fillId="0" borderId="1" xfId="5" applyNumberFormat="1" applyFont="1" applyFill="1" applyBorder="1" applyAlignment="1">
      <alignment horizontal="center" vertical="center" wrapText="1"/>
    </xf>
    <xf numFmtId="2" fontId="14" fillId="0" borderId="1" xfId="5" applyNumberFormat="1" applyFont="1" applyFill="1" applyBorder="1" applyAlignment="1">
      <alignment horizontal="center" vertical="center" wrapText="1"/>
    </xf>
    <xf numFmtId="49" fontId="26" fillId="0" borderId="1" xfId="5" applyNumberFormat="1" applyFont="1" applyFill="1" applyBorder="1" applyAlignment="1">
      <alignment horizontal="center" vertical="top" wrapText="1"/>
    </xf>
    <xf numFmtId="0" fontId="26" fillId="0" borderId="1" xfId="5" applyFont="1" applyFill="1" applyBorder="1" applyAlignment="1">
      <alignment vertical="top" wrapText="1"/>
    </xf>
    <xf numFmtId="4" fontId="26" fillId="0" borderId="1" xfId="5" applyNumberFormat="1" applyFont="1" applyFill="1" applyBorder="1" applyAlignment="1">
      <alignment horizontal="center" vertical="top" wrapText="1"/>
    </xf>
    <xf numFmtId="49" fontId="20" fillId="0" borderId="1" xfId="5" applyNumberFormat="1" applyFont="1" applyFill="1" applyBorder="1" applyAlignment="1">
      <alignment horizontal="center" vertical="top" wrapText="1"/>
    </xf>
    <xf numFmtId="0" fontId="20" fillId="0" borderId="1" xfId="5" applyFont="1" applyFill="1" applyBorder="1" applyAlignment="1">
      <alignment vertical="top" wrapText="1"/>
    </xf>
    <xf numFmtId="0" fontId="20" fillId="0" borderId="1" xfId="5" applyFont="1" applyFill="1" applyBorder="1" applyAlignment="1">
      <alignment horizontal="center" vertical="top" wrapText="1"/>
    </xf>
    <xf numFmtId="0" fontId="20" fillId="0" borderId="1" xfId="5" applyFont="1" applyFill="1" applyBorder="1" applyAlignment="1">
      <alignment horizontal="center" wrapText="1"/>
    </xf>
    <xf numFmtId="2" fontId="26" fillId="0" borderId="1" xfId="5" applyNumberFormat="1" applyFont="1" applyFill="1" applyBorder="1" applyAlignment="1">
      <alignment horizontal="center" wrapText="1"/>
    </xf>
    <xf numFmtId="164" fontId="26" fillId="0" borderId="1" xfId="4" applyFont="1" applyFill="1" applyBorder="1" applyAlignment="1">
      <alignment horizontal="center" wrapText="1"/>
    </xf>
    <xf numFmtId="2" fontId="15" fillId="0" borderId="1" xfId="5" applyNumberFormat="1" applyFont="1" applyFill="1" applyBorder="1" applyAlignment="1">
      <alignment horizontal="center" vertical="center"/>
    </xf>
    <xf numFmtId="43" fontId="26" fillId="0" borderId="1" xfId="1" applyFont="1" applyFill="1" applyBorder="1" applyAlignment="1">
      <alignment horizontal="center" wrapText="1"/>
    </xf>
    <xf numFmtId="2" fontId="14" fillId="0" borderId="1" xfId="5" applyNumberFormat="1" applyFont="1" applyFill="1" applyBorder="1" applyAlignment="1">
      <alignment horizontal="center" vertical="center"/>
    </xf>
    <xf numFmtId="164" fontId="14" fillId="0" borderId="1" xfId="4" applyFont="1" applyFill="1" applyBorder="1" applyAlignment="1">
      <alignment horizontal="center" wrapText="1"/>
    </xf>
    <xf numFmtId="164" fontId="14" fillId="0" borderId="1" xfId="4" applyFont="1" applyFill="1" applyBorder="1" applyAlignment="1">
      <alignment horizontal="center" vertical="center"/>
    </xf>
    <xf numFmtId="164" fontId="14" fillId="0" borderId="1" xfId="4" applyFont="1" applyFill="1" applyBorder="1" applyAlignment="1">
      <alignment horizontal="center" vertical="center" wrapText="1"/>
    </xf>
    <xf numFmtId="0" fontId="26" fillId="0" borderId="1" xfId="5" applyFont="1" applyFill="1" applyBorder="1" applyAlignment="1">
      <alignment horizontal="left" wrapText="1"/>
    </xf>
    <xf numFmtId="4" fontId="15" fillId="0" borderId="1" xfId="5" applyNumberFormat="1" applyFont="1" applyFill="1" applyBorder="1" applyAlignment="1">
      <alignment horizontal="center" wrapText="1"/>
    </xf>
    <xf numFmtId="0" fontId="15" fillId="0" borderId="1" xfId="5" applyFont="1" applyFill="1" applyBorder="1" applyAlignment="1">
      <alignment horizontal="center" wrapText="1"/>
    </xf>
    <xf numFmtId="0" fontId="26" fillId="0" borderId="1" xfId="5" applyFont="1" applyFill="1" applyBorder="1" applyAlignment="1">
      <alignment horizontal="center" vertical="center" wrapText="1"/>
    </xf>
    <xf numFmtId="164" fontId="26" fillId="0" borderId="1" xfId="4" applyNumberFormat="1" applyFont="1" applyFill="1" applyBorder="1" applyAlignment="1">
      <alignment horizontal="center" wrapText="1"/>
    </xf>
    <xf numFmtId="43" fontId="26" fillId="0" borderId="1" xfId="1" applyFont="1" applyFill="1" applyBorder="1" applyAlignment="1">
      <alignment horizontal="center" vertical="center"/>
    </xf>
    <xf numFmtId="2" fontId="26" fillId="0" borderId="1" xfId="5" applyNumberFormat="1" applyFont="1" applyFill="1" applyBorder="1" applyAlignment="1">
      <alignment horizontal="center" vertical="center" wrapText="1"/>
    </xf>
    <xf numFmtId="2" fontId="26" fillId="0" borderId="1" xfId="5" applyNumberFormat="1" applyFont="1" applyFill="1" applyBorder="1" applyAlignment="1">
      <alignment horizontal="center" vertical="center"/>
    </xf>
    <xf numFmtId="164" fontId="26" fillId="0" borderId="1" xfId="4" applyFont="1" applyFill="1" applyBorder="1" applyAlignment="1">
      <alignment horizontal="center" vertical="center" wrapText="1"/>
    </xf>
    <xf numFmtId="4" fontId="26" fillId="0" borderId="1" xfId="4" applyNumberFormat="1" applyFont="1" applyFill="1" applyBorder="1" applyAlignment="1">
      <alignment horizontal="center" wrapText="1"/>
    </xf>
    <xf numFmtId="4" fontId="14" fillId="0" borderId="1" xfId="5" applyNumberFormat="1" applyFont="1" applyFill="1" applyBorder="1" applyAlignment="1">
      <alignment horizontal="center" vertical="center"/>
    </xf>
    <xf numFmtId="0" fontId="26" fillId="0" borderId="1" xfId="5" applyFont="1" applyFill="1" applyBorder="1" applyAlignment="1">
      <alignment horizontal="left" vertical="center"/>
    </xf>
    <xf numFmtId="0" fontId="26" fillId="0" borderId="1" xfId="5" applyFont="1" applyFill="1" applyBorder="1" applyAlignment="1">
      <alignment horizontal="center" vertical="center"/>
    </xf>
    <xf numFmtId="0" fontId="26" fillId="0" borderId="25" xfId="5" applyFont="1" applyFill="1" applyBorder="1" applyAlignment="1">
      <alignment horizontal="center" wrapText="1"/>
    </xf>
    <xf numFmtId="0" fontId="26" fillId="0" borderId="25" xfId="5" applyFont="1" applyFill="1" applyBorder="1" applyAlignment="1">
      <alignment horizontal="left" vertical="center"/>
    </xf>
    <xf numFmtId="2" fontId="14" fillId="0" borderId="0" xfId="5" applyNumberFormat="1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/>
    </xf>
    <xf numFmtId="2" fontId="14" fillId="0" borderId="25" xfId="5" applyNumberFormat="1" applyFont="1" applyFill="1" applyBorder="1" applyAlignment="1">
      <alignment horizontal="center" vertical="center"/>
    </xf>
    <xf numFmtId="2" fontId="26" fillId="0" borderId="0" xfId="5" applyNumberFormat="1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horizontal="right" vertical="center" wrapText="1"/>
    </xf>
    <xf numFmtId="0" fontId="25" fillId="0" borderId="0" xfId="5" applyFont="1" applyFill="1" applyBorder="1" applyAlignment="1">
      <alignment horizontal="right"/>
    </xf>
    <xf numFmtId="0" fontId="25" fillId="0" borderId="0" xfId="5" applyFont="1" applyFill="1" applyBorder="1" applyAlignment="1"/>
    <xf numFmtId="0" fontId="28" fillId="0" borderId="0" xfId="5" applyFont="1" applyFill="1" applyAlignment="1">
      <alignment horizontal="right" vertical="center" wrapText="1"/>
    </xf>
    <xf numFmtId="0" fontId="21" fillId="0" borderId="0" xfId="5" applyFont="1" applyFill="1" applyAlignment="1">
      <alignment wrapText="1"/>
    </xf>
    <xf numFmtId="0" fontId="20" fillId="0" borderId="0" xfId="5" applyFont="1" applyFill="1" applyAlignment="1"/>
    <xf numFmtId="0" fontId="21" fillId="0" borderId="0" xfId="5" applyFont="1" applyFill="1" applyAlignment="1">
      <alignment horizontal="left"/>
    </xf>
    <xf numFmtId="0" fontId="21" fillId="0" borderId="0" xfId="5" applyFont="1" applyFill="1" applyAlignment="1">
      <alignment horizontal="justify" wrapText="1"/>
    </xf>
    <xf numFmtId="0" fontId="21" fillId="0" borderId="0" xfId="5" applyFont="1" applyFill="1" applyAlignment="1"/>
    <xf numFmtId="2" fontId="17" fillId="0" borderId="0" xfId="5" applyNumberFormat="1" applyFont="1" applyFill="1" applyBorder="1" applyAlignment="1">
      <alignment horizontal="center" vertical="center" wrapText="1"/>
    </xf>
    <xf numFmtId="2" fontId="25" fillId="0" borderId="0" xfId="5" applyNumberFormat="1" applyFont="1" applyFill="1" applyBorder="1" applyAlignment="1">
      <alignment horizontal="center" vertical="center" wrapText="1"/>
    </xf>
    <xf numFmtId="2" fontId="26" fillId="0" borderId="0" xfId="5" applyNumberFormat="1" applyFont="1" applyFill="1" applyBorder="1" applyAlignment="1">
      <alignment horizontal="center" vertical="center" wrapText="1"/>
    </xf>
    <xf numFmtId="0" fontId="17" fillId="0" borderId="24" xfId="5" applyFont="1" applyFill="1" applyBorder="1" applyAlignment="1">
      <alignment horizontal="center"/>
    </xf>
    <xf numFmtId="2" fontId="26" fillId="0" borderId="24" xfId="5" applyNumberFormat="1" applyFont="1" applyFill="1" applyBorder="1" applyAlignment="1">
      <alignment horizontal="right"/>
    </xf>
    <xf numFmtId="0" fontId="26" fillId="0" borderId="26" xfId="5" applyFont="1" applyFill="1" applyBorder="1" applyAlignment="1">
      <alignment horizontal="center" vertical="center" wrapText="1"/>
    </xf>
    <xf numFmtId="0" fontId="26" fillId="0" borderId="27" xfId="5" applyFont="1" applyFill="1" applyBorder="1" applyAlignment="1">
      <alignment horizontal="center" vertical="center" wrapText="1"/>
    </xf>
    <xf numFmtId="0" fontId="26" fillId="0" borderId="13" xfId="5" applyFont="1" applyFill="1" applyBorder="1" applyAlignment="1">
      <alignment horizontal="center" vertical="center" wrapText="1"/>
    </xf>
    <xf numFmtId="0" fontId="26" fillId="0" borderId="28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wrapText="1"/>
    </xf>
    <xf numFmtId="0" fontId="21" fillId="0" borderId="1" xfId="5" applyFont="1" applyFill="1" applyBorder="1" applyAlignment="1">
      <alignment horizontal="center"/>
    </xf>
    <xf numFmtId="0" fontId="27" fillId="0" borderId="1" xfId="5" applyFont="1" applyFill="1" applyBorder="1" applyAlignment="1">
      <alignment horizontal="center"/>
    </xf>
    <xf numFmtId="0" fontId="29" fillId="0" borderId="0" xfId="5" applyFont="1" applyFill="1"/>
    <xf numFmtId="167" fontId="29" fillId="0" borderId="0" xfId="5" applyNumberFormat="1" applyFont="1" applyFill="1"/>
    <xf numFmtId="164" fontId="20" fillId="0" borderId="1" xfId="4" applyFont="1" applyFill="1" applyBorder="1" applyAlignment="1">
      <alignment horizontal="center" vertical="top" wrapText="1"/>
    </xf>
    <xf numFmtId="2" fontId="15" fillId="0" borderId="1" xfId="5" applyNumberFormat="1" applyFont="1" applyFill="1" applyBorder="1" applyAlignment="1">
      <alignment horizontal="center" vertical="top" wrapText="1"/>
    </xf>
    <xf numFmtId="164" fontId="21" fillId="0" borderId="1" xfId="4" applyFont="1" applyFill="1" applyBorder="1" applyAlignment="1">
      <alignment horizontal="center" vertical="top"/>
    </xf>
    <xf numFmtId="0" fontId="21" fillId="0" borderId="0" xfId="5" applyFont="1" applyFill="1" applyAlignment="1">
      <alignment vertical="top"/>
    </xf>
    <xf numFmtId="2" fontId="20" fillId="0" borderId="1" xfId="5" applyNumberFormat="1" applyFont="1" applyFill="1" applyBorder="1" applyAlignment="1">
      <alignment horizontal="center" vertical="top" wrapText="1"/>
    </xf>
    <xf numFmtId="4" fontId="20" fillId="0" borderId="1" xfId="5" applyNumberFormat="1" applyFont="1" applyFill="1" applyBorder="1" applyAlignment="1">
      <alignment horizontal="center" vertical="top" wrapText="1"/>
    </xf>
    <xf numFmtId="164" fontId="15" fillId="0" borderId="1" xfId="4" applyFont="1" applyFill="1" applyBorder="1" applyAlignment="1">
      <alignment horizontal="center" vertical="top" wrapText="1"/>
    </xf>
    <xf numFmtId="0" fontId="20" fillId="0" borderId="1" xfId="5" applyFont="1" applyFill="1" applyBorder="1" applyAlignment="1">
      <alignment horizontal="left" vertical="top" wrapText="1"/>
    </xf>
    <xf numFmtId="2" fontId="21" fillId="0" borderId="0" xfId="5" applyNumberFormat="1" applyFont="1" applyFill="1" applyAlignment="1">
      <alignment vertical="top"/>
    </xf>
    <xf numFmtId="2" fontId="26" fillId="0" borderId="1" xfId="5" applyNumberFormat="1" applyFont="1" applyFill="1" applyBorder="1" applyAlignment="1">
      <alignment horizontal="center" vertical="top" wrapText="1"/>
    </xf>
    <xf numFmtId="2" fontId="14" fillId="0" borderId="1" xfId="5" applyNumberFormat="1" applyFont="1" applyFill="1" applyBorder="1" applyAlignment="1">
      <alignment horizontal="center" vertical="top" wrapText="1"/>
    </xf>
    <xf numFmtId="164" fontId="14" fillId="0" borderId="1" xfId="4" applyFont="1" applyFill="1" applyBorder="1" applyAlignment="1">
      <alignment horizontal="center" vertical="top" wrapText="1"/>
    </xf>
    <xf numFmtId="2" fontId="29" fillId="0" borderId="0" xfId="5" applyNumberFormat="1" applyFont="1" applyFill="1"/>
    <xf numFmtId="164" fontId="29" fillId="0" borderId="0" xfId="5" applyNumberFormat="1" applyFont="1" applyFill="1"/>
    <xf numFmtId="164" fontId="29" fillId="0" borderId="1" xfId="4" applyFont="1" applyFill="1" applyBorder="1" applyAlignment="1">
      <alignment horizontal="center"/>
    </xf>
    <xf numFmtId="164" fontId="30" fillId="0" borderId="1" xfId="4" applyFont="1" applyFill="1" applyBorder="1" applyAlignment="1">
      <alignment horizontal="center" vertical="top"/>
    </xf>
    <xf numFmtId="0" fontId="30" fillId="0" borderId="0" xfId="5" applyFont="1" applyFill="1" applyAlignment="1">
      <alignment vertical="top"/>
    </xf>
    <xf numFmtId="0" fontId="31" fillId="0" borderId="1" xfId="5" applyFont="1" applyFill="1" applyBorder="1" applyAlignment="1">
      <alignment horizontal="center" vertical="top" wrapText="1"/>
    </xf>
    <xf numFmtId="164" fontId="26" fillId="0" borderId="1" xfId="4" applyFont="1" applyFill="1" applyBorder="1" applyAlignment="1">
      <alignment wrapText="1"/>
    </xf>
    <xf numFmtId="0" fontId="26" fillId="0" borderId="1" xfId="5" applyFont="1" applyFill="1" applyBorder="1"/>
    <xf numFmtId="0" fontId="26" fillId="0" borderId="1" xfId="5" applyFont="1" applyFill="1" applyBorder="1" applyAlignment="1">
      <alignment horizontal="center"/>
    </xf>
    <xf numFmtId="164" fontId="21" fillId="0" borderId="1" xfId="4" applyFont="1" applyFill="1" applyBorder="1" applyAlignment="1">
      <alignment horizontal="center"/>
    </xf>
    <xf numFmtId="0" fontId="26" fillId="0" borderId="25" xfId="5" applyFont="1" applyFill="1" applyBorder="1"/>
    <xf numFmtId="0" fontId="26" fillId="0" borderId="0" xfId="5" applyFont="1" applyFill="1" applyBorder="1" applyAlignment="1">
      <alignment horizontal="center"/>
    </xf>
    <xf numFmtId="2" fontId="15" fillId="0" borderId="0" xfId="5" applyNumberFormat="1" applyFont="1" applyFill="1" applyBorder="1" applyAlignment="1">
      <alignment horizontal="center" vertical="center" wrapText="1"/>
    </xf>
    <xf numFmtId="164" fontId="21" fillId="0" borderId="0" xfId="4" applyFont="1" applyFill="1" applyBorder="1" applyAlignment="1">
      <alignment horizontal="center"/>
    </xf>
    <xf numFmtId="0" fontId="21" fillId="0" borderId="0" xfId="5" applyFont="1" applyFill="1" applyAlignment="1">
      <alignment horizontal="center"/>
    </xf>
    <xf numFmtId="0" fontId="25" fillId="0" borderId="0" xfId="5" applyFont="1" applyFill="1" applyAlignment="1">
      <alignment horizontal="left" wrapText="1"/>
    </xf>
    <xf numFmtId="0" fontId="25" fillId="0" borderId="0" xfId="5" applyFont="1" applyFill="1" applyAlignment="1">
      <alignment horizontal="left" wrapText="1"/>
    </xf>
    <xf numFmtId="0" fontId="22" fillId="0" borderId="0" xfId="5" applyFont="1" applyFill="1"/>
    <xf numFmtId="0" fontId="25" fillId="0" borderId="0" xfId="5" applyFont="1" applyFill="1" applyAlignment="1">
      <alignment horizontal="right"/>
    </xf>
    <xf numFmtId="0" fontId="25" fillId="0" borderId="0" xfId="5" applyFont="1" applyFill="1" applyAlignment="1"/>
    <xf numFmtId="2" fontId="21" fillId="0" borderId="0" xfId="5" applyNumberFormat="1" applyFont="1" applyFill="1" applyAlignment="1">
      <alignment horizontal="right"/>
    </xf>
    <xf numFmtId="0" fontId="19" fillId="0" borderId="0" xfId="5" applyFill="1" applyAlignment="1">
      <alignment wrapText="1"/>
    </xf>
    <xf numFmtId="0" fontId="21" fillId="0" borderId="0" xfId="5" applyFont="1" applyFill="1" applyAlignment="1">
      <alignment horizontal="left"/>
    </xf>
    <xf numFmtId="0" fontId="32" fillId="0" borderId="0" xfId="5" applyFont="1" applyFill="1" applyBorder="1" applyAlignment="1">
      <alignment horizontal="center" vertical="center" wrapText="1"/>
    </xf>
    <xf numFmtId="0" fontId="32" fillId="0" borderId="0" xfId="5" applyFont="1" applyFill="1" applyBorder="1" applyAlignment="1">
      <alignment horizontal="center" vertical="center" wrapText="1"/>
    </xf>
    <xf numFmtId="0" fontId="25" fillId="0" borderId="0" xfId="5" applyFont="1" applyFill="1" applyBorder="1" applyAlignment="1">
      <alignment horizontal="center" vertical="center" wrapText="1"/>
    </xf>
    <xf numFmtId="0" fontId="25" fillId="0" borderId="0" xfId="5" applyFont="1" applyFill="1" applyBorder="1" applyAlignment="1">
      <alignment horizontal="center" vertical="center" wrapText="1"/>
    </xf>
    <xf numFmtId="0" fontId="26" fillId="0" borderId="0" xfId="5" applyFont="1" applyFill="1" applyAlignment="1">
      <alignment horizontal="right"/>
    </xf>
    <xf numFmtId="0" fontId="17" fillId="0" borderId="29" xfId="5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17" fillId="0" borderId="23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5" fillId="0" borderId="29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wrapText="1"/>
    </xf>
    <xf numFmtId="0" fontId="26" fillId="0" borderId="0" xfId="5" applyFont="1" applyFill="1"/>
    <xf numFmtId="0" fontId="20" fillId="0" borderId="1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vertical="center" wrapText="1"/>
    </xf>
    <xf numFmtId="164" fontId="20" fillId="0" borderId="1" xfId="4" applyFont="1" applyFill="1" applyBorder="1" applyAlignment="1">
      <alignment vertical="center" wrapText="1"/>
    </xf>
    <xf numFmtId="2" fontId="20" fillId="0" borderId="1" xfId="5" applyNumberFormat="1" applyFont="1" applyFill="1" applyBorder="1" applyAlignment="1">
      <alignment horizontal="center" vertical="center" wrapText="1"/>
    </xf>
    <xf numFmtId="2" fontId="20" fillId="0" borderId="1" xfId="5" applyNumberFormat="1" applyFont="1" applyFill="1" applyBorder="1" applyAlignment="1">
      <alignment horizontal="center" vertical="center"/>
    </xf>
    <xf numFmtId="0" fontId="20" fillId="0" borderId="0" xfId="5" applyFont="1" applyFill="1" applyAlignment="1">
      <alignment vertical="center"/>
    </xf>
    <xf numFmtId="0" fontId="26" fillId="0" borderId="1" xfId="5" applyFont="1" applyFill="1" applyBorder="1" applyAlignment="1">
      <alignment horizontal="center" vertical="top" wrapText="1"/>
    </xf>
    <xf numFmtId="2" fontId="26" fillId="0" borderId="0" xfId="5" applyNumberFormat="1" applyFont="1" applyFill="1"/>
    <xf numFmtId="164" fontId="20" fillId="0" borderId="1" xfId="4" applyFont="1" applyFill="1" applyBorder="1" applyAlignment="1">
      <alignment vertical="top" wrapText="1"/>
    </xf>
    <xf numFmtId="2" fontId="20" fillId="0" borderId="1" xfId="5" applyNumberFormat="1" applyFont="1" applyFill="1" applyBorder="1" applyAlignment="1">
      <alignment horizontal="center" vertical="top"/>
    </xf>
    <xf numFmtId="0" fontId="34" fillId="0" borderId="0" xfId="5" applyFont="1" applyFill="1" applyAlignment="1">
      <alignment vertical="top"/>
    </xf>
    <xf numFmtId="0" fontId="26" fillId="0" borderId="1" xfId="5" applyFont="1" applyFill="1" applyBorder="1" applyAlignment="1">
      <alignment vertical="top"/>
    </xf>
    <xf numFmtId="0" fontId="34" fillId="0" borderId="1" xfId="5" applyFont="1" applyFill="1" applyBorder="1" applyAlignment="1">
      <alignment vertical="top"/>
    </xf>
    <xf numFmtId="4" fontId="26" fillId="0" borderId="1" xfId="4" applyNumberFormat="1" applyFont="1" applyFill="1" applyBorder="1" applyAlignment="1">
      <alignment horizontal="center" vertical="center" wrapText="1"/>
    </xf>
    <xf numFmtId="4" fontId="26" fillId="0" borderId="1" xfId="5" applyNumberFormat="1" applyFont="1" applyFill="1" applyBorder="1" applyAlignment="1">
      <alignment horizontal="center" vertical="center"/>
    </xf>
    <xf numFmtId="164" fontId="26" fillId="0" borderId="1" xfId="4" applyFont="1" applyFill="1" applyBorder="1" applyAlignment="1"/>
    <xf numFmtId="0" fontId="35" fillId="0" borderId="1" xfId="5" applyFont="1" applyFill="1" applyBorder="1"/>
    <xf numFmtId="0" fontId="35" fillId="0" borderId="0" xfId="5" applyFont="1" applyFill="1"/>
    <xf numFmtId="0" fontId="25" fillId="0" borderId="0" xfId="5" applyFont="1" applyFill="1" applyAlignment="1">
      <alignment horizontal="right"/>
    </xf>
    <xf numFmtId="0" fontId="36" fillId="0" borderId="0" xfId="5" applyFont="1" applyFill="1"/>
    <xf numFmtId="0" fontId="21" fillId="0" borderId="0" xfId="5" applyFont="1" applyFill="1" applyAlignment="1">
      <alignment horizontal="center"/>
    </xf>
    <xf numFmtId="0" fontId="37" fillId="0" borderId="0" xfId="5" applyFont="1" applyFill="1"/>
    <xf numFmtId="0" fontId="6" fillId="0" borderId="0" xfId="6" applyFont="1" applyFill="1" applyAlignment="1">
      <alignment horizontal="center" vertical="center" wrapText="1"/>
    </xf>
    <xf numFmtId="0" fontId="6" fillId="0" borderId="0" xfId="6" applyFont="1" applyFill="1"/>
    <xf numFmtId="0" fontId="6" fillId="0" borderId="0" xfId="6" applyFont="1" applyFill="1" applyAlignment="1">
      <alignment horizontal="center" wrapText="1"/>
    </xf>
    <xf numFmtId="0" fontId="38" fillId="0" borderId="0" xfId="0" applyFont="1" applyAlignment="1">
      <alignment horizontal="justify" vertical="center" wrapText="1"/>
    </xf>
    <xf numFmtId="0" fontId="39" fillId="0" borderId="0" xfId="6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wrapText="1"/>
    </xf>
    <xf numFmtId="0" fontId="6" fillId="0" borderId="30" xfId="6" applyFont="1" applyBorder="1" applyAlignment="1">
      <alignment horizontal="center" vertical="center" wrapText="1"/>
    </xf>
    <xf numFmtId="0" fontId="40" fillId="0" borderId="31" xfId="6" applyFont="1" applyBorder="1" applyAlignment="1">
      <alignment horizontal="center" vertical="center" wrapText="1"/>
    </xf>
    <xf numFmtId="0" fontId="6" fillId="0" borderId="32" xfId="6" applyFont="1" applyBorder="1" applyAlignment="1">
      <alignment horizontal="center" vertical="center" wrapText="1"/>
    </xf>
    <xf numFmtId="0" fontId="6" fillId="0" borderId="33" xfId="6" applyFont="1" applyBorder="1" applyAlignment="1">
      <alignment horizontal="center" vertical="center" wrapText="1"/>
    </xf>
    <xf numFmtId="0" fontId="6" fillId="0" borderId="34" xfId="6" applyFont="1" applyBorder="1" applyAlignment="1">
      <alignment horizontal="center" vertical="center" wrapText="1"/>
    </xf>
    <xf numFmtId="0" fontId="6" fillId="0" borderId="35" xfId="6" applyFont="1" applyBorder="1" applyAlignment="1">
      <alignment horizontal="center" vertical="center" wrapText="1"/>
    </xf>
    <xf numFmtId="0" fontId="6" fillId="0" borderId="36" xfId="6" applyFont="1" applyBorder="1" applyAlignment="1">
      <alignment horizontal="center" vertical="center" wrapText="1"/>
    </xf>
    <xf numFmtId="0" fontId="40" fillId="0" borderId="37" xfId="6" applyFont="1" applyBorder="1" applyAlignment="1">
      <alignment horizontal="center" vertical="center" wrapText="1"/>
    </xf>
    <xf numFmtId="0" fontId="6" fillId="0" borderId="38" xfId="6" applyFont="1" applyBorder="1" applyAlignment="1">
      <alignment horizontal="center" vertical="center" wrapText="1"/>
    </xf>
    <xf numFmtId="0" fontId="6" fillId="0" borderId="28" xfId="6" applyFont="1" applyFill="1" applyBorder="1" applyAlignment="1">
      <alignment horizontal="center" vertical="center" wrapText="1"/>
    </xf>
    <xf numFmtId="0" fontId="6" fillId="0" borderId="39" xfId="6" applyFont="1" applyFill="1" applyBorder="1" applyAlignment="1">
      <alignment horizontal="center" vertical="center" wrapText="1"/>
    </xf>
    <xf numFmtId="0" fontId="6" fillId="0" borderId="12" xfId="6" applyFont="1" applyBorder="1" applyAlignment="1">
      <alignment horizontal="center" vertical="center" wrapText="1"/>
    </xf>
    <xf numFmtId="0" fontId="6" fillId="0" borderId="40" xfId="6" applyFont="1" applyBorder="1" applyAlignment="1">
      <alignment horizontal="center" vertical="center" wrapText="1"/>
    </xf>
    <xf numFmtId="0" fontId="40" fillId="0" borderId="41" xfId="6" applyFont="1" applyBorder="1" applyAlignment="1">
      <alignment horizontal="center" vertical="center" wrapText="1"/>
    </xf>
    <xf numFmtId="0" fontId="6" fillId="0" borderId="12" xfId="6" applyFont="1" applyFill="1" applyBorder="1" applyAlignment="1">
      <alignment horizontal="center" wrapText="1"/>
    </xf>
    <xf numFmtId="0" fontId="6" fillId="6" borderId="42" xfId="6" applyFont="1" applyFill="1" applyBorder="1" applyAlignment="1">
      <alignment horizontal="center" vertical="center" wrapText="1"/>
    </xf>
    <xf numFmtId="0" fontId="6" fillId="0" borderId="38" xfId="6" applyFont="1" applyFill="1" applyBorder="1" applyAlignment="1">
      <alignment horizontal="center" wrapText="1"/>
    </xf>
    <xf numFmtId="0" fontId="6" fillId="0" borderId="28" xfId="6" applyFont="1" applyFill="1" applyBorder="1" applyAlignment="1">
      <alignment horizontal="center" wrapText="1"/>
    </xf>
    <xf numFmtId="0" fontId="6" fillId="0" borderId="39" xfId="6" applyFont="1" applyFill="1" applyBorder="1" applyAlignment="1">
      <alignment horizontal="center" wrapText="1"/>
    </xf>
    <xf numFmtId="0" fontId="40" fillId="0" borderId="42" xfId="6" applyFont="1" applyFill="1" applyBorder="1" applyAlignment="1">
      <alignment horizontal="center" vertical="center" wrapText="1"/>
    </xf>
    <xf numFmtId="0" fontId="22" fillId="0" borderId="42" xfId="6" applyFont="1" applyFill="1" applyBorder="1" applyAlignment="1">
      <alignment horizontal="left" vertical="center" wrapText="1"/>
    </xf>
    <xf numFmtId="43" fontId="22" fillId="7" borderId="38" xfId="1" applyFont="1" applyFill="1" applyBorder="1" applyAlignment="1">
      <alignment horizontal="center" vertical="center" wrapText="1"/>
    </xf>
    <xf numFmtId="43" fontId="22" fillId="7" borderId="28" xfId="1" applyFont="1" applyFill="1" applyBorder="1" applyAlignment="1">
      <alignment horizontal="center" vertical="center" wrapText="1"/>
    </xf>
    <xf numFmtId="43" fontId="22" fillId="7" borderId="39" xfId="1" applyFont="1" applyFill="1" applyBorder="1" applyAlignment="1">
      <alignment horizontal="center" vertical="center" wrapText="1"/>
    </xf>
    <xf numFmtId="43" fontId="22" fillId="0" borderId="12" xfId="1" applyFont="1" applyFill="1" applyBorder="1" applyAlignment="1">
      <alignment horizontal="center" vertical="center" wrapText="1"/>
    </xf>
    <xf numFmtId="43" fontId="22" fillId="0" borderId="1" xfId="1" applyFont="1" applyFill="1" applyBorder="1" applyAlignment="1">
      <alignment horizontal="center" vertical="center" wrapText="1"/>
    </xf>
    <xf numFmtId="43" fontId="22" fillId="0" borderId="14" xfId="1" applyFont="1" applyFill="1" applyBorder="1" applyAlignment="1">
      <alignment horizontal="center" vertical="center" wrapText="1"/>
    </xf>
    <xf numFmtId="43" fontId="22" fillId="0" borderId="38" xfId="1" applyFont="1" applyFill="1" applyBorder="1" applyAlignment="1">
      <alignment horizontal="center" vertical="center" wrapText="1"/>
    </xf>
    <xf numFmtId="43" fontId="22" fillId="0" borderId="28" xfId="1" applyFont="1" applyFill="1" applyBorder="1" applyAlignment="1">
      <alignment horizontal="center" vertical="center" wrapText="1"/>
    </xf>
    <xf numFmtId="43" fontId="22" fillId="0" borderId="39" xfId="1" applyFont="1" applyFill="1" applyBorder="1" applyAlignment="1">
      <alignment horizontal="center" vertical="center" wrapText="1"/>
    </xf>
    <xf numFmtId="43" fontId="40" fillId="0" borderId="38" xfId="1" applyFont="1" applyFill="1" applyBorder="1" applyAlignment="1">
      <alignment horizontal="center" vertical="center" wrapText="1"/>
    </xf>
    <xf numFmtId="43" fontId="40" fillId="0" borderId="28" xfId="1" applyFont="1" applyFill="1" applyBorder="1" applyAlignment="1">
      <alignment horizontal="center" vertical="center" wrapText="1"/>
    </xf>
    <xf numFmtId="43" fontId="40" fillId="0" borderId="39" xfId="1" applyFont="1" applyFill="1" applyBorder="1" applyAlignment="1">
      <alignment horizontal="center" vertical="center" wrapText="1"/>
    </xf>
    <xf numFmtId="0" fontId="39" fillId="0" borderId="42" xfId="6" applyFont="1" applyFill="1" applyBorder="1" applyAlignment="1">
      <alignment horizontal="center" vertical="center" wrapText="1"/>
    </xf>
    <xf numFmtId="0" fontId="17" fillId="0" borderId="42" xfId="6" applyFont="1" applyFill="1" applyBorder="1" applyAlignment="1">
      <alignment horizontal="left" vertical="center" wrapText="1"/>
    </xf>
    <xf numFmtId="43" fontId="39" fillId="6" borderId="38" xfId="1" applyFont="1" applyFill="1" applyBorder="1" applyAlignment="1">
      <alignment horizontal="center" vertical="center" wrapText="1"/>
    </xf>
    <xf numFmtId="43" fontId="39" fillId="6" borderId="28" xfId="1" applyFont="1" applyFill="1" applyBorder="1" applyAlignment="1">
      <alignment horizontal="center" vertical="center" wrapText="1"/>
    </xf>
    <xf numFmtId="43" fontId="39" fillId="6" borderId="39" xfId="1" applyFont="1" applyFill="1" applyBorder="1" applyAlignment="1">
      <alignment horizontal="center" vertical="center" wrapText="1"/>
    </xf>
    <xf numFmtId="43" fontId="40" fillId="6" borderId="38" xfId="1" applyFont="1" applyFill="1" applyBorder="1" applyAlignment="1">
      <alignment horizontal="center" vertical="center" wrapText="1"/>
    </xf>
    <xf numFmtId="43" fontId="40" fillId="6" borderId="28" xfId="1" applyFont="1" applyFill="1" applyBorder="1" applyAlignment="1">
      <alignment horizontal="center" vertical="center" wrapText="1"/>
    </xf>
    <xf numFmtId="43" fontId="40" fillId="6" borderId="39" xfId="1" applyFont="1" applyFill="1" applyBorder="1" applyAlignment="1">
      <alignment horizontal="center" vertical="center" wrapText="1"/>
    </xf>
    <xf numFmtId="0" fontId="22" fillId="0" borderId="42" xfId="6" applyFont="1" applyFill="1" applyBorder="1" applyAlignment="1">
      <alignment horizontal="justify" vertical="center" wrapText="1"/>
    </xf>
    <xf numFmtId="43" fontId="39" fillId="0" borderId="28" xfId="1" applyFont="1" applyFill="1" applyBorder="1" applyAlignment="1">
      <alignment horizontal="center" vertical="center" wrapText="1"/>
    </xf>
    <xf numFmtId="0" fontId="40" fillId="0" borderId="43" xfId="6" applyFont="1" applyFill="1" applyBorder="1" applyAlignment="1">
      <alignment horizontal="center" vertical="center" wrapText="1"/>
    </xf>
    <xf numFmtId="0" fontId="40" fillId="0" borderId="43" xfId="6" applyFont="1" applyFill="1" applyBorder="1" applyAlignment="1">
      <alignment horizontal="left" vertical="center" wrapText="1"/>
    </xf>
    <xf numFmtId="43" fontId="40" fillId="0" borderId="44" xfId="1" applyFont="1" applyFill="1" applyBorder="1" applyAlignment="1">
      <alignment horizontal="center" vertical="center" wrapText="1"/>
    </xf>
    <xf numFmtId="43" fontId="40" fillId="0" borderId="45" xfId="1" applyFont="1" applyFill="1" applyBorder="1" applyAlignment="1">
      <alignment horizontal="center" vertical="center"/>
    </xf>
    <xf numFmtId="43" fontId="40" fillId="0" borderId="45" xfId="1" applyFont="1" applyFill="1" applyBorder="1" applyAlignment="1">
      <alignment horizontal="center" vertical="center" wrapText="1"/>
    </xf>
    <xf numFmtId="43" fontId="40" fillId="0" borderId="46" xfId="1" applyFont="1" applyFill="1" applyBorder="1" applyAlignment="1">
      <alignment horizontal="center" vertical="center" wrapText="1"/>
    </xf>
    <xf numFmtId="0" fontId="40" fillId="0" borderId="0" xfId="6" applyFont="1" applyFill="1" applyAlignment="1">
      <alignment wrapText="1"/>
    </xf>
    <xf numFmtId="0" fontId="40" fillId="0" borderId="0" xfId="6" applyFont="1" applyFill="1" applyAlignment="1">
      <alignment horizontal="center" wrapText="1"/>
    </xf>
    <xf numFmtId="0" fontId="40" fillId="0" borderId="0" xfId="6" applyFont="1" applyFill="1"/>
    <xf numFmtId="0" fontId="40" fillId="0" borderId="0" xfId="6" applyFont="1" applyBorder="1" applyAlignment="1">
      <alignment horizontal="center"/>
    </xf>
    <xf numFmtId="0" fontId="46" fillId="0" borderId="0" xfId="6" applyFont="1" applyFill="1" applyAlignment="1">
      <alignment horizontal="center" vertical="center" wrapText="1"/>
    </xf>
    <xf numFmtId="0" fontId="47" fillId="0" borderId="0" xfId="3" applyFont="1" applyBorder="1" applyAlignment="1" applyProtection="1">
      <alignment horizontal="left" vertical="center" wrapText="1"/>
    </xf>
    <xf numFmtId="0" fontId="47" fillId="0" borderId="0" xfId="3" applyFont="1" applyBorder="1" applyAlignment="1" applyProtection="1">
      <alignment vertical="center" wrapText="1"/>
    </xf>
    <xf numFmtId="0" fontId="46" fillId="0" borderId="0" xfId="6" applyFont="1" applyFill="1"/>
    <xf numFmtId="0" fontId="47" fillId="0" borderId="0" xfId="3" applyFont="1" applyAlignment="1" applyProtection="1">
      <alignment horizontal="center"/>
    </xf>
    <xf numFmtId="0" fontId="19" fillId="0" borderId="0" xfId="5" applyFont="1" applyFill="1" applyAlignment="1">
      <alignment wrapText="1"/>
    </xf>
    <xf numFmtId="0" fontId="19" fillId="0" borderId="0" xfId="5" applyFont="1" applyFill="1"/>
    <xf numFmtId="0" fontId="19" fillId="8" borderId="0" xfId="5" applyFont="1" applyFill="1" applyAlignment="1">
      <alignment wrapText="1"/>
    </xf>
    <xf numFmtId="0" fontId="19" fillId="8" borderId="0" xfId="5" applyFont="1" applyFill="1"/>
    <xf numFmtId="2" fontId="19" fillId="0" borderId="0" xfId="5" applyNumberFormat="1" applyFill="1" applyAlignment="1">
      <alignment wrapText="1"/>
    </xf>
    <xf numFmtId="43" fontId="19" fillId="0" borderId="0" xfId="5" applyNumberFormat="1" applyFill="1"/>
  </cellXfs>
  <cellStyles count="7">
    <cellStyle name="Обычный" xfId="0" builtinId="0"/>
    <cellStyle name="Обычный 19" xfId="5"/>
    <cellStyle name="Обычный 2 2 2 9" xfId="6"/>
    <cellStyle name="Обычный 3 15" xfId="3"/>
    <cellStyle name="Процентный" xfId="2" builtinId="5"/>
    <cellStyle name="Финансовый" xfId="1" builtinId="3"/>
    <cellStyle name="Финансовый 5" xfId="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&#1056;&#1058;_&#1056;&#1086;&#1079;&#1088;&#1072;&#1093;&#1091;&#1085;&#1086;&#1082;%20&#1090;&#1072;&#1088;&#1080;&#1092;&#1110;&#1074;%20&#1073;&#1077;&#1079;%20&#1087;&#1072;&#1088;&#1086;&#1083;&#1103;2018(&#1076;&#1083;&#1103;%20&#1079;&#1072;&#1097;&#1080;&#1090;&#1099;&#1057;&#1052;&#1056;)&#1088;&#1077;&#1085;&#1090;&#1072;&#1073;&#1077;&#1083;&#1100;&#1085;&#1086;&#1089;&#1090;&#1100;2.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86;&#1085;&#1086;&#1074;&#1072;&#1083;&#1086;&#1074;&#1072;\&#1058;&#1072;&#1088;&#1080;&#1092;%202019\&#1058;&#1040;&#1056;&#1048;&#1060;%202019\&#1058;&#1040;&#1056;&#1048;&#1060;%202019%20&#1073;&#1077;&#1079;%20&#1055;&#1040;&#1054;%20%20&#1087;&#1086;&#1089;&#1083;&#1077;&#1076;&#1085;&#1080;&#1081;%20&#1074;&#1072;&#1088;&#1080;&#1072;&#1085;&#1090;%2025%20&#1080;&#1102;&#1085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&#1091;&#1089;&#1083;&#1091;&#1075;&#1072;%20&#1073;&#1077;&#1079;%20&#1079;&#1072;&#1097;&#1080;&#1090;&#1099;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упне (2)"/>
      <sheetName val="ІНСТРУКЦІЯ"/>
      <sheetName val="5_Розрахунок тарифів"/>
      <sheetName val="3_Розподіл пл.соб."/>
      <sheetName val="4_Структура пл.соб."/>
      <sheetName val="1_Структура по елементах"/>
      <sheetName val="2_ФОП"/>
      <sheetName val="Д2"/>
      <sheetName val="Д3"/>
      <sheetName val="Д4"/>
      <sheetName val="Д4 (1)"/>
      <sheetName val="Д5"/>
      <sheetName val="Д5 (1)"/>
      <sheetName val="Д6"/>
      <sheetName val="Д9"/>
      <sheetName val="структураТАРИФА"/>
      <sheetName val="виробн"/>
      <sheetName val="транспорт"/>
      <sheetName val="постачання"/>
      <sheetName val="Лист6"/>
      <sheetName val="Лист1"/>
      <sheetName val="свод для кульченк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A2">
            <v>298970919.48336291</v>
          </cell>
        </row>
        <row r="15">
          <cell r="AL15">
            <v>1798056</v>
          </cell>
        </row>
        <row r="16">
          <cell r="AL16">
            <v>395572.32</v>
          </cell>
        </row>
        <row r="34">
          <cell r="AM34">
            <v>711339.51</v>
          </cell>
        </row>
      </sheetData>
      <sheetData sheetId="6" refreshError="1"/>
      <sheetData sheetId="7" refreshError="1"/>
      <sheetData sheetId="8" refreshError="1">
        <row r="37">
          <cell r="L37">
            <v>0</v>
          </cell>
        </row>
        <row r="38">
          <cell r="L38">
            <v>0</v>
          </cell>
          <cell r="P38">
            <v>0</v>
          </cell>
          <cell r="X38">
            <v>0</v>
          </cell>
        </row>
        <row r="39">
          <cell r="L39">
            <v>0</v>
          </cell>
          <cell r="P39">
            <v>0</v>
          </cell>
          <cell r="X39">
            <v>0</v>
          </cell>
        </row>
      </sheetData>
      <sheetData sheetId="9" refreshError="1">
        <row r="3">
          <cell r="B3" t="str">
            <v>ПАТ "Сумське НВО" Дирекція  "Котельня Північного промислового вузла"</v>
          </cell>
        </row>
        <row r="12">
          <cell r="K12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8">
          <cell r="K18">
            <v>0</v>
          </cell>
        </row>
        <row r="38">
          <cell r="K38">
            <v>0</v>
          </cell>
          <cell r="O38">
            <v>0</v>
          </cell>
          <cell r="W38">
            <v>0</v>
          </cell>
        </row>
        <row r="39">
          <cell r="K39">
            <v>0</v>
          </cell>
          <cell r="O39">
            <v>0</v>
          </cell>
          <cell r="W39">
            <v>0</v>
          </cell>
        </row>
      </sheetData>
      <sheetData sheetId="10" refreshError="1"/>
      <sheetData sheetId="11" refreshError="1">
        <row r="32">
          <cell r="K32">
            <v>0</v>
          </cell>
        </row>
        <row r="33">
          <cell r="K33">
            <v>0</v>
          </cell>
          <cell r="O33">
            <v>0</v>
          </cell>
          <cell r="W33">
            <v>0</v>
          </cell>
        </row>
        <row r="34">
          <cell r="K34">
            <v>0</v>
          </cell>
          <cell r="O34">
            <v>0</v>
          </cell>
          <cell r="W34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упне (2)"/>
      <sheetName val="ІНСТРУКЦІЯ"/>
      <sheetName val="1_Структура по елементах"/>
      <sheetName val="2_ФОП"/>
      <sheetName val="админ+опр"/>
      <sheetName val="загальна"/>
      <sheetName val="3_Розподіл пл.соб."/>
      <sheetName val="4_Структура пл.соб."/>
      <sheetName val="5_Розрахунок тарифів"/>
      <sheetName val="Д2"/>
      <sheetName val="Д3(вробн)"/>
      <sheetName val="Д4(транспорт)"/>
      <sheetName val="Д5(постачанняя)"/>
      <sheetName val="структураТАРИФА"/>
      <sheetName val="виробн"/>
      <sheetName val="транспорт"/>
      <sheetName val="постачання"/>
      <sheetName val="Д6(тариф)"/>
      <sheetName val="Д7(газ)"/>
      <sheetName val="Д8(ел.ен.)"/>
      <sheetName val="Д 8.2 ее"/>
      <sheetName val="Д 10"/>
      <sheetName val="Д10(2-х ставочн)"/>
      <sheetName val="Д 13_послуга"/>
      <sheetName val="Д 14_послуга"/>
      <sheetName val="Д5_послуга"/>
      <sheetName val="Д6_послугаТариф"/>
      <sheetName val="Лист1"/>
      <sheetName val="структура тарифаУСЛУГА"/>
      <sheetName val="Д7_послуга"/>
      <sheetName val="Д8_послсуга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8084754.1516049998</v>
          </cell>
          <cell r="E7">
            <v>421546.94</v>
          </cell>
          <cell r="F7">
            <v>272140243.7158584</v>
          </cell>
        </row>
      </sheetData>
      <sheetData sheetId="8">
        <row r="22">
          <cell r="E22">
            <v>2.3642418675106689</v>
          </cell>
          <cell r="F22">
            <v>5.708235434477996</v>
          </cell>
          <cell r="G22">
            <v>11.578664251951299</v>
          </cell>
          <cell r="H22">
            <v>11.441039826431091</v>
          </cell>
          <cell r="J22">
            <v>2.5148025292909111</v>
          </cell>
          <cell r="K22">
            <v>6.0600927219803484</v>
          </cell>
          <cell r="L22">
            <v>12.290286253677454</v>
          </cell>
          <cell r="M22">
            <v>12.147251958868234</v>
          </cell>
        </row>
      </sheetData>
      <sheetData sheetId="9">
        <row r="34">
          <cell r="F34">
            <v>156.68599999999998</v>
          </cell>
        </row>
      </sheetData>
      <sheetData sheetId="10">
        <row r="14">
          <cell r="L14">
            <v>94027.786627039997</v>
          </cell>
          <cell r="P14">
            <v>155.49803664000001</v>
          </cell>
          <cell r="X14">
            <v>22977.974819839998</v>
          </cell>
          <cell r="AB14">
            <v>7878.7859985600007</v>
          </cell>
        </row>
        <row r="15">
          <cell r="L15">
            <v>19495.065669131272</v>
          </cell>
          <cell r="P15">
            <v>17.92032691990973</v>
          </cell>
          <cell r="X15">
            <v>2681.4258161802236</v>
          </cell>
          <cell r="AB15">
            <v>912.73314739187651</v>
          </cell>
        </row>
        <row r="16">
          <cell r="L16">
            <v>10143.798993349999</v>
          </cell>
          <cell r="P16">
            <v>0</v>
          </cell>
          <cell r="X16">
            <v>378.88457177999993</v>
          </cell>
          <cell r="AB16">
            <v>26.707583</v>
          </cell>
        </row>
        <row r="17">
          <cell r="L17">
            <v>57876.098327040003</v>
          </cell>
          <cell r="P17">
            <v>0</v>
          </cell>
          <cell r="X17">
            <v>0</v>
          </cell>
          <cell r="AB17">
            <v>0</v>
          </cell>
        </row>
        <row r="18">
          <cell r="X18">
            <v>0</v>
          </cell>
        </row>
        <row r="19">
          <cell r="P19">
            <v>0</v>
          </cell>
          <cell r="AB19">
            <v>0</v>
          </cell>
        </row>
        <row r="21">
          <cell r="L21">
            <v>1798.3791825931562</v>
          </cell>
          <cell r="P21">
            <v>1.6531128145445995</v>
          </cell>
          <cell r="X21">
            <v>247.35594377206641</v>
          </cell>
          <cell r="AB21">
            <v>84.197730820233062</v>
          </cell>
        </row>
        <row r="22">
          <cell r="L22">
            <v>905.87421729655637</v>
          </cell>
          <cell r="P22">
            <v>0.83270107409671656</v>
          </cell>
          <cell r="X22">
            <v>124.59740088576378</v>
          </cell>
          <cell r="AB22">
            <v>42.41183074358338</v>
          </cell>
        </row>
        <row r="23">
          <cell r="L23">
            <v>12551.360469203717</v>
          </cell>
          <cell r="P23">
            <v>11.537508347761577</v>
          </cell>
          <cell r="X23">
            <v>1726.3620734346832</v>
          </cell>
          <cell r="AB23">
            <v>587.63806901383919</v>
          </cell>
        </row>
        <row r="25">
          <cell r="L25">
            <v>2761.2993062620708</v>
          </cell>
          <cell r="P25">
            <v>2.5382518392994622</v>
          </cell>
          <cell r="X25">
            <v>379.79965657338568</v>
          </cell>
          <cell r="AB25">
            <v>129.28037532524479</v>
          </cell>
        </row>
        <row r="26">
          <cell r="L26">
            <v>1380.9243768482925</v>
          </cell>
          <cell r="P26">
            <v>1.2693784522089671</v>
          </cell>
          <cell r="X26">
            <v>189.93761483639074</v>
          </cell>
          <cell r="AB26">
            <v>64.653049863107938</v>
          </cell>
        </row>
        <row r="27">
          <cell r="L27">
            <v>7058.6335482910536</v>
          </cell>
          <cell r="P27">
            <v>6.4884634368535998</v>
          </cell>
          <cell r="X27">
            <v>970.87142688177823</v>
          </cell>
          <cell r="AB27">
            <v>330.4758713903156</v>
          </cell>
        </row>
        <row r="29">
          <cell r="L29">
            <v>2161.9545091405189</v>
          </cell>
          <cell r="P29">
            <v>1.9873198812106136</v>
          </cell>
          <cell r="X29">
            <v>297.36348328366307</v>
          </cell>
          <cell r="AB29">
            <v>101.21984594134572</v>
          </cell>
        </row>
        <row r="30">
          <cell r="L30">
            <v>475.62999201091418</v>
          </cell>
          <cell r="P30">
            <v>0.43721037386633493</v>
          </cell>
          <cell r="X30">
            <v>65.41996632240587</v>
          </cell>
          <cell r="AB30">
            <v>22.268366107096057</v>
          </cell>
        </row>
        <row r="31">
          <cell r="L31">
            <v>3777.0930344958238</v>
          </cell>
          <cell r="P31">
            <v>3.4719935358953453</v>
          </cell>
          <cell r="X31">
            <v>519.51580695870109</v>
          </cell>
          <cell r="AB31">
            <v>176.83849194855938</v>
          </cell>
        </row>
        <row r="33">
          <cell r="L33">
            <v>239.85912363233331</v>
          </cell>
          <cell r="P33">
            <v>0.2204841975485379</v>
          </cell>
          <cell r="X33">
            <v>32.991140284923333</v>
          </cell>
          <cell r="AB33">
            <v>11.229886400959865</v>
          </cell>
        </row>
        <row r="34">
          <cell r="L34">
            <v>52.769007199113325</v>
          </cell>
          <cell r="P34">
            <v>4.8506523460678332E-2</v>
          </cell>
          <cell r="X34">
            <v>7.2580508626831319</v>
          </cell>
          <cell r="AB34">
            <v>2.4705750082111702</v>
          </cell>
        </row>
        <row r="35">
          <cell r="L35">
            <v>41.839391489442676</v>
          </cell>
          <cell r="P35">
            <v>3.8459761374802934E-2</v>
          </cell>
          <cell r="X35">
            <v>5.7547497596124808</v>
          </cell>
          <cell r="AB35">
            <v>1.9588648803367494</v>
          </cell>
        </row>
        <row r="41">
          <cell r="L41">
            <v>972.08952015270722</v>
          </cell>
          <cell r="P41">
            <v>2.2246307192195123</v>
          </cell>
          <cell r="X41">
            <v>677.07091769619501</v>
          </cell>
          <cell r="AB41">
            <v>226.80335080514635</v>
          </cell>
        </row>
        <row r="42">
          <cell r="AB42">
            <v>0</v>
          </cell>
        </row>
        <row r="43">
          <cell r="AB43">
            <v>0</v>
          </cell>
        </row>
        <row r="44">
          <cell r="L44">
            <v>4428.4078140289994</v>
          </cell>
          <cell r="P44">
            <v>10.134428832000001</v>
          </cell>
          <cell r="X44">
            <v>3084.4341806159996</v>
          </cell>
          <cell r="AB44">
            <v>1033.2152647790001</v>
          </cell>
        </row>
        <row r="48">
          <cell r="L48">
            <v>170454.69499999998</v>
          </cell>
          <cell r="X48">
            <v>23444.99</v>
          </cell>
          <cell r="AB48">
            <v>7980.4629999999988</v>
          </cell>
        </row>
      </sheetData>
      <sheetData sheetId="11">
        <row r="15">
          <cell r="K15">
            <v>11688.078436149997</v>
          </cell>
          <cell r="O15">
            <v>10.743959019999997</v>
          </cell>
          <cell r="S15">
            <v>1607.6229642999999</v>
          </cell>
          <cell r="W15">
            <v>547.22034790999987</v>
          </cell>
        </row>
        <row r="24">
          <cell r="K24">
            <v>120.80372694659965</v>
          </cell>
          <cell r="O24">
            <v>0.11104565210336338</v>
          </cell>
          <cell r="S24">
            <v>16.615806154390526</v>
          </cell>
          <cell r="W24">
            <v>5.6558704537850453</v>
          </cell>
        </row>
        <row r="25">
          <cell r="K25">
            <v>26.576819928251922</v>
          </cell>
          <cell r="O25">
            <v>2.4430043462739939E-2</v>
          </cell>
          <cell r="S25">
            <v>3.6554773539659151</v>
          </cell>
          <cell r="W25">
            <v>1.2442914998327097</v>
          </cell>
        </row>
        <row r="26">
          <cell r="K26">
            <v>211.05296558218663</v>
          </cell>
          <cell r="O26">
            <v>0.19400489358894157</v>
          </cell>
          <cell r="S26">
            <v>29.029031248125555</v>
          </cell>
          <cell r="W26">
            <v>9.8812202437070678</v>
          </cell>
        </row>
        <row r="28">
          <cell r="K28">
            <v>13.402629865189045</v>
          </cell>
          <cell r="O28">
            <v>1.232001537450764E-2</v>
          </cell>
          <cell r="S28">
            <v>1.843448918570759</v>
          </cell>
          <cell r="W28">
            <v>0.62749337436458508</v>
          </cell>
        </row>
        <row r="29">
          <cell r="K29">
            <v>2.9485785703415908</v>
          </cell>
          <cell r="O29">
            <v>2.7104033823916818E-3</v>
          </cell>
          <cell r="S29">
            <v>0.40555876208556707</v>
          </cell>
          <cell r="W29">
            <v>0.13804854236020875</v>
          </cell>
        </row>
        <row r="30">
          <cell r="K30">
            <v>2.3378674475081</v>
          </cell>
          <cell r="O30">
            <v>2.1490232280211127E-3</v>
          </cell>
          <cell r="S30">
            <v>0.32155922093054079</v>
          </cell>
          <cell r="W30">
            <v>0.10945585666468639</v>
          </cell>
        </row>
      </sheetData>
      <sheetData sheetId="12">
        <row r="12">
          <cell r="K12">
            <v>0</v>
          </cell>
          <cell r="O12">
            <v>0</v>
          </cell>
          <cell r="S12">
            <v>0</v>
          </cell>
          <cell r="W12">
            <v>0</v>
          </cell>
        </row>
        <row r="13">
          <cell r="K13">
            <v>1271.2927020713462</v>
          </cell>
          <cell r="O13">
            <v>1.168602415537753</v>
          </cell>
          <cell r="S13">
            <v>174.85845542204453</v>
          </cell>
          <cell r="W13">
            <v>59.520240091071713</v>
          </cell>
        </row>
        <row r="15">
          <cell r="K15">
            <v>279.68439445569618</v>
          </cell>
          <cell r="O15">
            <v>0.25709253141830568</v>
          </cell>
          <cell r="S15">
            <v>38.468860192849796</v>
          </cell>
          <cell r="W15">
            <v>13.094452820035777</v>
          </cell>
        </row>
        <row r="16">
          <cell r="K16">
            <v>2.4852825715097087</v>
          </cell>
          <cell r="O16">
            <v>2.284530707702538E-3</v>
          </cell>
          <cell r="S16">
            <v>0.3418352603090189</v>
          </cell>
          <cell r="W16">
            <v>0.11635763747357082</v>
          </cell>
        </row>
        <row r="17">
          <cell r="K17">
            <v>6.694509726189831</v>
          </cell>
          <cell r="O17">
            <v>6.1537521800603956E-3</v>
          </cell>
          <cell r="S17">
            <v>0.92078844519608771</v>
          </cell>
          <cell r="W17">
            <v>0.31342807643402298</v>
          </cell>
        </row>
        <row r="19">
          <cell r="K19">
            <v>16.125214065000971</v>
          </cell>
          <cell r="O19">
            <v>1.482267936936992E-2</v>
          </cell>
          <cell r="S19">
            <v>2.217923551485673</v>
          </cell>
          <cell r="W19">
            <v>0.75496115969595234</v>
          </cell>
        </row>
        <row r="20">
          <cell r="K20">
            <v>3.5475470943002141</v>
          </cell>
          <cell r="O20">
            <v>3.260989461261383E-3</v>
          </cell>
          <cell r="S20">
            <v>0.48794318132684811</v>
          </cell>
          <cell r="W20">
            <v>0.16609145513310952</v>
          </cell>
        </row>
        <row r="21">
          <cell r="K21">
            <v>28.171931847622506</v>
          </cell>
          <cell r="O21">
            <v>2.5896308186034885E-2</v>
          </cell>
          <cell r="S21">
            <v>3.8748751417389311</v>
          </cell>
          <cell r="W21">
            <v>1.318972526679145</v>
          </cell>
        </row>
        <row r="23">
          <cell r="K23">
            <v>1.7890199350543412</v>
          </cell>
          <cell r="O23">
            <v>1.6445095721412924E-3</v>
          </cell>
          <cell r="S23">
            <v>0.24606863710706056</v>
          </cell>
          <cell r="W23">
            <v>8.3759543249680352E-2</v>
          </cell>
        </row>
        <row r="24">
          <cell r="K24">
            <v>0.39358438571195503</v>
          </cell>
          <cell r="O24">
            <v>3.6179210587108435E-4</v>
          </cell>
          <cell r="S24">
            <v>5.4135100163553315E-2</v>
          </cell>
          <cell r="W24">
            <v>1.8427099514929678E-2</v>
          </cell>
        </row>
        <row r="25">
          <cell r="K25">
            <v>0.31206842340544266</v>
          </cell>
          <cell r="O25">
            <v>2.868606992004837E-4</v>
          </cell>
          <cell r="S25">
            <v>4.2923083263012328E-2</v>
          </cell>
          <cell r="W25">
            <v>1.4610630152812566E-2</v>
          </cell>
        </row>
      </sheetData>
      <sheetData sheetId="13">
        <row r="33">
          <cell r="M33">
            <v>10434.380107629268</v>
          </cell>
        </row>
        <row r="38">
          <cell r="M38">
            <v>282574.62383188255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I11">
            <v>230.02969160227636</v>
          </cell>
          <cell r="M11">
            <v>67.004333043915295</v>
          </cell>
          <cell r="O11">
            <v>64.324159722158669</v>
          </cell>
        </row>
        <row r="13">
          <cell r="G13">
            <v>15.979018388608477</v>
          </cell>
          <cell r="I13">
            <v>2.7436581735381567</v>
          </cell>
          <cell r="M13">
            <v>0.79994868932726571</v>
          </cell>
          <cell r="O13">
            <v>0.76549947467701862</v>
          </cell>
        </row>
        <row r="14">
          <cell r="G14">
            <v>3.5153840454938647</v>
          </cell>
          <cell r="I14">
            <v>0.60360479817839441</v>
          </cell>
          <cell r="M14">
            <v>0.17598871165199845</v>
          </cell>
          <cell r="O14">
            <v>0.16840988442894408</v>
          </cell>
        </row>
        <row r="15">
          <cell r="G15">
            <v>41.791340725910139</v>
          </cell>
          <cell r="I15">
            <v>7.1736026478512578</v>
          </cell>
          <cell r="M15">
            <v>2.3293839224449573</v>
          </cell>
          <cell r="O15">
            <v>2.2458012409931363</v>
          </cell>
        </row>
        <row r="16">
          <cell r="M16">
            <v>7.6899999999999995</v>
          </cell>
          <cell r="O16">
            <v>7.69</v>
          </cell>
        </row>
        <row r="17">
          <cell r="G17">
            <v>6.3972598424905236</v>
          </cell>
          <cell r="I17">
            <v>1.0981078699068967</v>
          </cell>
          <cell r="M17">
            <v>0.35657325096443532</v>
          </cell>
          <cell r="O17">
            <v>0.34377873127945419</v>
          </cell>
        </row>
        <row r="18">
          <cell r="G18">
            <v>1407.7696638808086</v>
          </cell>
          <cell r="I18">
            <v>241.64866509175101</v>
          </cell>
          <cell r="M18">
            <v>78.356227618303933</v>
          </cell>
          <cell r="O18">
            <v>75.537649053537223</v>
          </cell>
        </row>
        <row r="21">
          <cell r="G21">
            <v>25.979969715876706</v>
          </cell>
          <cell r="I21">
            <v>4.459535786784687</v>
          </cell>
          <cell r="M21">
            <v>1.2989984857938355</v>
          </cell>
          <cell r="O21">
            <v>1.2470385463620817</v>
          </cell>
        </row>
        <row r="22">
          <cell r="G22">
            <v>5.7029201815339121</v>
          </cell>
          <cell r="I22">
            <v>0.97892248978200447</v>
          </cell>
          <cell r="M22">
            <v>0.28514600907669563</v>
          </cell>
          <cell r="O22">
            <v>0.27374016871362766</v>
          </cell>
        </row>
        <row r="23">
          <cell r="G23">
            <v>11.482734430979201</v>
          </cell>
          <cell r="I23">
            <v>1.9710519888313942</v>
          </cell>
          <cell r="M23">
            <v>0.63769664438044915</v>
          </cell>
          <cell r="O23">
            <v>0.61470693105742069</v>
          </cell>
        </row>
        <row r="24">
          <cell r="G24">
            <v>1419.2523983117878</v>
          </cell>
          <cell r="I24">
            <v>243.6197170805824</v>
          </cell>
          <cell r="M24">
            <v>78.993924262684388</v>
          </cell>
          <cell r="O24">
            <v>76.152355984594635</v>
          </cell>
        </row>
        <row r="34">
          <cell r="C34">
            <v>1340.0866608783056</v>
          </cell>
        </row>
      </sheetData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ители"/>
      <sheetName val="д.2 тарифи 869 пост за табл 7.1"/>
      <sheetName val="д.3 розр за табл 2.3-2.6"/>
      <sheetName val="д.4 за табл 2.1"/>
      <sheetName val="Лист1"/>
      <sheetName val="ГВП"/>
      <sheetName val="структура тарифа"/>
      <sheetName val="собіварт"/>
      <sheetName val="соб Коміс"/>
      <sheetName val="Структура послуги аналіз"/>
      <sheetName val="Додаток4"/>
      <sheetName val="послуга"/>
      <sheetName val="Лист2"/>
      <sheetName val="послуга 2018"/>
      <sheetName val="расчет послуги"/>
      <sheetName val="расчет рыбал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C4">
            <v>9460.2366658989049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9"/>
  <sheetViews>
    <sheetView workbookViewId="0">
      <selection activeCell="AJ27" sqref="AJ27:AJ28"/>
    </sheetView>
  </sheetViews>
  <sheetFormatPr defaultRowHeight="15.75" x14ac:dyDescent="0.25"/>
  <cols>
    <col min="1" max="1" width="13.140625" style="2" bestFit="1" customWidth="1"/>
    <col min="2" max="2" width="9.85546875" style="1" hidden="1" customWidth="1"/>
    <col min="3" max="3" width="9" style="1" hidden="1" customWidth="1"/>
    <col min="4" max="21" width="0" style="1" hidden="1" customWidth="1"/>
    <col min="22" max="22" width="11.28515625" style="1" hidden="1" customWidth="1"/>
    <col min="23" max="23" width="0" style="1" hidden="1" customWidth="1"/>
    <col min="24" max="24" width="11.140625" style="1" hidden="1" customWidth="1"/>
    <col min="25" max="25" width="0" style="1" hidden="1" customWidth="1"/>
    <col min="26" max="26" width="11.28515625" style="1" customWidth="1"/>
    <col min="27" max="27" width="10.85546875" style="1" customWidth="1"/>
    <col min="28" max="28" width="11.28515625" style="1" bestFit="1" customWidth="1"/>
    <col min="29" max="29" width="10.5703125" style="1" customWidth="1"/>
    <col min="30" max="30" width="12.7109375" style="1" customWidth="1"/>
    <col min="31" max="31" width="12.28515625" style="1" customWidth="1"/>
    <col min="32" max="32" width="13" style="1" customWidth="1"/>
    <col min="33" max="33" width="12.5703125" style="1" customWidth="1"/>
    <col min="34" max="16384" width="9.140625" style="1"/>
  </cols>
  <sheetData>
    <row r="2" spans="1:33" s="2" customFormat="1" x14ac:dyDescent="0.25">
      <c r="A2" s="3"/>
      <c r="B2" s="11" t="s">
        <v>4</v>
      </c>
      <c r="C2" s="11"/>
      <c r="D2" s="11" t="s">
        <v>5</v>
      </c>
      <c r="E2" s="11"/>
      <c r="F2" s="11" t="s">
        <v>6</v>
      </c>
      <c r="G2" s="11"/>
      <c r="H2" s="11" t="s">
        <v>7</v>
      </c>
      <c r="I2" s="11"/>
      <c r="J2" s="15" t="s">
        <v>10</v>
      </c>
      <c r="K2" s="16"/>
      <c r="L2" s="15" t="s">
        <v>11</v>
      </c>
      <c r="M2" s="16"/>
      <c r="N2" s="15" t="s">
        <v>12</v>
      </c>
      <c r="O2" s="16"/>
      <c r="P2" s="15" t="s">
        <v>13</v>
      </c>
      <c r="Q2" s="16"/>
      <c r="R2" s="15" t="s">
        <v>14</v>
      </c>
      <c r="S2" s="16"/>
      <c r="T2" s="15" t="s">
        <v>15</v>
      </c>
      <c r="U2" s="16"/>
      <c r="V2" s="11" t="s">
        <v>8</v>
      </c>
      <c r="W2" s="11"/>
      <c r="X2" s="11" t="s">
        <v>9</v>
      </c>
      <c r="Y2" s="11"/>
      <c r="Z2" s="11" t="s">
        <v>17</v>
      </c>
      <c r="AA2" s="11"/>
      <c r="AB2" s="11">
        <v>2019</v>
      </c>
      <c r="AC2" s="11"/>
      <c r="AD2" s="11"/>
      <c r="AE2" s="11"/>
      <c r="AF2" s="15"/>
      <c r="AG2" s="16"/>
    </row>
    <row r="3" spans="1:33" x14ac:dyDescent="0.25">
      <c r="A3" s="3"/>
      <c r="B3" s="6" t="s">
        <v>2</v>
      </c>
      <c r="C3" s="6" t="s">
        <v>3</v>
      </c>
      <c r="D3" s="6" t="s">
        <v>2</v>
      </c>
      <c r="E3" s="6" t="s">
        <v>3</v>
      </c>
      <c r="F3" s="6" t="s">
        <v>2</v>
      </c>
      <c r="G3" s="6" t="s">
        <v>3</v>
      </c>
      <c r="H3" s="6" t="s">
        <v>2</v>
      </c>
      <c r="I3" s="6" t="s">
        <v>3</v>
      </c>
      <c r="J3" s="6" t="s">
        <v>2</v>
      </c>
      <c r="K3" s="6" t="s">
        <v>3</v>
      </c>
      <c r="L3" s="6" t="s">
        <v>2</v>
      </c>
      <c r="M3" s="6" t="s">
        <v>3</v>
      </c>
      <c r="N3" s="6" t="s">
        <v>2</v>
      </c>
      <c r="O3" s="6" t="s">
        <v>3</v>
      </c>
      <c r="P3" s="6" t="s">
        <v>2</v>
      </c>
      <c r="Q3" s="6" t="s">
        <v>3</v>
      </c>
      <c r="R3" s="6" t="s">
        <v>2</v>
      </c>
      <c r="S3" s="6" t="s">
        <v>3</v>
      </c>
      <c r="T3" s="6" t="s">
        <v>2</v>
      </c>
      <c r="U3" s="6" t="s">
        <v>3</v>
      </c>
      <c r="V3" s="6" t="s">
        <v>2</v>
      </c>
      <c r="W3" s="6" t="s">
        <v>3</v>
      </c>
      <c r="X3" s="6" t="s">
        <v>2</v>
      </c>
      <c r="Y3" s="6" t="s">
        <v>3</v>
      </c>
      <c r="Z3" s="6" t="s">
        <v>2</v>
      </c>
      <c r="AA3" s="6" t="s">
        <v>3</v>
      </c>
      <c r="AB3" s="6" t="s">
        <v>2</v>
      </c>
      <c r="AC3" s="6" t="s">
        <v>3</v>
      </c>
      <c r="AD3" s="6" t="s">
        <v>2</v>
      </c>
      <c r="AE3" s="6" t="s">
        <v>3</v>
      </c>
      <c r="AF3" s="6" t="s">
        <v>2</v>
      </c>
      <c r="AG3" s="6" t="s">
        <v>3</v>
      </c>
    </row>
    <row r="4" spans="1:33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2" t="s">
        <v>18</v>
      </c>
      <c r="AE4" s="12"/>
      <c r="AF4" s="12" t="s">
        <v>19</v>
      </c>
      <c r="AG4" s="12"/>
    </row>
    <row r="5" spans="1:33" x14ac:dyDescent="0.25">
      <c r="A5" s="3" t="s">
        <v>0</v>
      </c>
      <c r="B5" s="4">
        <v>24410.885999999999</v>
      </c>
      <c r="C5" s="5">
        <v>265.346</v>
      </c>
      <c r="D5" s="4">
        <v>23317.616000000002</v>
      </c>
      <c r="E5" s="4">
        <v>253.46199999999999</v>
      </c>
      <c r="F5" s="4">
        <v>23885.731</v>
      </c>
      <c r="G5" s="4">
        <v>259.87700000000001</v>
      </c>
      <c r="H5" s="4">
        <v>4681.2879999999996</v>
      </c>
      <c r="I5" s="5">
        <v>50.884999999999998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">
        <v>16771.509999999998</v>
      </c>
      <c r="W5" s="4">
        <v>182.39</v>
      </c>
      <c r="X5" s="4">
        <v>21686.574000000001</v>
      </c>
      <c r="Y5" s="4">
        <v>235.84100000000001</v>
      </c>
      <c r="Z5" s="5">
        <f>B5+D5+F5+H5+J5+L5+N5+P5+R5+T5+V5+X5</f>
        <v>114753.60500000001</v>
      </c>
      <c r="AA5" s="7">
        <f>C5+E5+G5+I5+K5+M5+O5+Q5+S5+U5+W5+Y5</f>
        <v>1247.8009999999999</v>
      </c>
      <c r="AB5" s="7">
        <v>117376.61</v>
      </c>
      <c r="AC5" s="4"/>
      <c r="AD5" s="4"/>
      <c r="AE5" s="5"/>
      <c r="AF5" s="9"/>
      <c r="AG5" s="5"/>
    </row>
    <row r="6" spans="1:33" x14ac:dyDescent="0.25">
      <c r="A6" s="3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7"/>
      <c r="AB6" s="4"/>
      <c r="AC6" s="4"/>
      <c r="AD6" s="12" t="s">
        <v>20</v>
      </c>
      <c r="AE6" s="12"/>
      <c r="AF6" s="13" t="s">
        <v>21</v>
      </c>
      <c r="AG6" s="14"/>
    </row>
    <row r="7" spans="1:33" x14ac:dyDescent="0.25">
      <c r="A7" s="3" t="s">
        <v>1</v>
      </c>
      <c r="B7" s="4">
        <v>3230.6280000000002</v>
      </c>
      <c r="C7" s="5">
        <v>235.642</v>
      </c>
      <c r="D7" s="4">
        <v>3017.1390000000001</v>
      </c>
      <c r="E7" s="4">
        <v>20.07</v>
      </c>
      <c r="F7" s="4">
        <v>3066.944</v>
      </c>
      <c r="G7" s="4">
        <v>209.56399999999999</v>
      </c>
      <c r="H7" s="4">
        <v>2046.886</v>
      </c>
      <c r="I7" s="4">
        <v>147.29400000000001</v>
      </c>
      <c r="J7" s="4">
        <v>2967.8850000000002</v>
      </c>
      <c r="K7" s="4">
        <v>209.68100000000001</v>
      </c>
      <c r="L7" s="4">
        <v>2635.1410000000001</v>
      </c>
      <c r="M7" s="4">
        <v>187.596</v>
      </c>
      <c r="N7" s="4">
        <v>2171.2669999999998</v>
      </c>
      <c r="O7" s="4">
        <v>149.6</v>
      </c>
      <c r="P7" s="4">
        <v>2035.6610000000001</v>
      </c>
      <c r="Q7" s="4">
        <v>148.624</v>
      </c>
      <c r="R7" s="4">
        <v>2463.11</v>
      </c>
      <c r="S7" s="4">
        <v>185.423</v>
      </c>
      <c r="T7" s="4">
        <v>2166.674</v>
      </c>
      <c r="U7" s="4">
        <v>149.17500000000001</v>
      </c>
      <c r="V7" s="4">
        <v>1948.2629999999999</v>
      </c>
      <c r="W7" s="4">
        <v>123.84699999999999</v>
      </c>
      <c r="X7" s="4">
        <v>2532.7449999999999</v>
      </c>
      <c r="Y7" s="4">
        <v>190.709</v>
      </c>
      <c r="Z7" s="5">
        <f t="shared" ref="Z7" si="0">B7+D7+F7+H7+J7+L7+N7+P7+R7+T7+V7+X7</f>
        <v>30282.342999999997</v>
      </c>
      <c r="AA7" s="7">
        <f t="shared" ref="AA7" si="1">C7+E7+G7+I7+K7+M7+O7+Q7+S7+U7+W7+Y7</f>
        <v>1957.2249999999999</v>
      </c>
      <c r="AB7" s="7">
        <v>29440.35</v>
      </c>
      <c r="AC7" s="4"/>
      <c r="AD7" s="10"/>
      <c r="AE7" s="4"/>
      <c r="AF7" s="10"/>
      <c r="AG7" s="4"/>
    </row>
    <row r="8" spans="1:33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7"/>
      <c r="AB8" s="4"/>
      <c r="AC8" s="4"/>
      <c r="AD8" s="4"/>
      <c r="AE8" s="4"/>
      <c r="AF8" s="4"/>
      <c r="AG8" s="4"/>
    </row>
    <row r="9" spans="1:33" x14ac:dyDescent="0.25">
      <c r="A9" s="3" t="s">
        <v>16</v>
      </c>
      <c r="B9" s="4">
        <f>B5+B7</f>
        <v>27641.513999999999</v>
      </c>
      <c r="C9" s="4">
        <f t="shared" ref="C9:AB9" si="2">C5+C7</f>
        <v>500.988</v>
      </c>
      <c r="D9" s="4">
        <f t="shared" si="2"/>
        <v>26334.755000000001</v>
      </c>
      <c r="E9" s="4">
        <f t="shared" si="2"/>
        <v>273.53199999999998</v>
      </c>
      <c r="F9" s="4">
        <f t="shared" si="2"/>
        <v>26952.674999999999</v>
      </c>
      <c r="G9" s="4">
        <f t="shared" si="2"/>
        <v>469.44100000000003</v>
      </c>
      <c r="H9" s="4">
        <f t="shared" si="2"/>
        <v>6728.1739999999991</v>
      </c>
      <c r="I9" s="4">
        <f t="shared" si="2"/>
        <v>198.179</v>
      </c>
      <c r="J9" s="4">
        <f t="shared" si="2"/>
        <v>2967.8850000000002</v>
      </c>
      <c r="K9" s="4">
        <f t="shared" si="2"/>
        <v>209.68100000000001</v>
      </c>
      <c r="L9" s="4">
        <f t="shared" si="2"/>
        <v>2635.1410000000001</v>
      </c>
      <c r="M9" s="4">
        <f t="shared" si="2"/>
        <v>187.596</v>
      </c>
      <c r="N9" s="4">
        <f t="shared" si="2"/>
        <v>2171.2669999999998</v>
      </c>
      <c r="O9" s="4">
        <f t="shared" si="2"/>
        <v>149.6</v>
      </c>
      <c r="P9" s="4">
        <f t="shared" si="2"/>
        <v>2035.6610000000001</v>
      </c>
      <c r="Q9" s="4">
        <f t="shared" si="2"/>
        <v>148.624</v>
      </c>
      <c r="R9" s="4">
        <f t="shared" si="2"/>
        <v>2463.11</v>
      </c>
      <c r="S9" s="4">
        <f t="shared" si="2"/>
        <v>185.423</v>
      </c>
      <c r="T9" s="4">
        <f t="shared" si="2"/>
        <v>2166.674</v>
      </c>
      <c r="U9" s="4">
        <f t="shared" si="2"/>
        <v>149.17500000000001</v>
      </c>
      <c r="V9" s="4">
        <f t="shared" si="2"/>
        <v>18719.772999999997</v>
      </c>
      <c r="W9" s="4">
        <f t="shared" si="2"/>
        <v>306.23699999999997</v>
      </c>
      <c r="X9" s="4">
        <f t="shared" si="2"/>
        <v>24219.319</v>
      </c>
      <c r="Y9" s="4">
        <f t="shared" si="2"/>
        <v>426.55</v>
      </c>
      <c r="Z9" s="3">
        <f t="shared" si="2"/>
        <v>145035.948</v>
      </c>
      <c r="AA9" s="8">
        <f t="shared" si="2"/>
        <v>3205.0259999999998</v>
      </c>
      <c r="AB9" s="8">
        <f t="shared" si="2"/>
        <v>146816.95999999999</v>
      </c>
      <c r="AC9" s="8"/>
      <c r="AD9" s="8"/>
      <c r="AE9" s="8"/>
      <c r="AF9" s="8"/>
      <c r="AG9" s="8"/>
    </row>
    <row r="13" spans="1:33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mergeCells count="20">
    <mergeCell ref="B2:C2"/>
    <mergeCell ref="D2:E2"/>
    <mergeCell ref="F2:G2"/>
    <mergeCell ref="H2:I2"/>
    <mergeCell ref="V2:W2"/>
    <mergeCell ref="Z2:AA2"/>
    <mergeCell ref="J2:K2"/>
    <mergeCell ref="L2:M2"/>
    <mergeCell ref="N2:O2"/>
    <mergeCell ref="P2:Q2"/>
    <mergeCell ref="R2:S2"/>
    <mergeCell ref="T2:U2"/>
    <mergeCell ref="X2:Y2"/>
    <mergeCell ref="AB2:AC2"/>
    <mergeCell ref="AD2:AE2"/>
    <mergeCell ref="AD4:AE4"/>
    <mergeCell ref="AF4:AG4"/>
    <mergeCell ref="AD6:AE6"/>
    <mergeCell ref="AF6:AG6"/>
    <mergeCell ref="AF2:A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topLeftCell="A23" workbookViewId="0">
      <selection activeCell="N26" sqref="N26"/>
    </sheetView>
  </sheetViews>
  <sheetFormatPr defaultColWidth="8.140625" defaultRowHeight="12.75" x14ac:dyDescent="0.2"/>
  <cols>
    <col min="1" max="1" width="8.28515625" style="178" customWidth="1"/>
    <col min="2" max="2" width="48.140625" style="178" customWidth="1"/>
    <col min="3" max="3" width="13.5703125" style="178" customWidth="1"/>
    <col min="4" max="4" width="11.5703125" style="178" bestFit="1" customWidth="1"/>
    <col min="5" max="5" width="13.7109375" style="178" customWidth="1"/>
    <col min="6" max="6" width="9.85546875" style="178" bestFit="1" customWidth="1"/>
    <col min="7" max="7" width="14.5703125" style="178" customWidth="1"/>
    <col min="8" max="8" width="11.5703125" style="178" bestFit="1" customWidth="1"/>
    <col min="9" max="9" width="13.28515625" style="178" customWidth="1"/>
    <col min="10" max="10" width="13" style="178" customWidth="1"/>
    <col min="11" max="236" width="11.5703125" style="178" customWidth="1"/>
    <col min="237" max="237" width="6.42578125" style="178" customWidth="1"/>
    <col min="238" max="238" width="65.7109375" style="178" customWidth="1"/>
    <col min="239" max="242" width="11.5703125" style="178" hidden="1" customWidth="1"/>
    <col min="243" max="243" width="14.85546875" style="178" customWidth="1"/>
    <col min="244" max="244" width="13.28515625" style="178" customWidth="1"/>
    <col min="245" max="245" width="14.5703125" style="178" customWidth="1"/>
    <col min="246" max="246" width="13" style="178" customWidth="1"/>
    <col min="247" max="256" width="11.5703125" style="178" hidden="1" customWidth="1"/>
    <col min="257" max="16384" width="8.140625" style="178"/>
  </cols>
  <sheetData>
    <row r="1" spans="1:80" ht="18" customHeight="1" x14ac:dyDescent="0.3">
      <c r="A1" s="175"/>
      <c r="B1" s="176"/>
      <c r="C1" s="176"/>
      <c r="D1" s="176"/>
      <c r="E1" s="176"/>
      <c r="F1" s="177"/>
    </row>
    <row r="2" spans="1:80" ht="18" customHeight="1" x14ac:dyDescent="0.3">
      <c r="A2" s="175"/>
      <c r="B2" s="176"/>
      <c r="C2" s="176"/>
      <c r="D2" s="176"/>
      <c r="E2" s="176"/>
      <c r="F2" s="177"/>
      <c r="I2" s="20" t="s">
        <v>103</v>
      </c>
      <c r="J2" s="21"/>
    </row>
    <row r="3" spans="1:80" ht="21.75" customHeight="1" x14ac:dyDescent="0.3">
      <c r="A3" s="175"/>
      <c r="B3" s="176"/>
      <c r="C3" s="176"/>
      <c r="D3" s="176"/>
      <c r="E3" s="176"/>
      <c r="F3" s="177"/>
      <c r="I3" s="22" t="s">
        <v>23</v>
      </c>
      <c r="J3" s="22"/>
    </row>
    <row r="4" spans="1:80" ht="18" customHeight="1" x14ac:dyDescent="0.3">
      <c r="A4" s="175"/>
      <c r="B4" s="176"/>
      <c r="C4" s="176"/>
      <c r="D4" s="176"/>
      <c r="E4" s="176"/>
      <c r="F4" s="177"/>
      <c r="I4" s="20" t="s">
        <v>24</v>
      </c>
      <c r="J4" s="23"/>
    </row>
    <row r="5" spans="1:80" ht="19.899999999999999" customHeight="1" x14ac:dyDescent="0.25">
      <c r="A5" s="179"/>
      <c r="B5" s="180" t="s">
        <v>104</v>
      </c>
      <c r="C5" s="180"/>
      <c r="D5" s="180"/>
      <c r="E5" s="180"/>
      <c r="F5" s="180"/>
      <c r="G5" s="180"/>
      <c r="H5" s="180"/>
      <c r="I5" s="181"/>
      <c r="J5" s="182"/>
    </row>
    <row r="6" spans="1:80" ht="24.95" customHeight="1" x14ac:dyDescent="0.2">
      <c r="B6" s="180" t="s">
        <v>105</v>
      </c>
      <c r="C6" s="180"/>
      <c r="D6" s="180"/>
      <c r="E6" s="180"/>
      <c r="F6" s="180"/>
      <c r="G6" s="180"/>
      <c r="H6" s="180"/>
      <c r="I6" s="181"/>
      <c r="J6" s="182"/>
    </row>
    <row r="7" spans="1:80" ht="15.75" x14ac:dyDescent="0.25">
      <c r="A7" s="183"/>
      <c r="B7" s="184"/>
      <c r="C7" s="184"/>
      <c r="D7" s="184"/>
      <c r="E7" s="184"/>
      <c r="F7" s="184"/>
      <c r="H7" s="185"/>
      <c r="J7" s="186" t="s">
        <v>27</v>
      </c>
    </row>
    <row r="8" spans="1:80" ht="49.9" customHeight="1" x14ac:dyDescent="0.2">
      <c r="A8" s="187" t="s">
        <v>106</v>
      </c>
      <c r="B8" s="187" t="s">
        <v>107</v>
      </c>
      <c r="C8" s="187" t="s">
        <v>30</v>
      </c>
      <c r="D8" s="187"/>
      <c r="E8" s="187" t="s">
        <v>108</v>
      </c>
      <c r="F8" s="187"/>
      <c r="G8" s="187" t="s">
        <v>109</v>
      </c>
      <c r="H8" s="187"/>
      <c r="I8" s="187" t="s">
        <v>110</v>
      </c>
      <c r="J8" s="187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</row>
    <row r="9" spans="1:80" ht="22.15" customHeight="1" x14ac:dyDescent="0.2">
      <c r="A9" s="187"/>
      <c r="B9" s="187"/>
      <c r="C9" s="188" t="s">
        <v>111</v>
      </c>
      <c r="D9" s="188" t="s">
        <v>36</v>
      </c>
      <c r="E9" s="188" t="s">
        <v>111</v>
      </c>
      <c r="F9" s="188" t="s">
        <v>36</v>
      </c>
      <c r="G9" s="188" t="s">
        <v>111</v>
      </c>
      <c r="H9" s="188" t="s">
        <v>36</v>
      </c>
      <c r="I9" s="188" t="s">
        <v>111</v>
      </c>
      <c r="J9" s="188" t="s">
        <v>36</v>
      </c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</row>
    <row r="10" spans="1:80" ht="15.75" customHeight="1" x14ac:dyDescent="0.25">
      <c r="A10" s="189">
        <v>1</v>
      </c>
      <c r="B10" s="189">
        <v>2</v>
      </c>
      <c r="C10" s="190">
        <v>3</v>
      </c>
      <c r="D10" s="190">
        <v>4</v>
      </c>
      <c r="E10" s="190">
        <v>5</v>
      </c>
      <c r="F10" s="190">
        <v>6</v>
      </c>
      <c r="G10" s="190">
        <v>7</v>
      </c>
      <c r="H10" s="190">
        <v>8</v>
      </c>
      <c r="I10" s="191">
        <v>9</v>
      </c>
      <c r="J10" s="191">
        <v>10</v>
      </c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</row>
    <row r="11" spans="1:80" s="259" customFormat="1" ht="15.75" customHeight="1" x14ac:dyDescent="0.25">
      <c r="A11" s="192">
        <v>1</v>
      </c>
      <c r="B11" s="193" t="s">
        <v>112</v>
      </c>
      <c r="C11" s="194">
        <f>C12+C21+C22+C25</f>
        <v>214413.89825270339</v>
      </c>
      <c r="D11" s="194">
        <f t="shared" ref="D11:J11" si="0">D12+D21+D22+D25</f>
        <v>1257.8937661570628</v>
      </c>
      <c r="E11" s="194">
        <f t="shared" si="0"/>
        <v>30559.508580749058</v>
      </c>
      <c r="F11" s="194">
        <f t="shared" si="0"/>
        <v>1303.4558163918632</v>
      </c>
      <c r="G11" s="194">
        <f t="shared" si="0"/>
        <v>10357.210360105202</v>
      </c>
      <c r="H11" s="194">
        <f t="shared" si="0"/>
        <v>1297.8207354767769</v>
      </c>
      <c r="I11" s="194">
        <f t="shared" si="0"/>
        <v>203.63430331564697</v>
      </c>
      <c r="J11" s="194">
        <f t="shared" si="0"/>
        <v>1299.6330451708961</v>
      </c>
    </row>
    <row r="12" spans="1:80" s="259" customFormat="1" ht="20.45" customHeight="1" x14ac:dyDescent="0.25">
      <c r="A12" s="192" t="s">
        <v>38</v>
      </c>
      <c r="B12" s="193" t="s">
        <v>113</v>
      </c>
      <c r="C12" s="194">
        <f>C13+C14+C15+C17+C19+C20</f>
        <v>184247.003016451</v>
      </c>
      <c r="D12" s="194">
        <f t="shared" ref="D12:J12" si="1">D13+D14+D15+D17+D19+D20</f>
        <v>1080.9148027072592</v>
      </c>
      <c r="E12" s="194">
        <f t="shared" si="1"/>
        <v>26410.23855245805</v>
      </c>
      <c r="F12" s="194">
        <f t="shared" si="1"/>
        <v>1126.4768529420596</v>
      </c>
      <c r="G12" s="194">
        <f t="shared" si="1"/>
        <v>8944.8362905156937</v>
      </c>
      <c r="H12" s="194">
        <f t="shared" si="1"/>
        <v>1120.8417720269733</v>
      </c>
      <c r="I12" s="194">
        <f t="shared" si="1"/>
        <v>175.90417744855108</v>
      </c>
      <c r="J12" s="194">
        <f t="shared" si="1"/>
        <v>1122.6540817210926</v>
      </c>
    </row>
    <row r="13" spans="1:80" s="395" customFormat="1" ht="34.15" customHeight="1" x14ac:dyDescent="0.25">
      <c r="A13" s="195" t="s">
        <v>40</v>
      </c>
      <c r="B13" s="193" t="s">
        <v>114</v>
      </c>
      <c r="C13" s="196">
        <f>'[2]Д3(вробн)'!L14</f>
        <v>94027.786627039997</v>
      </c>
      <c r="D13" s="197">
        <f>C13/$C$46*1000</f>
        <v>551.62919758261876</v>
      </c>
      <c r="E13" s="197">
        <f>'[2]Д3(вробн)'!X14</f>
        <v>22977.974819839998</v>
      </c>
      <c r="F13" s="198">
        <f>E13/$E$46*1000</f>
        <v>980.0803847576816</v>
      </c>
      <c r="G13" s="197">
        <f>'[2]Д3(вробн)'!AB14</f>
        <v>7878.7859985600007</v>
      </c>
      <c r="H13" s="197">
        <f>G13/$G$46*1000</f>
        <v>987.25926034116083</v>
      </c>
      <c r="I13" s="197">
        <f>'[2]Д3(вробн)'!P14</f>
        <v>155.49803664000001</v>
      </c>
      <c r="J13" s="197">
        <f>I13/$I$46*1000</f>
        <v>992.41819077645755</v>
      </c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</row>
    <row r="14" spans="1:80" s="395" customFormat="1" ht="15.75" customHeight="1" x14ac:dyDescent="0.25">
      <c r="A14" s="199" t="s">
        <v>43</v>
      </c>
      <c r="B14" s="200" t="s">
        <v>44</v>
      </c>
      <c r="C14" s="196">
        <f>'[2]Д3(вробн)'!L15</f>
        <v>19495.065669131272</v>
      </c>
      <c r="D14" s="197">
        <f t="shared" ref="D14:D39" si="2">C14/$C$46*1000</f>
        <v>114.37095158412195</v>
      </c>
      <c r="E14" s="201">
        <f>'[2]Д3(вробн)'!X15</f>
        <v>2681.4258161802236</v>
      </c>
      <c r="F14" s="202">
        <f t="shared" ref="F14:F40" si="3">E14/$E$46*1000</f>
        <v>114.37095158412195</v>
      </c>
      <c r="G14" s="201">
        <f>'[2]Д3(вробн)'!AB15</f>
        <v>912.73314739187651</v>
      </c>
      <c r="H14" s="201">
        <f t="shared" ref="H14:H40" si="4">G14/$G$46*1000</f>
        <v>114.37095158412195</v>
      </c>
      <c r="I14" s="201">
        <f>'[2]Д3(вробн)'!P15</f>
        <v>17.92032691990973</v>
      </c>
      <c r="J14" s="201">
        <f t="shared" ref="J14:J40" si="5">I14/$I$46*1000</f>
        <v>114.37095158412195</v>
      </c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</row>
    <row r="15" spans="1:80" s="395" customFormat="1" ht="18.600000000000001" customHeight="1" x14ac:dyDescent="0.25">
      <c r="A15" s="203" t="s">
        <v>45</v>
      </c>
      <c r="B15" s="204" t="s">
        <v>115</v>
      </c>
      <c r="C15" s="205">
        <f>'[2]Д3(вробн)'!L17</f>
        <v>57876.098327040003</v>
      </c>
      <c r="D15" s="197">
        <f t="shared" si="2"/>
        <v>339.53947896266516</v>
      </c>
      <c r="E15" s="201">
        <f>'[2]Д3(вробн)'!X17</f>
        <v>0</v>
      </c>
      <c r="F15" s="202">
        <f t="shared" si="3"/>
        <v>0</v>
      </c>
      <c r="G15" s="201">
        <f>'[2]Д3(вробн)'!AB17</f>
        <v>0</v>
      </c>
      <c r="H15" s="201">
        <f>G15/$G$46*1000</f>
        <v>0</v>
      </c>
      <c r="I15" s="201">
        <f>'[2]Д3(вробн)'!P17</f>
        <v>0</v>
      </c>
      <c r="J15" s="201">
        <f t="shared" si="5"/>
        <v>0</v>
      </c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/>
      <c r="CA15" s="394"/>
      <c r="CB15" s="394"/>
    </row>
    <row r="16" spans="1:80" s="395" customFormat="1" ht="31.5" hidden="1" x14ac:dyDescent="0.25">
      <c r="A16" s="206" t="s">
        <v>116</v>
      </c>
      <c r="B16" s="207" t="s">
        <v>117</v>
      </c>
      <c r="C16" s="208"/>
      <c r="D16" s="197">
        <f t="shared" si="2"/>
        <v>0</v>
      </c>
      <c r="E16" s="201">
        <f>'[2]Д3(вробн)'!X18</f>
        <v>0</v>
      </c>
      <c r="F16" s="202">
        <f t="shared" si="3"/>
        <v>0</v>
      </c>
      <c r="G16" s="201">
        <f>'[2]Д3(вробн)'!AB17</f>
        <v>0</v>
      </c>
      <c r="H16" s="201">
        <f t="shared" si="4"/>
        <v>0</v>
      </c>
      <c r="I16" s="201">
        <f>'[2]Д3(вробн)'!P17</f>
        <v>0</v>
      </c>
      <c r="J16" s="201">
        <f t="shared" si="5"/>
        <v>0</v>
      </c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/>
      <c r="CA16" s="394"/>
      <c r="CB16" s="394"/>
    </row>
    <row r="17" spans="1:80" s="395" customFormat="1" ht="16.899999999999999" customHeight="1" x14ac:dyDescent="0.25">
      <c r="A17" s="195" t="s">
        <v>47</v>
      </c>
      <c r="B17" s="193" t="s">
        <v>118</v>
      </c>
      <c r="C17" s="194">
        <f>'[2]Д3(вробн)'!L16</f>
        <v>10143.798993349999</v>
      </c>
      <c r="D17" s="197">
        <f t="shared" si="2"/>
        <v>59.510235217340309</v>
      </c>
      <c r="E17" s="201">
        <f>'[2]Д3(вробн)'!X16</f>
        <v>378.88457177999993</v>
      </c>
      <c r="F17" s="202">
        <f t="shared" si="3"/>
        <v>16.160577239742903</v>
      </c>
      <c r="G17" s="201">
        <f>'[2]Д3(вробн)'!AB16</f>
        <v>26.707583</v>
      </c>
      <c r="H17" s="201">
        <f t="shared" si="4"/>
        <v>3.3466207411775488</v>
      </c>
      <c r="I17" s="201">
        <f>'[2]Д3(вробн)'!P16</f>
        <v>0</v>
      </c>
      <c r="J17" s="201">
        <f t="shared" si="5"/>
        <v>0</v>
      </c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4"/>
    </row>
    <row r="18" spans="1:80" s="397" customFormat="1" ht="31.5" hidden="1" x14ac:dyDescent="0.25">
      <c r="A18" s="199" t="s">
        <v>119</v>
      </c>
      <c r="B18" s="200" t="s">
        <v>120</v>
      </c>
      <c r="C18" s="209"/>
      <c r="D18" s="197">
        <f t="shared" si="2"/>
        <v>0</v>
      </c>
      <c r="E18" s="201">
        <f>'[2]Д3(вробн)'!X17</f>
        <v>0</v>
      </c>
      <c r="F18" s="202">
        <f t="shared" si="3"/>
        <v>0</v>
      </c>
      <c r="G18" s="201">
        <f>'[2]Д3(вробн)'!AB19</f>
        <v>0</v>
      </c>
      <c r="H18" s="201">
        <f t="shared" si="4"/>
        <v>0</v>
      </c>
      <c r="I18" s="201">
        <f>'[2]Д3(вробн)'!P19</f>
        <v>0</v>
      </c>
      <c r="J18" s="201">
        <f t="shared" si="5"/>
        <v>0</v>
      </c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6"/>
      <c r="BQ18" s="396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</row>
    <row r="19" spans="1:80" s="395" customFormat="1" ht="19.899999999999999" customHeight="1" x14ac:dyDescent="0.25">
      <c r="A19" s="199" t="s">
        <v>49</v>
      </c>
      <c r="B19" s="200" t="s">
        <v>121</v>
      </c>
      <c r="C19" s="196">
        <f>'[2]Д3(вробн)'!L21</f>
        <v>1798.3791825931562</v>
      </c>
      <c r="D19" s="197">
        <f t="shared" si="2"/>
        <v>10.550481948257023</v>
      </c>
      <c r="E19" s="201">
        <f>'[2]Д3(вробн)'!X21</f>
        <v>247.35594377206641</v>
      </c>
      <c r="F19" s="202">
        <f t="shared" si="3"/>
        <v>10.550481948257023</v>
      </c>
      <c r="G19" s="201">
        <f>'[2]Д3(вробн)'!AB21</f>
        <v>84.197730820233062</v>
      </c>
      <c r="H19" s="201">
        <f t="shared" si="4"/>
        <v>10.550481948257023</v>
      </c>
      <c r="I19" s="201">
        <f>'[2]Д3(вробн)'!P21</f>
        <v>1.6531128145445995</v>
      </c>
      <c r="J19" s="201">
        <f t="shared" si="5"/>
        <v>10.550481948257023</v>
      </c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4"/>
    </row>
    <row r="20" spans="1:80" s="395" customFormat="1" ht="28.9" customHeight="1" x14ac:dyDescent="0.25">
      <c r="A20" s="199" t="s">
        <v>52</v>
      </c>
      <c r="B20" s="200" t="s">
        <v>122</v>
      </c>
      <c r="C20" s="196">
        <f>'[2]Д3(вробн)'!L22</f>
        <v>905.87421729655637</v>
      </c>
      <c r="D20" s="197">
        <f t="shared" si="2"/>
        <v>5.3144574122558286</v>
      </c>
      <c r="E20" s="201">
        <f>'[2]Д3(вробн)'!X22</f>
        <v>124.59740088576378</v>
      </c>
      <c r="F20" s="202">
        <f t="shared" si="3"/>
        <v>5.3144574122558286</v>
      </c>
      <c r="G20" s="201">
        <f>'[2]Д3(вробн)'!AB22</f>
        <v>42.41183074358338</v>
      </c>
      <c r="H20" s="201">
        <f t="shared" si="4"/>
        <v>5.3144574122558286</v>
      </c>
      <c r="I20" s="201">
        <f>'[2]Д3(вробн)'!P22</f>
        <v>0.83270107409671656</v>
      </c>
      <c r="J20" s="201">
        <f t="shared" si="5"/>
        <v>5.3144574122558286</v>
      </c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</row>
    <row r="21" spans="1:80" s="259" customFormat="1" ht="30" customHeight="1" x14ac:dyDescent="0.25">
      <c r="A21" s="192" t="s">
        <v>57</v>
      </c>
      <c r="B21" s="193" t="s">
        <v>123</v>
      </c>
      <c r="C21" s="194">
        <f>'[2]Д3(вробн)'!L23+'[2]Д3(вробн)'!L25</f>
        <v>15312.659775465789</v>
      </c>
      <c r="D21" s="210">
        <f t="shared" si="2"/>
        <v>89.834191868201643</v>
      </c>
      <c r="E21" s="210">
        <f>'[2]Д3(вробн)'!X23+'[2]Д3(вробн)'!X25</f>
        <v>2106.1617300080688</v>
      </c>
      <c r="F21" s="210">
        <f t="shared" si="3"/>
        <v>89.834191868201643</v>
      </c>
      <c r="G21" s="210">
        <f>'[2]Д3(вробн)'!AB23+'[2]Д3(вробн)'!AB25</f>
        <v>716.91844433908398</v>
      </c>
      <c r="H21" s="210">
        <f t="shared" si="4"/>
        <v>89.834191868201643</v>
      </c>
      <c r="I21" s="210">
        <f>'[2]Д3(вробн)'!P23+'[2]Д3(вробн)'!P25</f>
        <v>14.075760187061039</v>
      </c>
      <c r="J21" s="210">
        <f t="shared" si="5"/>
        <v>89.834191868201628</v>
      </c>
    </row>
    <row r="22" spans="1:80" s="259" customFormat="1" ht="15.75" customHeight="1" x14ac:dyDescent="0.25">
      <c r="A22" s="192" t="s">
        <v>59</v>
      </c>
      <c r="B22" s="193" t="s">
        <v>124</v>
      </c>
      <c r="C22" s="211">
        <f>C23+C24</f>
        <v>8439.5579251393465</v>
      </c>
      <c r="D22" s="194">
        <f t="shared" ref="D22:I22" si="6">D23+D24</f>
        <v>49.512029722263435</v>
      </c>
      <c r="E22" s="194">
        <f t="shared" si="6"/>
        <v>1160.8090417181691</v>
      </c>
      <c r="F22" s="202">
        <f t="shared" si="3"/>
        <v>49.512029722263435</v>
      </c>
      <c r="G22" s="210">
        <f t="shared" si="6"/>
        <v>395.12892125342353</v>
      </c>
      <c r="H22" s="202">
        <f t="shared" si="4"/>
        <v>49.512029722263428</v>
      </c>
      <c r="I22" s="210">
        <f t="shared" si="6"/>
        <v>7.7578418890625667</v>
      </c>
      <c r="J22" s="201">
        <f t="shared" si="5"/>
        <v>49.512029722263428</v>
      </c>
    </row>
    <row r="23" spans="1:80" s="395" customFormat="1" ht="15.75" customHeight="1" x14ac:dyDescent="0.25">
      <c r="A23" s="199" t="s">
        <v>61</v>
      </c>
      <c r="B23" s="200" t="s">
        <v>125</v>
      </c>
      <c r="C23" s="196">
        <f>'[2]Д3(вробн)'!L26</f>
        <v>1380.9243768482925</v>
      </c>
      <c r="D23" s="197">
        <f t="shared" si="2"/>
        <v>8.1014159032010973</v>
      </c>
      <c r="E23" s="201">
        <f>'[2]Д3(вробн)'!X26</f>
        <v>189.93761483639074</v>
      </c>
      <c r="F23" s="202">
        <f t="shared" si="3"/>
        <v>8.1014159032010973</v>
      </c>
      <c r="G23" s="212">
        <f>'[2]Д3(вробн)'!AB26</f>
        <v>64.653049863107938</v>
      </c>
      <c r="H23" s="201">
        <f t="shared" si="4"/>
        <v>8.1014159032010973</v>
      </c>
      <c r="I23" s="201">
        <f>'[2]Д3(вробн)'!P26</f>
        <v>1.2693784522089671</v>
      </c>
      <c r="J23" s="201">
        <f t="shared" si="5"/>
        <v>8.1014159032010973</v>
      </c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</row>
    <row r="24" spans="1:80" s="395" customFormat="1" ht="15.75" customHeight="1" x14ac:dyDescent="0.25">
      <c r="A24" s="199" t="s">
        <v>63</v>
      </c>
      <c r="B24" s="200" t="s">
        <v>126</v>
      </c>
      <c r="C24" s="196">
        <f>'[2]Д3(вробн)'!L27</f>
        <v>7058.6335482910536</v>
      </c>
      <c r="D24" s="197">
        <f t="shared" si="2"/>
        <v>41.410613819062334</v>
      </c>
      <c r="E24" s="201">
        <f>'[2]Д3(вробн)'!X27</f>
        <v>970.87142688177823</v>
      </c>
      <c r="F24" s="202">
        <f t="shared" si="3"/>
        <v>41.410613819062334</v>
      </c>
      <c r="G24" s="212">
        <f>'[2]Д3(вробн)'!AB27</f>
        <v>330.4758713903156</v>
      </c>
      <c r="H24" s="201">
        <f t="shared" si="4"/>
        <v>41.410613819062334</v>
      </c>
      <c r="I24" s="201">
        <f>'[2]Д3(вробн)'!P27</f>
        <v>6.4884634368535998</v>
      </c>
      <c r="J24" s="201">
        <f t="shared" si="5"/>
        <v>41.410613819062334</v>
      </c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4"/>
    </row>
    <row r="25" spans="1:80" s="259" customFormat="1" ht="15.75" customHeight="1" x14ac:dyDescent="0.25">
      <c r="A25" s="192" t="s">
        <v>68</v>
      </c>
      <c r="B25" s="193" t="s">
        <v>127</v>
      </c>
      <c r="C25" s="213">
        <f>C26+C27</f>
        <v>6414.6775356472572</v>
      </c>
      <c r="D25" s="210">
        <f t="shared" ref="D25:I25" si="7">D26+D27</f>
        <v>37.632741859338388</v>
      </c>
      <c r="E25" s="210">
        <f t="shared" si="7"/>
        <v>882.29925656477008</v>
      </c>
      <c r="F25" s="202">
        <f t="shared" si="3"/>
        <v>37.632741859338388</v>
      </c>
      <c r="G25" s="210">
        <f t="shared" si="7"/>
        <v>300.32670399700118</v>
      </c>
      <c r="H25" s="201">
        <f t="shared" si="4"/>
        <v>37.632741859338388</v>
      </c>
      <c r="I25" s="210">
        <f t="shared" si="7"/>
        <v>5.8965237909722941</v>
      </c>
      <c r="J25" s="201">
        <f t="shared" si="5"/>
        <v>37.632741859338388</v>
      </c>
    </row>
    <row r="26" spans="1:80" s="395" customFormat="1" ht="30.6" customHeight="1" x14ac:dyDescent="0.25">
      <c r="A26" s="199" t="s">
        <v>70</v>
      </c>
      <c r="B26" s="200" t="s">
        <v>128</v>
      </c>
      <c r="C26" s="196">
        <f>'[2]Д3(вробн)'!L29+'[2]Д3(вробн)'!L30</f>
        <v>2637.584501151433</v>
      </c>
      <c r="D26" s="197">
        <f t="shared" si="2"/>
        <v>15.473815497727612</v>
      </c>
      <c r="E26" s="201">
        <f>'[2]Д3(вробн)'!X29+'[2]Д3(вробн)'!X30</f>
        <v>362.78344960606893</v>
      </c>
      <c r="F26" s="202">
        <f t="shared" si="3"/>
        <v>15.473815497727612</v>
      </c>
      <c r="G26" s="212">
        <f>'[2]Д3(вробн)'!AB29+'[2]Д3(вробн)'!AB30</f>
        <v>123.48821204844178</v>
      </c>
      <c r="H26" s="201">
        <f t="shared" si="4"/>
        <v>15.473815497727612</v>
      </c>
      <c r="I26" s="201">
        <f>'[2]Д3(вробн)'!P29+'[2]Д3(вробн)'!P30</f>
        <v>2.4245302550769487</v>
      </c>
      <c r="J26" s="201">
        <f t="shared" si="5"/>
        <v>15.473815497727614</v>
      </c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</row>
    <row r="27" spans="1:80" s="395" customFormat="1" ht="15.75" customHeight="1" x14ac:dyDescent="0.25">
      <c r="A27" s="199" t="s">
        <v>72</v>
      </c>
      <c r="B27" s="200" t="s">
        <v>129</v>
      </c>
      <c r="C27" s="196">
        <f>'[2]Д3(вробн)'!L31</f>
        <v>3777.0930344958238</v>
      </c>
      <c r="D27" s="197">
        <f t="shared" si="2"/>
        <v>22.158926361610774</v>
      </c>
      <c r="E27" s="201">
        <f>'[2]Д3(вробн)'!X31</f>
        <v>519.51580695870109</v>
      </c>
      <c r="F27" s="202">
        <f t="shared" si="3"/>
        <v>22.158926361610778</v>
      </c>
      <c r="G27" s="212">
        <f>'[2]Д3(вробн)'!AB31</f>
        <v>176.83849194855938</v>
      </c>
      <c r="H27" s="201">
        <f t="shared" si="4"/>
        <v>22.158926361610774</v>
      </c>
      <c r="I27" s="201">
        <f>'[2]Д3(вробн)'!P31</f>
        <v>3.4719935358953453</v>
      </c>
      <c r="J27" s="201">
        <f t="shared" si="5"/>
        <v>22.158926361610774</v>
      </c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4"/>
    </row>
    <row r="28" spans="1:80" s="259" customFormat="1" ht="15.75" customHeight="1" x14ac:dyDescent="0.25">
      <c r="A28" s="192" t="s">
        <v>130</v>
      </c>
      <c r="B28" s="193" t="s">
        <v>131</v>
      </c>
      <c r="C28" s="210">
        <f>C29+C30</f>
        <v>334.46752232088932</v>
      </c>
      <c r="D28" s="210">
        <f t="shared" ref="D28:I28" si="8">D29+D30</f>
        <v>1.962207742772291</v>
      </c>
      <c r="E28" s="210">
        <f t="shared" si="8"/>
        <v>46.003940907218947</v>
      </c>
      <c r="F28" s="202">
        <f t="shared" si="3"/>
        <v>1.9622077427722913</v>
      </c>
      <c r="G28" s="210">
        <f t="shared" si="8"/>
        <v>15.659326289507785</v>
      </c>
      <c r="H28" s="201">
        <f t="shared" si="4"/>
        <v>1.9622077427722913</v>
      </c>
      <c r="I28" s="210">
        <f t="shared" si="8"/>
        <v>0.30745048238401917</v>
      </c>
      <c r="J28" s="201">
        <f t="shared" si="5"/>
        <v>1.9622077427722913</v>
      </c>
    </row>
    <row r="29" spans="1:80" s="395" customFormat="1" ht="31.9" customHeight="1" x14ac:dyDescent="0.25">
      <c r="A29" s="199" t="s">
        <v>77</v>
      </c>
      <c r="B29" s="200" t="s">
        <v>128</v>
      </c>
      <c r="C29" s="196">
        <f>'[2]Д3(вробн)'!L33+'[2]Д3(вробн)'!L34</f>
        <v>292.62813083144664</v>
      </c>
      <c r="D29" s="197">
        <f t="shared" si="2"/>
        <v>1.7167501947156496</v>
      </c>
      <c r="E29" s="201">
        <f>'[2]Д3(вробн)'!X33+'[2]Д3(вробн)'!X34</f>
        <v>40.249191147606467</v>
      </c>
      <c r="F29" s="202">
        <f t="shared" si="3"/>
        <v>1.7167501947156498</v>
      </c>
      <c r="G29" s="212">
        <f>'[2]Д3(вробн)'!AB33+'[2]Д3(вробн)'!AB34</f>
        <v>13.700461409171035</v>
      </c>
      <c r="H29" s="201">
        <f t="shared" si="4"/>
        <v>1.7167501947156496</v>
      </c>
      <c r="I29" s="201">
        <f>'[2]Д3(вробн)'!P33+'[2]Д3(вробн)'!P34</f>
        <v>0.26899072100921623</v>
      </c>
      <c r="J29" s="201">
        <f t="shared" si="5"/>
        <v>1.7167501947156496</v>
      </c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</row>
    <row r="30" spans="1:80" s="395" customFormat="1" ht="15.75" customHeight="1" x14ac:dyDescent="0.25">
      <c r="A30" s="199" t="s">
        <v>80</v>
      </c>
      <c r="B30" s="200" t="s">
        <v>129</v>
      </c>
      <c r="C30" s="196">
        <f>'[2]Д3(вробн)'!L35</f>
        <v>41.839391489442676</v>
      </c>
      <c r="D30" s="197">
        <f t="shared" si="2"/>
        <v>0.24545754805664155</v>
      </c>
      <c r="E30" s="201">
        <f>'[2]Д3(вробн)'!X35</f>
        <v>5.7547497596124808</v>
      </c>
      <c r="F30" s="202">
        <f t="shared" si="3"/>
        <v>0.24545754805664155</v>
      </c>
      <c r="G30" s="212">
        <f>'[2]Д3(вробн)'!AB35</f>
        <v>1.9588648803367494</v>
      </c>
      <c r="H30" s="201">
        <f t="shared" si="4"/>
        <v>0.24545754805664155</v>
      </c>
      <c r="I30" s="201">
        <f>'[2]Д3(вробн)'!P35</f>
        <v>3.8459761374802934E-2</v>
      </c>
      <c r="J30" s="201">
        <f t="shared" si="5"/>
        <v>0.24545754805664155</v>
      </c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4"/>
      <c r="BI30" s="394"/>
      <c r="BJ30" s="394"/>
      <c r="BK30" s="394"/>
      <c r="BL30" s="394"/>
      <c r="BM30" s="394"/>
      <c r="BN30" s="394"/>
      <c r="BO30" s="394"/>
      <c r="BP30" s="394"/>
      <c r="BQ30" s="394"/>
      <c r="BR30" s="394"/>
      <c r="BS30" s="394"/>
      <c r="BT30" s="394"/>
      <c r="BU30" s="394"/>
      <c r="BV30" s="394"/>
      <c r="BW30" s="394"/>
      <c r="BX30" s="394"/>
      <c r="BY30" s="394"/>
      <c r="BZ30" s="394"/>
      <c r="CA30" s="394"/>
      <c r="CB30" s="394"/>
    </row>
    <row r="31" spans="1:80" s="259" customFormat="1" ht="15.75" customHeight="1" x14ac:dyDescent="0.25">
      <c r="A31" s="192">
        <v>3</v>
      </c>
      <c r="B31" s="193" t="s">
        <v>132</v>
      </c>
      <c r="C31" s="192">
        <v>0</v>
      </c>
      <c r="D31" s="197">
        <f t="shared" si="2"/>
        <v>0</v>
      </c>
      <c r="E31" s="214">
        <v>0</v>
      </c>
      <c r="F31" s="202">
        <f t="shared" si="3"/>
        <v>0</v>
      </c>
      <c r="G31" s="214">
        <v>0</v>
      </c>
      <c r="H31" s="201">
        <f t="shared" si="4"/>
        <v>0</v>
      </c>
      <c r="I31" s="214">
        <v>0</v>
      </c>
      <c r="J31" s="201">
        <f t="shared" si="5"/>
        <v>0</v>
      </c>
    </row>
    <row r="32" spans="1:80" s="259" customFormat="1" ht="15.75" customHeight="1" x14ac:dyDescent="0.25">
      <c r="A32" s="192">
        <v>4</v>
      </c>
      <c r="B32" s="193" t="s">
        <v>133</v>
      </c>
      <c r="C32" s="192">
        <v>0</v>
      </c>
      <c r="D32" s="197">
        <f t="shared" si="2"/>
        <v>0</v>
      </c>
      <c r="E32" s="214">
        <v>0</v>
      </c>
      <c r="F32" s="202">
        <f t="shared" si="3"/>
        <v>0</v>
      </c>
      <c r="G32" s="214">
        <v>0</v>
      </c>
      <c r="H32" s="201">
        <f t="shared" si="4"/>
        <v>0</v>
      </c>
      <c r="I32" s="214">
        <v>0</v>
      </c>
      <c r="J32" s="201">
        <f t="shared" si="5"/>
        <v>0</v>
      </c>
    </row>
    <row r="33" spans="1:80" s="259" customFormat="1" ht="15.75" customHeight="1" x14ac:dyDescent="0.25">
      <c r="A33" s="192">
        <v>5</v>
      </c>
      <c r="B33" s="193" t="s">
        <v>134</v>
      </c>
      <c r="C33" s="194">
        <f>C11+C28+C31+C32</f>
        <v>214748.36577502429</v>
      </c>
      <c r="D33" s="215">
        <f t="shared" si="2"/>
        <v>1259.8559738998349</v>
      </c>
      <c r="E33" s="216">
        <f>E11+E28+E31+E32</f>
        <v>30605.512521656277</v>
      </c>
      <c r="F33" s="202">
        <f t="shared" si="3"/>
        <v>1305.4180241346348</v>
      </c>
      <c r="G33" s="214">
        <f>G11+G28+G31+G32</f>
        <v>10372.86968639471</v>
      </c>
      <c r="H33" s="217">
        <f t="shared" si="4"/>
        <v>1299.782943219549</v>
      </c>
      <c r="I33" s="214">
        <f>I11+I28+I31+I32</f>
        <v>203.94175379803099</v>
      </c>
      <c r="J33" s="202">
        <f t="shared" si="5"/>
        <v>1301.5952529136682</v>
      </c>
    </row>
    <row r="34" spans="1:80" s="259" customFormat="1" ht="15.75" customHeight="1" x14ac:dyDescent="0.25">
      <c r="A34" s="192">
        <v>6</v>
      </c>
      <c r="B34" s="193" t="s">
        <v>135</v>
      </c>
      <c r="C34" s="192">
        <v>0</v>
      </c>
      <c r="D34" s="198">
        <f t="shared" si="2"/>
        <v>0</v>
      </c>
      <c r="E34" s="214"/>
      <c r="F34" s="202">
        <f t="shared" si="3"/>
        <v>0</v>
      </c>
      <c r="G34" s="214">
        <v>0</v>
      </c>
      <c r="H34" s="201">
        <f t="shared" si="4"/>
        <v>0</v>
      </c>
      <c r="I34" s="214">
        <v>0</v>
      </c>
      <c r="J34" s="201">
        <f t="shared" si="5"/>
        <v>0</v>
      </c>
    </row>
    <row r="35" spans="1:80" s="259" customFormat="1" ht="15.75" customHeight="1" x14ac:dyDescent="0.25">
      <c r="A35" s="192">
        <v>7</v>
      </c>
      <c r="B35" s="218" t="s">
        <v>136</v>
      </c>
      <c r="C35" s="210">
        <f>C36+C37+C38+C39</f>
        <v>5400.4973341817067</v>
      </c>
      <c r="D35" s="198">
        <f t="shared" si="2"/>
        <v>31.682889897410618</v>
      </c>
      <c r="E35" s="216">
        <f>E36+E37+E38+E39</f>
        <v>3761.5050983121946</v>
      </c>
      <c r="F35" s="202">
        <f t="shared" si="3"/>
        <v>160.43961197305671</v>
      </c>
      <c r="G35" s="214">
        <f>G36+G37+G38+G39</f>
        <v>1260.0186155841466</v>
      </c>
      <c r="H35" s="201">
        <f t="shared" si="4"/>
        <v>157.88790895768162</v>
      </c>
      <c r="I35" s="214">
        <f>I36+I37+I38+I39</f>
        <v>12.359059551219513</v>
      </c>
      <c r="J35" s="201">
        <f t="shared" si="5"/>
        <v>78.877880290641883</v>
      </c>
    </row>
    <row r="36" spans="1:80" ht="15.75" customHeight="1" x14ac:dyDescent="0.25">
      <c r="A36" s="199" t="s">
        <v>83</v>
      </c>
      <c r="B36" s="200" t="s">
        <v>137</v>
      </c>
      <c r="C36" s="219">
        <f>'[2]Д3(вробн)'!L41</f>
        <v>972.08952015270722</v>
      </c>
      <c r="D36" s="198">
        <f t="shared" si="2"/>
        <v>5.7029201815339103</v>
      </c>
      <c r="E36" s="201">
        <f>'[2]Д3(вробн)'!X41</f>
        <v>677.07091769619501</v>
      </c>
      <c r="F36" s="202">
        <f t="shared" si="3"/>
        <v>28.879130155150204</v>
      </c>
      <c r="G36" s="201">
        <f>'[2]Д3(вробн)'!AB41</f>
        <v>226.80335080514635</v>
      </c>
      <c r="H36" s="201">
        <f t="shared" si="4"/>
        <v>28.419823612382686</v>
      </c>
      <c r="I36" s="212">
        <f>'[2]Д3(вробн)'!P41</f>
        <v>2.2246307192195123</v>
      </c>
      <c r="J36" s="201">
        <f t="shared" si="5"/>
        <v>14.198018452315539</v>
      </c>
      <c r="K36" s="294"/>
      <c r="L36" s="294"/>
      <c r="M36" s="398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</row>
    <row r="37" spans="1:80" ht="15.75" customHeight="1" x14ac:dyDescent="0.25">
      <c r="A37" s="199" t="s">
        <v>85</v>
      </c>
      <c r="B37" s="200" t="s">
        <v>138</v>
      </c>
      <c r="C37" s="220"/>
      <c r="D37" s="198">
        <f t="shared" si="2"/>
        <v>0</v>
      </c>
      <c r="E37" s="201"/>
      <c r="F37" s="202">
        <f t="shared" si="3"/>
        <v>0</v>
      </c>
      <c r="G37" s="201"/>
      <c r="H37" s="201">
        <f t="shared" si="4"/>
        <v>0</v>
      </c>
      <c r="I37" s="212"/>
      <c r="J37" s="201">
        <f t="shared" si="5"/>
        <v>0</v>
      </c>
      <c r="K37" s="294"/>
      <c r="L37" s="294"/>
      <c r="M37" s="398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</row>
    <row r="38" spans="1:80" ht="15.75" customHeight="1" x14ac:dyDescent="0.25">
      <c r="A38" s="199" t="s">
        <v>87</v>
      </c>
      <c r="B38" s="200" t="s">
        <v>139</v>
      </c>
      <c r="C38" s="219">
        <f>'[2]Д3(вробн)'!L44</f>
        <v>4428.4078140289994</v>
      </c>
      <c r="D38" s="198">
        <f t="shared" si="2"/>
        <v>25.979969715876702</v>
      </c>
      <c r="E38" s="201">
        <f>'[2]Д3(вробн)'!X44</f>
        <v>3084.4341806159996</v>
      </c>
      <c r="F38" s="202">
        <f t="shared" si="3"/>
        <v>131.56048181790649</v>
      </c>
      <c r="G38" s="201">
        <f>'[2]Д3(вробн)'!AB44</f>
        <v>1033.2152647790001</v>
      </c>
      <c r="H38" s="201">
        <f t="shared" si="4"/>
        <v>129.4680853452989</v>
      </c>
      <c r="I38" s="212">
        <f>'[2]Д3(вробн)'!P44</f>
        <v>10.134428832000001</v>
      </c>
      <c r="J38" s="201">
        <f t="shared" si="5"/>
        <v>64.679861838326346</v>
      </c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</row>
    <row r="39" spans="1:80" ht="15.75" customHeight="1" x14ac:dyDescent="0.25">
      <c r="A39" s="199" t="s">
        <v>89</v>
      </c>
      <c r="B39" s="200" t="s">
        <v>140</v>
      </c>
      <c r="C39" s="209"/>
      <c r="D39" s="198">
        <f t="shared" si="2"/>
        <v>0</v>
      </c>
      <c r="E39" s="201"/>
      <c r="F39" s="202">
        <f t="shared" si="3"/>
        <v>0</v>
      </c>
      <c r="G39" s="201"/>
      <c r="H39" s="201">
        <f t="shared" si="4"/>
        <v>0</v>
      </c>
      <c r="I39" s="212"/>
      <c r="J39" s="201">
        <f t="shared" si="5"/>
        <v>0</v>
      </c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</row>
    <row r="40" spans="1:80" s="259" customFormat="1" ht="15.75" customHeight="1" x14ac:dyDescent="0.25">
      <c r="A40" s="221">
        <v>8</v>
      </c>
      <c r="B40" s="193" t="s">
        <v>141</v>
      </c>
      <c r="C40" s="194">
        <f>C33+C35</f>
        <v>220148.86310920599</v>
      </c>
      <c r="D40" s="222">
        <f>C40/$C$46*1000</f>
        <v>1291.5388637972455</v>
      </c>
      <c r="E40" s="223">
        <f>E33+E35</f>
        <v>34367.017619968472</v>
      </c>
      <c r="F40" s="224">
        <f t="shared" si="3"/>
        <v>1465.8576361076916</v>
      </c>
      <c r="G40" s="225">
        <f>G33+G35</f>
        <v>11632.888301978855</v>
      </c>
      <c r="H40" s="226">
        <f t="shared" si="4"/>
        <v>1457.6708521772302</v>
      </c>
      <c r="I40" s="225">
        <f>I33+I35</f>
        <v>216.30081334925049</v>
      </c>
      <c r="J40" s="224">
        <f t="shared" si="5"/>
        <v>1380.47313320431</v>
      </c>
    </row>
    <row r="41" spans="1:80" s="259" customFormat="1" ht="15.75" customHeight="1" x14ac:dyDescent="0.25">
      <c r="A41" s="192">
        <v>9</v>
      </c>
      <c r="B41" s="193" t="s">
        <v>142</v>
      </c>
      <c r="C41" s="211">
        <f>C40/C46*1000</f>
        <v>1291.5388637972455</v>
      </c>
      <c r="D41" s="198"/>
      <c r="E41" s="216">
        <f>E40/E46*1000</f>
        <v>1465.8576361076916</v>
      </c>
      <c r="F41" s="202"/>
      <c r="G41" s="216">
        <f>G40/G46*1000</f>
        <v>1457.6708521772302</v>
      </c>
      <c r="H41" s="201"/>
      <c r="I41" s="214">
        <f>I40/I46*1000</f>
        <v>1380.47313320431</v>
      </c>
      <c r="J41" s="214"/>
      <c r="K41" s="273"/>
    </row>
    <row r="42" spans="1:80" s="259" customFormat="1" ht="15.75" customHeight="1" x14ac:dyDescent="0.25">
      <c r="A42" s="192" t="s">
        <v>143</v>
      </c>
      <c r="B42" s="193" t="s">
        <v>144</v>
      </c>
      <c r="C42" s="192"/>
      <c r="D42" s="194">
        <f>D13</f>
        <v>551.62919758261876</v>
      </c>
      <c r="E42" s="194"/>
      <c r="F42" s="227">
        <f>F13</f>
        <v>980.0803847576816</v>
      </c>
      <c r="G42" s="194"/>
      <c r="H42" s="194">
        <f>H13</f>
        <v>987.25926034116083</v>
      </c>
      <c r="I42" s="194"/>
      <c r="J42" s="194">
        <f>J13</f>
        <v>992.41819077645755</v>
      </c>
      <c r="K42" s="273"/>
    </row>
    <row r="43" spans="1:80" s="259" customFormat="1" ht="15.75" customHeight="1" x14ac:dyDescent="0.25">
      <c r="A43" s="192" t="s">
        <v>145</v>
      </c>
      <c r="B43" s="193" t="s">
        <v>146</v>
      </c>
      <c r="C43" s="192"/>
      <c r="D43" s="194">
        <f>D40-D42</f>
        <v>739.90966621462678</v>
      </c>
      <c r="E43" s="228"/>
      <c r="F43" s="228">
        <f>F40-F42</f>
        <v>485.77725135001003</v>
      </c>
      <c r="G43" s="228"/>
      <c r="H43" s="228">
        <f>H40-H42</f>
        <v>470.41159183606942</v>
      </c>
      <c r="I43" s="228"/>
      <c r="J43" s="228">
        <f>J40-J42</f>
        <v>388.05494242785244</v>
      </c>
      <c r="K43" s="273"/>
    </row>
    <row r="44" spans="1:80" s="259" customFormat="1" ht="15.75" customHeight="1" x14ac:dyDescent="0.25">
      <c r="A44" s="192" t="s">
        <v>147</v>
      </c>
      <c r="B44" s="193" t="s">
        <v>148</v>
      </c>
      <c r="C44" s="192"/>
      <c r="D44" s="194">
        <f>D42*100/D40</f>
        <v>42.711002591186229</v>
      </c>
      <c r="E44" s="228"/>
      <c r="F44" s="228">
        <f>F42*100/F40</f>
        <v>66.860543658257299</v>
      </c>
      <c r="G44" s="228"/>
      <c r="H44" s="228">
        <f>H42*100/H40</f>
        <v>67.728545087291451</v>
      </c>
      <c r="I44" s="228"/>
      <c r="J44" s="228">
        <f>J42*100/J40</f>
        <v>71.889714251293555</v>
      </c>
      <c r="K44" s="273"/>
    </row>
    <row r="45" spans="1:80" s="259" customFormat="1" ht="15.75" customHeight="1" x14ac:dyDescent="0.25">
      <c r="A45" s="192" t="s">
        <v>95</v>
      </c>
      <c r="B45" s="193" t="s">
        <v>149</v>
      </c>
      <c r="C45" s="192"/>
      <c r="D45" s="194">
        <f>100-D44</f>
        <v>57.288997408813771</v>
      </c>
      <c r="E45" s="228"/>
      <c r="F45" s="228">
        <f>100-F44</f>
        <v>33.139456341742701</v>
      </c>
      <c r="G45" s="228"/>
      <c r="H45" s="228">
        <f>100-H44</f>
        <v>32.271454912708549</v>
      </c>
      <c r="I45" s="228"/>
      <c r="J45" s="228">
        <f>100-J44</f>
        <v>28.110285748706445</v>
      </c>
      <c r="K45" s="273"/>
    </row>
    <row r="46" spans="1:80" s="259" customFormat="1" ht="15.75" customHeight="1" x14ac:dyDescent="0.25">
      <c r="A46" s="192">
        <v>12</v>
      </c>
      <c r="B46" s="193" t="s">
        <v>150</v>
      </c>
      <c r="C46" s="215">
        <f>'[2]Д3(вробн)'!L48</f>
        <v>170454.69499999998</v>
      </c>
      <c r="D46" s="192"/>
      <c r="E46" s="216">
        <f>'[2]Д3(вробн)'!X48</f>
        <v>23444.99</v>
      </c>
      <c r="F46" s="214"/>
      <c r="G46" s="214">
        <f>'[2]Д3(вробн)'!AB48</f>
        <v>7980.4629999999988</v>
      </c>
      <c r="H46" s="214"/>
      <c r="I46" s="214">
        <f>[2]Д2!F34</f>
        <v>156.68599999999998</v>
      </c>
      <c r="J46" s="214"/>
    </row>
    <row r="47" spans="1:80" ht="15.75" customHeight="1" x14ac:dyDescent="0.25">
      <c r="A47" s="192">
        <v>13</v>
      </c>
      <c r="B47" s="229" t="s">
        <v>96</v>
      </c>
      <c r="C47" s="214">
        <f>'[2]5_Розрахунок тарифів'!J22</f>
        <v>2.5148025292909111</v>
      </c>
      <c r="D47" s="230"/>
      <c r="E47" s="214">
        <f>'[2]5_Розрахунок тарифів'!L22</f>
        <v>12.290286253677454</v>
      </c>
      <c r="F47" s="214"/>
      <c r="G47" s="214">
        <f>'[2]5_Розрахунок тарифів'!M22</f>
        <v>12.147251958868234</v>
      </c>
      <c r="H47" s="214"/>
      <c r="I47" s="214">
        <f>'[2]5_Розрахунок тарифів'!K22</f>
        <v>6.0600927219803484</v>
      </c>
      <c r="J47" s="225"/>
    </row>
    <row r="48" spans="1:80" ht="15.75" customHeight="1" x14ac:dyDescent="0.25">
      <c r="A48" s="231"/>
      <c r="B48" s="232"/>
      <c r="C48" s="233"/>
      <c r="D48" s="234"/>
      <c r="E48" s="235"/>
      <c r="F48" s="235"/>
      <c r="G48" s="235"/>
      <c r="H48" s="235"/>
      <c r="I48" s="233"/>
      <c r="J48" s="236"/>
    </row>
    <row r="49" spans="1:10" s="290" customFormat="1" ht="20.25" x14ac:dyDescent="0.3">
      <c r="A49" s="237" t="s">
        <v>151</v>
      </c>
      <c r="B49" s="237"/>
      <c r="C49" s="172"/>
      <c r="D49" s="172"/>
      <c r="E49" s="237" t="s">
        <v>102</v>
      </c>
      <c r="F49" s="237"/>
      <c r="G49" s="238"/>
      <c r="H49" s="238"/>
      <c r="I49" s="238"/>
      <c r="J49" s="239"/>
    </row>
    <row r="51" spans="1:10" x14ac:dyDescent="0.2">
      <c r="C51" s="399" t="e">
        <f>#REF!-C40</f>
        <v>#REF!</v>
      </c>
      <c r="D51" s="399"/>
      <c r="E51" s="399" t="e">
        <f>#REF!-E40</f>
        <v>#REF!</v>
      </c>
      <c r="F51" s="399"/>
      <c r="G51" s="399" t="e">
        <f>#REF!-G40</f>
        <v>#REF!</v>
      </c>
      <c r="H51" s="399"/>
      <c r="I51" s="399" t="e">
        <f>#REF!-I40</f>
        <v>#REF!</v>
      </c>
      <c r="J51" s="399"/>
    </row>
    <row r="52" spans="1:10" ht="20.25" x14ac:dyDescent="0.3">
      <c r="A52" s="329"/>
      <c r="B52" s="329"/>
      <c r="C52" s="329"/>
      <c r="D52" s="329"/>
      <c r="E52" s="329"/>
      <c r="F52" s="329"/>
      <c r="G52" s="329"/>
      <c r="H52" s="329"/>
      <c r="I52" s="329"/>
      <c r="J52" s="329"/>
    </row>
  </sheetData>
  <mergeCells count="13">
    <mergeCell ref="G8:H8"/>
    <mergeCell ref="I8:J8"/>
    <mergeCell ref="A49:B49"/>
    <mergeCell ref="E49:F49"/>
    <mergeCell ref="G49:I49"/>
    <mergeCell ref="I3:J3"/>
    <mergeCell ref="B6:H6"/>
    <mergeCell ref="B7:F7"/>
    <mergeCell ref="A8:A9"/>
    <mergeCell ref="B8:B9"/>
    <mergeCell ref="C8:D8"/>
    <mergeCell ref="E8:F8"/>
    <mergeCell ref="B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workbookViewId="0">
      <selection activeCell="N37" sqref="N37"/>
    </sheetView>
  </sheetViews>
  <sheetFormatPr defaultColWidth="0" defaultRowHeight="12.75" x14ac:dyDescent="0.2"/>
  <cols>
    <col min="1" max="1" width="7" style="176" customWidth="1"/>
    <col min="2" max="2" width="60.28515625" style="176" customWidth="1"/>
    <col min="3" max="3" width="14.5703125" style="176" customWidth="1"/>
    <col min="4" max="4" width="10.7109375" style="176" customWidth="1"/>
    <col min="5" max="5" width="12.7109375" style="293" customWidth="1"/>
    <col min="6" max="6" width="10.28515625" style="293" customWidth="1"/>
    <col min="7" max="7" width="12.42578125" style="176" customWidth="1"/>
    <col min="8" max="8" width="10.28515625" style="176" customWidth="1"/>
    <col min="9" max="9" width="13.5703125" style="176" customWidth="1"/>
    <col min="10" max="10" width="13.5703125" style="176" hidden="1" customWidth="1"/>
    <col min="11" max="11" width="11.5703125" style="176" customWidth="1"/>
    <col min="12" max="12" width="11.5703125" style="176" hidden="1" customWidth="1"/>
    <col min="13" max="244" width="11.5703125" style="176" customWidth="1"/>
    <col min="245" max="245" width="7" style="176" customWidth="1"/>
    <col min="246" max="246" width="65.7109375" style="176" customWidth="1"/>
    <col min="247" max="250" width="11.5703125" style="176" hidden="1" customWidth="1"/>
    <col min="251" max="251" width="14.42578125" style="176" customWidth="1"/>
    <col min="252" max="252" width="13.140625" style="176" customWidth="1"/>
    <col min="253" max="253" width="14.140625" style="176" customWidth="1"/>
    <col min="254" max="254" width="14" style="176" customWidth="1"/>
    <col min="255" max="255" width="11.5703125" style="176" hidden="1" customWidth="1"/>
    <col min="256" max="256" width="13.5703125" style="176" customWidth="1"/>
    <col min="257" max="16384" width="11.5703125" style="176" hidden="1"/>
  </cols>
  <sheetData>
    <row r="1" spans="1:15" ht="18" customHeight="1" x14ac:dyDescent="0.3">
      <c r="A1" s="240"/>
      <c r="B1" s="241"/>
      <c r="C1" s="241"/>
      <c r="D1" s="241"/>
      <c r="E1" s="242"/>
      <c r="F1" s="176"/>
      <c r="H1" s="177"/>
      <c r="I1" s="243" t="s">
        <v>152</v>
      </c>
      <c r="J1" s="243"/>
      <c r="K1" s="243"/>
    </row>
    <row r="2" spans="1:15" ht="27.75" customHeight="1" x14ac:dyDescent="0.3">
      <c r="A2" s="240"/>
      <c r="B2" s="241"/>
      <c r="C2" s="241"/>
      <c r="D2" s="241"/>
      <c r="E2" s="242"/>
      <c r="F2" s="176"/>
      <c r="H2" s="177"/>
      <c r="I2" s="244" t="s">
        <v>23</v>
      </c>
      <c r="J2" s="244"/>
      <c r="K2" s="244"/>
    </row>
    <row r="3" spans="1:15" ht="18" customHeight="1" x14ac:dyDescent="0.3">
      <c r="A3" s="240"/>
      <c r="B3" s="241"/>
      <c r="C3" s="241"/>
      <c r="D3" s="241"/>
      <c r="E3" s="242"/>
      <c r="F3" s="176"/>
      <c r="H3" s="177"/>
      <c r="I3" s="245" t="s">
        <v>153</v>
      </c>
      <c r="J3" s="245"/>
      <c r="K3" s="245"/>
    </row>
    <row r="4" spans="1:15" ht="20.25" x14ac:dyDescent="0.2">
      <c r="A4" s="246" t="s">
        <v>154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5" ht="20.25" x14ac:dyDescent="0.2">
      <c r="A5" s="248" t="s">
        <v>105</v>
      </c>
      <c r="B5" s="248"/>
      <c r="C5" s="248"/>
      <c r="D5" s="248"/>
      <c r="E5" s="248"/>
      <c r="F5" s="248"/>
      <c r="G5" s="248"/>
      <c r="H5" s="248"/>
      <c r="I5" s="248"/>
      <c r="J5" s="247"/>
    </row>
    <row r="6" spans="1:15" ht="18.75" x14ac:dyDescent="0.3">
      <c r="B6" s="249"/>
      <c r="C6" s="249"/>
      <c r="D6" s="249"/>
      <c r="E6" s="249"/>
      <c r="F6" s="249"/>
      <c r="I6" s="250" t="s">
        <v>155</v>
      </c>
      <c r="J6" s="250"/>
      <c r="K6" s="250"/>
    </row>
    <row r="7" spans="1:15" ht="12.75" customHeight="1" x14ac:dyDescent="0.2">
      <c r="A7" s="187" t="s">
        <v>106</v>
      </c>
      <c r="B7" s="187" t="s">
        <v>107</v>
      </c>
      <c r="C7" s="251" t="s">
        <v>30</v>
      </c>
      <c r="D7" s="252"/>
      <c r="E7" s="187" t="s">
        <v>156</v>
      </c>
      <c r="F7" s="187"/>
      <c r="G7" s="187" t="s">
        <v>109</v>
      </c>
      <c r="H7" s="187"/>
      <c r="I7" s="187" t="s">
        <v>157</v>
      </c>
      <c r="J7" s="187"/>
      <c r="K7" s="187"/>
    </row>
    <row r="8" spans="1:15" ht="27.75" customHeight="1" x14ac:dyDescent="0.2">
      <c r="A8" s="187"/>
      <c r="B8" s="187"/>
      <c r="C8" s="253"/>
      <c r="D8" s="254"/>
      <c r="E8" s="187"/>
      <c r="F8" s="187"/>
      <c r="G8" s="187"/>
      <c r="H8" s="187"/>
      <c r="I8" s="187"/>
      <c r="J8" s="187"/>
      <c r="K8" s="187"/>
    </row>
    <row r="9" spans="1:15" ht="15.6" customHeight="1" x14ac:dyDescent="0.2">
      <c r="A9" s="187"/>
      <c r="B9" s="187"/>
      <c r="C9" s="255" t="s">
        <v>111</v>
      </c>
      <c r="D9" s="255" t="s">
        <v>36</v>
      </c>
      <c r="E9" s="255" t="s">
        <v>111</v>
      </c>
      <c r="F9" s="255" t="s">
        <v>36</v>
      </c>
      <c r="G9" s="255" t="s">
        <v>111</v>
      </c>
      <c r="H9" s="255" t="s">
        <v>36</v>
      </c>
      <c r="I9" s="255" t="s">
        <v>111</v>
      </c>
      <c r="J9" s="255" t="s">
        <v>36</v>
      </c>
      <c r="K9" s="255" t="s">
        <v>36</v>
      </c>
    </row>
    <row r="10" spans="1:15" ht="15.75" customHeight="1" x14ac:dyDescent="0.2">
      <c r="A10" s="256">
        <v>1</v>
      </c>
      <c r="B10" s="256">
        <v>2</v>
      </c>
      <c r="C10" s="190">
        <v>3</v>
      </c>
      <c r="D10" s="190">
        <v>4</v>
      </c>
      <c r="E10" s="190">
        <v>5</v>
      </c>
      <c r="F10" s="257">
        <v>6</v>
      </c>
      <c r="G10" s="258">
        <v>7</v>
      </c>
      <c r="H10" s="257">
        <v>8</v>
      </c>
      <c r="I10" s="257">
        <v>9</v>
      </c>
      <c r="J10" s="258"/>
      <c r="K10" s="257">
        <v>10</v>
      </c>
    </row>
    <row r="11" spans="1:15" s="259" customFormat="1" ht="15.75" customHeight="1" x14ac:dyDescent="0.25">
      <c r="A11" s="192">
        <v>1</v>
      </c>
      <c r="B11" s="193" t="s">
        <v>112</v>
      </c>
      <c r="C11" s="211">
        <f>C12+C17+C18+C21</f>
        <v>12046.511948607036</v>
      </c>
      <c r="D11" s="210">
        <f t="shared" ref="D11:K11" si="0">D12+D17+D18+D21</f>
        <v>70.672808094884317</v>
      </c>
      <c r="E11" s="211">
        <f t="shared" si="0"/>
        <v>1656.923279056482</v>
      </c>
      <c r="F11" s="210">
        <f>F12+F17+F18+F21</f>
        <v>70.672808094884317</v>
      </c>
      <c r="G11" s="210">
        <f t="shared" si="0"/>
        <v>564.00173010732465</v>
      </c>
      <c r="H11" s="210">
        <f>H12+H17+H18+H21</f>
        <v>70.672808094884317</v>
      </c>
      <c r="I11" s="210">
        <f t="shared" si="0"/>
        <v>11.073439609155042</v>
      </c>
      <c r="J11" s="193">
        <f t="shared" si="0"/>
        <v>0</v>
      </c>
      <c r="K11" s="211">
        <f t="shared" si="0"/>
        <v>70.672808094884317</v>
      </c>
    </row>
    <row r="12" spans="1:15" s="259" customFormat="1" ht="15.75" customHeight="1" x14ac:dyDescent="0.25">
      <c r="A12" s="195" t="s">
        <v>38</v>
      </c>
      <c r="B12" s="193" t="s">
        <v>113</v>
      </c>
      <c r="C12" s="211">
        <f>C13+C14+C15+C16</f>
        <v>11688.078436149997</v>
      </c>
      <c r="D12" s="210">
        <f t="shared" ref="D12:K12" si="1">D13+D14+D15+D16</f>
        <v>68.569999999999993</v>
      </c>
      <c r="E12" s="211">
        <f t="shared" si="1"/>
        <v>1607.6229642999999</v>
      </c>
      <c r="F12" s="210">
        <f t="shared" si="1"/>
        <v>68.569999999999993</v>
      </c>
      <c r="G12" s="210">
        <f t="shared" si="1"/>
        <v>547.22034790999987</v>
      </c>
      <c r="H12" s="210">
        <f t="shared" si="1"/>
        <v>68.569999999999993</v>
      </c>
      <c r="I12" s="210">
        <f t="shared" si="1"/>
        <v>10.743959019999997</v>
      </c>
      <c r="J12" s="193">
        <f t="shared" si="1"/>
        <v>0</v>
      </c>
      <c r="K12" s="211">
        <f t="shared" si="1"/>
        <v>68.569999999999993</v>
      </c>
      <c r="O12" s="260"/>
    </row>
    <row r="13" spans="1:15" s="264" customFormat="1" ht="15.75" customHeight="1" x14ac:dyDescent="0.25">
      <c r="A13" s="206" t="s">
        <v>40</v>
      </c>
      <c r="B13" s="207" t="s">
        <v>158</v>
      </c>
      <c r="C13" s="261">
        <f>[1]Д4!K12</f>
        <v>0</v>
      </c>
      <c r="D13" s="208"/>
      <c r="E13" s="262"/>
      <c r="F13" s="262"/>
      <c r="G13" s="262"/>
      <c r="H13" s="262"/>
      <c r="I13" s="262"/>
      <c r="J13" s="262"/>
      <c r="K13" s="263"/>
    </row>
    <row r="14" spans="1:15" s="264" customFormat="1" ht="31.5" customHeight="1" x14ac:dyDescent="0.25">
      <c r="A14" s="206" t="s">
        <v>43</v>
      </c>
      <c r="B14" s="207" t="s">
        <v>159</v>
      </c>
      <c r="C14" s="261">
        <f>'[2]Д4(транспорт)'!K15</f>
        <v>11688.078436149997</v>
      </c>
      <c r="D14" s="265">
        <f>C14/$C$38*1000</f>
        <v>68.569999999999993</v>
      </c>
      <c r="E14" s="261">
        <f>'[2]Д4(транспорт)'!S15</f>
        <v>1607.6229642999999</v>
      </c>
      <c r="F14" s="265">
        <f>E14/$E$38*1000</f>
        <v>68.569999999999993</v>
      </c>
      <c r="G14" s="265">
        <f>'[2]Д4(транспорт)'!W15</f>
        <v>547.22034790999987</v>
      </c>
      <c r="H14" s="265">
        <f>G14/$G$38*1000</f>
        <v>68.569999999999993</v>
      </c>
      <c r="I14" s="265">
        <f>'[2]Д4(транспорт)'!O15</f>
        <v>10.743959019999997</v>
      </c>
      <c r="J14" s="265"/>
      <c r="K14" s="261">
        <f>I14/$I$38*1000</f>
        <v>68.569999999999993</v>
      </c>
    </row>
    <row r="15" spans="1:15" s="264" customFormat="1" ht="15.75" customHeight="1" x14ac:dyDescent="0.25">
      <c r="A15" s="206" t="s">
        <v>45</v>
      </c>
      <c r="B15" s="207" t="s">
        <v>121</v>
      </c>
      <c r="C15" s="266">
        <f>[1]Д4!K14</f>
        <v>0</v>
      </c>
      <c r="D15" s="265">
        <f t="shared" ref="D15:D28" si="2">C15/$C$38*1000</f>
        <v>0</v>
      </c>
      <c r="E15" s="262"/>
      <c r="F15" s="262">
        <f t="shared" ref="F15:F28" si="3">E15/$E$38*1000</f>
        <v>0</v>
      </c>
      <c r="G15" s="262"/>
      <c r="H15" s="262">
        <f t="shared" ref="H15:H27" si="4">G15/$G$38*1000</f>
        <v>0</v>
      </c>
      <c r="I15" s="262"/>
      <c r="J15" s="262"/>
      <c r="K15" s="267">
        <f t="shared" ref="K15:K28" si="5">I15/$I$38*1000</f>
        <v>0</v>
      </c>
    </row>
    <row r="16" spans="1:15" s="264" customFormat="1" ht="15.75" customHeight="1" x14ac:dyDescent="0.25">
      <c r="A16" s="206" t="s">
        <v>47</v>
      </c>
      <c r="B16" s="207" t="s">
        <v>122</v>
      </c>
      <c r="C16" s="266">
        <f>[1]Д4!K15</f>
        <v>0</v>
      </c>
      <c r="D16" s="265">
        <f t="shared" si="2"/>
        <v>0</v>
      </c>
      <c r="E16" s="262"/>
      <c r="F16" s="262">
        <f t="shared" si="3"/>
        <v>0</v>
      </c>
      <c r="G16" s="262"/>
      <c r="H16" s="262">
        <f t="shared" si="4"/>
        <v>0</v>
      </c>
      <c r="I16" s="262"/>
      <c r="J16" s="262"/>
      <c r="K16" s="267">
        <f t="shared" si="5"/>
        <v>0</v>
      </c>
    </row>
    <row r="17" spans="1:13" s="259" customFormat="1" ht="31.5" customHeight="1" x14ac:dyDescent="0.25">
      <c r="A17" s="203" t="s">
        <v>57</v>
      </c>
      <c r="B17" s="193" t="s">
        <v>123</v>
      </c>
      <c r="C17" s="194">
        <f>[1]Д4!K16+[1]Д4!K18</f>
        <v>0</v>
      </c>
      <c r="D17" s="265">
        <f t="shared" si="2"/>
        <v>0</v>
      </c>
      <c r="E17" s="202"/>
      <c r="F17" s="262">
        <f t="shared" si="3"/>
        <v>0</v>
      </c>
      <c r="G17" s="202"/>
      <c r="H17" s="262">
        <f t="shared" si="4"/>
        <v>0</v>
      </c>
      <c r="I17" s="202"/>
      <c r="J17" s="202"/>
      <c r="K17" s="267">
        <f t="shared" si="5"/>
        <v>0</v>
      </c>
    </row>
    <row r="18" spans="1:13" s="259" customFormat="1" ht="15.75" customHeight="1" x14ac:dyDescent="0.25">
      <c r="A18" s="195" t="s">
        <v>59</v>
      </c>
      <c r="B18" s="193" t="s">
        <v>124</v>
      </c>
      <c r="C18" s="192">
        <f>C19+C20</f>
        <v>0</v>
      </c>
      <c r="D18" s="265">
        <f t="shared" si="2"/>
        <v>0</v>
      </c>
      <c r="E18" s="192">
        <f t="shared" ref="E18:J18" si="6">E19+E20</f>
        <v>0</v>
      </c>
      <c r="F18" s="262">
        <f t="shared" si="3"/>
        <v>0</v>
      </c>
      <c r="G18" s="192">
        <f t="shared" si="6"/>
        <v>0</v>
      </c>
      <c r="H18" s="262">
        <f t="shared" si="4"/>
        <v>0</v>
      </c>
      <c r="I18" s="210">
        <f t="shared" si="6"/>
        <v>0</v>
      </c>
      <c r="J18" s="193">
        <f t="shared" si="6"/>
        <v>0</v>
      </c>
      <c r="K18" s="267">
        <f t="shared" si="5"/>
        <v>0</v>
      </c>
    </row>
    <row r="19" spans="1:13" s="264" customFormat="1" ht="15.75" customHeight="1" x14ac:dyDescent="0.25">
      <c r="A19" s="206" t="s">
        <v>61</v>
      </c>
      <c r="B19" s="268" t="s">
        <v>125</v>
      </c>
      <c r="C19" s="208">
        <v>0</v>
      </c>
      <c r="D19" s="265">
        <f t="shared" si="2"/>
        <v>0</v>
      </c>
      <c r="E19" s="262"/>
      <c r="F19" s="262">
        <f t="shared" si="3"/>
        <v>0</v>
      </c>
      <c r="G19" s="262"/>
      <c r="H19" s="262">
        <f t="shared" si="4"/>
        <v>0</v>
      </c>
      <c r="I19" s="262"/>
      <c r="J19" s="262"/>
      <c r="K19" s="267">
        <f t="shared" si="5"/>
        <v>0</v>
      </c>
      <c r="M19" s="269"/>
    </row>
    <row r="20" spans="1:13" s="264" customFormat="1" ht="15.75" customHeight="1" x14ac:dyDescent="0.25">
      <c r="A20" s="206" t="s">
        <v>63</v>
      </c>
      <c r="B20" s="207" t="s">
        <v>126</v>
      </c>
      <c r="C20" s="208">
        <v>0</v>
      </c>
      <c r="D20" s="265">
        <f t="shared" si="2"/>
        <v>0</v>
      </c>
      <c r="E20" s="262"/>
      <c r="F20" s="262">
        <f t="shared" si="3"/>
        <v>0</v>
      </c>
      <c r="G20" s="262"/>
      <c r="H20" s="262">
        <f t="shared" si="4"/>
        <v>0</v>
      </c>
      <c r="I20" s="262"/>
      <c r="J20" s="262"/>
      <c r="K20" s="267">
        <f t="shared" si="5"/>
        <v>0</v>
      </c>
    </row>
    <row r="21" spans="1:13" s="259" customFormat="1" ht="15.75" customHeight="1" x14ac:dyDescent="0.25">
      <c r="A21" s="195" t="s">
        <v>68</v>
      </c>
      <c r="B21" s="193" t="s">
        <v>127</v>
      </c>
      <c r="C21" s="210">
        <f>C22+C23</f>
        <v>358.4335124570382</v>
      </c>
      <c r="D21" s="270">
        <f>C21/$C$38*1000</f>
        <v>2.1028080948843226</v>
      </c>
      <c r="E21" s="210">
        <f>E22+E23</f>
        <v>49.300314756481995</v>
      </c>
      <c r="F21" s="271">
        <f>E21/$E$38*1000</f>
        <v>2.1028080948843226</v>
      </c>
      <c r="G21" s="210">
        <f>G22+G23</f>
        <v>16.781382197324824</v>
      </c>
      <c r="H21" s="271">
        <f>G21/$G$38*1000</f>
        <v>2.1028080948843226</v>
      </c>
      <c r="I21" s="210">
        <f t="shared" ref="I21:J21" si="7">I22+I23</f>
        <v>0.32948058915504486</v>
      </c>
      <c r="J21" s="193">
        <f t="shared" si="7"/>
        <v>0</v>
      </c>
      <c r="K21" s="272">
        <f>I21/$I$38*1000</f>
        <v>2.1028080948843222</v>
      </c>
      <c r="L21" s="273">
        <f>C21+E21+G21+I21</f>
        <v>424.84469000000007</v>
      </c>
    </row>
    <row r="22" spans="1:13" s="264" customFormat="1" ht="15.75" customHeight="1" x14ac:dyDescent="0.2">
      <c r="A22" s="206" t="s">
        <v>70</v>
      </c>
      <c r="B22" s="207" t="s">
        <v>128</v>
      </c>
      <c r="C22" s="266">
        <f>'[2]Д4(транспорт)'!K24+'[2]Д4(транспорт)'!K25</f>
        <v>147.38054687485158</v>
      </c>
      <c r="D22" s="265">
        <f t="shared" si="2"/>
        <v>0.8646317830955117</v>
      </c>
      <c r="E22" s="262">
        <f>'[2]Д4(транспорт)'!S24+'[2]Д4(транспорт)'!S25</f>
        <v>20.27128350835644</v>
      </c>
      <c r="F22" s="262">
        <f t="shared" si="3"/>
        <v>0.8646317830955117</v>
      </c>
      <c r="G22" s="262">
        <f>'[2]Д4(транспорт)'!W24+'[2]Д4(транспорт)'!W25</f>
        <v>6.9001619536177552</v>
      </c>
      <c r="H22" s="262">
        <f t="shared" si="4"/>
        <v>0.8646317830955117</v>
      </c>
      <c r="I22" s="262">
        <f>'[2]Д4(транспорт)'!O24+'[2]Д4(транспорт)'!O25</f>
        <v>0.13547569556610331</v>
      </c>
      <c r="J22" s="262"/>
      <c r="K22" s="267">
        <f t="shared" si="5"/>
        <v>0.86463178309551159</v>
      </c>
      <c r="L22" s="273"/>
    </row>
    <row r="23" spans="1:13" s="264" customFormat="1" ht="15.75" customHeight="1" x14ac:dyDescent="0.2">
      <c r="A23" s="206" t="s">
        <v>72</v>
      </c>
      <c r="B23" s="207" t="s">
        <v>129</v>
      </c>
      <c r="C23" s="266">
        <f>'[2]Д4(транспорт)'!K26</f>
        <v>211.05296558218663</v>
      </c>
      <c r="D23" s="265">
        <f t="shared" si="2"/>
        <v>1.2381763117888107</v>
      </c>
      <c r="E23" s="262">
        <f>'[2]Д4(транспорт)'!S26</f>
        <v>29.029031248125555</v>
      </c>
      <c r="F23" s="262">
        <f t="shared" si="3"/>
        <v>1.2381763117888107</v>
      </c>
      <c r="G23" s="262">
        <f>'[2]Д4(транспорт)'!W26</f>
        <v>9.8812202437070678</v>
      </c>
      <c r="H23" s="262">
        <f t="shared" si="4"/>
        <v>1.2381763117888107</v>
      </c>
      <c r="I23" s="262">
        <f>'[2]Д4(транспорт)'!O26</f>
        <v>0.19400489358894157</v>
      </c>
      <c r="J23" s="262"/>
      <c r="K23" s="267">
        <f t="shared" si="5"/>
        <v>1.2381763117888107</v>
      </c>
      <c r="L23" s="273"/>
    </row>
    <row r="24" spans="1:13" s="259" customFormat="1" ht="15.75" customHeight="1" x14ac:dyDescent="0.25">
      <c r="A24" s="195">
        <v>2</v>
      </c>
      <c r="B24" s="193" t="s">
        <v>131</v>
      </c>
      <c r="C24" s="210">
        <f>C25+C26</f>
        <v>18.689075883038736</v>
      </c>
      <c r="D24" s="270">
        <f t="shared" si="2"/>
        <v>0.10964248232082277</v>
      </c>
      <c r="E24" s="210">
        <f t="shared" ref="E24:J24" si="8">E25+E26</f>
        <v>2.5705669015868668</v>
      </c>
      <c r="F24" s="271">
        <f t="shared" si="3"/>
        <v>0.10964248232082277</v>
      </c>
      <c r="G24" s="210">
        <f t="shared" si="8"/>
        <v>0.87499777338948026</v>
      </c>
      <c r="H24" s="271">
        <f t="shared" si="4"/>
        <v>0.10964248232082278</v>
      </c>
      <c r="I24" s="210">
        <f t="shared" si="8"/>
        <v>1.7179441984920434E-2</v>
      </c>
      <c r="J24" s="193">
        <f t="shared" si="8"/>
        <v>0</v>
      </c>
      <c r="K24" s="272">
        <f t="shared" si="5"/>
        <v>0.10964248232082277</v>
      </c>
      <c r="L24" s="273">
        <f>C24+E24+G24+I24</f>
        <v>22.151820000000008</v>
      </c>
    </row>
    <row r="25" spans="1:13" s="264" customFormat="1" ht="15.75" customHeight="1" x14ac:dyDescent="0.2">
      <c r="A25" s="206" t="s">
        <v>77</v>
      </c>
      <c r="B25" s="207" t="s">
        <v>128</v>
      </c>
      <c r="C25" s="266">
        <f>'[2]Д4(транспорт)'!K28+'[2]Д4(транспорт)'!K29</f>
        <v>16.351208435530637</v>
      </c>
      <c r="D25" s="265">
        <f t="shared" si="2"/>
        <v>9.5927005328487067E-2</v>
      </c>
      <c r="E25" s="262">
        <f>'[2]Д4(транспорт)'!S28+'[2]Д4(транспорт)'!S29</f>
        <v>2.2490076806563262</v>
      </c>
      <c r="F25" s="262">
        <f t="shared" si="3"/>
        <v>9.5927005328487067E-2</v>
      </c>
      <c r="G25" s="262">
        <f>'[2]Д4(транспорт)'!W28+'[2]Д4(транспорт)'!W29</f>
        <v>0.76554191672479388</v>
      </c>
      <c r="H25" s="262">
        <f t="shared" si="4"/>
        <v>9.5927005328487081E-2</v>
      </c>
      <c r="I25" s="262">
        <f>'[2]Д4(транспорт)'!O28+'[2]Д4(транспорт)'!O29</f>
        <v>1.5030418756899321E-2</v>
      </c>
      <c r="J25" s="262"/>
      <c r="K25" s="267">
        <f t="shared" si="5"/>
        <v>9.5927005328487067E-2</v>
      </c>
      <c r="L25" s="273"/>
    </row>
    <row r="26" spans="1:13" s="264" customFormat="1" ht="15.75" customHeight="1" x14ac:dyDescent="0.25">
      <c r="A26" s="206" t="s">
        <v>78</v>
      </c>
      <c r="B26" s="207" t="s">
        <v>129</v>
      </c>
      <c r="C26" s="266">
        <f>'[2]Д4(транспорт)'!K30</f>
        <v>2.3378674475081</v>
      </c>
      <c r="D26" s="265">
        <f t="shared" si="2"/>
        <v>1.3715476992335707E-2</v>
      </c>
      <c r="E26" s="262">
        <f>'[2]Д4(транспорт)'!S30</f>
        <v>0.32155922093054079</v>
      </c>
      <c r="F26" s="262">
        <f t="shared" si="3"/>
        <v>1.3715476992335709E-2</v>
      </c>
      <c r="G26" s="262">
        <f>'[2]Д4(транспорт)'!W30</f>
        <v>0.10945585666468639</v>
      </c>
      <c r="H26" s="262">
        <f t="shared" si="4"/>
        <v>1.3715476992335709E-2</v>
      </c>
      <c r="I26" s="262">
        <f>'[2]Д4(транспорт)'!O30</f>
        <v>2.1490232280211127E-3</v>
      </c>
      <c r="J26" s="262"/>
      <c r="K26" s="267">
        <f t="shared" si="5"/>
        <v>1.3715476992335711E-2</v>
      </c>
    </row>
    <row r="27" spans="1:13" s="259" customFormat="1" ht="15.75" customHeight="1" x14ac:dyDescent="0.25">
      <c r="A27" s="195" t="s">
        <v>160</v>
      </c>
      <c r="B27" s="193" t="s">
        <v>132</v>
      </c>
      <c r="C27" s="192">
        <v>0</v>
      </c>
      <c r="D27" s="265">
        <f t="shared" si="2"/>
        <v>0</v>
      </c>
      <c r="E27" s="202"/>
      <c r="F27" s="262">
        <f t="shared" si="3"/>
        <v>0</v>
      </c>
      <c r="G27" s="202"/>
      <c r="H27" s="262">
        <f t="shared" si="4"/>
        <v>0</v>
      </c>
      <c r="I27" s="202"/>
      <c r="J27" s="202"/>
      <c r="K27" s="267">
        <f t="shared" si="5"/>
        <v>0</v>
      </c>
    </row>
    <row r="28" spans="1:13" s="259" customFormat="1" ht="15.75" customHeight="1" x14ac:dyDescent="0.25">
      <c r="A28" s="195" t="s">
        <v>161</v>
      </c>
      <c r="B28" s="193" t="s">
        <v>133</v>
      </c>
      <c r="C28" s="192">
        <v>0</v>
      </c>
      <c r="D28" s="265">
        <f t="shared" si="2"/>
        <v>0</v>
      </c>
      <c r="E28" s="202"/>
      <c r="F28" s="262">
        <f t="shared" si="3"/>
        <v>0</v>
      </c>
      <c r="G28" s="202"/>
      <c r="H28" s="202"/>
      <c r="I28" s="202"/>
      <c r="J28" s="202"/>
      <c r="K28" s="267">
        <f t="shared" si="5"/>
        <v>0</v>
      </c>
    </row>
    <row r="29" spans="1:13" s="259" customFormat="1" ht="15.75" customHeight="1" x14ac:dyDescent="0.25">
      <c r="A29" s="195" t="s">
        <v>162</v>
      </c>
      <c r="B29" s="193" t="s">
        <v>163</v>
      </c>
      <c r="C29" s="211">
        <f>C11+C24+C27+C28</f>
        <v>12065.201024490076</v>
      </c>
      <c r="D29" s="210">
        <f>D11+D24+D27+D28</f>
        <v>70.78245057720514</v>
      </c>
      <c r="E29" s="210">
        <f t="shared" ref="E29:J29" si="9">E11+E24+E27+E28</f>
        <v>1659.493845958069</v>
      </c>
      <c r="F29" s="210">
        <f t="shared" si="9"/>
        <v>70.78245057720514</v>
      </c>
      <c r="G29" s="210">
        <f t="shared" si="9"/>
        <v>564.87672788071416</v>
      </c>
      <c r="H29" s="210">
        <f>H11+H24+H27+H28</f>
        <v>70.78245057720514</v>
      </c>
      <c r="I29" s="210">
        <f t="shared" si="9"/>
        <v>11.090619051139962</v>
      </c>
      <c r="J29" s="193">
        <f t="shared" si="9"/>
        <v>0</v>
      </c>
      <c r="K29" s="211">
        <f>K11+K24+K27+K28</f>
        <v>70.78245057720514</v>
      </c>
      <c r="L29" s="274">
        <f>C29+E29+G29+I29</f>
        <v>14300.662217379997</v>
      </c>
    </row>
    <row r="30" spans="1:13" s="259" customFormat="1" ht="15.75" customHeight="1" x14ac:dyDescent="0.25">
      <c r="A30" s="195" t="s">
        <v>164</v>
      </c>
      <c r="B30" s="193" t="s">
        <v>135</v>
      </c>
      <c r="C30" s="192"/>
      <c r="D30" s="192"/>
      <c r="E30" s="202"/>
      <c r="F30" s="202"/>
      <c r="G30" s="202"/>
      <c r="H30" s="202"/>
      <c r="I30" s="202"/>
      <c r="J30" s="202"/>
      <c r="K30" s="275"/>
    </row>
    <row r="31" spans="1:13" s="259" customFormat="1" ht="15.75" customHeight="1" x14ac:dyDescent="0.25">
      <c r="A31" s="195">
        <v>7</v>
      </c>
      <c r="B31" s="193" t="s">
        <v>165</v>
      </c>
      <c r="C31" s="192">
        <f>C32+C33+C34+C35</f>
        <v>0</v>
      </c>
      <c r="D31" s="192">
        <f t="shared" ref="D31:K31" si="10">D32+D33+D34+D35</f>
        <v>0</v>
      </c>
      <c r="E31" s="192">
        <f t="shared" si="10"/>
        <v>0</v>
      </c>
      <c r="F31" s="192">
        <f t="shared" si="10"/>
        <v>0</v>
      </c>
      <c r="G31" s="192">
        <f t="shared" si="10"/>
        <v>0</v>
      </c>
      <c r="H31" s="210">
        <f t="shared" si="10"/>
        <v>0</v>
      </c>
      <c r="I31" s="210">
        <f t="shared" si="10"/>
        <v>0</v>
      </c>
      <c r="J31" s="193">
        <f t="shared" si="10"/>
        <v>0</v>
      </c>
      <c r="K31" s="211">
        <f t="shared" si="10"/>
        <v>0</v>
      </c>
    </row>
    <row r="32" spans="1:13" s="264" customFormat="1" ht="15.75" customHeight="1" x14ac:dyDescent="0.25">
      <c r="A32" s="206" t="s">
        <v>83</v>
      </c>
      <c r="B32" s="207" t="s">
        <v>137</v>
      </c>
      <c r="C32" s="208"/>
      <c r="D32" s="208"/>
      <c r="E32" s="262"/>
      <c r="F32" s="262"/>
      <c r="G32" s="262"/>
      <c r="H32" s="262"/>
      <c r="I32" s="262"/>
      <c r="J32" s="262"/>
      <c r="K32" s="263"/>
    </row>
    <row r="33" spans="1:11" s="264" customFormat="1" ht="15.75" customHeight="1" x14ac:dyDescent="0.25">
      <c r="A33" s="206" t="s">
        <v>85</v>
      </c>
      <c r="B33" s="207" t="s">
        <v>138</v>
      </c>
      <c r="C33" s="208"/>
      <c r="D33" s="208"/>
      <c r="E33" s="262"/>
      <c r="F33" s="262"/>
      <c r="G33" s="262"/>
      <c r="H33" s="262"/>
      <c r="I33" s="262"/>
      <c r="J33" s="262"/>
      <c r="K33" s="263"/>
    </row>
    <row r="34" spans="1:11" s="277" customFormat="1" ht="15.75" customHeight="1" x14ac:dyDescent="0.25">
      <c r="A34" s="206" t="s">
        <v>87</v>
      </c>
      <c r="B34" s="207" t="s">
        <v>139</v>
      </c>
      <c r="C34" s="208"/>
      <c r="D34" s="208"/>
      <c r="E34" s="262"/>
      <c r="F34" s="262"/>
      <c r="G34" s="262"/>
      <c r="H34" s="262"/>
      <c r="I34" s="262"/>
      <c r="J34" s="262"/>
      <c r="K34" s="276"/>
    </row>
    <row r="35" spans="1:11" s="264" customFormat="1" ht="15.75" customHeight="1" x14ac:dyDescent="0.25">
      <c r="A35" s="206" t="s">
        <v>89</v>
      </c>
      <c r="B35" s="207" t="s">
        <v>166</v>
      </c>
      <c r="C35" s="208"/>
      <c r="D35" s="208"/>
      <c r="E35" s="262"/>
      <c r="F35" s="262"/>
      <c r="G35" s="262"/>
      <c r="H35" s="262"/>
      <c r="I35" s="262"/>
      <c r="J35" s="262"/>
      <c r="K35" s="263"/>
    </row>
    <row r="36" spans="1:11" s="259" customFormat="1" ht="31.5" customHeight="1" x14ac:dyDescent="0.25">
      <c r="A36" s="203">
        <v>8</v>
      </c>
      <c r="B36" s="193" t="s">
        <v>167</v>
      </c>
      <c r="C36" s="211">
        <f>C29+C31</f>
        <v>12065.201024490076</v>
      </c>
      <c r="D36" s="210">
        <f>D29+D31</f>
        <v>70.78245057720514</v>
      </c>
      <c r="E36" s="210">
        <f t="shared" ref="E36:J36" si="11">E29+E31</f>
        <v>1659.493845958069</v>
      </c>
      <c r="F36" s="210">
        <f>F29+F31</f>
        <v>70.78245057720514</v>
      </c>
      <c r="G36" s="210">
        <f t="shared" si="11"/>
        <v>564.87672788071416</v>
      </c>
      <c r="H36" s="210">
        <f>H29+H31</f>
        <v>70.78245057720514</v>
      </c>
      <c r="I36" s="210">
        <f t="shared" si="11"/>
        <v>11.090619051139962</v>
      </c>
      <c r="J36" s="193">
        <f t="shared" si="11"/>
        <v>0</v>
      </c>
      <c r="K36" s="211">
        <f>K29+K31</f>
        <v>70.78245057720514</v>
      </c>
    </row>
    <row r="37" spans="1:11" s="259" customFormat="1" ht="15.75" customHeight="1" x14ac:dyDescent="0.25">
      <c r="A37" s="195">
        <v>9</v>
      </c>
      <c r="B37" s="193" t="s">
        <v>168</v>
      </c>
      <c r="C37" s="211">
        <f>C36/C38*1000</f>
        <v>70.78245057720514</v>
      </c>
      <c r="D37" s="192"/>
      <c r="E37" s="210">
        <f>E36/E38*1000</f>
        <v>70.78245057720514</v>
      </c>
      <c r="F37" s="192"/>
      <c r="G37" s="210">
        <f>G36/G38*1000</f>
        <v>70.78245057720514</v>
      </c>
      <c r="H37" s="210"/>
      <c r="I37" s="210">
        <f>I36/I38*1000</f>
        <v>70.782450577205125</v>
      </c>
      <c r="J37" s="193" t="e">
        <f t="shared" ref="J37" si="12">J36/J38*1000</f>
        <v>#DIV/0!</v>
      </c>
      <c r="K37" s="211"/>
    </row>
    <row r="38" spans="1:11" s="259" customFormat="1" ht="31.5" customHeight="1" x14ac:dyDescent="0.25">
      <c r="A38" s="278">
        <v>10</v>
      </c>
      <c r="B38" s="193" t="s">
        <v>169</v>
      </c>
      <c r="C38" s="279">
        <f>'[2]Д3(вробн)'!L48</f>
        <v>170454.69499999998</v>
      </c>
      <c r="D38" s="192"/>
      <c r="E38" s="279">
        <f>'[2]Д3(вробн)'!X48</f>
        <v>23444.99</v>
      </c>
      <c r="F38" s="202"/>
      <c r="G38" s="279">
        <f>'[2]Д3(вробн)'!AB48</f>
        <v>7980.4629999999988</v>
      </c>
      <c r="H38" s="202"/>
      <c r="I38" s="279">
        <f>[2]Д2!F34</f>
        <v>156.68599999999998</v>
      </c>
      <c r="J38" s="202"/>
      <c r="K38" s="275"/>
    </row>
    <row r="39" spans="1:11" ht="15.75" customHeight="1" x14ac:dyDescent="0.25">
      <c r="A39" s="230">
        <v>11</v>
      </c>
      <c r="B39" s="280" t="s">
        <v>96</v>
      </c>
      <c r="C39" s="280"/>
      <c r="D39" s="281"/>
      <c r="E39" s="225"/>
      <c r="F39" s="225"/>
      <c r="G39" s="225"/>
      <c r="H39" s="225"/>
      <c r="I39" s="201"/>
      <c r="J39" s="201"/>
      <c r="K39" s="282"/>
    </row>
    <row r="40" spans="1:11" ht="15.75" customHeight="1" x14ac:dyDescent="0.25">
      <c r="A40" s="234"/>
      <c r="B40" s="283"/>
      <c r="C40" s="283"/>
      <c r="D40" s="284"/>
      <c r="E40" s="236"/>
      <c r="F40" s="236"/>
      <c r="G40" s="236"/>
      <c r="H40" s="236"/>
      <c r="I40" s="285"/>
      <c r="J40" s="285"/>
      <c r="K40" s="286"/>
    </row>
    <row r="41" spans="1:11" ht="15.75" x14ac:dyDescent="0.2">
      <c r="B41" s="174" t="s">
        <v>151</v>
      </c>
      <c r="C41" s="174"/>
      <c r="D41" s="172"/>
      <c r="E41" s="172"/>
      <c r="F41" s="174" t="s">
        <v>102</v>
      </c>
      <c r="G41" s="174"/>
      <c r="K41" s="287"/>
    </row>
    <row r="42" spans="1:11" s="290" customFormat="1" ht="72" customHeight="1" x14ac:dyDescent="0.3">
      <c r="A42" s="288"/>
      <c r="B42" s="288"/>
      <c r="C42" s="289"/>
      <c r="D42" s="289"/>
      <c r="G42" s="291"/>
      <c r="H42" s="291"/>
      <c r="I42" s="291"/>
      <c r="J42" s="292"/>
    </row>
  </sheetData>
  <mergeCells count="16">
    <mergeCell ref="B41:C41"/>
    <mergeCell ref="F41:G41"/>
    <mergeCell ref="A42:B42"/>
    <mergeCell ref="G42:I42"/>
    <mergeCell ref="A7:A9"/>
    <mergeCell ref="B7:B9"/>
    <mergeCell ref="C7:D8"/>
    <mergeCell ref="E7:F8"/>
    <mergeCell ref="G7:H8"/>
    <mergeCell ref="I7:K8"/>
    <mergeCell ref="I1:K1"/>
    <mergeCell ref="I2:K2"/>
    <mergeCell ref="A4:I4"/>
    <mergeCell ref="A5:I5"/>
    <mergeCell ref="B6:F6"/>
    <mergeCell ref="I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1"/>
  <sheetViews>
    <sheetView topLeftCell="A8" workbookViewId="0">
      <selection activeCell="I36" sqref="I36"/>
    </sheetView>
  </sheetViews>
  <sheetFormatPr defaultColWidth="0" defaultRowHeight="12.75" x14ac:dyDescent="0.2"/>
  <cols>
    <col min="1" max="1" width="7.28515625" style="178" customWidth="1"/>
    <col min="2" max="2" width="63.85546875" style="178" customWidth="1"/>
    <col min="3" max="3" width="14.28515625" style="178" customWidth="1"/>
    <col min="4" max="4" width="9.28515625" style="178" bestFit="1" customWidth="1"/>
    <col min="5" max="5" width="14.85546875" style="178" customWidth="1"/>
    <col min="6" max="6" width="9.28515625" style="178" bestFit="1" customWidth="1"/>
    <col min="7" max="7" width="14.42578125" style="178" customWidth="1"/>
    <col min="8" max="8" width="9.28515625" style="178" bestFit="1" customWidth="1"/>
    <col min="9" max="9" width="14.42578125" style="178" customWidth="1"/>
    <col min="10" max="10" width="0.140625" style="178" customWidth="1"/>
    <col min="11" max="11" width="14.28515625" style="178" customWidth="1"/>
    <col min="12" max="240" width="11.5703125" style="178" customWidth="1"/>
    <col min="241" max="241" width="7.28515625" style="178" customWidth="1"/>
    <col min="242" max="242" width="75.7109375" style="178" customWidth="1"/>
    <col min="243" max="246" width="11.5703125" style="178" hidden="1" customWidth="1"/>
    <col min="247" max="250" width="13.7109375" style="178" customWidth="1"/>
    <col min="251" max="251" width="11.5703125" style="178" hidden="1" customWidth="1"/>
    <col min="252" max="252" width="13.7109375" style="178" customWidth="1"/>
    <col min="253" max="253" width="0" style="178" hidden="1"/>
    <col min="254" max="254" width="11.5703125" style="178" hidden="1"/>
    <col min="255" max="255" width="0" style="178" hidden="1"/>
    <col min="256" max="16384" width="11.5703125" style="178" hidden="1"/>
  </cols>
  <sheetData>
    <row r="1" spans="1:12" ht="18" customHeight="1" x14ac:dyDescent="0.3">
      <c r="A1" s="240"/>
      <c r="B1" s="294"/>
      <c r="C1" s="294"/>
      <c r="D1" s="294"/>
      <c r="F1" s="179"/>
      <c r="G1" s="295"/>
      <c r="H1" s="177"/>
      <c r="I1" s="243" t="s">
        <v>170</v>
      </c>
      <c r="J1" s="243"/>
      <c r="K1" s="243"/>
    </row>
    <row r="2" spans="1:12" ht="18" customHeight="1" x14ac:dyDescent="0.3">
      <c r="A2" s="240"/>
      <c r="B2" s="294"/>
      <c r="C2" s="294"/>
      <c r="D2" s="294"/>
      <c r="F2" s="179"/>
      <c r="G2" s="295"/>
      <c r="H2" s="177"/>
      <c r="I2" s="244" t="s">
        <v>23</v>
      </c>
      <c r="J2" s="244"/>
      <c r="K2" s="244"/>
    </row>
    <row r="3" spans="1:12" ht="18" customHeight="1" x14ac:dyDescent="0.3">
      <c r="A3" s="240"/>
      <c r="B3" s="294"/>
      <c r="C3" s="294"/>
      <c r="D3" s="294"/>
      <c r="F3" s="179"/>
      <c r="G3" s="295"/>
      <c r="H3" s="177"/>
      <c r="I3" s="245" t="s">
        <v>153</v>
      </c>
      <c r="J3" s="245"/>
      <c r="K3" s="245"/>
    </row>
    <row r="4" spans="1:12" ht="21.75" x14ac:dyDescent="0.2">
      <c r="A4" s="296" t="s">
        <v>171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2" ht="20.25" x14ac:dyDescent="0.2">
      <c r="A5" s="298" t="s">
        <v>105</v>
      </c>
      <c r="B5" s="298"/>
      <c r="C5" s="298"/>
      <c r="D5" s="298"/>
      <c r="E5" s="298"/>
      <c r="F5" s="298"/>
      <c r="G5" s="298"/>
      <c r="H5" s="298"/>
      <c r="I5" s="298"/>
      <c r="J5" s="299"/>
    </row>
    <row r="6" spans="1:12" ht="18.75" x14ac:dyDescent="0.3">
      <c r="A6" s="176"/>
      <c r="B6" s="249"/>
      <c r="C6" s="249"/>
      <c r="D6" s="249"/>
      <c r="E6" s="249"/>
      <c r="F6" s="249"/>
      <c r="J6" s="300"/>
      <c r="K6" s="300" t="s">
        <v>155</v>
      </c>
    </row>
    <row r="7" spans="1:12" ht="58.5" customHeight="1" x14ac:dyDescent="0.2">
      <c r="A7" s="301" t="s">
        <v>106</v>
      </c>
      <c r="B7" s="301" t="s">
        <v>107</v>
      </c>
      <c r="C7" s="302" t="s">
        <v>30</v>
      </c>
      <c r="D7" s="302"/>
      <c r="E7" s="302" t="s">
        <v>31</v>
      </c>
      <c r="F7" s="302"/>
      <c r="G7" s="302" t="s">
        <v>109</v>
      </c>
      <c r="H7" s="302"/>
      <c r="I7" s="302" t="s">
        <v>157</v>
      </c>
      <c r="J7" s="302"/>
      <c r="K7" s="302"/>
    </row>
    <row r="8" spans="1:12" ht="19.5" customHeight="1" x14ac:dyDescent="0.2">
      <c r="A8" s="303"/>
      <c r="B8" s="303"/>
      <c r="C8" s="304" t="s">
        <v>111</v>
      </c>
      <c r="D8" s="304" t="s">
        <v>36</v>
      </c>
      <c r="E8" s="304" t="s">
        <v>111</v>
      </c>
      <c r="F8" s="304" t="s">
        <v>36</v>
      </c>
      <c r="G8" s="304" t="s">
        <v>111</v>
      </c>
      <c r="H8" s="305" t="s">
        <v>36</v>
      </c>
      <c r="I8" s="304" t="s">
        <v>111</v>
      </c>
      <c r="J8" s="304" t="s">
        <v>36</v>
      </c>
      <c r="K8" s="304" t="s">
        <v>36</v>
      </c>
    </row>
    <row r="9" spans="1:12" ht="15.75" customHeight="1" x14ac:dyDescent="0.3">
      <c r="A9" s="306">
        <v>1</v>
      </c>
      <c r="B9" s="306">
        <v>2</v>
      </c>
      <c r="C9" s="306">
        <v>3</v>
      </c>
      <c r="D9" s="306">
        <v>4</v>
      </c>
      <c r="E9" s="306">
        <v>5</v>
      </c>
      <c r="F9" s="306">
        <v>6</v>
      </c>
      <c r="G9" s="306">
        <v>7</v>
      </c>
      <c r="H9" s="306">
        <v>8</v>
      </c>
      <c r="I9" s="306">
        <v>9</v>
      </c>
      <c r="J9" s="306"/>
      <c r="K9" s="306">
        <v>10</v>
      </c>
    </row>
    <row r="10" spans="1:12" s="307" customFormat="1" ht="18" customHeight="1" x14ac:dyDescent="0.25">
      <c r="A10" s="192">
        <v>1</v>
      </c>
      <c r="B10" s="193" t="s">
        <v>112</v>
      </c>
      <c r="C10" s="279">
        <f>C11+C12+C13+C16</f>
        <v>1608.0015818316656</v>
      </c>
      <c r="D10" s="210">
        <f t="shared" ref="D10:J10" si="0">D11+D12+D13+D16</f>
        <v>9.4336010036664906</v>
      </c>
      <c r="E10" s="210">
        <f t="shared" si="0"/>
        <v>221.1706811949509</v>
      </c>
      <c r="F10" s="210">
        <f t="shared" si="0"/>
        <v>9.4336010036664906</v>
      </c>
      <c r="G10" s="210">
        <f t="shared" si="0"/>
        <v>75.284503766523287</v>
      </c>
      <c r="H10" s="210">
        <f t="shared" si="0"/>
        <v>9.4336010036664906</v>
      </c>
      <c r="I10" s="210">
        <f>I11+I12+I13+I16</f>
        <v>1.4781132068604879</v>
      </c>
      <c r="J10" s="279">
        <f t="shared" si="0"/>
        <v>0</v>
      </c>
      <c r="K10" s="210">
        <f>K11+K12+K13+K16</f>
        <v>9.4336010036664906</v>
      </c>
    </row>
    <row r="11" spans="1:12" s="313" customFormat="1" ht="18" customHeight="1" x14ac:dyDescent="0.25">
      <c r="A11" s="308" t="s">
        <v>38</v>
      </c>
      <c r="B11" s="309" t="s">
        <v>172</v>
      </c>
      <c r="C11" s="310">
        <f>'[2]Д5(постачанняя)'!K12</f>
        <v>0</v>
      </c>
      <c r="D11" s="311">
        <f>C11/$C$33*1000</f>
        <v>0</v>
      </c>
      <c r="E11" s="312">
        <f>'[2]Д5(постачанняя)'!S12</f>
        <v>0</v>
      </c>
      <c r="F11" s="312">
        <f>E11/$E$33*1000</f>
        <v>0</v>
      </c>
      <c r="G11" s="312">
        <f>'[2]Д5(постачанняя)'!W12</f>
        <v>0</v>
      </c>
      <c r="H11" s="312">
        <f>G11/$G$33*1000</f>
        <v>0</v>
      </c>
      <c r="I11" s="312">
        <f>'[2]Д5(постачанняя)'!O12</f>
        <v>0</v>
      </c>
      <c r="J11" s="312"/>
      <c r="K11" s="312">
        <f>I11/$I$33*1000</f>
        <v>0</v>
      </c>
    </row>
    <row r="12" spans="1:12" s="307" customFormat="1" ht="34.5" customHeight="1" x14ac:dyDescent="0.25">
      <c r="A12" s="314" t="s">
        <v>57</v>
      </c>
      <c r="B12" s="193" t="s">
        <v>123</v>
      </c>
      <c r="C12" s="279">
        <f>'[2]Д5(постачанняя)'!K13+'[2]Д5(постачанняя)'!K15</f>
        <v>1550.9770965270422</v>
      </c>
      <c r="D12" s="210">
        <f>C12/$C$33*1000</f>
        <v>9.099057650052071</v>
      </c>
      <c r="E12" s="312">
        <f>'[2]Д5(постачанняя)'!S13+'[2]Д5(постачанняя)'!S15</f>
        <v>213.32731561489433</v>
      </c>
      <c r="F12" s="312">
        <f>E12/$E$33*1000</f>
        <v>9.099057650052071</v>
      </c>
      <c r="G12" s="312">
        <f>'[2]Д5(постачанняя)'!W13+'[2]Д5(постачанняя)'!W15</f>
        <v>72.614692911107483</v>
      </c>
      <c r="H12" s="225">
        <f>G12/$G$33*1000</f>
        <v>9.099057650052071</v>
      </c>
      <c r="I12" s="312">
        <f>'[2]Д5(постачанняя)'!O13+'[2]Д5(постачанняя)'!O15</f>
        <v>1.4256949469560587</v>
      </c>
      <c r="J12" s="225"/>
      <c r="K12" s="312">
        <f>I12/$I$33*1000</f>
        <v>9.099057650052071</v>
      </c>
    </row>
    <row r="13" spans="1:12" s="307" customFormat="1" ht="18" customHeight="1" x14ac:dyDescent="0.25">
      <c r="A13" s="192" t="s">
        <v>59</v>
      </c>
      <c r="B13" s="193" t="s">
        <v>124</v>
      </c>
      <c r="C13" s="279">
        <f>C14+C15</f>
        <v>9.1797922976995388</v>
      </c>
      <c r="D13" s="210">
        <f t="shared" ref="D13:K13" si="1">D14+D15</f>
        <v>5.3854734231283813E-2</v>
      </c>
      <c r="E13" s="210">
        <f t="shared" si="1"/>
        <v>1.2626237055051066</v>
      </c>
      <c r="F13" s="210">
        <f t="shared" si="1"/>
        <v>5.3854734231283813E-2</v>
      </c>
      <c r="G13" s="210">
        <f t="shared" si="1"/>
        <v>0.42978571390759379</v>
      </c>
      <c r="H13" s="210">
        <f t="shared" si="1"/>
        <v>5.3854734231283813E-2</v>
      </c>
      <c r="I13" s="210">
        <f t="shared" si="1"/>
        <v>8.4382828877629344E-3</v>
      </c>
      <c r="J13" s="193">
        <f t="shared" si="1"/>
        <v>0</v>
      </c>
      <c r="K13" s="210">
        <f t="shared" si="1"/>
        <v>5.3854734231283813E-2</v>
      </c>
      <c r="L13" s="315"/>
    </row>
    <row r="14" spans="1:12" s="318" customFormat="1" ht="18" customHeight="1" x14ac:dyDescent="0.25">
      <c r="A14" s="206" t="s">
        <v>61</v>
      </c>
      <c r="B14" s="207" t="s">
        <v>125</v>
      </c>
      <c r="C14" s="316">
        <f>'[2]Д5(постачанняя)'!K16</f>
        <v>2.4852825715097087</v>
      </c>
      <c r="D14" s="265">
        <f>C14/$C$33*1000</f>
        <v>1.4580311627730226E-2</v>
      </c>
      <c r="E14" s="317">
        <f>'[2]Д5(постачанняя)'!S16</f>
        <v>0.3418352603090189</v>
      </c>
      <c r="F14" s="317">
        <f>E14/$E$33*1000</f>
        <v>1.4580311627730226E-2</v>
      </c>
      <c r="G14" s="317">
        <f>'[2]Д5(постачанняя)'!W16</f>
        <v>0.11635763747357082</v>
      </c>
      <c r="H14" s="317">
        <f>G14/$G$33*1000</f>
        <v>1.4580311627730226E-2</v>
      </c>
      <c r="I14" s="317">
        <f>'[2]Д5(постачанняя)'!O16</f>
        <v>2.284530707702538E-3</v>
      </c>
      <c r="J14" s="317"/>
      <c r="K14" s="317">
        <f>I14/$I$33*1000</f>
        <v>1.4580311627730227E-2</v>
      </c>
    </row>
    <row r="15" spans="1:12" s="318" customFormat="1" ht="18" customHeight="1" x14ac:dyDescent="0.25">
      <c r="A15" s="206" t="s">
        <v>63</v>
      </c>
      <c r="B15" s="207" t="s">
        <v>126</v>
      </c>
      <c r="C15" s="316">
        <f>'[2]Д5(постачанняя)'!K17</f>
        <v>6.694509726189831</v>
      </c>
      <c r="D15" s="265">
        <f>C15/$C$33*1000</f>
        <v>3.9274422603553585E-2</v>
      </c>
      <c r="E15" s="317">
        <f>'[2]Д5(постачанняя)'!S17</f>
        <v>0.92078844519608771</v>
      </c>
      <c r="F15" s="317">
        <f>E15/$E$33*1000</f>
        <v>3.9274422603553585E-2</v>
      </c>
      <c r="G15" s="317">
        <f>'[2]Д5(постачанняя)'!W17</f>
        <v>0.31342807643402298</v>
      </c>
      <c r="H15" s="317">
        <f>G15/$G$33*1000</f>
        <v>3.9274422603553585E-2</v>
      </c>
      <c r="I15" s="317">
        <f>'[2]Д5(постачанняя)'!O17</f>
        <v>6.1537521800603956E-3</v>
      </c>
      <c r="J15" s="317"/>
      <c r="K15" s="317">
        <f>I15/$I$33*1000</f>
        <v>3.9274422603553585E-2</v>
      </c>
    </row>
    <row r="16" spans="1:12" s="307" customFormat="1" ht="18" customHeight="1" x14ac:dyDescent="0.25">
      <c r="A16" s="192" t="s">
        <v>68</v>
      </c>
      <c r="B16" s="193" t="s">
        <v>127</v>
      </c>
      <c r="C16" s="279">
        <f>C17+C18</f>
        <v>47.844693006923691</v>
      </c>
      <c r="D16" s="210">
        <f t="shared" ref="D16:K16" si="2">D17+D18</f>
        <v>0.28068861938313694</v>
      </c>
      <c r="E16" s="210">
        <f t="shared" si="2"/>
        <v>6.5807418745514523</v>
      </c>
      <c r="F16" s="210">
        <f t="shared" si="2"/>
        <v>0.28068861938313694</v>
      </c>
      <c r="G16" s="210">
        <f t="shared" si="2"/>
        <v>2.2400251415082071</v>
      </c>
      <c r="H16" s="210">
        <f t="shared" si="2"/>
        <v>0.28068861938313694</v>
      </c>
      <c r="I16" s="210">
        <f t="shared" si="2"/>
        <v>4.3979977016666186E-2</v>
      </c>
      <c r="J16" s="193">
        <f t="shared" si="2"/>
        <v>0</v>
      </c>
      <c r="K16" s="210">
        <f t="shared" si="2"/>
        <v>0.28068861938313694</v>
      </c>
    </row>
    <row r="17" spans="1:11" s="318" customFormat="1" ht="18" customHeight="1" x14ac:dyDescent="0.25">
      <c r="A17" s="206" t="s">
        <v>70</v>
      </c>
      <c r="B17" s="207" t="s">
        <v>128</v>
      </c>
      <c r="C17" s="316">
        <f>'[2]Д5(постачанняя)'!K19+'[2]Д5(постачанняя)'!K20</f>
        <v>19.672761159301185</v>
      </c>
      <c r="D17" s="265">
        <f>C17/$C$33*1000</f>
        <v>0.11541343087851695</v>
      </c>
      <c r="E17" s="317">
        <f>'[2]Д5(постачанняя)'!S19+'[2]Д5(постачанняя)'!S20</f>
        <v>2.7058667328125212</v>
      </c>
      <c r="F17" s="317">
        <f>E17/$E$33*1000</f>
        <v>0.11541343087851695</v>
      </c>
      <c r="G17" s="317">
        <f>'[2]Д5(постачанняя)'!W19+'[2]Д5(постачанняя)'!W20</f>
        <v>0.92105261482906187</v>
      </c>
      <c r="H17" s="317">
        <f>G17/$G$33*1000</f>
        <v>0.11541343087851695</v>
      </c>
      <c r="I17" s="317">
        <f>'[2]Д5(постачанняя)'!O19+'[2]Д5(постачанняя)'!O20</f>
        <v>1.8083668830631304E-2</v>
      </c>
      <c r="J17" s="317"/>
      <c r="K17" s="317">
        <f>I17/$I$33*1000</f>
        <v>0.11541343087851695</v>
      </c>
    </row>
    <row r="18" spans="1:11" s="318" customFormat="1" ht="18" customHeight="1" x14ac:dyDescent="0.25">
      <c r="A18" s="206" t="s">
        <v>72</v>
      </c>
      <c r="B18" s="207" t="s">
        <v>129</v>
      </c>
      <c r="C18" s="316">
        <f>'[2]Д5(постачанняя)'!K21</f>
        <v>28.171931847622506</v>
      </c>
      <c r="D18" s="265">
        <f>C18/$C$33*1000</f>
        <v>0.16527518850462</v>
      </c>
      <c r="E18" s="317">
        <f>'[2]Д5(постачанняя)'!S21</f>
        <v>3.8748751417389311</v>
      </c>
      <c r="F18" s="317">
        <f>E18/$E$33*1000</f>
        <v>0.16527518850462</v>
      </c>
      <c r="G18" s="317">
        <f>'[2]Д5(постачанняя)'!W21</f>
        <v>1.318972526679145</v>
      </c>
      <c r="H18" s="317">
        <f>G18/$G$33*1000</f>
        <v>0.16527518850462</v>
      </c>
      <c r="I18" s="317">
        <f>'[2]Д5(постачанняя)'!O21</f>
        <v>2.5896308186034885E-2</v>
      </c>
      <c r="J18" s="317"/>
      <c r="K18" s="317">
        <f>I18/$I$33*1000</f>
        <v>0.16527518850462</v>
      </c>
    </row>
    <row r="19" spans="1:11" s="307" customFormat="1" ht="18" customHeight="1" x14ac:dyDescent="0.25">
      <c r="A19" s="192">
        <v>2</v>
      </c>
      <c r="B19" s="193" t="s">
        <v>131</v>
      </c>
      <c r="C19" s="279">
        <f>C20+C21</f>
        <v>2.4946727441717389</v>
      </c>
      <c r="D19" s="210">
        <f t="shared" ref="D19:K19" si="3">D20+D21</f>
        <v>1.4635400592349416E-2</v>
      </c>
      <c r="E19" s="210">
        <f t="shared" si="3"/>
        <v>0.3431268205336262</v>
      </c>
      <c r="F19" s="210">
        <f t="shared" si="3"/>
        <v>1.4635400592349418E-2</v>
      </c>
      <c r="G19" s="210">
        <f t="shared" si="3"/>
        <v>0.1167972729174226</v>
      </c>
      <c r="H19" s="210">
        <f t="shared" si="3"/>
        <v>1.4635400592349418E-2</v>
      </c>
      <c r="I19" s="210">
        <f t="shared" si="3"/>
        <v>2.2931623772128604E-3</v>
      </c>
      <c r="J19" s="193">
        <f t="shared" si="3"/>
        <v>0</v>
      </c>
      <c r="K19" s="210">
        <f t="shared" si="3"/>
        <v>1.4635400592349416E-2</v>
      </c>
    </row>
    <row r="20" spans="1:11" s="318" customFormat="1" ht="18" customHeight="1" x14ac:dyDescent="0.25">
      <c r="A20" s="206" t="s">
        <v>77</v>
      </c>
      <c r="B20" s="207" t="s">
        <v>128</v>
      </c>
      <c r="C20" s="316">
        <f>'[2]Д5(постачанняя)'!K23+'[2]Д5(постачанняя)'!K24</f>
        <v>2.1826043207662962</v>
      </c>
      <c r="D20" s="265">
        <f>C20/$C$33*1000</f>
        <v>1.2804600781259187E-2</v>
      </c>
      <c r="E20" s="317">
        <f>'[2]Д5(постачанняя)'!S23+'[2]Д5(постачанняя)'!S24</f>
        <v>0.30020373727061389</v>
      </c>
      <c r="F20" s="317">
        <f>E20/$E$33*1000</f>
        <v>1.2804600781259189E-2</v>
      </c>
      <c r="G20" s="317">
        <f>'[2]Д5(постачанняя)'!W23+'[2]Д5(постачанняя)'!W24</f>
        <v>0.10218664276461004</v>
      </c>
      <c r="H20" s="317">
        <f>G20/$G$33*1000</f>
        <v>1.2804600781259189E-2</v>
      </c>
      <c r="I20" s="317">
        <f>'[2]Д5(постачанняя)'!O23+'[2]Д5(постачанняя)'!O24</f>
        <v>2.0063016780123765E-3</v>
      </c>
      <c r="J20" s="317"/>
      <c r="K20" s="317">
        <f>I20/$I$33*1000</f>
        <v>1.2804600781259187E-2</v>
      </c>
    </row>
    <row r="21" spans="1:11" s="318" customFormat="1" ht="18" customHeight="1" x14ac:dyDescent="0.25">
      <c r="A21" s="206" t="s">
        <v>78</v>
      </c>
      <c r="B21" s="207" t="s">
        <v>129</v>
      </c>
      <c r="C21" s="316">
        <f>'[2]Д5(постачанняя)'!K25</f>
        <v>0.31206842340544266</v>
      </c>
      <c r="D21" s="265">
        <f>C21/$C$33*1000</f>
        <v>1.8307998110902294E-3</v>
      </c>
      <c r="E21" s="317">
        <f>'[2]Д5(постачанняя)'!S25</f>
        <v>4.2923083263012328E-2</v>
      </c>
      <c r="F21" s="317">
        <f>E21/$E$33*1000</f>
        <v>1.8307998110902296E-3</v>
      </c>
      <c r="G21" s="317">
        <f>'[2]Д5(постачанняя)'!W25</f>
        <v>1.4610630152812566E-2</v>
      </c>
      <c r="H21" s="317">
        <f>G21/$G$33*1000</f>
        <v>1.8307998110902296E-3</v>
      </c>
      <c r="I21" s="317">
        <f>'[2]Д5(постачанняя)'!O25</f>
        <v>2.868606992004837E-4</v>
      </c>
      <c r="J21" s="317"/>
      <c r="K21" s="317">
        <f>I21/$I$33*1000</f>
        <v>1.8307998110902296E-3</v>
      </c>
    </row>
    <row r="22" spans="1:11" s="307" customFormat="1" ht="18" customHeight="1" x14ac:dyDescent="0.25">
      <c r="A22" s="192">
        <v>3</v>
      </c>
      <c r="B22" s="193" t="s">
        <v>173</v>
      </c>
      <c r="C22" s="279"/>
      <c r="D22" s="210"/>
      <c r="E22" s="225"/>
      <c r="F22" s="225"/>
      <c r="G22" s="225"/>
      <c r="H22" s="225"/>
      <c r="I22" s="225"/>
      <c r="J22" s="225"/>
      <c r="K22" s="280"/>
    </row>
    <row r="23" spans="1:11" s="307" customFormat="1" ht="18" customHeight="1" x14ac:dyDescent="0.25">
      <c r="A23" s="192">
        <v>4</v>
      </c>
      <c r="B23" s="193" t="s">
        <v>133</v>
      </c>
      <c r="C23" s="279"/>
      <c r="D23" s="210"/>
      <c r="E23" s="225"/>
      <c r="F23" s="225"/>
      <c r="G23" s="225"/>
      <c r="H23" s="225"/>
      <c r="I23" s="225"/>
      <c r="J23" s="225"/>
      <c r="K23" s="280"/>
    </row>
    <row r="24" spans="1:11" s="307" customFormat="1" ht="18" customHeight="1" x14ac:dyDescent="0.25">
      <c r="A24" s="192">
        <v>5</v>
      </c>
      <c r="B24" s="193" t="s">
        <v>163</v>
      </c>
      <c r="C24" s="279">
        <f>C10+C19+C22+C23</f>
        <v>1610.4962545758374</v>
      </c>
      <c r="D24" s="210">
        <f t="shared" ref="D24:K24" si="4">D10+D19+D22+D23</f>
        <v>9.4482364042588394</v>
      </c>
      <c r="E24" s="210">
        <f t="shared" si="4"/>
        <v>221.51380801548453</v>
      </c>
      <c r="F24" s="210">
        <f t="shared" si="4"/>
        <v>9.4482364042588394</v>
      </c>
      <c r="G24" s="210">
        <f t="shared" si="4"/>
        <v>75.40130103944071</v>
      </c>
      <c r="H24" s="210">
        <f t="shared" si="4"/>
        <v>9.4482364042588394</v>
      </c>
      <c r="I24" s="210">
        <f>I10+I19+I22+I23</f>
        <v>1.4804063692377007</v>
      </c>
      <c r="J24" s="193">
        <f t="shared" si="4"/>
        <v>0</v>
      </c>
      <c r="K24" s="210">
        <f t="shared" si="4"/>
        <v>9.4482364042588394</v>
      </c>
    </row>
    <row r="25" spans="1:11" s="307" customFormat="1" ht="18" customHeight="1" x14ac:dyDescent="0.25">
      <c r="A25" s="192">
        <v>6</v>
      </c>
      <c r="B25" s="193" t="s">
        <v>135</v>
      </c>
      <c r="C25" s="279"/>
      <c r="D25" s="210"/>
      <c r="E25" s="225"/>
      <c r="F25" s="225"/>
      <c r="G25" s="225"/>
      <c r="H25" s="225"/>
      <c r="I25" s="225"/>
      <c r="J25" s="225"/>
      <c r="K25" s="280"/>
    </row>
    <row r="26" spans="1:11" s="307" customFormat="1" ht="18" customHeight="1" x14ac:dyDescent="0.25">
      <c r="A26" s="192">
        <v>7</v>
      </c>
      <c r="B26" s="193" t="s">
        <v>136</v>
      </c>
      <c r="C26" s="279">
        <f>C27+C28+C29+C30</f>
        <v>0</v>
      </c>
      <c r="D26" s="210">
        <f t="shared" ref="D26:K26" si="5">D27+D28+D29+D30</f>
        <v>0</v>
      </c>
      <c r="E26" s="192">
        <f t="shared" si="5"/>
        <v>0</v>
      </c>
      <c r="F26" s="210">
        <f t="shared" si="5"/>
        <v>0</v>
      </c>
      <c r="G26" s="192">
        <f t="shared" si="5"/>
        <v>0</v>
      </c>
      <c r="H26" s="192">
        <f t="shared" si="5"/>
        <v>0</v>
      </c>
      <c r="I26" s="192">
        <f t="shared" si="5"/>
        <v>0</v>
      </c>
      <c r="J26" s="193">
        <f t="shared" si="5"/>
        <v>0</v>
      </c>
      <c r="K26" s="192">
        <f t="shared" si="5"/>
        <v>0</v>
      </c>
    </row>
    <row r="27" spans="1:11" s="318" customFormat="1" ht="18" customHeight="1" x14ac:dyDescent="0.25">
      <c r="A27" s="206" t="s">
        <v>83</v>
      </c>
      <c r="B27" s="207" t="s">
        <v>137</v>
      </c>
      <c r="C27" s="316"/>
      <c r="D27" s="265"/>
      <c r="E27" s="317"/>
      <c r="F27" s="317"/>
      <c r="G27" s="317"/>
      <c r="H27" s="317"/>
      <c r="I27" s="317"/>
      <c r="J27" s="317"/>
      <c r="K27" s="319"/>
    </row>
    <row r="28" spans="1:11" s="318" customFormat="1" ht="18" customHeight="1" x14ac:dyDescent="0.25">
      <c r="A28" s="206" t="s">
        <v>85</v>
      </c>
      <c r="B28" s="207" t="s">
        <v>138</v>
      </c>
      <c r="C28" s="316"/>
      <c r="D28" s="265"/>
      <c r="E28" s="317"/>
      <c r="F28" s="317"/>
      <c r="G28" s="317"/>
      <c r="H28" s="317"/>
      <c r="I28" s="317"/>
      <c r="J28" s="317"/>
      <c r="K28" s="319"/>
    </row>
    <row r="29" spans="1:11" s="318" customFormat="1" ht="18" customHeight="1" x14ac:dyDescent="0.25">
      <c r="A29" s="206" t="s">
        <v>87</v>
      </c>
      <c r="B29" s="207" t="s">
        <v>139</v>
      </c>
      <c r="C29" s="316"/>
      <c r="D29" s="265"/>
      <c r="E29" s="317"/>
      <c r="F29" s="317"/>
      <c r="G29" s="317"/>
      <c r="H29" s="317"/>
      <c r="I29" s="317"/>
      <c r="J29" s="317"/>
      <c r="K29" s="320"/>
    </row>
    <row r="30" spans="1:11" s="318" customFormat="1" ht="18" customHeight="1" x14ac:dyDescent="0.25">
      <c r="A30" s="206" t="s">
        <v>89</v>
      </c>
      <c r="B30" s="207" t="s">
        <v>166</v>
      </c>
      <c r="C30" s="316"/>
      <c r="D30" s="265"/>
      <c r="E30" s="317"/>
      <c r="F30" s="317"/>
      <c r="G30" s="317"/>
      <c r="H30" s="317"/>
      <c r="I30" s="317"/>
      <c r="J30" s="317"/>
      <c r="K30" s="320"/>
    </row>
    <row r="31" spans="1:11" s="307" customFormat="1" ht="18" customHeight="1" x14ac:dyDescent="0.25">
      <c r="A31" s="192">
        <v>8</v>
      </c>
      <c r="B31" s="193" t="s">
        <v>174</v>
      </c>
      <c r="C31" s="279">
        <f>C24+C26</f>
        <v>1610.4962545758374</v>
      </c>
      <c r="D31" s="210">
        <f t="shared" ref="D31:K31" si="6">D24+D26</f>
        <v>9.4482364042588394</v>
      </c>
      <c r="E31" s="210">
        <f t="shared" si="6"/>
        <v>221.51380801548453</v>
      </c>
      <c r="F31" s="210">
        <f t="shared" si="6"/>
        <v>9.4482364042588394</v>
      </c>
      <c r="G31" s="210">
        <f t="shared" si="6"/>
        <v>75.40130103944071</v>
      </c>
      <c r="H31" s="210">
        <f t="shared" si="6"/>
        <v>9.4482364042588394</v>
      </c>
      <c r="I31" s="210">
        <f t="shared" si="6"/>
        <v>1.4804063692377007</v>
      </c>
      <c r="J31" s="193">
        <f t="shared" si="6"/>
        <v>0</v>
      </c>
      <c r="K31" s="210">
        <f t="shared" si="6"/>
        <v>9.4482364042588394</v>
      </c>
    </row>
    <row r="32" spans="1:11" s="307" customFormat="1" ht="18" customHeight="1" x14ac:dyDescent="0.25">
      <c r="A32" s="192">
        <v>9</v>
      </c>
      <c r="B32" s="193" t="s">
        <v>175</v>
      </c>
      <c r="C32" s="279"/>
      <c r="D32" s="210"/>
      <c r="E32" s="224"/>
      <c r="F32" s="224"/>
      <c r="G32" s="224"/>
      <c r="H32" s="224"/>
      <c r="I32" s="224"/>
      <c r="J32" s="224"/>
      <c r="K32" s="280"/>
    </row>
    <row r="33" spans="1:11" s="307" customFormat="1" ht="18" customHeight="1" x14ac:dyDescent="0.25">
      <c r="A33" s="192">
        <v>10</v>
      </c>
      <c r="B33" s="193" t="s">
        <v>176</v>
      </c>
      <c r="C33" s="227">
        <f>'[2]Д3(вробн)'!L48</f>
        <v>170454.69499999998</v>
      </c>
      <c r="D33" s="194"/>
      <c r="E33" s="321">
        <f>'[2]Д3(вробн)'!X48</f>
        <v>23444.99</v>
      </c>
      <c r="F33" s="322"/>
      <c r="G33" s="321">
        <f>'[2]Д3(вробн)'!AB48</f>
        <v>7980.4629999999988</v>
      </c>
      <c r="H33" s="322"/>
      <c r="I33" s="322">
        <f>[2]Д2!F34</f>
        <v>156.68599999999998</v>
      </c>
      <c r="J33" s="225"/>
      <c r="K33" s="280"/>
    </row>
    <row r="34" spans="1:11" s="325" customFormat="1" ht="18" customHeight="1" x14ac:dyDescent="0.25">
      <c r="A34" s="230">
        <v>11</v>
      </c>
      <c r="B34" s="280" t="s">
        <v>96</v>
      </c>
      <c r="C34" s="323"/>
      <c r="D34" s="281"/>
      <c r="E34" s="225"/>
      <c r="F34" s="225"/>
      <c r="G34" s="225"/>
      <c r="H34" s="225"/>
      <c r="I34" s="225"/>
      <c r="J34" s="225"/>
      <c r="K34" s="324"/>
    </row>
    <row r="35" spans="1:11" ht="16.149999999999999" customHeight="1" x14ac:dyDescent="0.2">
      <c r="A35" s="176"/>
      <c r="B35" s="176"/>
      <c r="C35" s="176"/>
      <c r="D35" s="176"/>
      <c r="E35" s="176"/>
      <c r="F35" s="176"/>
      <c r="G35" s="176"/>
    </row>
    <row r="36" spans="1:11" ht="47.25" customHeight="1" x14ac:dyDescent="0.2">
      <c r="A36" s="176"/>
      <c r="B36" s="174" t="s">
        <v>151</v>
      </c>
      <c r="C36" s="174"/>
      <c r="D36" s="172"/>
      <c r="E36" s="172"/>
      <c r="F36" s="174" t="s">
        <v>102</v>
      </c>
      <c r="G36" s="174"/>
    </row>
    <row r="37" spans="1:11" s="290" customFormat="1" ht="117" customHeight="1" x14ac:dyDescent="0.3">
      <c r="A37" s="288"/>
      <c r="B37" s="288"/>
      <c r="C37" s="289"/>
      <c r="D37" s="289"/>
      <c r="G37" s="326"/>
      <c r="H37" s="291"/>
      <c r="I37" s="291"/>
      <c r="J37" s="292"/>
    </row>
    <row r="38" spans="1:11" ht="20.25" x14ac:dyDescent="0.3">
      <c r="A38" s="327"/>
      <c r="B38" s="176"/>
      <c r="C38" s="176"/>
      <c r="D38" s="176"/>
      <c r="E38" s="176"/>
      <c r="F38" s="328"/>
      <c r="G38" s="328"/>
    </row>
    <row r="39" spans="1:11" ht="35.25" customHeight="1" x14ac:dyDescent="0.2">
      <c r="A39" s="176"/>
      <c r="B39" s="176"/>
      <c r="C39" s="176"/>
      <c r="D39" s="176"/>
      <c r="E39" s="176"/>
      <c r="F39" s="176"/>
      <c r="G39" s="176"/>
    </row>
    <row r="40" spans="1:11" ht="20.25" x14ac:dyDescent="0.3">
      <c r="A40" s="327"/>
      <c r="B40" s="327"/>
      <c r="C40" s="327"/>
      <c r="D40" s="327"/>
      <c r="E40" s="327"/>
      <c r="F40" s="327"/>
      <c r="G40" s="327"/>
      <c r="H40" s="329"/>
      <c r="I40" s="329"/>
      <c r="J40" s="329"/>
    </row>
    <row r="41" spans="1:11" x14ac:dyDescent="0.2">
      <c r="A41" s="176"/>
      <c r="B41" s="176"/>
      <c r="C41" s="176"/>
      <c r="D41" s="176"/>
      <c r="E41" s="176"/>
      <c r="F41" s="176"/>
      <c r="G41" s="176"/>
    </row>
  </sheetData>
  <mergeCells count="16">
    <mergeCell ref="I7:K7"/>
    <mergeCell ref="B36:C36"/>
    <mergeCell ref="F36:G36"/>
    <mergeCell ref="A37:B37"/>
    <mergeCell ref="H37:I37"/>
    <mergeCell ref="F38:G38"/>
    <mergeCell ref="I1:K1"/>
    <mergeCell ref="I2:K2"/>
    <mergeCell ref="A4:I4"/>
    <mergeCell ref="A5:I5"/>
    <mergeCell ref="B6:F6"/>
    <mergeCell ref="A7:A8"/>
    <mergeCell ref="B7:B8"/>
    <mergeCell ref="C7:D7"/>
    <mergeCell ref="E7:F7"/>
    <mergeCell ref="G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8" workbookViewId="0">
      <selection activeCell="F50" sqref="F50"/>
    </sheetView>
  </sheetViews>
  <sheetFormatPr defaultColWidth="9.140625" defaultRowHeight="15" x14ac:dyDescent="0.25"/>
  <cols>
    <col min="1" max="1" width="9.140625" style="330"/>
    <col min="2" max="2" width="53.7109375" style="331" customWidth="1"/>
    <col min="3" max="3" width="15.85546875" style="332" customWidth="1"/>
    <col min="4" max="4" width="15.28515625" style="331" customWidth="1"/>
    <col min="5" max="5" width="17.28515625" style="331" customWidth="1"/>
    <col min="6" max="6" width="16.5703125" style="331" customWidth="1"/>
    <col min="7" max="246" width="9.140625" style="331"/>
    <col min="247" max="247" width="46.7109375" style="331" customWidth="1"/>
    <col min="248" max="248" width="13.42578125" style="331" customWidth="1"/>
    <col min="249" max="249" width="13.28515625" style="331" customWidth="1"/>
    <col min="250" max="251" width="15.85546875" style="331" customWidth="1"/>
    <col min="252" max="257" width="9.140625" style="331"/>
    <col min="258" max="258" width="55.5703125" style="331" customWidth="1"/>
    <col min="259" max="259" width="17.85546875" style="331" customWidth="1"/>
    <col min="260" max="260" width="17.5703125" style="331" customWidth="1"/>
    <col min="261" max="261" width="17.28515625" style="331" customWidth="1"/>
    <col min="262" max="262" width="18" style="331" customWidth="1"/>
    <col min="263" max="502" width="9.140625" style="331"/>
    <col min="503" max="503" width="46.7109375" style="331" customWidth="1"/>
    <col min="504" max="504" width="13.42578125" style="331" customWidth="1"/>
    <col min="505" max="505" width="13.28515625" style="331" customWidth="1"/>
    <col min="506" max="507" width="15.85546875" style="331" customWidth="1"/>
    <col min="508" max="513" width="9.140625" style="331"/>
    <col min="514" max="514" width="55.5703125" style="331" customWidth="1"/>
    <col min="515" max="515" width="17.85546875" style="331" customWidth="1"/>
    <col min="516" max="516" width="17.5703125" style="331" customWidth="1"/>
    <col min="517" max="517" width="17.28515625" style="331" customWidth="1"/>
    <col min="518" max="518" width="18" style="331" customWidth="1"/>
    <col min="519" max="758" width="9.140625" style="331"/>
    <col min="759" max="759" width="46.7109375" style="331" customWidth="1"/>
    <col min="760" max="760" width="13.42578125" style="331" customWidth="1"/>
    <col min="761" max="761" width="13.28515625" style="331" customWidth="1"/>
    <col min="762" max="763" width="15.85546875" style="331" customWidth="1"/>
    <col min="764" max="769" width="9.140625" style="331"/>
    <col min="770" max="770" width="55.5703125" style="331" customWidth="1"/>
    <col min="771" max="771" width="17.85546875" style="331" customWidth="1"/>
    <col min="772" max="772" width="17.5703125" style="331" customWidth="1"/>
    <col min="773" max="773" width="17.28515625" style="331" customWidth="1"/>
    <col min="774" max="774" width="18" style="331" customWidth="1"/>
    <col min="775" max="1014" width="9.140625" style="331"/>
    <col min="1015" max="1015" width="46.7109375" style="331" customWidth="1"/>
    <col min="1016" max="1016" width="13.42578125" style="331" customWidth="1"/>
    <col min="1017" max="1017" width="13.28515625" style="331" customWidth="1"/>
    <col min="1018" max="1019" width="15.85546875" style="331" customWidth="1"/>
    <col min="1020" max="1025" width="9.140625" style="331"/>
    <col min="1026" max="1026" width="55.5703125" style="331" customWidth="1"/>
    <col min="1027" max="1027" width="17.85546875" style="331" customWidth="1"/>
    <col min="1028" max="1028" width="17.5703125" style="331" customWidth="1"/>
    <col min="1029" max="1029" width="17.28515625" style="331" customWidth="1"/>
    <col min="1030" max="1030" width="18" style="331" customWidth="1"/>
    <col min="1031" max="1270" width="9.140625" style="331"/>
    <col min="1271" max="1271" width="46.7109375" style="331" customWidth="1"/>
    <col min="1272" max="1272" width="13.42578125" style="331" customWidth="1"/>
    <col min="1273" max="1273" width="13.28515625" style="331" customWidth="1"/>
    <col min="1274" max="1275" width="15.85546875" style="331" customWidth="1"/>
    <col min="1276" max="1281" width="9.140625" style="331"/>
    <col min="1282" max="1282" width="55.5703125" style="331" customWidth="1"/>
    <col min="1283" max="1283" width="17.85546875" style="331" customWidth="1"/>
    <col min="1284" max="1284" width="17.5703125" style="331" customWidth="1"/>
    <col min="1285" max="1285" width="17.28515625" style="331" customWidth="1"/>
    <col min="1286" max="1286" width="18" style="331" customWidth="1"/>
    <col min="1287" max="1526" width="9.140625" style="331"/>
    <col min="1527" max="1527" width="46.7109375" style="331" customWidth="1"/>
    <col min="1528" max="1528" width="13.42578125" style="331" customWidth="1"/>
    <col min="1529" max="1529" width="13.28515625" style="331" customWidth="1"/>
    <col min="1530" max="1531" width="15.85546875" style="331" customWidth="1"/>
    <col min="1532" max="1537" width="9.140625" style="331"/>
    <col min="1538" max="1538" width="55.5703125" style="331" customWidth="1"/>
    <col min="1539" max="1539" width="17.85546875" style="331" customWidth="1"/>
    <col min="1540" max="1540" width="17.5703125" style="331" customWidth="1"/>
    <col min="1541" max="1541" width="17.28515625" style="331" customWidth="1"/>
    <col min="1542" max="1542" width="18" style="331" customWidth="1"/>
    <col min="1543" max="1782" width="9.140625" style="331"/>
    <col min="1783" max="1783" width="46.7109375" style="331" customWidth="1"/>
    <col min="1784" max="1784" width="13.42578125" style="331" customWidth="1"/>
    <col min="1785" max="1785" width="13.28515625" style="331" customWidth="1"/>
    <col min="1786" max="1787" width="15.85546875" style="331" customWidth="1"/>
    <col min="1788" max="1793" width="9.140625" style="331"/>
    <col min="1794" max="1794" width="55.5703125" style="331" customWidth="1"/>
    <col min="1795" max="1795" width="17.85546875" style="331" customWidth="1"/>
    <col min="1796" max="1796" width="17.5703125" style="331" customWidth="1"/>
    <col min="1797" max="1797" width="17.28515625" style="331" customWidth="1"/>
    <col min="1798" max="1798" width="18" style="331" customWidth="1"/>
    <col min="1799" max="2038" width="9.140625" style="331"/>
    <col min="2039" max="2039" width="46.7109375" style="331" customWidth="1"/>
    <col min="2040" max="2040" width="13.42578125" style="331" customWidth="1"/>
    <col min="2041" max="2041" width="13.28515625" style="331" customWidth="1"/>
    <col min="2042" max="2043" width="15.85546875" style="331" customWidth="1"/>
    <col min="2044" max="2049" width="9.140625" style="331"/>
    <col min="2050" max="2050" width="55.5703125" style="331" customWidth="1"/>
    <col min="2051" max="2051" width="17.85546875" style="331" customWidth="1"/>
    <col min="2052" max="2052" width="17.5703125" style="331" customWidth="1"/>
    <col min="2053" max="2053" width="17.28515625" style="331" customWidth="1"/>
    <col min="2054" max="2054" width="18" style="331" customWidth="1"/>
    <col min="2055" max="2294" width="9.140625" style="331"/>
    <col min="2295" max="2295" width="46.7109375" style="331" customWidth="1"/>
    <col min="2296" max="2296" width="13.42578125" style="331" customWidth="1"/>
    <col min="2297" max="2297" width="13.28515625" style="331" customWidth="1"/>
    <col min="2298" max="2299" width="15.85546875" style="331" customWidth="1"/>
    <col min="2300" max="2305" width="9.140625" style="331"/>
    <col min="2306" max="2306" width="55.5703125" style="331" customWidth="1"/>
    <col min="2307" max="2307" width="17.85546875" style="331" customWidth="1"/>
    <col min="2308" max="2308" width="17.5703125" style="331" customWidth="1"/>
    <col min="2309" max="2309" width="17.28515625" style="331" customWidth="1"/>
    <col min="2310" max="2310" width="18" style="331" customWidth="1"/>
    <col min="2311" max="2550" width="9.140625" style="331"/>
    <col min="2551" max="2551" width="46.7109375" style="331" customWidth="1"/>
    <col min="2552" max="2552" width="13.42578125" style="331" customWidth="1"/>
    <col min="2553" max="2553" width="13.28515625" style="331" customWidth="1"/>
    <col min="2554" max="2555" width="15.85546875" style="331" customWidth="1"/>
    <col min="2556" max="2561" width="9.140625" style="331"/>
    <col min="2562" max="2562" width="55.5703125" style="331" customWidth="1"/>
    <col min="2563" max="2563" width="17.85546875" style="331" customWidth="1"/>
    <col min="2564" max="2564" width="17.5703125" style="331" customWidth="1"/>
    <col min="2565" max="2565" width="17.28515625" style="331" customWidth="1"/>
    <col min="2566" max="2566" width="18" style="331" customWidth="1"/>
    <col min="2567" max="2806" width="9.140625" style="331"/>
    <col min="2807" max="2807" width="46.7109375" style="331" customWidth="1"/>
    <col min="2808" max="2808" width="13.42578125" style="331" customWidth="1"/>
    <col min="2809" max="2809" width="13.28515625" style="331" customWidth="1"/>
    <col min="2810" max="2811" width="15.85546875" style="331" customWidth="1"/>
    <col min="2812" max="2817" width="9.140625" style="331"/>
    <col min="2818" max="2818" width="55.5703125" style="331" customWidth="1"/>
    <col min="2819" max="2819" width="17.85546875" style="331" customWidth="1"/>
    <col min="2820" max="2820" width="17.5703125" style="331" customWidth="1"/>
    <col min="2821" max="2821" width="17.28515625" style="331" customWidth="1"/>
    <col min="2822" max="2822" width="18" style="331" customWidth="1"/>
    <col min="2823" max="3062" width="9.140625" style="331"/>
    <col min="3063" max="3063" width="46.7109375" style="331" customWidth="1"/>
    <col min="3064" max="3064" width="13.42578125" style="331" customWidth="1"/>
    <col min="3065" max="3065" width="13.28515625" style="331" customWidth="1"/>
    <col min="3066" max="3067" width="15.85546875" style="331" customWidth="1"/>
    <col min="3068" max="3073" width="9.140625" style="331"/>
    <col min="3074" max="3074" width="55.5703125" style="331" customWidth="1"/>
    <col min="3075" max="3075" width="17.85546875" style="331" customWidth="1"/>
    <col min="3076" max="3076" width="17.5703125" style="331" customWidth="1"/>
    <col min="3077" max="3077" width="17.28515625" style="331" customWidth="1"/>
    <col min="3078" max="3078" width="18" style="331" customWidth="1"/>
    <col min="3079" max="3318" width="9.140625" style="331"/>
    <col min="3319" max="3319" width="46.7109375" style="331" customWidth="1"/>
    <col min="3320" max="3320" width="13.42578125" style="331" customWidth="1"/>
    <col min="3321" max="3321" width="13.28515625" style="331" customWidth="1"/>
    <col min="3322" max="3323" width="15.85546875" style="331" customWidth="1"/>
    <col min="3324" max="3329" width="9.140625" style="331"/>
    <col min="3330" max="3330" width="55.5703125" style="331" customWidth="1"/>
    <col min="3331" max="3331" width="17.85546875" style="331" customWidth="1"/>
    <col min="3332" max="3332" width="17.5703125" style="331" customWidth="1"/>
    <col min="3333" max="3333" width="17.28515625" style="331" customWidth="1"/>
    <col min="3334" max="3334" width="18" style="331" customWidth="1"/>
    <col min="3335" max="3574" width="9.140625" style="331"/>
    <col min="3575" max="3575" width="46.7109375" style="331" customWidth="1"/>
    <col min="3576" max="3576" width="13.42578125" style="331" customWidth="1"/>
    <col min="3577" max="3577" width="13.28515625" style="331" customWidth="1"/>
    <col min="3578" max="3579" width="15.85546875" style="331" customWidth="1"/>
    <col min="3580" max="3585" width="9.140625" style="331"/>
    <col min="3586" max="3586" width="55.5703125" style="331" customWidth="1"/>
    <col min="3587" max="3587" width="17.85546875" style="331" customWidth="1"/>
    <col min="3588" max="3588" width="17.5703125" style="331" customWidth="1"/>
    <col min="3589" max="3589" width="17.28515625" style="331" customWidth="1"/>
    <col min="3590" max="3590" width="18" style="331" customWidth="1"/>
    <col min="3591" max="3830" width="9.140625" style="331"/>
    <col min="3831" max="3831" width="46.7109375" style="331" customWidth="1"/>
    <col min="3832" max="3832" width="13.42578125" style="331" customWidth="1"/>
    <col min="3833" max="3833" width="13.28515625" style="331" customWidth="1"/>
    <col min="3834" max="3835" width="15.85546875" style="331" customWidth="1"/>
    <col min="3836" max="3841" width="9.140625" style="331"/>
    <col min="3842" max="3842" width="55.5703125" style="331" customWidth="1"/>
    <col min="3843" max="3843" width="17.85546875" style="331" customWidth="1"/>
    <col min="3844" max="3844" width="17.5703125" style="331" customWidth="1"/>
    <col min="3845" max="3845" width="17.28515625" style="331" customWidth="1"/>
    <col min="3846" max="3846" width="18" style="331" customWidth="1"/>
    <col min="3847" max="4086" width="9.140625" style="331"/>
    <col min="4087" max="4087" width="46.7109375" style="331" customWidth="1"/>
    <col min="4088" max="4088" width="13.42578125" style="331" customWidth="1"/>
    <col min="4089" max="4089" width="13.28515625" style="331" customWidth="1"/>
    <col min="4090" max="4091" width="15.85546875" style="331" customWidth="1"/>
    <col min="4092" max="4097" width="9.140625" style="331"/>
    <col min="4098" max="4098" width="55.5703125" style="331" customWidth="1"/>
    <col min="4099" max="4099" width="17.85546875" style="331" customWidth="1"/>
    <col min="4100" max="4100" width="17.5703125" style="331" customWidth="1"/>
    <col min="4101" max="4101" width="17.28515625" style="331" customWidth="1"/>
    <col min="4102" max="4102" width="18" style="331" customWidth="1"/>
    <col min="4103" max="4342" width="9.140625" style="331"/>
    <col min="4343" max="4343" width="46.7109375" style="331" customWidth="1"/>
    <col min="4344" max="4344" width="13.42578125" style="331" customWidth="1"/>
    <col min="4345" max="4345" width="13.28515625" style="331" customWidth="1"/>
    <col min="4346" max="4347" width="15.85546875" style="331" customWidth="1"/>
    <col min="4348" max="4353" width="9.140625" style="331"/>
    <col min="4354" max="4354" width="55.5703125" style="331" customWidth="1"/>
    <col min="4355" max="4355" width="17.85546875" style="331" customWidth="1"/>
    <col min="4356" max="4356" width="17.5703125" style="331" customWidth="1"/>
    <col min="4357" max="4357" width="17.28515625" style="331" customWidth="1"/>
    <col min="4358" max="4358" width="18" style="331" customWidth="1"/>
    <col min="4359" max="4598" width="9.140625" style="331"/>
    <col min="4599" max="4599" width="46.7109375" style="331" customWidth="1"/>
    <col min="4600" max="4600" width="13.42578125" style="331" customWidth="1"/>
    <col min="4601" max="4601" width="13.28515625" style="331" customWidth="1"/>
    <col min="4602" max="4603" width="15.85546875" style="331" customWidth="1"/>
    <col min="4604" max="4609" width="9.140625" style="331"/>
    <col min="4610" max="4610" width="55.5703125" style="331" customWidth="1"/>
    <col min="4611" max="4611" width="17.85546875" style="331" customWidth="1"/>
    <col min="4612" max="4612" width="17.5703125" style="331" customWidth="1"/>
    <col min="4613" max="4613" width="17.28515625" style="331" customWidth="1"/>
    <col min="4614" max="4614" width="18" style="331" customWidth="1"/>
    <col min="4615" max="4854" width="9.140625" style="331"/>
    <col min="4855" max="4855" width="46.7109375" style="331" customWidth="1"/>
    <col min="4856" max="4856" width="13.42578125" style="331" customWidth="1"/>
    <col min="4857" max="4857" width="13.28515625" style="331" customWidth="1"/>
    <col min="4858" max="4859" width="15.85546875" style="331" customWidth="1"/>
    <col min="4860" max="4865" width="9.140625" style="331"/>
    <col min="4866" max="4866" width="55.5703125" style="331" customWidth="1"/>
    <col min="4867" max="4867" width="17.85546875" style="331" customWidth="1"/>
    <col min="4868" max="4868" width="17.5703125" style="331" customWidth="1"/>
    <col min="4869" max="4869" width="17.28515625" style="331" customWidth="1"/>
    <col min="4870" max="4870" width="18" style="331" customWidth="1"/>
    <col min="4871" max="5110" width="9.140625" style="331"/>
    <col min="5111" max="5111" width="46.7109375" style="331" customWidth="1"/>
    <col min="5112" max="5112" width="13.42578125" style="331" customWidth="1"/>
    <col min="5113" max="5113" width="13.28515625" style="331" customWidth="1"/>
    <col min="5114" max="5115" width="15.85546875" style="331" customWidth="1"/>
    <col min="5116" max="5121" width="9.140625" style="331"/>
    <col min="5122" max="5122" width="55.5703125" style="331" customWidth="1"/>
    <col min="5123" max="5123" width="17.85546875" style="331" customWidth="1"/>
    <col min="5124" max="5124" width="17.5703125" style="331" customWidth="1"/>
    <col min="5125" max="5125" width="17.28515625" style="331" customWidth="1"/>
    <col min="5126" max="5126" width="18" style="331" customWidth="1"/>
    <col min="5127" max="5366" width="9.140625" style="331"/>
    <col min="5367" max="5367" width="46.7109375" style="331" customWidth="1"/>
    <col min="5368" max="5368" width="13.42578125" style="331" customWidth="1"/>
    <col min="5369" max="5369" width="13.28515625" style="331" customWidth="1"/>
    <col min="5370" max="5371" width="15.85546875" style="331" customWidth="1"/>
    <col min="5372" max="5377" width="9.140625" style="331"/>
    <col min="5378" max="5378" width="55.5703125" style="331" customWidth="1"/>
    <col min="5379" max="5379" width="17.85546875" style="331" customWidth="1"/>
    <col min="5380" max="5380" width="17.5703125" style="331" customWidth="1"/>
    <col min="5381" max="5381" width="17.28515625" style="331" customWidth="1"/>
    <col min="5382" max="5382" width="18" style="331" customWidth="1"/>
    <col min="5383" max="5622" width="9.140625" style="331"/>
    <col min="5623" max="5623" width="46.7109375" style="331" customWidth="1"/>
    <col min="5624" max="5624" width="13.42578125" style="331" customWidth="1"/>
    <col min="5625" max="5625" width="13.28515625" style="331" customWidth="1"/>
    <col min="5626" max="5627" width="15.85546875" style="331" customWidth="1"/>
    <col min="5628" max="5633" width="9.140625" style="331"/>
    <col min="5634" max="5634" width="55.5703125" style="331" customWidth="1"/>
    <col min="5635" max="5635" width="17.85546875" style="331" customWidth="1"/>
    <col min="5636" max="5636" width="17.5703125" style="331" customWidth="1"/>
    <col min="5637" max="5637" width="17.28515625" style="331" customWidth="1"/>
    <col min="5638" max="5638" width="18" style="331" customWidth="1"/>
    <col min="5639" max="5878" width="9.140625" style="331"/>
    <col min="5879" max="5879" width="46.7109375" style="331" customWidth="1"/>
    <col min="5880" max="5880" width="13.42578125" style="331" customWidth="1"/>
    <col min="5881" max="5881" width="13.28515625" style="331" customWidth="1"/>
    <col min="5882" max="5883" width="15.85546875" style="331" customWidth="1"/>
    <col min="5884" max="5889" width="9.140625" style="331"/>
    <col min="5890" max="5890" width="55.5703125" style="331" customWidth="1"/>
    <col min="5891" max="5891" width="17.85546875" style="331" customWidth="1"/>
    <col min="5892" max="5892" width="17.5703125" style="331" customWidth="1"/>
    <col min="5893" max="5893" width="17.28515625" style="331" customWidth="1"/>
    <col min="5894" max="5894" width="18" style="331" customWidth="1"/>
    <col min="5895" max="6134" width="9.140625" style="331"/>
    <col min="6135" max="6135" width="46.7109375" style="331" customWidth="1"/>
    <col min="6136" max="6136" width="13.42578125" style="331" customWidth="1"/>
    <col min="6137" max="6137" width="13.28515625" style="331" customWidth="1"/>
    <col min="6138" max="6139" width="15.85546875" style="331" customWidth="1"/>
    <col min="6140" max="6145" width="9.140625" style="331"/>
    <col min="6146" max="6146" width="55.5703125" style="331" customWidth="1"/>
    <col min="6147" max="6147" width="17.85546875" style="331" customWidth="1"/>
    <col min="6148" max="6148" width="17.5703125" style="331" customWidth="1"/>
    <col min="6149" max="6149" width="17.28515625" style="331" customWidth="1"/>
    <col min="6150" max="6150" width="18" style="331" customWidth="1"/>
    <col min="6151" max="6390" width="9.140625" style="331"/>
    <col min="6391" max="6391" width="46.7109375" style="331" customWidth="1"/>
    <col min="6392" max="6392" width="13.42578125" style="331" customWidth="1"/>
    <col min="6393" max="6393" width="13.28515625" style="331" customWidth="1"/>
    <col min="6394" max="6395" width="15.85546875" style="331" customWidth="1"/>
    <col min="6396" max="6401" width="9.140625" style="331"/>
    <col min="6402" max="6402" width="55.5703125" style="331" customWidth="1"/>
    <col min="6403" max="6403" width="17.85546875" style="331" customWidth="1"/>
    <col min="6404" max="6404" width="17.5703125" style="331" customWidth="1"/>
    <col min="6405" max="6405" width="17.28515625" style="331" customWidth="1"/>
    <col min="6406" max="6406" width="18" style="331" customWidth="1"/>
    <col min="6407" max="6646" width="9.140625" style="331"/>
    <col min="6647" max="6647" width="46.7109375" style="331" customWidth="1"/>
    <col min="6648" max="6648" width="13.42578125" style="331" customWidth="1"/>
    <col min="6649" max="6649" width="13.28515625" style="331" customWidth="1"/>
    <col min="6650" max="6651" width="15.85546875" style="331" customWidth="1"/>
    <col min="6652" max="6657" width="9.140625" style="331"/>
    <col min="6658" max="6658" width="55.5703125" style="331" customWidth="1"/>
    <col min="6659" max="6659" width="17.85546875" style="331" customWidth="1"/>
    <col min="6660" max="6660" width="17.5703125" style="331" customWidth="1"/>
    <col min="6661" max="6661" width="17.28515625" style="331" customWidth="1"/>
    <col min="6662" max="6662" width="18" style="331" customWidth="1"/>
    <col min="6663" max="6902" width="9.140625" style="331"/>
    <col min="6903" max="6903" width="46.7109375" style="331" customWidth="1"/>
    <col min="6904" max="6904" width="13.42578125" style="331" customWidth="1"/>
    <col min="6905" max="6905" width="13.28515625" style="331" customWidth="1"/>
    <col min="6906" max="6907" width="15.85546875" style="331" customWidth="1"/>
    <col min="6908" max="6913" width="9.140625" style="331"/>
    <col min="6914" max="6914" width="55.5703125" style="331" customWidth="1"/>
    <col min="6915" max="6915" width="17.85546875" style="331" customWidth="1"/>
    <col min="6916" max="6916" width="17.5703125" style="331" customWidth="1"/>
    <col min="6917" max="6917" width="17.28515625" style="331" customWidth="1"/>
    <col min="6918" max="6918" width="18" style="331" customWidth="1"/>
    <col min="6919" max="7158" width="9.140625" style="331"/>
    <col min="7159" max="7159" width="46.7109375" style="331" customWidth="1"/>
    <col min="7160" max="7160" width="13.42578125" style="331" customWidth="1"/>
    <col min="7161" max="7161" width="13.28515625" style="331" customWidth="1"/>
    <col min="7162" max="7163" width="15.85546875" style="331" customWidth="1"/>
    <col min="7164" max="7169" width="9.140625" style="331"/>
    <col min="7170" max="7170" width="55.5703125" style="331" customWidth="1"/>
    <col min="7171" max="7171" width="17.85546875" style="331" customWidth="1"/>
    <col min="7172" max="7172" width="17.5703125" style="331" customWidth="1"/>
    <col min="7173" max="7173" width="17.28515625" style="331" customWidth="1"/>
    <col min="7174" max="7174" width="18" style="331" customWidth="1"/>
    <col min="7175" max="7414" width="9.140625" style="331"/>
    <col min="7415" max="7415" width="46.7109375" style="331" customWidth="1"/>
    <col min="7416" max="7416" width="13.42578125" style="331" customWidth="1"/>
    <col min="7417" max="7417" width="13.28515625" style="331" customWidth="1"/>
    <col min="7418" max="7419" width="15.85546875" style="331" customWidth="1"/>
    <col min="7420" max="7425" width="9.140625" style="331"/>
    <col min="7426" max="7426" width="55.5703125" style="331" customWidth="1"/>
    <col min="7427" max="7427" width="17.85546875" style="331" customWidth="1"/>
    <col min="7428" max="7428" width="17.5703125" style="331" customWidth="1"/>
    <col min="7429" max="7429" width="17.28515625" style="331" customWidth="1"/>
    <col min="7430" max="7430" width="18" style="331" customWidth="1"/>
    <col min="7431" max="7670" width="9.140625" style="331"/>
    <col min="7671" max="7671" width="46.7109375" style="331" customWidth="1"/>
    <col min="7672" max="7672" width="13.42578125" style="331" customWidth="1"/>
    <col min="7673" max="7673" width="13.28515625" style="331" customWidth="1"/>
    <col min="7674" max="7675" width="15.85546875" style="331" customWidth="1"/>
    <col min="7676" max="7681" width="9.140625" style="331"/>
    <col min="7682" max="7682" width="55.5703125" style="331" customWidth="1"/>
    <col min="7683" max="7683" width="17.85546875" style="331" customWidth="1"/>
    <col min="7684" max="7684" width="17.5703125" style="331" customWidth="1"/>
    <col min="7685" max="7685" width="17.28515625" style="331" customWidth="1"/>
    <col min="7686" max="7686" width="18" style="331" customWidth="1"/>
    <col min="7687" max="7926" width="9.140625" style="331"/>
    <col min="7927" max="7927" width="46.7109375" style="331" customWidth="1"/>
    <col min="7928" max="7928" width="13.42578125" style="331" customWidth="1"/>
    <col min="7929" max="7929" width="13.28515625" style="331" customWidth="1"/>
    <col min="7930" max="7931" width="15.85546875" style="331" customWidth="1"/>
    <col min="7932" max="7937" width="9.140625" style="331"/>
    <col min="7938" max="7938" width="55.5703125" style="331" customWidth="1"/>
    <col min="7939" max="7939" width="17.85546875" style="331" customWidth="1"/>
    <col min="7940" max="7940" width="17.5703125" style="331" customWidth="1"/>
    <col min="7941" max="7941" width="17.28515625" style="331" customWidth="1"/>
    <col min="7942" max="7942" width="18" style="331" customWidth="1"/>
    <col min="7943" max="8182" width="9.140625" style="331"/>
    <col min="8183" max="8183" width="46.7109375" style="331" customWidth="1"/>
    <col min="8184" max="8184" width="13.42578125" style="331" customWidth="1"/>
    <col min="8185" max="8185" width="13.28515625" style="331" customWidth="1"/>
    <col min="8186" max="8187" width="15.85546875" style="331" customWidth="1"/>
    <col min="8188" max="8193" width="9.140625" style="331"/>
    <col min="8194" max="8194" width="55.5703125" style="331" customWidth="1"/>
    <col min="8195" max="8195" width="17.85546875" style="331" customWidth="1"/>
    <col min="8196" max="8196" width="17.5703125" style="331" customWidth="1"/>
    <col min="8197" max="8197" width="17.28515625" style="331" customWidth="1"/>
    <col min="8198" max="8198" width="18" style="331" customWidth="1"/>
    <col min="8199" max="8438" width="9.140625" style="331"/>
    <col min="8439" max="8439" width="46.7109375" style="331" customWidth="1"/>
    <col min="8440" max="8440" width="13.42578125" style="331" customWidth="1"/>
    <col min="8441" max="8441" width="13.28515625" style="331" customWidth="1"/>
    <col min="8442" max="8443" width="15.85546875" style="331" customWidth="1"/>
    <col min="8444" max="8449" width="9.140625" style="331"/>
    <col min="8450" max="8450" width="55.5703125" style="331" customWidth="1"/>
    <col min="8451" max="8451" width="17.85546875" style="331" customWidth="1"/>
    <col min="8452" max="8452" width="17.5703125" style="331" customWidth="1"/>
    <col min="8453" max="8453" width="17.28515625" style="331" customWidth="1"/>
    <col min="8454" max="8454" width="18" style="331" customWidth="1"/>
    <col min="8455" max="8694" width="9.140625" style="331"/>
    <col min="8695" max="8695" width="46.7109375" style="331" customWidth="1"/>
    <col min="8696" max="8696" width="13.42578125" style="331" customWidth="1"/>
    <col min="8697" max="8697" width="13.28515625" style="331" customWidth="1"/>
    <col min="8698" max="8699" width="15.85546875" style="331" customWidth="1"/>
    <col min="8700" max="8705" width="9.140625" style="331"/>
    <col min="8706" max="8706" width="55.5703125" style="331" customWidth="1"/>
    <col min="8707" max="8707" width="17.85546875" style="331" customWidth="1"/>
    <col min="8708" max="8708" width="17.5703125" style="331" customWidth="1"/>
    <col min="8709" max="8709" width="17.28515625" style="331" customWidth="1"/>
    <col min="8710" max="8710" width="18" style="331" customWidth="1"/>
    <col min="8711" max="8950" width="9.140625" style="331"/>
    <col min="8951" max="8951" width="46.7109375" style="331" customWidth="1"/>
    <col min="8952" max="8952" width="13.42578125" style="331" customWidth="1"/>
    <col min="8953" max="8953" width="13.28515625" style="331" customWidth="1"/>
    <col min="8954" max="8955" width="15.85546875" style="331" customWidth="1"/>
    <col min="8956" max="8961" width="9.140625" style="331"/>
    <col min="8962" max="8962" width="55.5703125" style="331" customWidth="1"/>
    <col min="8963" max="8963" width="17.85546875" style="331" customWidth="1"/>
    <col min="8964" max="8964" width="17.5703125" style="331" customWidth="1"/>
    <col min="8965" max="8965" width="17.28515625" style="331" customWidth="1"/>
    <col min="8966" max="8966" width="18" style="331" customWidth="1"/>
    <col min="8967" max="9206" width="9.140625" style="331"/>
    <col min="9207" max="9207" width="46.7109375" style="331" customWidth="1"/>
    <col min="9208" max="9208" width="13.42578125" style="331" customWidth="1"/>
    <col min="9209" max="9209" width="13.28515625" style="331" customWidth="1"/>
    <col min="9210" max="9211" width="15.85546875" style="331" customWidth="1"/>
    <col min="9212" max="9217" width="9.140625" style="331"/>
    <col min="9218" max="9218" width="55.5703125" style="331" customWidth="1"/>
    <col min="9219" max="9219" width="17.85546875" style="331" customWidth="1"/>
    <col min="9220" max="9220" width="17.5703125" style="331" customWidth="1"/>
    <col min="9221" max="9221" width="17.28515625" style="331" customWidth="1"/>
    <col min="9222" max="9222" width="18" style="331" customWidth="1"/>
    <col min="9223" max="9462" width="9.140625" style="331"/>
    <col min="9463" max="9463" width="46.7109375" style="331" customWidth="1"/>
    <col min="9464" max="9464" width="13.42578125" style="331" customWidth="1"/>
    <col min="9465" max="9465" width="13.28515625" style="331" customWidth="1"/>
    <col min="9466" max="9467" width="15.85546875" style="331" customWidth="1"/>
    <col min="9468" max="9473" width="9.140625" style="331"/>
    <col min="9474" max="9474" width="55.5703125" style="331" customWidth="1"/>
    <col min="9475" max="9475" width="17.85546875" style="331" customWidth="1"/>
    <col min="9476" max="9476" width="17.5703125" style="331" customWidth="1"/>
    <col min="9477" max="9477" width="17.28515625" style="331" customWidth="1"/>
    <col min="9478" max="9478" width="18" style="331" customWidth="1"/>
    <col min="9479" max="9718" width="9.140625" style="331"/>
    <col min="9719" max="9719" width="46.7109375" style="331" customWidth="1"/>
    <col min="9720" max="9720" width="13.42578125" style="331" customWidth="1"/>
    <col min="9721" max="9721" width="13.28515625" style="331" customWidth="1"/>
    <col min="9722" max="9723" width="15.85546875" style="331" customWidth="1"/>
    <col min="9724" max="9729" width="9.140625" style="331"/>
    <col min="9730" max="9730" width="55.5703125" style="331" customWidth="1"/>
    <col min="9731" max="9731" width="17.85546875" style="331" customWidth="1"/>
    <col min="9732" max="9732" width="17.5703125" style="331" customWidth="1"/>
    <col min="9733" max="9733" width="17.28515625" style="331" customWidth="1"/>
    <col min="9734" max="9734" width="18" style="331" customWidth="1"/>
    <col min="9735" max="9974" width="9.140625" style="331"/>
    <col min="9975" max="9975" width="46.7109375" style="331" customWidth="1"/>
    <col min="9976" max="9976" width="13.42578125" style="331" customWidth="1"/>
    <col min="9977" max="9977" width="13.28515625" style="331" customWidth="1"/>
    <col min="9978" max="9979" width="15.85546875" style="331" customWidth="1"/>
    <col min="9980" max="9985" width="9.140625" style="331"/>
    <col min="9986" max="9986" width="55.5703125" style="331" customWidth="1"/>
    <col min="9987" max="9987" width="17.85546875" style="331" customWidth="1"/>
    <col min="9988" max="9988" width="17.5703125" style="331" customWidth="1"/>
    <col min="9989" max="9989" width="17.28515625" style="331" customWidth="1"/>
    <col min="9990" max="9990" width="18" style="331" customWidth="1"/>
    <col min="9991" max="10230" width="9.140625" style="331"/>
    <col min="10231" max="10231" width="46.7109375" style="331" customWidth="1"/>
    <col min="10232" max="10232" width="13.42578125" style="331" customWidth="1"/>
    <col min="10233" max="10233" width="13.28515625" style="331" customWidth="1"/>
    <col min="10234" max="10235" width="15.85546875" style="331" customWidth="1"/>
    <col min="10236" max="10241" width="9.140625" style="331"/>
    <col min="10242" max="10242" width="55.5703125" style="331" customWidth="1"/>
    <col min="10243" max="10243" width="17.85546875" style="331" customWidth="1"/>
    <col min="10244" max="10244" width="17.5703125" style="331" customWidth="1"/>
    <col min="10245" max="10245" width="17.28515625" style="331" customWidth="1"/>
    <col min="10246" max="10246" width="18" style="331" customWidth="1"/>
    <col min="10247" max="10486" width="9.140625" style="331"/>
    <col min="10487" max="10487" width="46.7109375" style="331" customWidth="1"/>
    <col min="10488" max="10488" width="13.42578125" style="331" customWidth="1"/>
    <col min="10489" max="10489" width="13.28515625" style="331" customWidth="1"/>
    <col min="10490" max="10491" width="15.85546875" style="331" customWidth="1"/>
    <col min="10492" max="10497" width="9.140625" style="331"/>
    <col min="10498" max="10498" width="55.5703125" style="331" customWidth="1"/>
    <col min="10499" max="10499" width="17.85546875" style="331" customWidth="1"/>
    <col min="10500" max="10500" width="17.5703125" style="331" customWidth="1"/>
    <col min="10501" max="10501" width="17.28515625" style="331" customWidth="1"/>
    <col min="10502" max="10502" width="18" style="331" customWidth="1"/>
    <col min="10503" max="10742" width="9.140625" style="331"/>
    <col min="10743" max="10743" width="46.7109375" style="331" customWidth="1"/>
    <col min="10744" max="10744" width="13.42578125" style="331" customWidth="1"/>
    <col min="10745" max="10745" width="13.28515625" style="331" customWidth="1"/>
    <col min="10746" max="10747" width="15.85546875" style="331" customWidth="1"/>
    <col min="10748" max="10753" width="9.140625" style="331"/>
    <col min="10754" max="10754" width="55.5703125" style="331" customWidth="1"/>
    <col min="10755" max="10755" width="17.85546875" style="331" customWidth="1"/>
    <col min="10756" max="10756" width="17.5703125" style="331" customWidth="1"/>
    <col min="10757" max="10757" width="17.28515625" style="331" customWidth="1"/>
    <col min="10758" max="10758" width="18" style="331" customWidth="1"/>
    <col min="10759" max="10998" width="9.140625" style="331"/>
    <col min="10999" max="10999" width="46.7109375" style="331" customWidth="1"/>
    <col min="11000" max="11000" width="13.42578125" style="331" customWidth="1"/>
    <col min="11001" max="11001" width="13.28515625" style="331" customWidth="1"/>
    <col min="11002" max="11003" width="15.85546875" style="331" customWidth="1"/>
    <col min="11004" max="11009" width="9.140625" style="331"/>
    <col min="11010" max="11010" width="55.5703125" style="331" customWidth="1"/>
    <col min="11011" max="11011" width="17.85546875" style="331" customWidth="1"/>
    <col min="11012" max="11012" width="17.5703125" style="331" customWidth="1"/>
    <col min="11013" max="11013" width="17.28515625" style="331" customWidth="1"/>
    <col min="11014" max="11014" width="18" style="331" customWidth="1"/>
    <col min="11015" max="11254" width="9.140625" style="331"/>
    <col min="11255" max="11255" width="46.7109375" style="331" customWidth="1"/>
    <col min="11256" max="11256" width="13.42578125" style="331" customWidth="1"/>
    <col min="11257" max="11257" width="13.28515625" style="331" customWidth="1"/>
    <col min="11258" max="11259" width="15.85546875" style="331" customWidth="1"/>
    <col min="11260" max="11265" width="9.140625" style="331"/>
    <col min="11266" max="11266" width="55.5703125" style="331" customWidth="1"/>
    <col min="11267" max="11267" width="17.85546875" style="331" customWidth="1"/>
    <col min="11268" max="11268" width="17.5703125" style="331" customWidth="1"/>
    <col min="11269" max="11269" width="17.28515625" style="331" customWidth="1"/>
    <col min="11270" max="11270" width="18" style="331" customWidth="1"/>
    <col min="11271" max="11510" width="9.140625" style="331"/>
    <col min="11511" max="11511" width="46.7109375" style="331" customWidth="1"/>
    <col min="11512" max="11512" width="13.42578125" style="331" customWidth="1"/>
    <col min="11513" max="11513" width="13.28515625" style="331" customWidth="1"/>
    <col min="11514" max="11515" width="15.85546875" style="331" customWidth="1"/>
    <col min="11516" max="11521" width="9.140625" style="331"/>
    <col min="11522" max="11522" width="55.5703125" style="331" customWidth="1"/>
    <col min="11523" max="11523" width="17.85546875" style="331" customWidth="1"/>
    <col min="11524" max="11524" width="17.5703125" style="331" customWidth="1"/>
    <col min="11525" max="11525" width="17.28515625" style="331" customWidth="1"/>
    <col min="11526" max="11526" width="18" style="331" customWidth="1"/>
    <col min="11527" max="11766" width="9.140625" style="331"/>
    <col min="11767" max="11767" width="46.7109375" style="331" customWidth="1"/>
    <col min="11768" max="11768" width="13.42578125" style="331" customWidth="1"/>
    <col min="11769" max="11769" width="13.28515625" style="331" customWidth="1"/>
    <col min="11770" max="11771" width="15.85546875" style="331" customWidth="1"/>
    <col min="11772" max="11777" width="9.140625" style="331"/>
    <col min="11778" max="11778" width="55.5703125" style="331" customWidth="1"/>
    <col min="11779" max="11779" width="17.85546875" style="331" customWidth="1"/>
    <col min="11780" max="11780" width="17.5703125" style="331" customWidth="1"/>
    <col min="11781" max="11781" width="17.28515625" style="331" customWidth="1"/>
    <col min="11782" max="11782" width="18" style="331" customWidth="1"/>
    <col min="11783" max="12022" width="9.140625" style="331"/>
    <col min="12023" max="12023" width="46.7109375" style="331" customWidth="1"/>
    <col min="12024" max="12024" width="13.42578125" style="331" customWidth="1"/>
    <col min="12025" max="12025" width="13.28515625" style="331" customWidth="1"/>
    <col min="12026" max="12027" width="15.85546875" style="331" customWidth="1"/>
    <col min="12028" max="12033" width="9.140625" style="331"/>
    <col min="12034" max="12034" width="55.5703125" style="331" customWidth="1"/>
    <col min="12035" max="12035" width="17.85546875" style="331" customWidth="1"/>
    <col min="12036" max="12036" width="17.5703125" style="331" customWidth="1"/>
    <col min="12037" max="12037" width="17.28515625" style="331" customWidth="1"/>
    <col min="12038" max="12038" width="18" style="331" customWidth="1"/>
    <col min="12039" max="12278" width="9.140625" style="331"/>
    <col min="12279" max="12279" width="46.7109375" style="331" customWidth="1"/>
    <col min="12280" max="12280" width="13.42578125" style="331" customWidth="1"/>
    <col min="12281" max="12281" width="13.28515625" style="331" customWidth="1"/>
    <col min="12282" max="12283" width="15.85546875" style="331" customWidth="1"/>
    <col min="12284" max="12289" width="9.140625" style="331"/>
    <col min="12290" max="12290" width="55.5703125" style="331" customWidth="1"/>
    <col min="12291" max="12291" width="17.85546875" style="331" customWidth="1"/>
    <col min="12292" max="12292" width="17.5703125" style="331" customWidth="1"/>
    <col min="12293" max="12293" width="17.28515625" style="331" customWidth="1"/>
    <col min="12294" max="12294" width="18" style="331" customWidth="1"/>
    <col min="12295" max="12534" width="9.140625" style="331"/>
    <col min="12535" max="12535" width="46.7109375" style="331" customWidth="1"/>
    <col min="12536" max="12536" width="13.42578125" style="331" customWidth="1"/>
    <col min="12537" max="12537" width="13.28515625" style="331" customWidth="1"/>
    <col min="12538" max="12539" width="15.85546875" style="331" customWidth="1"/>
    <col min="12540" max="12545" width="9.140625" style="331"/>
    <col min="12546" max="12546" width="55.5703125" style="331" customWidth="1"/>
    <col min="12547" max="12547" width="17.85546875" style="331" customWidth="1"/>
    <col min="12548" max="12548" width="17.5703125" style="331" customWidth="1"/>
    <col min="12549" max="12549" width="17.28515625" style="331" customWidth="1"/>
    <col min="12550" max="12550" width="18" style="331" customWidth="1"/>
    <col min="12551" max="12790" width="9.140625" style="331"/>
    <col min="12791" max="12791" width="46.7109375" style="331" customWidth="1"/>
    <col min="12792" max="12792" width="13.42578125" style="331" customWidth="1"/>
    <col min="12793" max="12793" width="13.28515625" style="331" customWidth="1"/>
    <col min="12794" max="12795" width="15.85546875" style="331" customWidth="1"/>
    <col min="12796" max="12801" width="9.140625" style="331"/>
    <col min="12802" max="12802" width="55.5703125" style="331" customWidth="1"/>
    <col min="12803" max="12803" width="17.85546875" style="331" customWidth="1"/>
    <col min="12804" max="12804" width="17.5703125" style="331" customWidth="1"/>
    <col min="12805" max="12805" width="17.28515625" style="331" customWidth="1"/>
    <col min="12806" max="12806" width="18" style="331" customWidth="1"/>
    <col min="12807" max="13046" width="9.140625" style="331"/>
    <col min="13047" max="13047" width="46.7109375" style="331" customWidth="1"/>
    <col min="13048" max="13048" width="13.42578125" style="331" customWidth="1"/>
    <col min="13049" max="13049" width="13.28515625" style="331" customWidth="1"/>
    <col min="13050" max="13051" width="15.85546875" style="331" customWidth="1"/>
    <col min="13052" max="13057" width="9.140625" style="331"/>
    <col min="13058" max="13058" width="55.5703125" style="331" customWidth="1"/>
    <col min="13059" max="13059" width="17.85546875" style="331" customWidth="1"/>
    <col min="13060" max="13060" width="17.5703125" style="331" customWidth="1"/>
    <col min="13061" max="13061" width="17.28515625" style="331" customWidth="1"/>
    <col min="13062" max="13062" width="18" style="331" customWidth="1"/>
    <col min="13063" max="13302" width="9.140625" style="331"/>
    <col min="13303" max="13303" width="46.7109375" style="331" customWidth="1"/>
    <col min="13304" max="13304" width="13.42578125" style="331" customWidth="1"/>
    <col min="13305" max="13305" width="13.28515625" style="331" customWidth="1"/>
    <col min="13306" max="13307" width="15.85546875" style="331" customWidth="1"/>
    <col min="13308" max="13313" width="9.140625" style="331"/>
    <col min="13314" max="13314" width="55.5703125" style="331" customWidth="1"/>
    <col min="13315" max="13315" width="17.85546875" style="331" customWidth="1"/>
    <col min="13316" max="13316" width="17.5703125" style="331" customWidth="1"/>
    <col min="13317" max="13317" width="17.28515625" style="331" customWidth="1"/>
    <col min="13318" max="13318" width="18" style="331" customWidth="1"/>
    <col min="13319" max="13558" width="9.140625" style="331"/>
    <col min="13559" max="13559" width="46.7109375" style="331" customWidth="1"/>
    <col min="13560" max="13560" width="13.42578125" style="331" customWidth="1"/>
    <col min="13561" max="13561" width="13.28515625" style="331" customWidth="1"/>
    <col min="13562" max="13563" width="15.85546875" style="331" customWidth="1"/>
    <col min="13564" max="13569" width="9.140625" style="331"/>
    <col min="13570" max="13570" width="55.5703125" style="331" customWidth="1"/>
    <col min="13571" max="13571" width="17.85546875" style="331" customWidth="1"/>
    <col min="13572" max="13572" width="17.5703125" style="331" customWidth="1"/>
    <col min="13573" max="13573" width="17.28515625" style="331" customWidth="1"/>
    <col min="13574" max="13574" width="18" style="331" customWidth="1"/>
    <col min="13575" max="13814" width="9.140625" style="331"/>
    <col min="13815" max="13815" width="46.7109375" style="331" customWidth="1"/>
    <col min="13816" max="13816" width="13.42578125" style="331" customWidth="1"/>
    <col min="13817" max="13817" width="13.28515625" style="331" customWidth="1"/>
    <col min="13818" max="13819" width="15.85546875" style="331" customWidth="1"/>
    <col min="13820" max="13825" width="9.140625" style="331"/>
    <col min="13826" max="13826" width="55.5703125" style="331" customWidth="1"/>
    <col min="13827" max="13827" width="17.85546875" style="331" customWidth="1"/>
    <col min="13828" max="13828" width="17.5703125" style="331" customWidth="1"/>
    <col min="13829" max="13829" width="17.28515625" style="331" customWidth="1"/>
    <col min="13830" max="13830" width="18" style="331" customWidth="1"/>
    <col min="13831" max="14070" width="9.140625" style="331"/>
    <col min="14071" max="14071" width="46.7109375" style="331" customWidth="1"/>
    <col min="14072" max="14072" width="13.42578125" style="331" customWidth="1"/>
    <col min="14073" max="14073" width="13.28515625" style="331" customWidth="1"/>
    <col min="14074" max="14075" width="15.85546875" style="331" customWidth="1"/>
    <col min="14076" max="14081" width="9.140625" style="331"/>
    <col min="14082" max="14082" width="55.5703125" style="331" customWidth="1"/>
    <col min="14083" max="14083" width="17.85546875" style="331" customWidth="1"/>
    <col min="14084" max="14084" width="17.5703125" style="331" customWidth="1"/>
    <col min="14085" max="14085" width="17.28515625" style="331" customWidth="1"/>
    <col min="14086" max="14086" width="18" style="331" customWidth="1"/>
    <col min="14087" max="14326" width="9.140625" style="331"/>
    <col min="14327" max="14327" width="46.7109375" style="331" customWidth="1"/>
    <col min="14328" max="14328" width="13.42578125" style="331" customWidth="1"/>
    <col min="14329" max="14329" width="13.28515625" style="331" customWidth="1"/>
    <col min="14330" max="14331" width="15.85546875" style="331" customWidth="1"/>
    <col min="14332" max="14337" width="9.140625" style="331"/>
    <col min="14338" max="14338" width="55.5703125" style="331" customWidth="1"/>
    <col min="14339" max="14339" width="17.85546875" style="331" customWidth="1"/>
    <col min="14340" max="14340" width="17.5703125" style="331" customWidth="1"/>
    <col min="14341" max="14341" width="17.28515625" style="331" customWidth="1"/>
    <col min="14342" max="14342" width="18" style="331" customWidth="1"/>
    <col min="14343" max="14582" width="9.140625" style="331"/>
    <col min="14583" max="14583" width="46.7109375" style="331" customWidth="1"/>
    <col min="14584" max="14584" width="13.42578125" style="331" customWidth="1"/>
    <col min="14585" max="14585" width="13.28515625" style="331" customWidth="1"/>
    <col min="14586" max="14587" width="15.85546875" style="331" customWidth="1"/>
    <col min="14588" max="14593" width="9.140625" style="331"/>
    <col min="14594" max="14594" width="55.5703125" style="331" customWidth="1"/>
    <col min="14595" max="14595" width="17.85546875" style="331" customWidth="1"/>
    <col min="14596" max="14596" width="17.5703125" style="331" customWidth="1"/>
    <col min="14597" max="14597" width="17.28515625" style="331" customWidth="1"/>
    <col min="14598" max="14598" width="18" style="331" customWidth="1"/>
    <col min="14599" max="14838" width="9.140625" style="331"/>
    <col min="14839" max="14839" width="46.7109375" style="331" customWidth="1"/>
    <col min="14840" max="14840" width="13.42578125" style="331" customWidth="1"/>
    <col min="14841" max="14841" width="13.28515625" style="331" customWidth="1"/>
    <col min="14842" max="14843" width="15.85546875" style="331" customWidth="1"/>
    <col min="14844" max="14849" width="9.140625" style="331"/>
    <col min="14850" max="14850" width="55.5703125" style="331" customWidth="1"/>
    <col min="14851" max="14851" width="17.85546875" style="331" customWidth="1"/>
    <col min="14852" max="14852" width="17.5703125" style="331" customWidth="1"/>
    <col min="14853" max="14853" width="17.28515625" style="331" customWidth="1"/>
    <col min="14854" max="14854" width="18" style="331" customWidth="1"/>
    <col min="14855" max="15094" width="9.140625" style="331"/>
    <col min="15095" max="15095" width="46.7109375" style="331" customWidth="1"/>
    <col min="15096" max="15096" width="13.42578125" style="331" customWidth="1"/>
    <col min="15097" max="15097" width="13.28515625" style="331" customWidth="1"/>
    <col min="15098" max="15099" width="15.85546875" style="331" customWidth="1"/>
    <col min="15100" max="15105" width="9.140625" style="331"/>
    <col min="15106" max="15106" width="55.5703125" style="331" customWidth="1"/>
    <col min="15107" max="15107" width="17.85546875" style="331" customWidth="1"/>
    <col min="15108" max="15108" width="17.5703125" style="331" customWidth="1"/>
    <col min="15109" max="15109" width="17.28515625" style="331" customWidth="1"/>
    <col min="15110" max="15110" width="18" style="331" customWidth="1"/>
    <col min="15111" max="15350" width="9.140625" style="331"/>
    <col min="15351" max="15351" width="46.7109375" style="331" customWidth="1"/>
    <col min="15352" max="15352" width="13.42578125" style="331" customWidth="1"/>
    <col min="15353" max="15353" width="13.28515625" style="331" customWidth="1"/>
    <col min="15354" max="15355" width="15.85546875" style="331" customWidth="1"/>
    <col min="15356" max="15361" width="9.140625" style="331"/>
    <col min="15362" max="15362" width="55.5703125" style="331" customWidth="1"/>
    <col min="15363" max="15363" width="17.85546875" style="331" customWidth="1"/>
    <col min="15364" max="15364" width="17.5703125" style="331" customWidth="1"/>
    <col min="15365" max="15365" width="17.28515625" style="331" customWidth="1"/>
    <col min="15366" max="15366" width="18" style="331" customWidth="1"/>
    <col min="15367" max="15606" width="9.140625" style="331"/>
    <col min="15607" max="15607" width="46.7109375" style="331" customWidth="1"/>
    <col min="15608" max="15608" width="13.42578125" style="331" customWidth="1"/>
    <col min="15609" max="15609" width="13.28515625" style="331" customWidth="1"/>
    <col min="15610" max="15611" width="15.85546875" style="331" customWidth="1"/>
    <col min="15612" max="15617" width="9.140625" style="331"/>
    <col min="15618" max="15618" width="55.5703125" style="331" customWidth="1"/>
    <col min="15619" max="15619" width="17.85546875" style="331" customWidth="1"/>
    <col min="15620" max="15620" width="17.5703125" style="331" customWidth="1"/>
    <col min="15621" max="15621" width="17.28515625" style="331" customWidth="1"/>
    <col min="15622" max="15622" width="18" style="331" customWidth="1"/>
    <col min="15623" max="15862" width="9.140625" style="331"/>
    <col min="15863" max="15863" width="46.7109375" style="331" customWidth="1"/>
    <col min="15864" max="15864" width="13.42578125" style="331" customWidth="1"/>
    <col min="15865" max="15865" width="13.28515625" style="331" customWidth="1"/>
    <col min="15866" max="15867" width="15.85546875" style="331" customWidth="1"/>
    <col min="15868" max="15873" width="9.140625" style="331"/>
    <col min="15874" max="15874" width="55.5703125" style="331" customWidth="1"/>
    <col min="15875" max="15875" width="17.85546875" style="331" customWidth="1"/>
    <col min="15876" max="15876" width="17.5703125" style="331" customWidth="1"/>
    <col min="15877" max="15877" width="17.28515625" style="331" customWidth="1"/>
    <col min="15878" max="15878" width="18" style="331" customWidth="1"/>
    <col min="15879" max="16118" width="9.140625" style="331"/>
    <col min="16119" max="16119" width="46.7109375" style="331" customWidth="1"/>
    <col min="16120" max="16120" width="13.42578125" style="331" customWidth="1"/>
    <col min="16121" max="16121" width="13.28515625" style="331" customWidth="1"/>
    <col min="16122" max="16123" width="15.85546875" style="331" customWidth="1"/>
    <col min="16124" max="16129" width="9.140625" style="331"/>
    <col min="16130" max="16130" width="55.5703125" style="331" customWidth="1"/>
    <col min="16131" max="16131" width="17.85546875" style="331" customWidth="1"/>
    <col min="16132" max="16132" width="17.5703125" style="331" customWidth="1"/>
    <col min="16133" max="16133" width="17.28515625" style="331" customWidth="1"/>
    <col min="16134" max="16134" width="18" style="331" customWidth="1"/>
    <col min="16135" max="16374" width="9.140625" style="331"/>
    <col min="16375" max="16375" width="46.7109375" style="331" customWidth="1"/>
    <col min="16376" max="16376" width="13.42578125" style="331" customWidth="1"/>
    <col min="16377" max="16377" width="13.28515625" style="331" customWidth="1"/>
    <col min="16378" max="16379" width="15.85546875" style="331" customWidth="1"/>
    <col min="16380" max="16384" width="9.140625" style="331"/>
  </cols>
  <sheetData>
    <row r="1" spans="1:7" x14ac:dyDescent="0.25">
      <c r="E1" s="245" t="s">
        <v>177</v>
      </c>
      <c r="F1" s="245"/>
      <c r="G1" s="245"/>
    </row>
    <row r="2" spans="1:7" ht="15.75" customHeight="1" x14ac:dyDescent="0.25">
      <c r="E2" s="244" t="s">
        <v>23</v>
      </c>
      <c r="F2" s="244"/>
      <c r="G2" s="241"/>
    </row>
    <row r="3" spans="1:7" x14ac:dyDescent="0.25">
      <c r="E3" s="245" t="s">
        <v>153</v>
      </c>
      <c r="F3" s="245"/>
      <c r="G3" s="245"/>
    </row>
    <row r="4" spans="1:7" hidden="1" x14ac:dyDescent="0.25">
      <c r="E4" s="333" t="s">
        <v>178</v>
      </c>
      <c r="F4" s="333"/>
    </row>
    <row r="6" spans="1:7" ht="55.5" customHeight="1" x14ac:dyDescent="0.25">
      <c r="A6" s="334" t="s">
        <v>179</v>
      </c>
      <c r="B6" s="334"/>
      <c r="C6" s="334"/>
      <c r="D6" s="334"/>
      <c r="E6" s="334"/>
      <c r="F6" s="334"/>
    </row>
    <row r="7" spans="1:7" ht="15.75" thickBot="1" x14ac:dyDescent="0.3">
      <c r="A7" s="332"/>
      <c r="B7" s="335"/>
      <c r="C7" s="335"/>
      <c r="D7" s="335"/>
      <c r="E7" s="335"/>
      <c r="F7" s="335"/>
    </row>
    <row r="8" spans="1:7" ht="15.75" thickBot="1" x14ac:dyDescent="0.3">
      <c r="A8" s="336" t="s">
        <v>28</v>
      </c>
      <c r="B8" s="337" t="s">
        <v>180</v>
      </c>
      <c r="C8" s="338" t="s">
        <v>181</v>
      </c>
      <c r="D8" s="339"/>
      <c r="E8" s="340" t="s">
        <v>182</v>
      </c>
      <c r="F8" s="341"/>
    </row>
    <row r="9" spans="1:7" ht="105" x14ac:dyDescent="0.25">
      <c r="A9" s="342"/>
      <c r="B9" s="343"/>
      <c r="C9" s="344" t="s">
        <v>183</v>
      </c>
      <c r="D9" s="345" t="s">
        <v>184</v>
      </c>
      <c r="E9" s="345" t="s">
        <v>185</v>
      </c>
      <c r="F9" s="346" t="s">
        <v>186</v>
      </c>
    </row>
    <row r="10" spans="1:7" hidden="1" x14ac:dyDescent="0.25">
      <c r="A10" s="342"/>
      <c r="B10" s="343"/>
      <c r="C10" s="347"/>
      <c r="D10" s="345"/>
      <c r="E10" s="345"/>
      <c r="F10" s="346"/>
    </row>
    <row r="11" spans="1:7" hidden="1" x14ac:dyDescent="0.25">
      <c r="A11" s="342"/>
      <c r="B11" s="343"/>
      <c r="C11" s="347"/>
      <c r="D11" s="345"/>
      <c r="E11" s="345"/>
      <c r="F11" s="346"/>
    </row>
    <row r="12" spans="1:7" ht="18" x14ac:dyDescent="0.25">
      <c r="A12" s="348"/>
      <c r="B12" s="349"/>
      <c r="C12" s="350" t="s">
        <v>36</v>
      </c>
      <c r="D12" s="345" t="s">
        <v>187</v>
      </c>
      <c r="E12" s="345" t="s">
        <v>188</v>
      </c>
      <c r="F12" s="346" t="s">
        <v>188</v>
      </c>
    </row>
    <row r="13" spans="1:7" x14ac:dyDescent="0.25">
      <c r="A13" s="351">
        <v>1</v>
      </c>
      <c r="B13" s="351">
        <v>2</v>
      </c>
      <c r="C13" s="352">
        <v>3</v>
      </c>
      <c r="D13" s="353">
        <v>4</v>
      </c>
      <c r="E13" s="353">
        <v>5</v>
      </c>
      <c r="F13" s="354">
        <v>6</v>
      </c>
    </row>
    <row r="14" spans="1:7" ht="56.25" x14ac:dyDescent="0.25">
      <c r="A14" s="355">
        <v>1</v>
      </c>
      <c r="B14" s="356" t="s">
        <v>189</v>
      </c>
      <c r="C14" s="357">
        <f>[2]Д6_послугаТариф!C34</f>
        <v>1340.0866608783056</v>
      </c>
      <c r="D14" s="358">
        <f>[2]Д6_послугаТариф!I11</f>
        <v>230.02969160227636</v>
      </c>
      <c r="E14" s="358">
        <f>[2]Д6_послугаТариф!M11</f>
        <v>67.004333043915295</v>
      </c>
      <c r="F14" s="359">
        <f>[2]Д6_послугаТариф!O11</f>
        <v>64.324159722158669</v>
      </c>
    </row>
    <row r="15" spans="1:7" ht="37.5" x14ac:dyDescent="0.25">
      <c r="A15" s="355">
        <v>2</v>
      </c>
      <c r="B15" s="356" t="s">
        <v>190</v>
      </c>
      <c r="C15" s="360">
        <f>C16+C17</f>
        <v>61.28574316001248</v>
      </c>
      <c r="D15" s="361">
        <f>D16+D17</f>
        <v>10.520865619567809</v>
      </c>
      <c r="E15" s="361">
        <f>E16+E17</f>
        <v>3.3053213234242214</v>
      </c>
      <c r="F15" s="362">
        <f>F16+F17</f>
        <v>3.1797106000990989</v>
      </c>
    </row>
    <row r="16" spans="1:7" ht="37.5" x14ac:dyDescent="0.25">
      <c r="A16" s="355" t="s">
        <v>191</v>
      </c>
      <c r="B16" s="356" t="s">
        <v>128</v>
      </c>
      <c r="C16" s="363">
        <f>[2]Д6_послугаТариф!G13+[2]Д6_послугаТариф!G14</f>
        <v>19.494402434102341</v>
      </c>
      <c r="D16" s="364">
        <f>[2]Д6_послугаТариф!I13+[2]Д6_послугаТариф!I14</f>
        <v>3.347262971716551</v>
      </c>
      <c r="E16" s="364">
        <f>[2]Д6_послугаТариф!M13+[2]Д6_послугаТариф!M14</f>
        <v>0.97593740097926418</v>
      </c>
      <c r="F16" s="365">
        <f>[2]Д6_послугаТариф!O13+[2]Д6_послугаТариф!O14</f>
        <v>0.93390935910596273</v>
      </c>
    </row>
    <row r="17" spans="1:6" ht="18.75" x14ac:dyDescent="0.25">
      <c r="A17" s="355" t="s">
        <v>192</v>
      </c>
      <c r="B17" s="356" t="s">
        <v>193</v>
      </c>
      <c r="C17" s="363">
        <f>[2]Д6_послугаТариф!G15</f>
        <v>41.791340725910139</v>
      </c>
      <c r="D17" s="364">
        <f>[2]Д6_послугаТариф!I15</f>
        <v>7.1736026478512578</v>
      </c>
      <c r="E17" s="364">
        <f>[2]Д6_послугаТариф!M15</f>
        <v>2.3293839224449573</v>
      </c>
      <c r="F17" s="365">
        <f>[2]Д6_послугаТариф!O15</f>
        <v>2.2458012409931363</v>
      </c>
    </row>
    <row r="18" spans="1:6" ht="93.75" x14ac:dyDescent="0.25">
      <c r="A18" s="355">
        <v>3</v>
      </c>
      <c r="B18" s="356" t="s">
        <v>194</v>
      </c>
      <c r="C18" s="363">
        <v>0</v>
      </c>
      <c r="D18" s="364" t="s">
        <v>195</v>
      </c>
      <c r="E18" s="364">
        <v>0</v>
      </c>
      <c r="F18" s="365">
        <v>0</v>
      </c>
    </row>
    <row r="19" spans="1:6" ht="37.5" x14ac:dyDescent="0.25">
      <c r="A19" s="355">
        <v>4</v>
      </c>
      <c r="B19" s="356" t="s">
        <v>196</v>
      </c>
      <c r="C19" s="363" t="s">
        <v>195</v>
      </c>
      <c r="D19" s="364" t="s">
        <v>195</v>
      </c>
      <c r="E19" s="364">
        <f>[2]Д6_послугаТариф!M16</f>
        <v>7.6899999999999995</v>
      </c>
      <c r="F19" s="365">
        <f>[2]Д6_послугаТариф!O16</f>
        <v>7.69</v>
      </c>
    </row>
    <row r="20" spans="1:6" ht="18.75" x14ac:dyDescent="0.25">
      <c r="A20" s="355">
        <v>5</v>
      </c>
      <c r="B20" s="356" t="s">
        <v>197</v>
      </c>
      <c r="C20" s="363">
        <f>[2]Д6_послугаТариф!G17</f>
        <v>6.3972598424905236</v>
      </c>
      <c r="D20" s="364">
        <f>[2]Д6_послугаТариф!I17</f>
        <v>1.0981078699068967</v>
      </c>
      <c r="E20" s="364">
        <f>[2]Д6_послугаТариф!M17</f>
        <v>0.35657325096443532</v>
      </c>
      <c r="F20" s="365">
        <f>[2]Д6_послугаТариф!O17</f>
        <v>0.34377873127945419</v>
      </c>
    </row>
    <row r="21" spans="1:6" ht="37.5" x14ac:dyDescent="0.25">
      <c r="A21" s="355">
        <v>6</v>
      </c>
      <c r="B21" s="356" t="s">
        <v>198</v>
      </c>
      <c r="C21" s="363">
        <f>[2]Д6_послугаТариф!G18</f>
        <v>1407.7696638808086</v>
      </c>
      <c r="D21" s="364">
        <f>[2]Д6_послугаТариф!I18</f>
        <v>241.64866509175101</v>
      </c>
      <c r="E21" s="364">
        <f>[2]Д6_послугаТариф!M18</f>
        <v>78.356227618303933</v>
      </c>
      <c r="F21" s="365">
        <f>[2]Д6_послугаТариф!O18</f>
        <v>75.537649053537223</v>
      </c>
    </row>
    <row r="22" spans="1:6" ht="18.75" x14ac:dyDescent="0.25">
      <c r="A22" s="355">
        <v>7</v>
      </c>
      <c r="B22" s="356" t="s">
        <v>199</v>
      </c>
      <c r="C22" s="363">
        <f>[2]Д6_послугаТариф!G23</f>
        <v>11.482734430979201</v>
      </c>
      <c r="D22" s="364">
        <f>[2]Д6_послугаТариф!I23</f>
        <v>1.9710519888313942</v>
      </c>
      <c r="E22" s="364">
        <f>[2]Д6_послугаТариф!M23</f>
        <v>0.63769664438044915</v>
      </c>
      <c r="F22" s="365">
        <f>[2]Д6_послугаТариф!O23</f>
        <v>0.61470693105742069</v>
      </c>
    </row>
    <row r="23" spans="1:6" ht="37.5" x14ac:dyDescent="0.25">
      <c r="A23" s="355">
        <v>8</v>
      </c>
      <c r="B23" s="356" t="s">
        <v>200</v>
      </c>
      <c r="C23" s="363">
        <f>[2]Д6_послугаТариф!G24</f>
        <v>1419.2523983117878</v>
      </c>
      <c r="D23" s="364">
        <f>[2]Д6_послугаТариф!I24</f>
        <v>243.6197170805824</v>
      </c>
      <c r="E23" s="364">
        <f>[2]Д6_послугаТариф!M24</f>
        <v>78.993924262684388</v>
      </c>
      <c r="F23" s="365">
        <f>[2]Д6_послугаТариф!O24</f>
        <v>76.152355984594635</v>
      </c>
    </row>
    <row r="24" spans="1:6" ht="37.5" x14ac:dyDescent="0.25">
      <c r="A24" s="355">
        <v>9</v>
      </c>
      <c r="B24" s="356" t="s">
        <v>201</v>
      </c>
      <c r="C24" s="366">
        <f>[2]Д6_послугаТариф!G21</f>
        <v>25.979969715876706</v>
      </c>
      <c r="D24" s="367">
        <f>[2]Д6_послугаТариф!I21</f>
        <v>4.459535786784687</v>
      </c>
      <c r="E24" s="367">
        <f>[2]Д6_послугаТариф!M21</f>
        <v>1.2989984857938355</v>
      </c>
      <c r="F24" s="368">
        <f>[2]Д6_послугаТариф!O21</f>
        <v>1.2470385463620817</v>
      </c>
    </row>
    <row r="25" spans="1:6" ht="18.75" x14ac:dyDescent="0.25">
      <c r="A25" s="355" t="s">
        <v>202</v>
      </c>
      <c r="B25" s="356" t="s">
        <v>203</v>
      </c>
      <c r="C25" s="366">
        <v>0</v>
      </c>
      <c r="D25" s="367">
        <v>0</v>
      </c>
      <c r="E25" s="367">
        <v>0</v>
      </c>
      <c r="F25" s="368">
        <v>0</v>
      </c>
    </row>
    <row r="26" spans="1:6" ht="18.75" x14ac:dyDescent="0.25">
      <c r="A26" s="355" t="s">
        <v>204</v>
      </c>
      <c r="B26" s="356" t="s">
        <v>84</v>
      </c>
      <c r="C26" s="366">
        <f>[2]Д6_послугаТариф!G22</f>
        <v>5.7029201815339121</v>
      </c>
      <c r="D26" s="367">
        <f>[2]Д6_послугаТариф!I22</f>
        <v>0.97892248978200447</v>
      </c>
      <c r="E26" s="367">
        <f>[2]Д6_послугаТариф!M22</f>
        <v>0.28514600907669563</v>
      </c>
      <c r="F26" s="368">
        <f>[2]Д6_послугаТариф!O22</f>
        <v>0.27374016871362766</v>
      </c>
    </row>
    <row r="27" spans="1:6" ht="18.75" x14ac:dyDescent="0.25">
      <c r="A27" s="369">
        <v>10</v>
      </c>
      <c r="B27" s="370" t="s">
        <v>205</v>
      </c>
      <c r="C27" s="371">
        <f>C23+C24+C26</f>
        <v>1450.9352882091985</v>
      </c>
      <c r="D27" s="372">
        <f>D23+D24+D26</f>
        <v>249.05817535714911</v>
      </c>
      <c r="E27" s="372">
        <f>E23+E24+E26</f>
        <v>80.578068757554917</v>
      </c>
      <c r="F27" s="373">
        <f>F23+F24+F26</f>
        <v>77.673134699670342</v>
      </c>
    </row>
    <row r="28" spans="1:6" ht="18.75" x14ac:dyDescent="0.25">
      <c r="A28" s="355">
        <v>11</v>
      </c>
      <c r="B28" s="356" t="s">
        <v>206</v>
      </c>
      <c r="C28" s="374">
        <f>C27*20%</f>
        <v>290.18705764183971</v>
      </c>
      <c r="D28" s="375">
        <f>D27*20%</f>
        <v>49.811635071429826</v>
      </c>
      <c r="E28" s="375">
        <f>E27*20%</f>
        <v>16.115613751510985</v>
      </c>
      <c r="F28" s="376">
        <f>F27*20%</f>
        <v>15.53462693993407</v>
      </c>
    </row>
    <row r="29" spans="1:6" ht="18.75" x14ac:dyDescent="0.25">
      <c r="A29" s="369">
        <v>12</v>
      </c>
      <c r="B29" s="370" t="s">
        <v>207</v>
      </c>
      <c r="C29" s="371">
        <f>C27+C28</f>
        <v>1741.1223458510381</v>
      </c>
      <c r="D29" s="372">
        <f>D27+D28</f>
        <v>298.86981042857894</v>
      </c>
      <c r="E29" s="372">
        <f>E27+E28</f>
        <v>96.693682509065894</v>
      </c>
      <c r="F29" s="373">
        <f>F27+F28</f>
        <v>93.207761639604414</v>
      </c>
    </row>
    <row r="30" spans="1:6" ht="78.75" x14ac:dyDescent="0.25">
      <c r="A30" s="355">
        <v>13</v>
      </c>
      <c r="B30" s="377" t="s">
        <v>208</v>
      </c>
      <c r="C30" s="374" t="s">
        <v>209</v>
      </c>
      <c r="D30" s="378">
        <f>C29*0.0279</f>
        <v>48.577313449243967</v>
      </c>
      <c r="E30" s="375" t="s">
        <v>209</v>
      </c>
      <c r="F30" s="376" t="s">
        <v>209</v>
      </c>
    </row>
    <row r="31" spans="1:6" ht="38.25" thickBot="1" x14ac:dyDescent="0.3">
      <c r="A31" s="379">
        <v>14</v>
      </c>
      <c r="B31" s="380" t="s">
        <v>210</v>
      </c>
      <c r="C31" s="381">
        <v>187</v>
      </c>
      <c r="D31" s="382">
        <v>187</v>
      </c>
      <c r="E31" s="383" t="s">
        <v>209</v>
      </c>
      <c r="F31" s="384" t="s">
        <v>209</v>
      </c>
    </row>
    <row r="33" spans="1:6" ht="18.75" x14ac:dyDescent="0.3">
      <c r="B33" s="385"/>
      <c r="C33" s="386"/>
      <c r="D33" s="387"/>
      <c r="E33" s="388"/>
      <c r="F33" s="388"/>
    </row>
    <row r="34" spans="1:6" s="392" customFormat="1" ht="18.75" x14ac:dyDescent="0.25">
      <c r="A34" s="389"/>
      <c r="B34" s="390" t="s">
        <v>151</v>
      </c>
      <c r="C34" s="390"/>
      <c r="D34" s="391"/>
      <c r="E34" s="390" t="s">
        <v>102</v>
      </c>
      <c r="F34" s="390"/>
    </row>
  </sheetData>
  <mergeCells count="12">
    <mergeCell ref="E33:F33"/>
    <mergeCell ref="B34:C34"/>
    <mergeCell ref="E34:F34"/>
    <mergeCell ref="E2:F2"/>
    <mergeCell ref="E4:F4"/>
    <mergeCell ref="A6:F6"/>
    <mergeCell ref="B7:F7"/>
    <mergeCell ref="A8:A12"/>
    <mergeCell ref="B8:B12"/>
    <mergeCell ref="C8:D8"/>
    <mergeCell ref="E8:F8"/>
    <mergeCell ref="C9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B51" workbookViewId="0">
      <selection activeCell="G70" sqref="G70"/>
    </sheetView>
  </sheetViews>
  <sheetFormatPr defaultColWidth="9.140625" defaultRowHeight="15" x14ac:dyDescent="0.25"/>
  <cols>
    <col min="1" max="1" width="6.140625" style="17" hidden="1" customWidth="1"/>
    <col min="2" max="2" width="6.7109375" style="18" customWidth="1"/>
    <col min="3" max="3" width="52.28515625" style="19" customWidth="1"/>
    <col min="4" max="4" width="2.28515625" style="19" hidden="1" customWidth="1"/>
    <col min="5" max="5" width="13.42578125" style="19" customWidth="1"/>
    <col min="6" max="6" width="11.28515625" style="19" customWidth="1"/>
    <col min="7" max="7" width="13.42578125" style="19" customWidth="1"/>
    <col min="8" max="8" width="11.28515625" style="19" bestFit="1" customWidth="1"/>
    <col min="9" max="9" width="12.28515625" style="19" customWidth="1"/>
    <col min="10" max="10" width="11.28515625" style="19" bestFit="1" customWidth="1"/>
    <col min="11" max="11" width="11" style="19" bestFit="1" customWidth="1"/>
    <col min="12" max="12" width="12" style="19" customWidth="1"/>
    <col min="13" max="13" width="14.140625" style="19" customWidth="1"/>
    <col min="14" max="14" width="13.85546875" style="19" hidden="1" customWidth="1"/>
    <col min="15" max="15" width="11.140625" style="19" hidden="1" customWidth="1"/>
    <col min="16" max="16" width="17" style="19" hidden="1" customWidth="1"/>
    <col min="17" max="17" width="7.42578125" style="19" hidden="1" customWidth="1"/>
    <col min="18" max="18" width="12.7109375" style="19" hidden="1" customWidth="1"/>
    <col min="19" max="16384" width="9.140625" style="19"/>
  </cols>
  <sheetData>
    <row r="1" spans="1:18" x14ac:dyDescent="0.25">
      <c r="L1" s="20" t="s">
        <v>22</v>
      </c>
      <c r="M1" s="21"/>
    </row>
    <row r="2" spans="1:18" ht="25.5" customHeight="1" x14ac:dyDescent="0.25">
      <c r="L2" s="22" t="s">
        <v>23</v>
      </c>
      <c r="M2" s="22"/>
    </row>
    <row r="3" spans="1:18" ht="21.75" customHeight="1" x14ac:dyDescent="0.25">
      <c r="L3" s="20" t="s">
        <v>24</v>
      </c>
      <c r="M3" s="23"/>
    </row>
    <row r="4" spans="1:18" ht="18.75" x14ac:dyDescent="0.3">
      <c r="A4" s="24"/>
      <c r="B4" s="25"/>
      <c r="C4" s="393" t="s">
        <v>25</v>
      </c>
      <c r="D4" s="393"/>
      <c r="E4" s="393"/>
      <c r="F4" s="393"/>
      <c r="G4" s="393"/>
      <c r="H4" s="393"/>
      <c r="I4" s="393"/>
      <c r="J4" s="393"/>
      <c r="K4" s="26"/>
      <c r="M4" s="27"/>
      <c r="N4" s="27"/>
      <c r="O4" s="27"/>
      <c r="P4" s="27"/>
      <c r="Q4" s="28"/>
      <c r="R4" s="28"/>
    </row>
    <row r="5" spans="1:18" x14ac:dyDescent="0.25">
      <c r="A5" s="24"/>
      <c r="B5" s="25"/>
      <c r="C5" s="29" t="str">
        <f>[1]Д4!B3</f>
        <v>ПАТ "Сумське НВО" Дирекція  "Котельня Північного промислового вузла"</v>
      </c>
      <c r="D5" s="29"/>
      <c r="E5" s="29"/>
      <c r="F5" s="29"/>
      <c r="G5" s="29"/>
      <c r="H5" s="29"/>
      <c r="I5" s="29"/>
      <c r="J5" s="29"/>
      <c r="K5" s="30"/>
      <c r="L5" s="30"/>
      <c r="M5" s="31"/>
      <c r="N5" s="32"/>
      <c r="O5" s="32"/>
      <c r="P5" s="32"/>
      <c r="Q5" s="28"/>
      <c r="R5" s="28"/>
    </row>
    <row r="6" spans="1:18" ht="15.75" customHeight="1" thickBot="1" x14ac:dyDescent="0.3">
      <c r="A6" s="24"/>
      <c r="B6" s="25"/>
      <c r="C6" s="33" t="s">
        <v>26</v>
      </c>
      <c r="D6" s="33"/>
      <c r="E6" s="33"/>
      <c r="F6" s="33"/>
      <c r="G6" s="33"/>
      <c r="H6" s="33"/>
      <c r="I6" s="33"/>
      <c r="J6" s="33"/>
      <c r="K6" s="34"/>
      <c r="L6" s="34"/>
      <c r="M6" s="27" t="s">
        <v>27</v>
      </c>
      <c r="N6" s="35"/>
      <c r="O6" s="35"/>
      <c r="P6" s="35"/>
      <c r="Q6" s="28"/>
      <c r="R6" s="28"/>
    </row>
    <row r="7" spans="1:18" ht="30" customHeight="1" x14ac:dyDescent="0.25">
      <c r="A7" s="36" t="s">
        <v>28</v>
      </c>
      <c r="B7" s="37" t="s">
        <v>28</v>
      </c>
      <c r="C7" s="38" t="s">
        <v>29</v>
      </c>
      <c r="D7" s="39"/>
      <c r="E7" s="40" t="s">
        <v>30</v>
      </c>
      <c r="F7" s="41"/>
      <c r="G7" s="42" t="s">
        <v>31</v>
      </c>
      <c r="H7" s="42"/>
      <c r="I7" s="40" t="s">
        <v>32</v>
      </c>
      <c r="J7" s="41"/>
      <c r="K7" s="43" t="s">
        <v>33</v>
      </c>
      <c r="L7" s="44"/>
      <c r="M7" s="45" t="s">
        <v>34</v>
      </c>
      <c r="N7" s="46" t="s">
        <v>35</v>
      </c>
    </row>
    <row r="8" spans="1:18" x14ac:dyDescent="0.25">
      <c r="A8" s="36"/>
      <c r="B8" s="48"/>
      <c r="C8" s="49"/>
      <c r="D8" s="50"/>
      <c r="E8" s="51" t="s">
        <v>3</v>
      </c>
      <c r="F8" s="52" t="s">
        <v>36</v>
      </c>
      <c r="G8" s="53" t="s">
        <v>3</v>
      </c>
      <c r="H8" s="54" t="s">
        <v>36</v>
      </c>
      <c r="I8" s="51" t="s">
        <v>3</v>
      </c>
      <c r="J8" s="52" t="s">
        <v>36</v>
      </c>
      <c r="K8" s="51" t="s">
        <v>3</v>
      </c>
      <c r="L8" s="52" t="s">
        <v>36</v>
      </c>
      <c r="M8" s="55"/>
      <c r="N8" s="46"/>
    </row>
    <row r="9" spans="1:18" x14ac:dyDescent="0.25">
      <c r="A9" s="56"/>
      <c r="B9" s="57"/>
      <c r="C9" s="58"/>
      <c r="D9" s="54"/>
      <c r="E9" s="51"/>
      <c r="F9" s="52"/>
      <c r="G9" s="53"/>
      <c r="H9" s="54"/>
      <c r="I9" s="51"/>
      <c r="J9" s="52"/>
      <c r="K9" s="59"/>
      <c r="L9" s="60"/>
      <c r="M9" s="61"/>
      <c r="N9" s="62"/>
    </row>
    <row r="10" spans="1:18" ht="15.75" x14ac:dyDescent="0.25">
      <c r="A10" s="63">
        <v>1</v>
      </c>
      <c r="B10" s="64">
        <v>1</v>
      </c>
      <c r="C10" s="65" t="s">
        <v>37</v>
      </c>
      <c r="D10" s="66"/>
      <c r="E10" s="67">
        <f>E11+E19+E20+E24</f>
        <v>228068.41178314207</v>
      </c>
      <c r="F10" s="68">
        <f t="shared" ref="F10:L10" si="0">F11+F19+F20+F24</f>
        <v>1338.0001752556132</v>
      </c>
      <c r="G10" s="69">
        <f t="shared" si="0"/>
        <v>32437.602541000491</v>
      </c>
      <c r="H10" s="70">
        <f t="shared" si="0"/>
        <v>1383.5622254904138</v>
      </c>
      <c r="I10" s="67">
        <f t="shared" si="0"/>
        <v>10996.496593979051</v>
      </c>
      <c r="J10" s="68">
        <f t="shared" si="0"/>
        <v>1377.9271445753275</v>
      </c>
      <c r="K10" s="67">
        <f t="shared" si="0"/>
        <v>216.18585613166252</v>
      </c>
      <c r="L10" s="68">
        <f t="shared" si="0"/>
        <v>1379.7394542694465</v>
      </c>
      <c r="M10" s="68">
        <f>E10+G10+I10+K10</f>
        <v>271718.69677425327</v>
      </c>
      <c r="N10" s="71">
        <f>M10/$M$38</f>
        <v>0.96158208790861566</v>
      </c>
      <c r="O10" s="72">
        <f>M10/$M$40*1000</f>
        <v>1344.896825963197</v>
      </c>
    </row>
    <row r="11" spans="1:18" ht="15.75" x14ac:dyDescent="0.25">
      <c r="A11" s="63" t="s">
        <v>38</v>
      </c>
      <c r="B11" s="74" t="s">
        <v>38</v>
      </c>
      <c r="C11" s="75" t="s">
        <v>39</v>
      </c>
      <c r="D11" s="76"/>
      <c r="E11" s="77">
        <f>E12+E13+E14+E15+E16+E17+E18</f>
        <v>195935.08145260098</v>
      </c>
      <c r="F11" s="78">
        <f t="shared" ref="F11:L11" si="1">F12+F13+F14+F15+F16+F17+F18</f>
        <v>1149.4848027072592</v>
      </c>
      <c r="G11" s="79">
        <f t="shared" si="1"/>
        <v>28017.86151675805</v>
      </c>
      <c r="H11" s="80">
        <f t="shared" si="1"/>
        <v>1195.0468529420596</v>
      </c>
      <c r="I11" s="77">
        <f t="shared" si="1"/>
        <v>9492.0566384256945</v>
      </c>
      <c r="J11" s="78">
        <f t="shared" si="1"/>
        <v>1189.4117720269733</v>
      </c>
      <c r="K11" s="77">
        <f t="shared" si="1"/>
        <v>186.64813646855109</v>
      </c>
      <c r="L11" s="78">
        <f t="shared" si="1"/>
        <v>1191.2240817210925</v>
      </c>
      <c r="M11" s="78">
        <f t="shared" ref="M11:M39" si="2">E11+G11+I11+K11</f>
        <v>233631.64774425325</v>
      </c>
      <c r="N11" s="81">
        <f t="shared" ref="N11:N39" si="3">M11/$M$38</f>
        <v>0.82679627977936243</v>
      </c>
      <c r="O11" s="72">
        <f t="shared" ref="O11:O39" si="4">M11/$M$40*1000</f>
        <v>1156.3814534148426</v>
      </c>
    </row>
    <row r="12" spans="1:18" ht="15" customHeight="1" x14ac:dyDescent="0.25">
      <c r="A12" s="63" t="s">
        <v>40</v>
      </c>
      <c r="B12" s="82" t="s">
        <v>40</v>
      </c>
      <c r="C12" s="83" t="s">
        <v>41</v>
      </c>
      <c r="D12" s="84"/>
      <c r="E12" s="85">
        <f>'[2]Д3(вробн)'!L14</f>
        <v>94027.786627039997</v>
      </c>
      <c r="F12" s="86">
        <f>E12/$E$40*1000</f>
        <v>551.62919758261876</v>
      </c>
      <c r="G12" s="87">
        <f>'[2]Д3(вробн)'!X14</f>
        <v>22977.974819839998</v>
      </c>
      <c r="H12" s="88">
        <f>G12/$G$40*1000</f>
        <v>980.0803847576816</v>
      </c>
      <c r="I12" s="85">
        <f>'[2]Д3(вробн)'!AB14</f>
        <v>7878.7859985600007</v>
      </c>
      <c r="J12" s="86">
        <f>I12/$I$40*1000</f>
        <v>987.25926034116083</v>
      </c>
      <c r="K12" s="85">
        <f>'[2]Д3(вробн)'!P14</f>
        <v>155.49803664000001</v>
      </c>
      <c r="L12" s="86">
        <f>K12/$K$40*1000</f>
        <v>992.41819077645755</v>
      </c>
      <c r="M12" s="89">
        <f>E12+G12+I12+K12</f>
        <v>125040.04548207999</v>
      </c>
      <c r="N12" s="90">
        <f t="shared" si="3"/>
        <v>0.44250274064408707</v>
      </c>
      <c r="O12" s="72">
        <f>M12/$M$40*1000</f>
        <v>618.89727237598674</v>
      </c>
    </row>
    <row r="13" spans="1:18" ht="17.45" customHeight="1" x14ac:dyDescent="0.25">
      <c r="A13" s="63" t="s">
        <v>42</v>
      </c>
      <c r="B13" s="82" t="s">
        <v>43</v>
      </c>
      <c r="C13" s="83" t="s">
        <v>44</v>
      </c>
      <c r="D13" s="84"/>
      <c r="E13" s="91">
        <f>'[2]Д3(вробн)'!L15</f>
        <v>19495.065669131272</v>
      </c>
      <c r="F13" s="86">
        <f>E13/$E$40*1000</f>
        <v>114.37095158412195</v>
      </c>
      <c r="G13" s="92">
        <f>'[2]Д3(вробн)'!X15</f>
        <v>2681.4258161802236</v>
      </c>
      <c r="H13" s="93">
        <f t="shared" ref="H13:H19" si="5">G13/$G$40*1000</f>
        <v>114.37095158412195</v>
      </c>
      <c r="I13" s="91">
        <f>'[2]Д3(вробн)'!AB15</f>
        <v>912.73314739187651</v>
      </c>
      <c r="J13" s="94">
        <f t="shared" ref="J13:J19" si="6">I13/$I$40*1000</f>
        <v>114.37095158412195</v>
      </c>
      <c r="K13" s="85">
        <f>'[2]Д3(вробн)'!P15</f>
        <v>17.92032691990973</v>
      </c>
      <c r="L13" s="86">
        <f t="shared" ref="L13:L19" si="7">K13/$K$40*1000</f>
        <v>114.37095158412195</v>
      </c>
      <c r="M13" s="89">
        <f t="shared" si="2"/>
        <v>23107.144959623281</v>
      </c>
      <c r="N13" s="90">
        <f t="shared" si="3"/>
        <v>8.1773602478086821E-2</v>
      </c>
      <c r="O13" s="95">
        <f t="shared" si="4"/>
        <v>114.37095158412197</v>
      </c>
    </row>
    <row r="14" spans="1:18" ht="18" customHeight="1" x14ac:dyDescent="0.25">
      <c r="A14" s="63" t="s">
        <v>45</v>
      </c>
      <c r="B14" s="82" t="s">
        <v>45</v>
      </c>
      <c r="C14" s="83" t="s">
        <v>46</v>
      </c>
      <c r="D14" s="84"/>
      <c r="E14" s="85">
        <f>'[2]Д3(вробн)'!L16</f>
        <v>10143.798993349999</v>
      </c>
      <c r="F14" s="86">
        <f t="shared" ref="F14:F19" si="8">E14/$E$40*1000</f>
        <v>59.510235217340309</v>
      </c>
      <c r="G14" s="87">
        <f>'[2]Д3(вробн)'!X16</f>
        <v>378.88457177999993</v>
      </c>
      <c r="H14" s="88">
        <f t="shared" si="5"/>
        <v>16.160577239742903</v>
      </c>
      <c r="I14" s="91">
        <f>'[2]Д3(вробн)'!AB16</f>
        <v>26.707583</v>
      </c>
      <c r="J14" s="86">
        <f t="shared" si="6"/>
        <v>3.3466207411775488</v>
      </c>
      <c r="K14" s="85">
        <f>'[2]Д3(вробн)'!P16</f>
        <v>0</v>
      </c>
      <c r="L14" s="86">
        <f t="shared" si="7"/>
        <v>0</v>
      </c>
      <c r="M14" s="89">
        <f t="shared" si="2"/>
        <v>10549.391148129998</v>
      </c>
      <c r="N14" s="90">
        <f t="shared" si="3"/>
        <v>3.7333115780440164E-2</v>
      </c>
      <c r="O14" s="72">
        <f t="shared" si="4"/>
        <v>52.215187395631048</v>
      </c>
    </row>
    <row r="15" spans="1:18" ht="16.149999999999999" customHeight="1" x14ac:dyDescent="0.25">
      <c r="A15" s="63"/>
      <c r="B15" s="82" t="s">
        <v>47</v>
      </c>
      <c r="C15" s="83" t="s">
        <v>48</v>
      </c>
      <c r="D15" s="84"/>
      <c r="E15" s="85">
        <f>'[2]Д3(вробн)'!L17</f>
        <v>57876.098327040003</v>
      </c>
      <c r="F15" s="86">
        <f>E15/$E$40*1000</f>
        <v>339.53947896266516</v>
      </c>
      <c r="G15" s="87">
        <f>'[2]Д3(вробн)'!X17</f>
        <v>0</v>
      </c>
      <c r="H15" s="88">
        <f t="shared" si="5"/>
        <v>0</v>
      </c>
      <c r="I15" s="91">
        <f>'[2]Д3(вробн)'!AB17</f>
        <v>0</v>
      </c>
      <c r="J15" s="86">
        <f t="shared" si="6"/>
        <v>0</v>
      </c>
      <c r="K15" s="85">
        <f>'[2]Д3(вробн)'!P17</f>
        <v>0</v>
      </c>
      <c r="L15" s="86">
        <f t="shared" si="7"/>
        <v>0</v>
      </c>
      <c r="M15" s="89">
        <f t="shared" si="2"/>
        <v>57876.098327040003</v>
      </c>
      <c r="N15" s="90">
        <f t="shared" si="3"/>
        <v>0.20481704104284085</v>
      </c>
      <c r="O15" s="72">
        <f t="shared" si="4"/>
        <v>286.46310269859021</v>
      </c>
    </row>
    <row r="16" spans="1:18" ht="17.45" customHeight="1" x14ac:dyDescent="0.25">
      <c r="A16" s="63"/>
      <c r="B16" s="82" t="s">
        <v>49</v>
      </c>
      <c r="C16" s="83" t="s">
        <v>50</v>
      </c>
      <c r="D16" s="84"/>
      <c r="E16" s="85">
        <f>'[2]Д4(транспорт)'!K15</f>
        <v>11688.078436149997</v>
      </c>
      <c r="F16" s="86">
        <f>E16/($E$40)*1000</f>
        <v>68.569999999999993</v>
      </c>
      <c r="G16" s="87">
        <f>'[2]Д4(транспорт)'!S15</f>
        <v>1607.6229642999999</v>
      </c>
      <c r="H16" s="88">
        <f>G16/($G$40)*1000</f>
        <v>68.569999999999993</v>
      </c>
      <c r="I16" s="91">
        <f>'[2]Д4(транспорт)'!W15</f>
        <v>547.22034790999987</v>
      </c>
      <c r="J16" s="86">
        <f>I16/($I$40)*1000</f>
        <v>68.569999999999993</v>
      </c>
      <c r="K16" s="85">
        <f>'[2]Д4(транспорт)'!O15</f>
        <v>10.743959019999997</v>
      </c>
      <c r="L16" s="96">
        <f t="shared" si="7"/>
        <v>68.569999999999993</v>
      </c>
      <c r="M16" s="89">
        <f t="shared" si="2"/>
        <v>13853.665707379996</v>
      </c>
      <c r="N16" s="90">
        <f t="shared" si="3"/>
        <v>4.9026574005534972E-2</v>
      </c>
      <c r="O16" s="95">
        <f t="shared" si="4"/>
        <v>68.570000000000007</v>
      </c>
    </row>
    <row r="17" spans="1:16" ht="15.6" customHeight="1" x14ac:dyDescent="0.25">
      <c r="A17" s="63" t="s">
        <v>51</v>
      </c>
      <c r="B17" s="82" t="s">
        <v>52</v>
      </c>
      <c r="C17" s="83" t="s">
        <v>53</v>
      </c>
      <c r="D17" s="84"/>
      <c r="E17" s="91">
        <f>'[2]Д3(вробн)'!L21</f>
        <v>1798.3791825931562</v>
      </c>
      <c r="F17" s="86">
        <f t="shared" si="8"/>
        <v>10.550481948257023</v>
      </c>
      <c r="G17" s="92">
        <f>'[2]Д3(вробн)'!X21</f>
        <v>247.35594377206641</v>
      </c>
      <c r="H17" s="93">
        <f t="shared" si="5"/>
        <v>10.550481948257023</v>
      </c>
      <c r="I17" s="91">
        <f>'[2]Д3(вробн)'!AB21</f>
        <v>84.197730820233062</v>
      </c>
      <c r="J17" s="94">
        <f t="shared" si="6"/>
        <v>10.550481948257023</v>
      </c>
      <c r="K17" s="85">
        <f>'[2]Д3(вробн)'!P21</f>
        <v>1.6531128145445995</v>
      </c>
      <c r="L17" s="86">
        <f t="shared" si="7"/>
        <v>10.550481948257023</v>
      </c>
      <c r="M17" s="89">
        <f t="shared" si="2"/>
        <v>2131.5859700000005</v>
      </c>
      <c r="N17" s="90">
        <f t="shared" si="3"/>
        <v>7.543444422200435E-3</v>
      </c>
      <c r="O17" s="95">
        <f t="shared" si="4"/>
        <v>10.550481948257026</v>
      </c>
    </row>
    <row r="18" spans="1:16" ht="17.25" customHeight="1" x14ac:dyDescent="0.25">
      <c r="A18" s="63" t="s">
        <v>54</v>
      </c>
      <c r="B18" s="82" t="s">
        <v>55</v>
      </c>
      <c r="C18" s="83" t="s">
        <v>56</v>
      </c>
      <c r="D18" s="84"/>
      <c r="E18" s="91">
        <f>'[2]Д3(вробн)'!L22</f>
        <v>905.87421729655637</v>
      </c>
      <c r="F18" s="86">
        <f t="shared" si="8"/>
        <v>5.3144574122558286</v>
      </c>
      <c r="G18" s="92">
        <f>'[2]Д3(вробн)'!X22</f>
        <v>124.59740088576378</v>
      </c>
      <c r="H18" s="93">
        <f t="shared" si="5"/>
        <v>5.3144574122558286</v>
      </c>
      <c r="I18" s="91">
        <f>'[2]Д3(вробн)'!AB22</f>
        <v>42.41183074358338</v>
      </c>
      <c r="J18" s="94">
        <f t="shared" si="6"/>
        <v>5.3144574122558286</v>
      </c>
      <c r="K18" s="85">
        <f>'[2]Д3(вробн)'!P22</f>
        <v>0.83270107409671656</v>
      </c>
      <c r="L18" s="86">
        <f t="shared" si="7"/>
        <v>5.3144574122558286</v>
      </c>
      <c r="M18" s="89">
        <f t="shared" si="2"/>
        <v>1073.7161500000002</v>
      </c>
      <c r="N18" s="90">
        <f t="shared" si="3"/>
        <v>3.7997614061721493E-3</v>
      </c>
      <c r="O18" s="95">
        <f t="shared" si="4"/>
        <v>5.3144574122558295</v>
      </c>
    </row>
    <row r="19" spans="1:16" ht="15.75" x14ac:dyDescent="0.25">
      <c r="A19" s="63" t="s">
        <v>57</v>
      </c>
      <c r="B19" s="74" t="s">
        <v>57</v>
      </c>
      <c r="C19" s="75" t="s">
        <v>58</v>
      </c>
      <c r="D19" s="76"/>
      <c r="E19" s="77">
        <f>'[2]Д3(вробн)'!L23+'[2]Д5(постачанняя)'!K13</f>
        <v>13822.653171275064</v>
      </c>
      <c r="F19" s="78">
        <f t="shared" si="8"/>
        <v>81.092827459373083</v>
      </c>
      <c r="G19" s="79">
        <f>'[2]Д3(вробн)'!X23+'[2]Д5(постачанняя)'!S13</f>
        <v>1901.2205288567277</v>
      </c>
      <c r="H19" s="80">
        <f t="shared" si="5"/>
        <v>81.092827459373083</v>
      </c>
      <c r="I19" s="77">
        <f>'[2]Д3(вробн)'!AB23+'[2]Д5(постачанняя)'!W13</f>
        <v>647.15830910491093</v>
      </c>
      <c r="J19" s="78">
        <f t="shared" si="6"/>
        <v>81.092827459373098</v>
      </c>
      <c r="K19" s="77">
        <f>'[2]Д3(вробн)'!P23+'[2]Д5(постачанняя)'!O13</f>
        <v>12.70611076329933</v>
      </c>
      <c r="L19" s="78">
        <f t="shared" si="7"/>
        <v>81.092827459373083</v>
      </c>
      <c r="M19" s="78">
        <f t="shared" si="2"/>
        <v>16383.738120000002</v>
      </c>
      <c r="N19" s="90">
        <f t="shared" si="3"/>
        <v>5.7980217394706636E-2</v>
      </c>
      <c r="O19" s="95">
        <f t="shared" si="4"/>
        <v>81.092827459373098</v>
      </c>
    </row>
    <row r="20" spans="1:16" ht="15.75" x14ac:dyDescent="0.25">
      <c r="A20" s="63" t="s">
        <v>59</v>
      </c>
      <c r="B20" s="74" t="s">
        <v>59</v>
      </c>
      <c r="C20" s="75" t="s">
        <v>60</v>
      </c>
      <c r="D20" s="76"/>
      <c r="E20" s="77">
        <f>E21+E22+E23</f>
        <v>11489.721418154812</v>
      </c>
      <c r="F20" s="78">
        <f t="shared" ref="F20:L20" si="9">F21+F22+F23</f>
        <v>67.40630651537532</v>
      </c>
      <c r="G20" s="79">
        <f t="shared" si="9"/>
        <v>1580.3401821899097</v>
      </c>
      <c r="H20" s="80">
        <f t="shared" si="9"/>
        <v>67.406306515375334</v>
      </c>
      <c r="I20" s="77">
        <f t="shared" si="9"/>
        <v>537.93353511261171</v>
      </c>
      <c r="J20" s="78">
        <f t="shared" si="9"/>
        <v>67.406306515375334</v>
      </c>
      <c r="K20" s="77">
        <f t="shared" si="9"/>
        <v>10.561624542668099</v>
      </c>
      <c r="L20" s="78">
        <f t="shared" si="9"/>
        <v>67.406306515375334</v>
      </c>
      <c r="M20" s="78">
        <f t="shared" si="2"/>
        <v>13618.556760000001</v>
      </c>
      <c r="N20" s="90">
        <f t="shared" si="3"/>
        <v>4.8194549727516744E-2</v>
      </c>
      <c r="O20" s="95">
        <f t="shared" si="4"/>
        <v>67.406306515375334</v>
      </c>
    </row>
    <row r="21" spans="1:16" ht="16.899999999999999" customHeight="1" x14ac:dyDescent="0.25">
      <c r="A21" s="63" t="s">
        <v>61</v>
      </c>
      <c r="B21" s="82" t="s">
        <v>61</v>
      </c>
      <c r="C21" s="83" t="s">
        <v>62</v>
      </c>
      <c r="D21" s="84"/>
      <c r="E21" s="91">
        <f>'[2]Д3(вробн)'!L25+'[2]Д5(постачанняя)'!K15</f>
        <v>3040.9837007177671</v>
      </c>
      <c r="F21" s="94">
        <f>E21/$E$40*1000</f>
        <v>17.840422058880616</v>
      </c>
      <c r="G21" s="92">
        <f>'[2]Д3(вробн)'!X25+'[2]Д5(постачанняя)'!S15</f>
        <v>418.26851676623545</v>
      </c>
      <c r="H21" s="93">
        <f>G21/$G$40*1000</f>
        <v>17.840422058880613</v>
      </c>
      <c r="I21" s="91">
        <f>'[2]Д3(вробн)'!AB25+'[2]Д5(постачанняя)'!W15</f>
        <v>142.37482814528056</v>
      </c>
      <c r="J21" s="94">
        <f>I21/$I$40*1000</f>
        <v>17.840422058880616</v>
      </c>
      <c r="K21" s="85">
        <f>'[2]Д3(вробн)'!P25+'[2]Д5(постачанняя)'!O15</f>
        <v>2.7953443707177676</v>
      </c>
      <c r="L21" s="94">
        <f>K21/$K$40*1000</f>
        <v>17.840422058880613</v>
      </c>
      <c r="M21" s="97">
        <f t="shared" si="2"/>
        <v>3604.4223900000006</v>
      </c>
      <c r="N21" s="90">
        <f t="shared" si="3"/>
        <v>1.275564783957546E-2</v>
      </c>
      <c r="O21" s="95">
        <f t="shared" si="4"/>
        <v>17.840422058880616</v>
      </c>
    </row>
    <row r="22" spans="1:16" ht="16.899999999999999" customHeight="1" x14ac:dyDescent="0.25">
      <c r="A22" s="63" t="s">
        <v>63</v>
      </c>
      <c r="B22" s="82" t="s">
        <v>63</v>
      </c>
      <c r="C22" s="83" t="s">
        <v>64</v>
      </c>
      <c r="D22" s="84"/>
      <c r="E22" s="91">
        <f>'[2]Д3(вробн)'!L26+'[2]Д5(постачанняя)'!K16</f>
        <v>1383.4096594198022</v>
      </c>
      <c r="F22" s="94">
        <f>E22/$E$40*1000</f>
        <v>8.1159962148288294</v>
      </c>
      <c r="G22" s="92">
        <f>'[2]Д3(вробн)'!X26+'[2]Д5(постачанняя)'!S16</f>
        <v>190.27945009669975</v>
      </c>
      <c r="H22" s="93">
        <f>G22/$G$40*1000</f>
        <v>8.1159962148288294</v>
      </c>
      <c r="I22" s="91">
        <f>'[2]Д3(вробн)'!AB26+'[2]Д5(постачанняя)'!W16</f>
        <v>64.769407500581508</v>
      </c>
      <c r="J22" s="94">
        <f>I22/$I$40*1000</f>
        <v>8.1159962148288294</v>
      </c>
      <c r="K22" s="85">
        <f>'[2]Д3(вробн)'!P26+'[2]Д5(постачанняя)'!O16</f>
        <v>1.2716629829166697</v>
      </c>
      <c r="L22" s="94">
        <f>K22/$K$40*1000</f>
        <v>8.1159962148288294</v>
      </c>
      <c r="M22" s="97">
        <f t="shared" si="2"/>
        <v>1639.7301800000002</v>
      </c>
      <c r="N22" s="90">
        <f t="shared" si="3"/>
        <v>5.802821774171611E-3</v>
      </c>
      <c r="O22" s="95">
        <f t="shared" si="4"/>
        <v>8.1159962148288312</v>
      </c>
    </row>
    <row r="23" spans="1:16" ht="15" customHeight="1" x14ac:dyDescent="0.25">
      <c r="A23" s="63" t="s">
        <v>65</v>
      </c>
      <c r="B23" s="82" t="s">
        <v>66</v>
      </c>
      <c r="C23" s="83" t="s">
        <v>67</v>
      </c>
      <c r="D23" s="84"/>
      <c r="E23" s="91">
        <f>'[2]Д3(вробн)'!L27+'[2]Д5(постачанняя)'!K12+'[2]Д5(постачанняя)'!K17</f>
        <v>7065.3280580172432</v>
      </c>
      <c r="F23" s="94">
        <f>E23/$E$40*1000</f>
        <v>41.449888241665882</v>
      </c>
      <c r="G23" s="92">
        <f>'[2]Д3(вробн)'!X27+'[2]Д5(постачанняя)'!S17+'[2]Д5(постачанняя)'!S12</f>
        <v>971.79221532697431</v>
      </c>
      <c r="H23" s="93">
        <f>G23/$G$40*1000</f>
        <v>41.449888241665889</v>
      </c>
      <c r="I23" s="91">
        <f>'[2]Д3(вробн)'!AB27+'[2]Д5(постачанняя)'!W17</f>
        <v>330.78929946674964</v>
      </c>
      <c r="J23" s="94">
        <f>I23/$I$40*1000</f>
        <v>41.449888241665889</v>
      </c>
      <c r="K23" s="85">
        <f>'[2]Д3(вробн)'!P27+'[2]Д5(постачанняя)'!O17</f>
        <v>6.4946171890336606</v>
      </c>
      <c r="L23" s="94">
        <f>K23/$K$40*1000</f>
        <v>41.449888241665889</v>
      </c>
      <c r="M23" s="97">
        <f t="shared" si="2"/>
        <v>8374.4041900000011</v>
      </c>
      <c r="N23" s="90">
        <f t="shared" si="3"/>
        <v>2.9636080113769676E-2</v>
      </c>
      <c r="O23" s="95">
        <f t="shared" si="4"/>
        <v>41.449888241665896</v>
      </c>
    </row>
    <row r="24" spans="1:16" ht="15.75" x14ac:dyDescent="0.25">
      <c r="A24" s="63" t="s">
        <v>68</v>
      </c>
      <c r="B24" s="74" t="s">
        <v>68</v>
      </c>
      <c r="C24" s="75" t="s">
        <v>69</v>
      </c>
      <c r="D24" s="76"/>
      <c r="E24" s="77">
        <f t="shared" ref="E24:L24" si="10">E25+E26+E27</f>
        <v>6820.9557411112182</v>
      </c>
      <c r="F24" s="78">
        <f t="shared" si="10"/>
        <v>40.016238573605847</v>
      </c>
      <c r="G24" s="79">
        <f t="shared" si="10"/>
        <v>938.18031319580336</v>
      </c>
      <c r="H24" s="80">
        <f t="shared" si="10"/>
        <v>40.016238573605847</v>
      </c>
      <c r="I24" s="77">
        <f t="shared" si="10"/>
        <v>319.34811133583423</v>
      </c>
      <c r="J24" s="78">
        <f t="shared" si="10"/>
        <v>40.016238573605847</v>
      </c>
      <c r="K24" s="77">
        <f t="shared" si="10"/>
        <v>6.269984357144005</v>
      </c>
      <c r="L24" s="78">
        <f t="shared" si="10"/>
        <v>40.016238573605847</v>
      </c>
      <c r="M24" s="78">
        <f>E24+G24+I24+K24</f>
        <v>8084.7541499999988</v>
      </c>
      <c r="N24" s="90">
        <f t="shared" si="3"/>
        <v>2.8611041007029756E-2</v>
      </c>
      <c r="O24" s="95">
        <f t="shared" si="4"/>
        <v>40.016238573605847</v>
      </c>
      <c r="P24" s="73">
        <f>M24-'[2]4_Структура пл.соб.'!C7/1000</f>
        <v>-1.6050007616286166E-6</v>
      </c>
    </row>
    <row r="25" spans="1:16" ht="15.6" customHeight="1" x14ac:dyDescent="0.25">
      <c r="A25" s="63" t="s">
        <v>70</v>
      </c>
      <c r="B25" s="82" t="s">
        <v>70</v>
      </c>
      <c r="C25" s="83" t="s">
        <v>71</v>
      </c>
      <c r="D25" s="84"/>
      <c r="E25" s="91">
        <f>'[2]Д3(вробн)'!L29+'[2]Д5(постачанняя)'!K19+'[2]Д4(транспорт)'!K24</f>
        <v>2298.8834501521192</v>
      </c>
      <c r="F25" s="94">
        <f>E25/$E$40*1000</f>
        <v>13.486771075165278</v>
      </c>
      <c r="G25" s="92">
        <f>'[2]Д3(вробн)'!X29+'[2]Д5(постачанняя)'!S19+'[2]Д4(транспорт)'!S24</f>
        <v>316.19721298953925</v>
      </c>
      <c r="H25" s="93">
        <f>G25/$G$40*1000</f>
        <v>13.486771075165279</v>
      </c>
      <c r="I25" s="91">
        <f>'[2]Д3(вробн)'!AB29+'[2]Д5(постачанняя)'!W19+'[2]Д4(транспорт)'!W24</f>
        <v>107.63067755482672</v>
      </c>
      <c r="J25" s="94">
        <f>I25/$I$40*1000</f>
        <v>13.486771075165279</v>
      </c>
      <c r="K25" s="91">
        <f>'[2]Д3(вробн)'!P29+'[2]Д5(постачанняя)'!O19+'[2]Д4(транспорт)'!O24</f>
        <v>2.113188212683347</v>
      </c>
      <c r="L25" s="94">
        <f>K25/$K$40*1000</f>
        <v>13.486771075165281</v>
      </c>
      <c r="M25" s="97">
        <f t="shared" si="2"/>
        <v>2724.8245289091687</v>
      </c>
      <c r="N25" s="90">
        <f t="shared" si="3"/>
        <v>9.6428493541242406E-3</v>
      </c>
      <c r="O25" s="95">
        <f t="shared" si="4"/>
        <v>13.486771075165281</v>
      </c>
    </row>
    <row r="26" spans="1:16" ht="17.45" customHeight="1" x14ac:dyDescent="0.25">
      <c r="A26" s="63" t="s">
        <v>72</v>
      </c>
      <c r="B26" s="82" t="s">
        <v>72</v>
      </c>
      <c r="C26" s="83" t="s">
        <v>73</v>
      </c>
      <c r="D26" s="84"/>
      <c r="E26" s="91">
        <f>'[2]Д3(вробн)'!L30+'[2]Д5(постачанняя)'!K20+'[2]Д4(транспорт)'!K25</f>
        <v>505.75435903346636</v>
      </c>
      <c r="F26" s="94">
        <f>E26/$E$40*1000</f>
        <v>2.9670896365363619</v>
      </c>
      <c r="G26" s="92">
        <f>'[2]Д3(вробн)'!X30+'[2]Д5(постачанняя)'!S20+'[2]Д4(транспорт)'!S25</f>
        <v>69.563386857698632</v>
      </c>
      <c r="H26" s="93">
        <f>G26/$G$40*1000</f>
        <v>2.9670896365363615</v>
      </c>
      <c r="I26" s="91">
        <f>'[2]Д3(вробн)'!AB30+'[2]Д5(постачанняя)'!W20+'[2]Д4(транспорт)'!W25</f>
        <v>23.678749062061875</v>
      </c>
      <c r="J26" s="94">
        <f>I26/$I$40*1000</f>
        <v>2.9670896365363615</v>
      </c>
      <c r="K26" s="91">
        <f>'[2]Д3(вробн)'!P30+'[2]Д5(постачанняя)'!O20+'[2]Д4(транспорт)'!O25</f>
        <v>0.46490140679033626</v>
      </c>
      <c r="L26" s="94">
        <f>K26/$K$40*1000</f>
        <v>2.9670896365363615</v>
      </c>
      <c r="M26" s="97">
        <f t="shared" si="2"/>
        <v>599.46139636001726</v>
      </c>
      <c r="N26" s="90">
        <f t="shared" si="3"/>
        <v>2.1214268579073333E-3</v>
      </c>
      <c r="O26" s="95">
        <f t="shared" si="4"/>
        <v>2.9670896365363628</v>
      </c>
    </row>
    <row r="27" spans="1:16" ht="16.149999999999999" customHeight="1" x14ac:dyDescent="0.25">
      <c r="A27" s="63" t="s">
        <v>74</v>
      </c>
      <c r="B27" s="82" t="s">
        <v>74</v>
      </c>
      <c r="C27" s="83" t="s">
        <v>75</v>
      </c>
      <c r="D27" s="84"/>
      <c r="E27" s="91">
        <f>'[2]Д3(вробн)'!L31+'[2]Д5(постачанняя)'!K21+'[2]Д4(транспорт)'!K26</f>
        <v>4016.3179319256328</v>
      </c>
      <c r="F27" s="94">
        <f>E27/$E$40*1000</f>
        <v>23.562377861904203</v>
      </c>
      <c r="G27" s="92">
        <f>'[2]Д3(вробн)'!X31+'[2]Д5(постачанняя)'!S21+'[2]Д4(транспорт)'!S26</f>
        <v>552.41971334856555</v>
      </c>
      <c r="H27" s="93">
        <f>G27/$G$40*1000</f>
        <v>23.562377861904206</v>
      </c>
      <c r="I27" s="91">
        <f>'[2]Д3(вробн)'!AB31+'[2]Д5(постачанняя)'!W21+'[2]Д4(транспорт)'!W26</f>
        <v>188.0386847189456</v>
      </c>
      <c r="J27" s="94">
        <f>I27/$I$40*1000</f>
        <v>23.562377861904206</v>
      </c>
      <c r="K27" s="91">
        <f>'[2]Д3(вробн)'!P31+'[2]Д5(постачанняя)'!O21+'[2]Д4(транспорт)'!O26</f>
        <v>3.6918947376703217</v>
      </c>
      <c r="L27" s="94">
        <f>K27/$K$40*1000</f>
        <v>23.562377861904203</v>
      </c>
      <c r="M27" s="98">
        <f t="shared" si="2"/>
        <v>4760.4682247308147</v>
      </c>
      <c r="N27" s="90">
        <f t="shared" si="3"/>
        <v>1.6846764794998186E-2</v>
      </c>
      <c r="O27" s="95">
        <f t="shared" si="4"/>
        <v>23.56237786190421</v>
      </c>
    </row>
    <row r="28" spans="1:16" ht="15.75" x14ac:dyDescent="0.25">
      <c r="A28" s="63">
        <v>2</v>
      </c>
      <c r="B28" s="64">
        <v>2</v>
      </c>
      <c r="C28" s="65" t="s">
        <v>76</v>
      </c>
      <c r="D28" s="66"/>
      <c r="E28" s="99">
        <f t="shared" ref="E28:L28" si="11">E29+E30+E31</f>
        <v>355.65127094809981</v>
      </c>
      <c r="F28" s="68">
        <f t="shared" si="11"/>
        <v>2.0864856256854636</v>
      </c>
      <c r="G28" s="100">
        <f t="shared" si="11"/>
        <v>48.917634629339432</v>
      </c>
      <c r="H28" s="70">
        <f t="shared" si="11"/>
        <v>2.0864856256854636</v>
      </c>
      <c r="I28" s="99">
        <f t="shared" si="11"/>
        <v>16.651121335814686</v>
      </c>
      <c r="J28" s="68">
        <f t="shared" si="11"/>
        <v>2.0864856256854631</v>
      </c>
      <c r="K28" s="99">
        <f t="shared" si="11"/>
        <v>0.3269230867461525</v>
      </c>
      <c r="L28" s="68">
        <f t="shared" si="11"/>
        <v>2.0864856256854631</v>
      </c>
      <c r="M28" s="68">
        <f>E28+G28+I28+K28</f>
        <v>421.54695000000009</v>
      </c>
      <c r="N28" s="101">
        <f t="shared" si="3"/>
        <v>1.4918075242694084E-3</v>
      </c>
      <c r="O28" s="95">
        <f t="shared" si="4"/>
        <v>2.086485625685464</v>
      </c>
      <c r="P28" s="72">
        <f>M28-'[2]4_Структура пл.соб.'!E7/1000</f>
        <v>1.0000000088439265E-5</v>
      </c>
    </row>
    <row r="29" spans="1:16" ht="15.75" x14ac:dyDescent="0.25">
      <c r="A29" s="63" t="s">
        <v>77</v>
      </c>
      <c r="B29" s="82" t="s">
        <v>77</v>
      </c>
      <c r="C29" s="83" t="s">
        <v>71</v>
      </c>
      <c r="D29" s="84"/>
      <c r="E29" s="91">
        <f>'[2]Д3(вробн)'!L33+'[2]Д5(постачанняя)'!K23+'[2]Д4(транспорт)'!K28</f>
        <v>255.0507734325767</v>
      </c>
      <c r="F29" s="94">
        <f>E29/$E$40*1000</f>
        <v>1.4962965580536034</v>
      </c>
      <c r="G29" s="92">
        <f>'[2]Д3(вробн)'!X33+'[2]Д5(постачанняя)'!S23+'[2]Д4(транспорт)'!S28</f>
        <v>35.080657840601148</v>
      </c>
      <c r="H29" s="93">
        <f>G29/$G$40*1000</f>
        <v>1.4962965580536032</v>
      </c>
      <c r="I29" s="91">
        <f>'[2]Д3(вробн)'!AB33+'[2]Д5(постачанняя)'!W23+'[2]Д4(транспорт)'!W28</f>
        <v>11.94113931857413</v>
      </c>
      <c r="J29" s="94">
        <f>I29/$I$40*1000</f>
        <v>1.4962965580536032</v>
      </c>
      <c r="K29" s="91">
        <f>'[2]Д3(вробн)'!P33+'[2]Д5(постачанняя)'!O23+'[2]Д4(транспорт)'!O28</f>
        <v>0.23444872249518683</v>
      </c>
      <c r="L29" s="94">
        <f>K29/$K$40*1000</f>
        <v>1.4962965580536032</v>
      </c>
      <c r="M29" s="97">
        <f t="shared" si="2"/>
        <v>302.30701931424716</v>
      </c>
      <c r="N29" s="90">
        <f t="shared" si="3"/>
        <v>1.0698307413977285E-3</v>
      </c>
      <c r="O29" s="95">
        <f t="shared" si="4"/>
        <v>1.4962965580536034</v>
      </c>
    </row>
    <row r="30" spans="1:16" ht="15.75" x14ac:dyDescent="0.25">
      <c r="A30" s="63" t="s">
        <v>78</v>
      </c>
      <c r="B30" s="82" t="s">
        <v>78</v>
      </c>
      <c r="C30" s="83" t="s">
        <v>79</v>
      </c>
      <c r="D30" s="84"/>
      <c r="E30" s="91">
        <f>'[2]Д3(вробн)'!L34+'[2]Д5(постачанняя)'!K24+'[2]Д4(транспорт)'!K29</f>
        <v>56.111170155166867</v>
      </c>
      <c r="F30" s="94">
        <f>E30/$E$40*1000</f>
        <v>0.32918524277179262</v>
      </c>
      <c r="G30" s="92">
        <f>'[2]Д3(вробн)'!X34+'[2]Д5(постачанняя)'!S24+'[2]Д4(транспорт)'!S29</f>
        <v>7.7177447249322526</v>
      </c>
      <c r="H30" s="93">
        <f>G30/$G$40*1000</f>
        <v>0.32918524277179267</v>
      </c>
      <c r="I30" s="91">
        <f>'[2]Д3(вробн)'!AB34+'[2]Д5(постачанняя)'!W24+'[2]Д4(транспорт)'!W29</f>
        <v>2.6270506500863084</v>
      </c>
      <c r="J30" s="94">
        <f>I30/$I$40*1000</f>
        <v>0.32918524277179262</v>
      </c>
      <c r="K30" s="102">
        <f>'[2]Д3(вробн)'!P34+'[2]Д5(постачанняя)'!O24+'[2]Д4(транспорт)'!O29</f>
        <v>5.1578718948941095E-2</v>
      </c>
      <c r="L30" s="94">
        <f>K30/$K$40*1000</f>
        <v>0.32918524277179262</v>
      </c>
      <c r="M30" s="97">
        <f t="shared" si="2"/>
        <v>66.507544249134369</v>
      </c>
      <c r="N30" s="90">
        <f t="shared" si="3"/>
        <v>2.3536276310750026E-4</v>
      </c>
      <c r="O30" s="95">
        <f t="shared" si="4"/>
        <v>0.32918524277179273</v>
      </c>
    </row>
    <row r="31" spans="1:16" ht="15.75" x14ac:dyDescent="0.25">
      <c r="A31" s="63" t="s">
        <v>80</v>
      </c>
      <c r="B31" s="82" t="s">
        <v>80</v>
      </c>
      <c r="C31" s="83" t="s">
        <v>75</v>
      </c>
      <c r="D31" s="84"/>
      <c r="E31" s="91">
        <f>'[2]Д3(вробн)'!L35+'[2]Д5(постачанняя)'!K25+'[2]Д4(транспорт)'!K30</f>
        <v>44.489327360356221</v>
      </c>
      <c r="F31" s="94">
        <f>E31/$E$40*1000</f>
        <v>0.26100382486006751</v>
      </c>
      <c r="G31" s="92">
        <f>'[2]Д3(вробн)'!X35+'[2]Д5(постачанняя)'!S25+'[2]Д4(транспорт)'!S30</f>
        <v>6.1192320638060345</v>
      </c>
      <c r="H31" s="93">
        <f>G31/$G$40*1000</f>
        <v>0.26100382486006751</v>
      </c>
      <c r="I31" s="91">
        <f>'[2]Д3(вробн)'!AB35+'[2]Д5(постачанняя)'!W25+'[2]Д4(транспорт)'!W30</f>
        <v>2.0829313671542486</v>
      </c>
      <c r="J31" s="94">
        <f>I31/$I$40*1000</f>
        <v>0.26100382486006751</v>
      </c>
      <c r="K31" s="102">
        <f>'[2]Д3(вробн)'!P35+'[2]Д5(постачанняя)'!O25+'[2]Д4(транспорт)'!O30</f>
        <v>4.0895645302024532E-2</v>
      </c>
      <c r="L31" s="94">
        <f>K31/$K$40*1000</f>
        <v>0.26100382486006751</v>
      </c>
      <c r="M31" s="97">
        <f t="shared" si="2"/>
        <v>52.732386436618519</v>
      </c>
      <c r="N31" s="90">
        <f t="shared" si="3"/>
        <v>1.8661401976417951E-4</v>
      </c>
      <c r="O31" s="95">
        <f t="shared" si="4"/>
        <v>0.26100382486006751</v>
      </c>
    </row>
    <row r="32" spans="1:16" s="105" customFormat="1" ht="15.75" x14ac:dyDescent="0.25">
      <c r="A32" s="103">
        <v>6</v>
      </c>
      <c r="B32" s="64">
        <v>6</v>
      </c>
      <c r="C32" s="65" t="s">
        <v>81</v>
      </c>
      <c r="D32" s="66"/>
      <c r="E32" s="99">
        <f>E10+E28</f>
        <v>228424.06305409016</v>
      </c>
      <c r="F32" s="68">
        <f>F10+F28</f>
        <v>1340.0866608812987</v>
      </c>
      <c r="G32" s="69">
        <f t="shared" ref="G32:L32" si="12">G10+G28</f>
        <v>32486.52017562983</v>
      </c>
      <c r="H32" s="70">
        <f t="shared" si="12"/>
        <v>1385.6487111160993</v>
      </c>
      <c r="I32" s="67">
        <f t="shared" si="12"/>
        <v>11013.147715314866</v>
      </c>
      <c r="J32" s="68">
        <f t="shared" si="12"/>
        <v>1380.013630201013</v>
      </c>
      <c r="K32" s="67">
        <f t="shared" si="12"/>
        <v>216.51277921840867</v>
      </c>
      <c r="L32" s="68">
        <f t="shared" si="12"/>
        <v>1381.825939895132</v>
      </c>
      <c r="M32" s="68">
        <f t="shared" si="2"/>
        <v>272140.24372425326</v>
      </c>
      <c r="N32" s="90">
        <f t="shared" si="3"/>
        <v>0.96307389543288502</v>
      </c>
      <c r="O32" s="72">
        <f t="shared" si="4"/>
        <v>1346.9833115888825</v>
      </c>
      <c r="P32" s="104">
        <f>M32-'[2]4_Структура пл.соб.'!F7/1000</f>
        <v>8.3948834799230099E-6</v>
      </c>
    </row>
    <row r="33" spans="1:18" s="105" customFormat="1" ht="15.6" customHeight="1" x14ac:dyDescent="0.25">
      <c r="A33" s="103">
        <v>7</v>
      </c>
      <c r="B33" s="64">
        <v>7</v>
      </c>
      <c r="C33" s="65" t="s">
        <v>82</v>
      </c>
      <c r="D33" s="66"/>
      <c r="E33" s="106">
        <f>E34+E35+E36+E37</f>
        <v>5400.4973341817067</v>
      </c>
      <c r="F33" s="107">
        <f t="shared" ref="F33:L33" si="13">F34+F35+F36+F37</f>
        <v>31.682889897410611</v>
      </c>
      <c r="G33" s="108">
        <f>G34+G35+G36+G37</f>
        <v>3761.5050983121946</v>
      </c>
      <c r="H33" s="109">
        <f t="shared" si="13"/>
        <v>160.43961197305669</v>
      </c>
      <c r="I33" s="106">
        <f t="shared" si="13"/>
        <v>1260.0186155841466</v>
      </c>
      <c r="J33" s="107">
        <f t="shared" si="13"/>
        <v>157.88790895768159</v>
      </c>
      <c r="K33" s="106">
        <f t="shared" si="13"/>
        <v>12.359059551219513</v>
      </c>
      <c r="L33" s="107">
        <f t="shared" si="13"/>
        <v>78.877880290641883</v>
      </c>
      <c r="M33" s="68">
        <f t="shared" si="2"/>
        <v>10434.380107629268</v>
      </c>
      <c r="N33" s="90">
        <f t="shared" si="3"/>
        <v>3.6926104567114953E-2</v>
      </c>
      <c r="O33" s="72">
        <f t="shared" si="4"/>
        <v>51.645929611178083</v>
      </c>
      <c r="P33" s="110"/>
    </row>
    <row r="34" spans="1:18" ht="15.75" x14ac:dyDescent="0.25">
      <c r="A34" s="63" t="s">
        <v>83</v>
      </c>
      <c r="B34" s="82" t="s">
        <v>83</v>
      </c>
      <c r="C34" s="83" t="s">
        <v>84</v>
      </c>
      <c r="D34" s="84"/>
      <c r="E34" s="111">
        <f>'[2]Д3(вробн)'!L41</f>
        <v>972.08952015270722</v>
      </c>
      <c r="F34" s="112">
        <f>E34/$E$40*1000</f>
        <v>5.7029201815339103</v>
      </c>
      <c r="G34" s="92">
        <f>'[2]Д3(вробн)'!X41</f>
        <v>677.07091769619501</v>
      </c>
      <c r="H34" s="113">
        <f>G34/$G$40*1000</f>
        <v>28.879130155150204</v>
      </c>
      <c r="I34" s="111">
        <f>'[2]Д3(вробн)'!AB41</f>
        <v>226.80335080514635</v>
      </c>
      <c r="J34" s="112">
        <f>I34/$I$40*1000</f>
        <v>28.419823612382686</v>
      </c>
      <c r="K34" s="111">
        <f>'[2]Д3(вробн)'!P41</f>
        <v>2.2246307192195123</v>
      </c>
      <c r="L34" s="94">
        <f>K34/$K$40*1000</f>
        <v>14.198018452315539</v>
      </c>
      <c r="M34" s="97">
        <f t="shared" si="2"/>
        <v>1878.1884193732681</v>
      </c>
      <c r="N34" s="90">
        <f t="shared" si="3"/>
        <v>6.6466988220806912E-3</v>
      </c>
      <c r="O34" s="72">
        <f t="shared" si="4"/>
        <v>9.2962673300120553</v>
      </c>
    </row>
    <row r="35" spans="1:18" ht="15.75" x14ac:dyDescent="0.25">
      <c r="A35" s="63" t="s">
        <v>85</v>
      </c>
      <c r="B35" s="82" t="s">
        <v>85</v>
      </c>
      <c r="C35" s="83" t="s">
        <v>86</v>
      </c>
      <c r="D35" s="84"/>
      <c r="E35" s="111">
        <f>[1]Д3!L38+[1]Д4!K38+[1]Д5!K33</f>
        <v>0</v>
      </c>
      <c r="F35" s="114">
        <f>E35/$E$40*1000</f>
        <v>0</v>
      </c>
      <c r="G35" s="115">
        <f>[1]Д3!P38+[1]Д4!O38+[1]Д5!O33</f>
        <v>0</v>
      </c>
      <c r="H35" s="116">
        <f>G35/$G$40*1000</f>
        <v>0</v>
      </c>
      <c r="I35" s="111">
        <f>'[2]Д3(вробн)'!AB42</f>
        <v>0</v>
      </c>
      <c r="J35" s="114">
        <f>I35/$I$40*1000</f>
        <v>0</v>
      </c>
      <c r="K35" s="111">
        <f>[1]Д3!X38+[1]Д4!W38+[1]Д5!W33</f>
        <v>0</v>
      </c>
      <c r="L35" s="94">
        <f>K35/$K$40*1000</f>
        <v>0</v>
      </c>
      <c r="M35" s="97">
        <f t="shared" si="2"/>
        <v>0</v>
      </c>
      <c r="N35" s="90">
        <f t="shared" si="3"/>
        <v>0</v>
      </c>
      <c r="O35" s="72">
        <f t="shared" si="4"/>
        <v>0</v>
      </c>
    </row>
    <row r="36" spans="1:18" ht="15.75" x14ac:dyDescent="0.25">
      <c r="A36" s="63" t="s">
        <v>87</v>
      </c>
      <c r="B36" s="82" t="s">
        <v>87</v>
      </c>
      <c r="C36" s="83" t="s">
        <v>88</v>
      </c>
      <c r="D36" s="84"/>
      <c r="E36" s="111">
        <f>[1]Д3!L39+[1]Д4!K39+[1]Д5!K34</f>
        <v>0</v>
      </c>
      <c r="F36" s="114">
        <f>E36/$E$40*1000</f>
        <v>0</v>
      </c>
      <c r="G36" s="115">
        <f>[1]Д3!P39+[1]Д4!O39+[1]Д5!O34</f>
        <v>0</v>
      </c>
      <c r="H36" s="116">
        <f>G36/$G$40*1000</f>
        <v>0</v>
      </c>
      <c r="I36" s="111">
        <f>'[2]Д3(вробн)'!AB43</f>
        <v>0</v>
      </c>
      <c r="J36" s="114">
        <f>I36/$I$40*1000</f>
        <v>0</v>
      </c>
      <c r="K36" s="111">
        <f>[1]Д3!X39+[1]Д4!W39+[1]Д5!W34</f>
        <v>0</v>
      </c>
      <c r="L36" s="94">
        <f>K36/$K$40*1000</f>
        <v>0</v>
      </c>
      <c r="M36" s="97">
        <f t="shared" si="2"/>
        <v>0</v>
      </c>
      <c r="N36" s="90">
        <f t="shared" si="3"/>
        <v>0</v>
      </c>
      <c r="O36" s="72">
        <f t="shared" si="4"/>
        <v>0</v>
      </c>
    </row>
    <row r="37" spans="1:18" ht="16.899999999999999" customHeight="1" x14ac:dyDescent="0.25">
      <c r="A37" s="63" t="s">
        <v>89</v>
      </c>
      <c r="B37" s="82" t="s">
        <v>89</v>
      </c>
      <c r="C37" s="83" t="s">
        <v>90</v>
      </c>
      <c r="D37" s="84"/>
      <c r="E37" s="111">
        <f>'[2]Д3(вробн)'!L44</f>
        <v>4428.4078140289994</v>
      </c>
      <c r="F37" s="112">
        <f>E37/$E$40*1000</f>
        <v>25.979969715876702</v>
      </c>
      <c r="G37" s="92">
        <f>'[2]Д3(вробн)'!X44</f>
        <v>3084.4341806159996</v>
      </c>
      <c r="H37" s="117">
        <f>G37/$G$40*1000</f>
        <v>131.56048181790649</v>
      </c>
      <c r="I37" s="111">
        <f>'[2]Д3(вробн)'!AB44</f>
        <v>1033.2152647790001</v>
      </c>
      <c r="J37" s="112">
        <f>I37/$I$40*1000</f>
        <v>129.4680853452989</v>
      </c>
      <c r="K37" s="111">
        <f>'[2]Д3(вробн)'!P44</f>
        <v>10.134428832000001</v>
      </c>
      <c r="L37" s="94">
        <f>K37/$K$40*1000</f>
        <v>64.679861838326346</v>
      </c>
      <c r="M37" s="97">
        <f t="shared" si="2"/>
        <v>8556.1916882559999</v>
      </c>
      <c r="N37" s="90">
        <f t="shared" si="3"/>
        <v>3.0279405745034262E-2</v>
      </c>
      <c r="O37" s="72">
        <f t="shared" si="4"/>
        <v>42.349662281166033</v>
      </c>
    </row>
    <row r="38" spans="1:18" s="105" customFormat="1" ht="31.5" x14ac:dyDescent="0.25">
      <c r="A38" s="103">
        <v>8</v>
      </c>
      <c r="B38" s="118">
        <v>8</v>
      </c>
      <c r="C38" s="119" t="s">
        <v>91</v>
      </c>
      <c r="D38" s="120"/>
      <c r="E38" s="121">
        <f>E32+E33</f>
        <v>233824.56038827187</v>
      </c>
      <c r="F38" s="122">
        <f>F32+F33</f>
        <v>1371.7695507787093</v>
      </c>
      <c r="G38" s="123">
        <f t="shared" ref="G38:L38" si="14">G32+G33</f>
        <v>36248.025273942025</v>
      </c>
      <c r="H38" s="124">
        <f t="shared" si="14"/>
        <v>1546.0883230891559</v>
      </c>
      <c r="I38" s="125">
        <f t="shared" si="14"/>
        <v>12273.166330899014</v>
      </c>
      <c r="J38" s="122">
        <f t="shared" si="14"/>
        <v>1537.9015391586945</v>
      </c>
      <c r="K38" s="125">
        <f>K32+K33</f>
        <v>228.87183876962817</v>
      </c>
      <c r="L38" s="122">
        <f t="shared" si="14"/>
        <v>1460.703820185774</v>
      </c>
      <c r="M38" s="126">
        <f>E38+G38+I38+K38</f>
        <v>282574.62383188255</v>
      </c>
      <c r="N38" s="90">
        <f t="shared" si="3"/>
        <v>1</v>
      </c>
      <c r="O38" s="72">
        <f t="shared" si="4"/>
        <v>1398.6292412000607</v>
      </c>
      <c r="P38" s="104">
        <f>'[2]4_Структура пл.соб.'!F7/1000-[2]структураТАРИФА!M38</f>
        <v>-10434.380116024171</v>
      </c>
      <c r="Q38" s="105" t="s">
        <v>92</v>
      </c>
    </row>
    <row r="39" spans="1:18" s="105" customFormat="1" ht="34.15" hidden="1" customHeight="1" x14ac:dyDescent="0.25">
      <c r="A39" s="103">
        <v>9</v>
      </c>
      <c r="B39" s="127">
        <v>9</v>
      </c>
      <c r="C39" s="128" t="s">
        <v>93</v>
      </c>
      <c r="D39" s="129"/>
      <c r="E39" s="130"/>
      <c r="F39" s="131"/>
      <c r="G39" s="132"/>
      <c r="H39" s="133"/>
      <c r="I39" s="130"/>
      <c r="J39" s="131"/>
      <c r="K39" s="134"/>
      <c r="L39" s="131"/>
      <c r="M39" s="135">
        <f t="shared" si="2"/>
        <v>0</v>
      </c>
      <c r="N39" s="90">
        <f t="shared" si="3"/>
        <v>0</v>
      </c>
      <c r="O39" s="72">
        <f t="shared" si="4"/>
        <v>0</v>
      </c>
    </row>
    <row r="40" spans="1:18" s="105" customFormat="1" ht="30.75" customHeight="1" x14ac:dyDescent="0.2">
      <c r="A40" s="103">
        <v>10</v>
      </c>
      <c r="B40" s="136">
        <v>10</v>
      </c>
      <c r="C40" s="137" t="s">
        <v>94</v>
      </c>
      <c r="D40" s="138"/>
      <c r="E40" s="139">
        <f>'[2]Д3(вробн)'!L48</f>
        <v>170454.69499999998</v>
      </c>
      <c r="F40" s="140"/>
      <c r="G40" s="141">
        <f>'[2]Д3(вробн)'!X48</f>
        <v>23444.99</v>
      </c>
      <c r="H40" s="142"/>
      <c r="I40" s="139">
        <f>'[2]Д3(вробн)'!AB48</f>
        <v>7980.4629999999988</v>
      </c>
      <c r="J40" s="143"/>
      <c r="K40" s="139">
        <f>[2]Д2!F34</f>
        <v>156.68599999999998</v>
      </c>
      <c r="L40" s="144"/>
      <c r="M40" s="145">
        <f>E40+G40+I40+K40</f>
        <v>202036.83399999994</v>
      </c>
      <c r="N40" s="90"/>
    </row>
    <row r="41" spans="1:18" s="105" customFormat="1" ht="16.899999999999999" hidden="1" customHeight="1" x14ac:dyDescent="0.2">
      <c r="A41" s="146"/>
      <c r="B41" s="136"/>
      <c r="C41" s="137"/>
      <c r="D41" s="138"/>
      <c r="E41" s="147"/>
      <c r="F41" s="148"/>
      <c r="G41" s="149"/>
      <c r="H41" s="150"/>
      <c r="I41" s="147"/>
      <c r="J41" s="148"/>
      <c r="K41" s="147"/>
      <c r="L41" s="151"/>
      <c r="M41" s="152"/>
      <c r="N41" s="90"/>
    </row>
    <row r="42" spans="1:18" ht="17.25" customHeight="1" thickBot="1" x14ac:dyDescent="0.3">
      <c r="B42" s="153" t="s">
        <v>95</v>
      </c>
      <c r="C42" s="154" t="s">
        <v>96</v>
      </c>
      <c r="D42" s="155"/>
      <c r="E42" s="156">
        <f>'[2]5_Розрахунок тарифів'!E22</f>
        <v>2.3642418675106689</v>
      </c>
      <c r="F42" s="157"/>
      <c r="G42" s="158">
        <f>'[2]5_Розрахунок тарифів'!G22</f>
        <v>11.578664251951299</v>
      </c>
      <c r="H42" s="159"/>
      <c r="I42" s="156">
        <f>'[2]5_Розрахунок тарифів'!H22</f>
        <v>11.441039826431091</v>
      </c>
      <c r="J42" s="160"/>
      <c r="K42" s="156">
        <f>'[2]5_Розрахунок тарифів'!F22</f>
        <v>5.708235434477996</v>
      </c>
      <c r="L42" s="157"/>
      <c r="M42" s="161"/>
      <c r="N42" s="62"/>
      <c r="P42" s="73">
        <f>M32+'[3]расчет послуги'!$C$4</f>
        <v>281600.4803901522</v>
      </c>
      <c r="R42" s="73">
        <f>'[1]1_Структура по елементах'!AA2/1000+[2]структураТАРИФА!M33</f>
        <v>309405.29959099222</v>
      </c>
    </row>
    <row r="43" spans="1:18" hidden="1" x14ac:dyDescent="0.25">
      <c r="B43" s="162"/>
      <c r="C43" s="163" t="s">
        <v>97</v>
      </c>
      <c r="D43" s="164"/>
      <c r="E43" s="165">
        <f>E19+E25+E29+E21+E26+E30</f>
        <v>19979.436624766164</v>
      </c>
      <c r="F43" s="165"/>
      <c r="G43" s="165">
        <f>G19+G25+G29+G21+G26+G30</f>
        <v>2748.0480480357346</v>
      </c>
      <c r="H43" s="165"/>
      <c r="I43" s="165">
        <f>I19+I25+I29+I21+I26+I30</f>
        <v>935.41075383574071</v>
      </c>
      <c r="J43" s="165"/>
      <c r="K43" s="165">
        <f>K19+K25+K29+K21+K26+K30</f>
        <v>18.365572194934913</v>
      </c>
      <c r="L43" s="165"/>
      <c r="M43" s="165">
        <f>M19+M25+M29+M21+M26+M30</f>
        <v>23681.260998832571</v>
      </c>
      <c r="N43" s="166">
        <f>M43/$M$38%/100</f>
        <v>8.3805334950818919E-2</v>
      </c>
      <c r="O43" s="167">
        <v>2.3099999999999999E-2</v>
      </c>
      <c r="P43" s="19" t="s">
        <v>98</v>
      </c>
    </row>
    <row r="44" spans="1:18" hidden="1" x14ac:dyDescent="0.25">
      <c r="C44" s="47" t="s">
        <v>99</v>
      </c>
      <c r="D44" s="47"/>
      <c r="E44" s="47"/>
      <c r="F44" s="47"/>
      <c r="G44" s="47"/>
      <c r="H44" s="47"/>
      <c r="I44" s="47"/>
      <c r="J44" s="47"/>
      <c r="K44" s="47"/>
      <c r="L44" s="47"/>
      <c r="M44" s="168">
        <f>('[1]1_Структура по елементах'!AL15+'[1]1_Структура по елементах'!AL16+'[1]1_Структура по елементах'!AM34)/1000</f>
        <v>2904.96783</v>
      </c>
      <c r="N44" s="47"/>
    </row>
    <row r="45" spans="1:18" hidden="1" x14ac:dyDescent="0.25">
      <c r="C45" s="47" t="s">
        <v>100</v>
      </c>
      <c r="D45" s="47"/>
      <c r="E45" s="47"/>
      <c r="F45" s="47"/>
      <c r="G45" s="47"/>
      <c r="H45" s="47"/>
      <c r="I45" s="47"/>
      <c r="J45" s="47"/>
      <c r="K45" s="47"/>
      <c r="L45" s="47"/>
      <c r="M45" s="168">
        <f>M43+M44</f>
        <v>26586.228828832573</v>
      </c>
      <c r="N45" s="47"/>
    </row>
    <row r="46" spans="1:18" hidden="1" x14ac:dyDescent="0.25"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70"/>
      <c r="N46" s="169"/>
    </row>
    <row r="47" spans="1:18" x14ac:dyDescent="0.25"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70"/>
      <c r="N47" s="169"/>
    </row>
    <row r="48" spans="1:18" ht="15.75" x14ac:dyDescent="0.25">
      <c r="C48" s="171" t="s">
        <v>101</v>
      </c>
      <c r="D48" s="172"/>
      <c r="E48" s="173"/>
      <c r="F48" s="173"/>
      <c r="G48" s="174" t="s">
        <v>102</v>
      </c>
      <c r="H48" s="174"/>
      <c r="I48" s="169"/>
      <c r="J48" s="169"/>
      <c r="K48" s="169"/>
      <c r="L48" s="169"/>
      <c r="M48" s="170"/>
      <c r="N48" s="169"/>
    </row>
    <row r="49" spans="3:14" x14ac:dyDescent="0.25"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70"/>
      <c r="N49" s="169"/>
    </row>
  </sheetData>
  <mergeCells count="15">
    <mergeCell ref="G7:H7"/>
    <mergeCell ref="I7:J7"/>
    <mergeCell ref="K7:L7"/>
    <mergeCell ref="M7:M8"/>
    <mergeCell ref="N7:N8"/>
    <mergeCell ref="G48:H48"/>
    <mergeCell ref="L2:M2"/>
    <mergeCell ref="C4:J4"/>
    <mergeCell ref="C5:J5"/>
    <mergeCell ref="C6:J6"/>
    <mergeCell ref="A7:A8"/>
    <mergeCell ref="B7:B8"/>
    <mergeCell ref="C7:C8"/>
    <mergeCell ref="D7:D8"/>
    <mergeCell ref="E7:F7"/>
  </mergeCells>
  <conditionalFormatting sqref="M5:P5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дод.2</vt:lpstr>
      <vt:lpstr>дод.3</vt:lpstr>
      <vt:lpstr>дод.4</vt:lpstr>
      <vt:lpstr>дод.5</vt:lpstr>
      <vt:lpstr>дод.1</vt:lpstr>
    </vt:vector>
  </TitlesOfParts>
  <Company>PAO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Виктория Геннадьевна</dc:creator>
  <cp:lastModifiedBy>Коновалова Виктория Геннадьевна</cp:lastModifiedBy>
  <cp:lastPrinted>2019-06-24T11:28:33Z</cp:lastPrinted>
  <dcterms:created xsi:type="dcterms:W3CDTF">2019-06-24T10:33:21Z</dcterms:created>
  <dcterms:modified xsi:type="dcterms:W3CDTF">2019-07-02T13:47:17Z</dcterms:modified>
</cp:coreProperties>
</file>