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330" activeTab="1"/>
  </bookViews>
  <sheets>
    <sheet name="до рішення " sheetId="1" r:id="rId1"/>
    <sheet name="вечірня" sheetId="2" r:id="rId2"/>
    <sheet name="Спеціальна" sheetId="3" r:id="rId3"/>
    <sheet name="Лист1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<sst xmlns="http://schemas.openxmlformats.org/spreadsheetml/2006/main" count="306" uniqueCount="90">
  <si>
    <t>4 клас</t>
  </si>
  <si>
    <t>5 клас</t>
  </si>
  <si>
    <t>6 клас</t>
  </si>
  <si>
    <t>8 клас</t>
  </si>
  <si>
    <t>9 клас</t>
  </si>
  <si>
    <t>10 клас</t>
  </si>
  <si>
    <t>11 клас</t>
  </si>
  <si>
    <t>Разом</t>
  </si>
  <si>
    <t>Кіл - ть класів</t>
  </si>
  <si>
    <t>Кіл - ть учнів</t>
  </si>
  <si>
    <t>ССШ №1</t>
  </si>
  <si>
    <t>ССШ №2</t>
  </si>
  <si>
    <t>ССШ №3</t>
  </si>
  <si>
    <t>СЗОШ №4</t>
  </si>
  <si>
    <t>СЗОШ №5</t>
  </si>
  <si>
    <t>СЗОШ №6</t>
  </si>
  <si>
    <t>СЗОШ №8</t>
  </si>
  <si>
    <t>ССШ № 7</t>
  </si>
  <si>
    <t>ССШ № 9</t>
  </si>
  <si>
    <t>ССШ № 10</t>
  </si>
  <si>
    <t>СЗОШ№12</t>
  </si>
  <si>
    <t>СЗОШ№13</t>
  </si>
  <si>
    <t>СЗОШ№15</t>
  </si>
  <si>
    <t>ССШ № 17</t>
  </si>
  <si>
    <t>СЗОШ№18</t>
  </si>
  <si>
    <t>ССШ № 29</t>
  </si>
  <si>
    <t>ССШ № 30</t>
  </si>
  <si>
    <t>ССШ №25</t>
  </si>
  <si>
    <t>Всього</t>
  </si>
  <si>
    <t xml:space="preserve">Разом </t>
  </si>
  <si>
    <t>ГПД</t>
  </si>
  <si>
    <t>Підготовчий клас</t>
  </si>
  <si>
    <t>12 клас</t>
  </si>
  <si>
    <t>1 клас</t>
  </si>
  <si>
    <t>2 клас</t>
  </si>
  <si>
    <t>3 клас</t>
  </si>
  <si>
    <t>7 клас</t>
  </si>
  <si>
    <t>від _______________  № ______</t>
  </si>
  <si>
    <t>Разом 1 - 4 класи</t>
  </si>
  <si>
    <t>Разом 5 - 9 класів</t>
  </si>
  <si>
    <t>Разом 10 - 11 класи</t>
  </si>
  <si>
    <t>Разом 1 - 11 класи</t>
  </si>
  <si>
    <t>Наповнюваність</t>
  </si>
  <si>
    <t>СНВКд/з 9</t>
  </si>
  <si>
    <t>СНВКд/з 11</t>
  </si>
  <si>
    <t>СНВКд/з 34</t>
  </si>
  <si>
    <t>СНВКд/з 37</t>
  </si>
  <si>
    <t>СНВКд/з 41</t>
  </si>
  <si>
    <t>СНВКд/з 42</t>
  </si>
  <si>
    <t>ССЗОШ</t>
  </si>
  <si>
    <t>ВСЬОГО</t>
  </si>
  <si>
    <t>Додаток  1</t>
  </si>
  <si>
    <t>Додаток  3</t>
  </si>
  <si>
    <t>Назва закладу</t>
  </si>
  <si>
    <t>Комунальна установа Сумська вечірня (змінна) школа Сумської міської ради</t>
  </si>
  <si>
    <t xml:space="preserve">                         Додаток  2</t>
  </si>
  <si>
    <t>СНВКд/з 16</t>
  </si>
  <si>
    <t>Продовження додатка 1</t>
  </si>
  <si>
    <t>в т.ч. інклюзивні класи</t>
  </si>
  <si>
    <t>ГПД 2016-2017</t>
  </si>
  <si>
    <t>до рішення виконавчого комітету</t>
  </si>
  <si>
    <t>в т.ч. спеціальні, інклюзивні класи</t>
  </si>
  <si>
    <t>2017-2018 н.р.</t>
  </si>
  <si>
    <t>Різниця</t>
  </si>
  <si>
    <t>пропозиція закладу</t>
  </si>
  <si>
    <t xml:space="preserve">Начальник управління освіти і науки                                             </t>
  </si>
  <si>
    <t>А.М. Данильченко</t>
  </si>
  <si>
    <t>А.М.Данильченко</t>
  </si>
  <si>
    <t xml:space="preserve">Разом 1 - 11 класи </t>
  </si>
  <si>
    <t>ЗЗСО№19</t>
  </si>
  <si>
    <t>ЗЗСО №21</t>
  </si>
  <si>
    <t>СЗОШ №20</t>
  </si>
  <si>
    <t>СЗОШ №22</t>
  </si>
  <si>
    <t>СЗОШ №23</t>
  </si>
  <si>
    <t>СЗОШ №24</t>
  </si>
  <si>
    <t>СЗОШ №26</t>
  </si>
  <si>
    <t>СЗОШ №27</t>
  </si>
  <si>
    <t xml:space="preserve">Виховні групи </t>
  </si>
  <si>
    <t>ГПД/виховні групи</t>
  </si>
  <si>
    <t>в т.ч. спеціальні</t>
  </si>
  <si>
    <t>Начальник управління освіти і науки</t>
  </si>
  <si>
    <t>Гімназія № 1</t>
  </si>
  <si>
    <t>Піщанська ЗОШ</t>
  </si>
  <si>
    <t>В.Піщанська ЗОШ</t>
  </si>
  <si>
    <t>Сумська класична гімназія</t>
  </si>
  <si>
    <t xml:space="preserve"> Мережа класів та контингент учнів у комунальних закладах загальної середньої освіти м.Суми на 2019-2020 навчальний рік </t>
  </si>
  <si>
    <t>Мережа класів і контингент  учнів у Сумській спеціальній загальноосвітній школі м. Суми, Сумської області                                                   на 2019 - 2020 навчальний рік</t>
  </si>
  <si>
    <t>Мережа класів і контингент учнів у Комунальній установі Сумська вечірня (змінна) школа Сумської міської ради на 2019 - 2020 навчальний рік</t>
  </si>
  <si>
    <t>2018-2019</t>
  </si>
  <si>
    <t>проєкта мережа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</si>
</sst>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#,##0&quot;грн.&quot;;\-#,##0&quot;грн.&quot;"/>
    <numFmt numFmtId="199" formatCode="#,##0&quot;грн.&quot;;[Red]\-#,##0&quot;грн.&quot;"/>
    <numFmt numFmtId="200" formatCode="#,##0.00&quot;грн.&quot;;\-#,##0.00&quot;грн.&quot;"/>
    <numFmt numFmtId="201" formatCode="#,##0.00&quot;грн.&quot;;[Red]\-#,##0.00&quot;грн.&quot;"/>
    <numFmt numFmtId="202" formatCode="_-* #,##0&quot;грн.&quot;_-;\-* #,##0&quot;грн.&quot;_-;_-* &quot;-&quot;&quot;грн.&quot;_-;_-@_-"/>
    <numFmt numFmtId="203" formatCode="_-* #,##0_г_р_н_._-;\-* #,##0_г_р_н_._-;_-* &quot;-&quot;_г_р_н_._-;_-@_-"/>
    <numFmt numFmtId="204" formatCode="_-* #,##0.00&quot;грн.&quot;_-;\-* #,##0.00&quot;грн.&quot;_-;_-* &quot;-&quot;??&quot;грн.&quot;_-;_-@_-"/>
    <numFmt numFmtId="205" formatCode="_-* #,##0.00_г_р_н_._-;\-* #,##0.00_г_р_н_._-;_-* &quot;-&quot;??_г_р_н_._-;_-@_-"/>
    <numFmt numFmtId="206" formatCode="0.0"/>
    <numFmt numFmtId="207" formatCode="0.00000"/>
    <numFmt numFmtId="208" formatCode="0.0000"/>
    <numFmt numFmtId="209" formatCode="0.000"/>
  </numFmts>
  <fonts count="85">
    <font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color indexed="10"/>
      <name val="Arial Cyr"/>
      <family val="0"/>
    </font>
    <font>
      <sz val="8"/>
      <color indexed="9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sz val="9"/>
      <color indexed="9"/>
      <name val="Arial Cyr"/>
      <family val="0"/>
    </font>
    <font>
      <sz val="8"/>
      <color indexed="17"/>
      <name val="Arial Cyr"/>
      <family val="0"/>
    </font>
    <font>
      <b/>
      <i/>
      <sz val="7"/>
      <color indexed="10"/>
      <name val="Times New Roman"/>
      <family val="1"/>
    </font>
    <font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7"/>
      <color indexed="10"/>
      <name val="Times New Roman"/>
      <family val="1"/>
    </font>
    <font>
      <i/>
      <sz val="8"/>
      <color indexed="10"/>
      <name val="Arial Cyr"/>
      <family val="0"/>
    </font>
    <font>
      <b/>
      <sz val="8"/>
      <color indexed="9"/>
      <name val="Times New Roman"/>
      <family val="1"/>
    </font>
    <font>
      <b/>
      <sz val="8"/>
      <color indexed="9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8"/>
      <color rgb="FFFF0000"/>
      <name val="Arial Cyr"/>
      <family val="0"/>
    </font>
    <font>
      <sz val="8"/>
      <color theme="0"/>
      <name val="Times New Roman"/>
      <family val="1"/>
    </font>
    <font>
      <sz val="9"/>
      <color theme="0"/>
      <name val="Times New Roman"/>
      <family val="1"/>
    </font>
    <font>
      <b/>
      <sz val="9"/>
      <color theme="0"/>
      <name val="Times New Roman"/>
      <family val="1"/>
    </font>
    <font>
      <sz val="9"/>
      <color theme="0"/>
      <name val="Arial Cyr"/>
      <family val="0"/>
    </font>
    <font>
      <sz val="8"/>
      <color rgb="FF00B050"/>
      <name val="Arial Cyr"/>
      <family val="0"/>
    </font>
    <font>
      <b/>
      <i/>
      <sz val="7"/>
      <color rgb="FFFF0000"/>
      <name val="Times New Roman"/>
      <family val="1"/>
    </font>
    <font>
      <sz val="8"/>
      <color rgb="FFFF0000"/>
      <name val="Times New Roman"/>
      <family val="1"/>
    </font>
    <font>
      <i/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7"/>
      <color rgb="FFFF0000"/>
      <name val="Times New Roman"/>
      <family val="1"/>
    </font>
    <font>
      <i/>
      <sz val="8"/>
      <color rgb="FFFF0000"/>
      <name val="Arial Cyr"/>
      <family val="0"/>
    </font>
    <font>
      <b/>
      <sz val="8"/>
      <color theme="0"/>
      <name val="Times New Roman"/>
      <family val="1"/>
    </font>
    <font>
      <b/>
      <sz val="8"/>
      <color theme="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6" fillId="14" borderId="10" xfId="0" applyFont="1" applyFill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textRotation="90" wrapText="1"/>
    </xf>
    <xf numFmtId="0" fontId="14" fillId="14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7" fillId="1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206" fontId="14" fillId="34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14" borderId="10" xfId="0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1" fontId="72" fillId="0" borderId="0" xfId="0" applyNumberFormat="1" applyFont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0" fontId="19" fillId="36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center" vertical="center" textRotation="90" wrapText="1"/>
    </xf>
    <xf numFmtId="0" fontId="11" fillId="35" borderId="10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14" fillId="34" borderId="10" xfId="0" applyFont="1" applyFill="1" applyBorder="1" applyAlignment="1">
      <alignment horizontal="left" vertical="center" wrapText="1"/>
    </xf>
    <xf numFmtId="0" fontId="3" fillId="37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70" fillId="35" borderId="0" xfId="0" applyFont="1" applyFill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206" fontId="8" fillId="0" borderId="0" xfId="0" applyNumberFormat="1" applyFont="1" applyBorder="1" applyAlignment="1">
      <alignment horizontal="center" vertical="center" wrapText="1"/>
    </xf>
    <xf numFmtId="0" fontId="75" fillId="36" borderId="10" xfId="0" applyFont="1" applyFill="1" applyBorder="1" applyAlignment="1">
      <alignment horizontal="center" vertical="center" wrapText="1"/>
    </xf>
    <xf numFmtId="0" fontId="75" fillId="36" borderId="0" xfId="0" applyFont="1" applyFill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5" fillId="35" borderId="0" xfId="0" applyFont="1" applyFill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37" borderId="0" xfId="0" applyFont="1" applyFill="1" applyAlignment="1">
      <alignment horizontal="center" vertical="center" wrapText="1"/>
    </xf>
    <xf numFmtId="0" fontId="75" fillId="34" borderId="0" xfId="0" applyFont="1" applyFill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14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17" fillId="14" borderId="12" xfId="0" applyFont="1" applyFill="1" applyBorder="1" applyAlignment="1">
      <alignment horizontal="center" vertical="center" wrapText="1"/>
    </xf>
    <xf numFmtId="0" fontId="76" fillId="36" borderId="10" xfId="0" applyFont="1" applyFill="1" applyBorder="1" applyAlignment="1">
      <alignment horizontal="left" vertical="center" wrapText="1"/>
    </xf>
    <xf numFmtId="0" fontId="77" fillId="36" borderId="10" xfId="0" applyFont="1" applyFill="1" applyBorder="1" applyAlignment="1">
      <alignment horizontal="center" vertical="center" wrapText="1"/>
    </xf>
    <xf numFmtId="0" fontId="78" fillId="36" borderId="10" xfId="0" applyFont="1" applyFill="1" applyBorder="1" applyAlignment="1">
      <alignment horizontal="center" vertical="center" wrapText="1"/>
    </xf>
    <xf numFmtId="0" fontId="79" fillId="36" borderId="10" xfId="0" applyFont="1" applyFill="1" applyBorder="1" applyAlignment="1">
      <alignment horizontal="center" vertical="center" wrapText="1"/>
    </xf>
    <xf numFmtId="0" fontId="80" fillId="36" borderId="10" xfId="0" applyFont="1" applyFill="1" applyBorder="1" applyAlignment="1">
      <alignment horizontal="center" vertical="center" wrapText="1"/>
    </xf>
    <xf numFmtId="206" fontId="77" fillId="34" borderId="10" xfId="0" applyNumberFormat="1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vertical="center" wrapText="1"/>
    </xf>
    <xf numFmtId="206" fontId="17" fillId="34" borderId="10" xfId="0" applyNumberFormat="1" applyFont="1" applyFill="1" applyBorder="1" applyAlignment="1">
      <alignment horizontal="center" vertical="center" wrapText="1"/>
    </xf>
    <xf numFmtId="206" fontId="18" fillId="34" borderId="10" xfId="0" applyNumberFormat="1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206" fontId="8" fillId="34" borderId="10" xfId="0" applyNumberFormat="1" applyFont="1" applyFill="1" applyBorder="1" applyAlignment="1">
      <alignment horizontal="center" vertical="center" wrapText="1"/>
    </xf>
    <xf numFmtId="206" fontId="14" fillId="34" borderId="12" xfId="0" applyNumberFormat="1" applyFont="1" applyFill="1" applyBorder="1" applyAlignment="1">
      <alignment horizontal="center" vertical="center" wrapText="1"/>
    </xf>
    <xf numFmtId="0" fontId="81" fillId="36" borderId="10" xfId="0" applyFont="1" applyFill="1" applyBorder="1" applyAlignment="1">
      <alignment horizontal="left" vertical="center" wrapText="1"/>
    </xf>
    <xf numFmtId="0" fontId="82" fillId="36" borderId="10" xfId="0" applyFont="1" applyFill="1" applyBorder="1" applyAlignment="1">
      <alignment horizontal="center" vertical="center" wrapText="1"/>
    </xf>
    <xf numFmtId="0" fontId="17" fillId="38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6" fillId="36" borderId="14" xfId="0" applyFont="1" applyFill="1" applyBorder="1" applyAlignment="1">
      <alignment horizontal="left" vertical="center" wrapText="1"/>
    </xf>
    <xf numFmtId="0" fontId="78" fillId="36" borderId="14" xfId="0" applyFont="1" applyFill="1" applyBorder="1" applyAlignment="1">
      <alignment horizontal="center" vertical="center" wrapText="1"/>
    </xf>
    <xf numFmtId="0" fontId="79" fillId="36" borderId="14" xfId="0" applyFont="1" applyFill="1" applyBorder="1" applyAlignment="1">
      <alignment horizontal="center" vertical="center" wrapText="1"/>
    </xf>
    <xf numFmtId="206" fontId="18" fillId="34" borderId="14" xfId="0" applyNumberFormat="1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76" fillId="34" borderId="15" xfId="0" applyFont="1" applyFill="1" applyBorder="1" applyAlignment="1">
      <alignment horizontal="left" vertical="center" wrapText="1"/>
    </xf>
    <xf numFmtId="0" fontId="78" fillId="34" borderId="15" xfId="0" applyFont="1" applyFill="1" applyBorder="1" applyAlignment="1">
      <alignment horizontal="center" vertical="center" wrapText="1"/>
    </xf>
    <xf numFmtId="0" fontId="79" fillId="34" borderId="15" xfId="0" applyFont="1" applyFill="1" applyBorder="1" applyAlignment="1">
      <alignment horizontal="center" vertical="center" wrapText="1"/>
    </xf>
    <xf numFmtId="206" fontId="18" fillId="34" borderId="15" xfId="0" applyNumberFormat="1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76" fillId="34" borderId="11" xfId="0" applyFont="1" applyFill="1" applyBorder="1" applyAlignment="1">
      <alignment horizontal="left" vertical="center" wrapText="1"/>
    </xf>
    <xf numFmtId="0" fontId="78" fillId="34" borderId="11" xfId="0" applyFont="1" applyFill="1" applyBorder="1" applyAlignment="1">
      <alignment horizontal="center" vertical="center" wrapText="1"/>
    </xf>
    <xf numFmtId="0" fontId="79" fillId="34" borderId="11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6" fillId="14" borderId="12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06" fontId="8" fillId="33" borderId="12" xfId="0" applyNumberFormat="1" applyFont="1" applyFill="1" applyBorder="1" applyAlignment="1">
      <alignment horizontal="center" vertical="center" textRotation="90" wrapText="1"/>
    </xf>
    <xf numFmtId="206" fontId="8" fillId="33" borderId="10" xfId="0" applyNumberFormat="1" applyFont="1" applyFill="1" applyBorder="1" applyAlignment="1">
      <alignment horizontal="center" vertical="center" textRotation="90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14" borderId="16" xfId="0" applyFont="1" applyFill="1" applyBorder="1" applyAlignment="1">
      <alignment horizontal="center" vertical="center" wrapText="1"/>
    </xf>
    <xf numFmtId="0" fontId="8" fillId="14" borderId="17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14" borderId="18" xfId="0" applyFont="1" applyFill="1" applyBorder="1" applyAlignment="1">
      <alignment horizontal="center" vertical="center" wrapText="1"/>
    </xf>
    <xf numFmtId="0" fontId="16" fillId="14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16" fillId="1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206" fontId="16" fillId="33" borderId="14" xfId="0" applyNumberFormat="1" applyFont="1" applyFill="1" applyBorder="1" applyAlignment="1">
      <alignment horizontal="center" vertical="center" textRotation="90" wrapText="1"/>
    </xf>
    <xf numFmtId="206" fontId="16" fillId="33" borderId="12" xfId="0" applyNumberFormat="1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 vertical="center" textRotation="90" wrapText="1"/>
    </xf>
    <xf numFmtId="0" fontId="11" fillId="35" borderId="19" xfId="0" applyFont="1" applyFill="1" applyBorder="1" applyAlignment="1">
      <alignment horizontal="center" vertical="center" textRotation="90" wrapText="1"/>
    </xf>
    <xf numFmtId="0" fontId="11" fillId="35" borderId="13" xfId="0" applyFont="1" applyFill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206" fontId="11" fillId="33" borderId="14" xfId="0" applyNumberFormat="1" applyFont="1" applyFill="1" applyBorder="1" applyAlignment="1">
      <alignment horizontal="center" vertical="center" textRotation="90" wrapText="1"/>
    </xf>
    <xf numFmtId="206" fontId="11" fillId="33" borderId="12" xfId="0" applyNumberFormat="1" applyFont="1" applyFill="1" applyBorder="1" applyAlignment="1">
      <alignment horizontal="center" vertical="center" textRotation="90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5;&#1080;&#1081;%20&#1089;&#1090;&#1086;&#1083;\&#1088;&#1110;&#1096;&#1077;&#1085;&#1085;&#1103;%20&#1074;&#1080;&#1082;&#1086;&#1085;&#1082;&#1086;&#1084;&#1091;\&#1088;&#1110;&#1096;&#1077;&#1085;&#1085;&#1103;%20&#1084;&#1077;&#1088;&#1077;&#1078;&#1072;\2017-2018\&#1085;&#1072;%20&#1074;&#1080;&#1082;&#1086;&#1085;&#1082;&#1086;&#1084;%20&#1084;&#1077;&#1088;&#1077;&#1078;&#1072;%202017-2018\&#1052;&#1077;&#1088;&#1077;&#1078;&#1072;%202017-2018%2024.08.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5;&#1080;&#1081;%20&#1089;&#1090;&#1086;&#1083;\&#1088;&#1110;&#1096;&#1077;&#1085;&#1085;&#1103;%20&#1074;&#1080;&#1082;&#1086;&#1085;&#1082;&#1086;&#1084;&#1091;\&#1088;&#1110;&#1096;&#1077;&#1085;&#1085;&#1103;%20&#1084;&#1077;&#1088;&#1077;&#1078;&#1072;\2017-2018\&#1085;&#1072;%20&#1074;&#1080;&#1082;&#1086;&#1085;&#1082;&#1086;&#1084;%20&#1084;&#1077;&#1088;&#1077;&#1078;&#1072;%202017-2018\&#1052;&#1077;&#1088;&#1077;&#1078;&#1072;%202017-2018%2024.04.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 рішення "/>
      <sheetName val="вечірня"/>
      <sheetName val="Спеціальна"/>
      <sheetName val="Лист1"/>
    </sheetNames>
    <sheetDataSet>
      <sheetData sheetId="1">
        <row r="9">
          <cell r="D9">
            <v>1</v>
          </cell>
          <cell r="E9">
            <v>7</v>
          </cell>
          <cell r="F9">
            <v>2</v>
          </cell>
          <cell r="G9">
            <v>24</v>
          </cell>
          <cell r="H9">
            <v>1</v>
          </cell>
          <cell r="I9">
            <v>19</v>
          </cell>
          <cell r="J9">
            <v>1</v>
          </cell>
          <cell r="K9">
            <v>15</v>
          </cell>
          <cell r="L9">
            <v>5</v>
          </cell>
          <cell r="M9">
            <v>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 рішення "/>
      <sheetName val="вечірня"/>
      <sheetName val="Спеціальна"/>
      <sheetName val="Лист1"/>
    </sheetNames>
    <sheetDataSet>
      <sheetData sheetId="0">
        <row r="58">
          <cell r="B58">
            <v>3</v>
          </cell>
          <cell r="C58">
            <v>29</v>
          </cell>
          <cell r="D58">
            <v>109</v>
          </cell>
          <cell r="E58">
            <v>3184</v>
          </cell>
          <cell r="F58">
            <v>105</v>
          </cell>
          <cell r="G58">
            <v>2963</v>
          </cell>
          <cell r="H58">
            <v>106</v>
          </cell>
          <cell r="I58">
            <v>3034</v>
          </cell>
          <cell r="J58">
            <v>102</v>
          </cell>
          <cell r="K58">
            <v>2904</v>
          </cell>
          <cell r="L58">
            <v>422</v>
          </cell>
          <cell r="N58">
            <v>97</v>
          </cell>
          <cell r="O58">
            <v>2659</v>
          </cell>
          <cell r="P58">
            <v>89</v>
          </cell>
          <cell r="Q58">
            <v>2500</v>
          </cell>
          <cell r="R58">
            <v>82</v>
          </cell>
          <cell r="S58">
            <v>2271</v>
          </cell>
          <cell r="T58">
            <v>77</v>
          </cell>
          <cell r="U58">
            <v>2131</v>
          </cell>
          <cell r="V58">
            <v>81</v>
          </cell>
          <cell r="W58">
            <v>2208</v>
          </cell>
          <cell r="X58">
            <v>426</v>
          </cell>
          <cell r="Z58">
            <v>43</v>
          </cell>
          <cell r="AA58">
            <v>1178</v>
          </cell>
          <cell r="AB58">
            <v>44</v>
          </cell>
          <cell r="AC58">
            <v>1137</v>
          </cell>
          <cell r="AD58">
            <v>87</v>
          </cell>
          <cell r="AF58">
            <v>938</v>
          </cell>
          <cell r="AI58">
            <v>98</v>
          </cell>
          <cell r="AJ58">
            <v>2867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6"/>
  <sheetViews>
    <sheetView zoomScale="106" zoomScaleNormal="106" zoomScalePageLayoutView="0" workbookViewId="0" topLeftCell="A6">
      <pane ySplit="3" topLeftCell="A27" activePane="bottomLeft" state="frozen"/>
      <selection pane="topLeft" activeCell="A6" sqref="A6"/>
      <selection pane="bottomLeft" activeCell="AZ91" sqref="AZ91"/>
    </sheetView>
  </sheetViews>
  <sheetFormatPr defaultColWidth="9.00390625" defaultRowHeight="12.75"/>
  <cols>
    <col min="1" max="1" width="16.375" style="7" customWidth="1"/>
    <col min="2" max="2" width="4.25390625" style="7" hidden="1" customWidth="1"/>
    <col min="3" max="3" width="3.75390625" style="7" hidden="1" customWidth="1"/>
    <col min="4" max="4" width="4.75390625" style="1" customWidth="1"/>
    <col min="5" max="5" width="4.625" style="1" customWidth="1"/>
    <col min="6" max="6" width="3.625" style="1" customWidth="1"/>
    <col min="7" max="7" width="4.875" style="1" customWidth="1"/>
    <col min="8" max="8" width="4.125" style="1" customWidth="1"/>
    <col min="9" max="9" width="4.25390625" style="1" customWidth="1"/>
    <col min="10" max="10" width="4.00390625" style="1" customWidth="1"/>
    <col min="11" max="11" width="4.375" style="1" customWidth="1"/>
    <col min="12" max="12" width="7.75390625" style="9" customWidth="1"/>
    <col min="13" max="13" width="5.375" style="9" customWidth="1"/>
    <col min="14" max="14" width="4.00390625" style="1" customWidth="1"/>
    <col min="15" max="15" width="4.25390625" style="1" customWidth="1"/>
    <col min="16" max="16" width="3.875" style="1" customWidth="1"/>
    <col min="17" max="17" width="4.375" style="1" customWidth="1"/>
    <col min="18" max="18" width="4.625" style="1" customWidth="1"/>
    <col min="19" max="19" width="4.875" style="1" customWidth="1"/>
    <col min="20" max="20" width="4.375" style="1" customWidth="1"/>
    <col min="21" max="21" width="4.25390625" style="1" customWidth="1"/>
    <col min="22" max="23" width="4.375" style="1" customWidth="1"/>
    <col min="24" max="24" width="6.125" style="1" customWidth="1"/>
    <col min="25" max="25" width="5.875" style="1" customWidth="1"/>
    <col min="26" max="26" width="4.375" style="1" customWidth="1"/>
    <col min="27" max="27" width="4.25390625" style="1" customWidth="1"/>
    <col min="28" max="28" width="3.875" style="1" customWidth="1"/>
    <col min="29" max="29" width="4.75390625" style="1" customWidth="1"/>
    <col min="30" max="30" width="5.125" style="1" customWidth="1"/>
    <col min="31" max="31" width="6.125" style="1" customWidth="1"/>
    <col min="32" max="32" width="5.625" style="1" customWidth="1"/>
    <col min="33" max="33" width="6.875" style="1" customWidth="1"/>
    <col min="34" max="34" width="5.00390625" style="10" customWidth="1"/>
    <col min="35" max="35" width="4.875" style="1" customWidth="1"/>
    <col min="36" max="36" width="5.00390625" style="1" customWidth="1"/>
    <col min="37" max="37" width="4.75390625" style="1" hidden="1" customWidth="1"/>
    <col min="38" max="38" width="5.125" style="1" hidden="1" customWidth="1"/>
    <col min="39" max="40" width="0" style="1" hidden="1" customWidth="1"/>
    <col min="41" max="41" width="6.375" style="1" hidden="1" customWidth="1"/>
    <col min="42" max="42" width="5.875" style="1" hidden="1" customWidth="1"/>
    <col min="43" max="47" width="0" style="1" hidden="1" customWidth="1"/>
    <col min="48" max="49" width="7.125" style="1" hidden="1" customWidth="1"/>
    <col min="50" max="50" width="0" style="1" hidden="1" customWidth="1"/>
    <col min="51" max="16384" width="9.125" style="1" customWidth="1"/>
  </cols>
  <sheetData>
    <row r="1" spans="1:36" s="70" customFormat="1" ht="12" customHeight="1">
      <c r="A1" s="67"/>
      <c r="B1" s="67"/>
      <c r="C1" s="67"/>
      <c r="D1" s="68"/>
      <c r="E1" s="68"/>
      <c r="F1" s="68"/>
      <c r="G1" s="68"/>
      <c r="H1" s="68"/>
      <c r="I1" s="68"/>
      <c r="J1" s="68"/>
      <c r="K1" s="68"/>
      <c r="L1" s="69"/>
      <c r="M1" s="69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35"/>
      <c r="AC1" s="35"/>
      <c r="AD1" s="156" t="s">
        <v>51</v>
      </c>
      <c r="AE1" s="156"/>
      <c r="AF1" s="156"/>
      <c r="AG1" s="156"/>
      <c r="AH1" s="156"/>
      <c r="AI1" s="156"/>
      <c r="AJ1" s="156"/>
    </row>
    <row r="2" spans="1:36" s="70" customFormat="1" ht="12" customHeight="1">
      <c r="A2" s="67"/>
      <c r="B2" s="67"/>
      <c r="C2" s="67"/>
      <c r="D2" s="68"/>
      <c r="E2" s="68"/>
      <c r="F2" s="68"/>
      <c r="G2" s="68"/>
      <c r="H2" s="68"/>
      <c r="I2" s="68"/>
      <c r="J2" s="68"/>
      <c r="K2" s="68"/>
      <c r="L2" s="69"/>
      <c r="M2" s="69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35"/>
      <c r="AC2" s="35"/>
      <c r="AD2" s="157" t="s">
        <v>60</v>
      </c>
      <c r="AE2" s="157"/>
      <c r="AF2" s="157"/>
      <c r="AG2" s="157"/>
      <c r="AH2" s="157"/>
      <c r="AI2" s="157"/>
      <c r="AJ2" s="157"/>
    </row>
    <row r="3" spans="1:36" s="70" customFormat="1" ht="12" customHeight="1">
      <c r="A3" s="67"/>
      <c r="B3" s="67"/>
      <c r="C3" s="67"/>
      <c r="D3" s="68"/>
      <c r="E3" s="68"/>
      <c r="F3" s="68"/>
      <c r="G3" s="68"/>
      <c r="H3" s="68"/>
      <c r="I3" s="68"/>
      <c r="J3" s="68"/>
      <c r="K3" s="68"/>
      <c r="L3" s="69"/>
      <c r="M3" s="69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35"/>
      <c r="AC3" s="35"/>
      <c r="AD3" s="157" t="s">
        <v>37</v>
      </c>
      <c r="AE3" s="157"/>
      <c r="AF3" s="157"/>
      <c r="AG3" s="157"/>
      <c r="AH3" s="157"/>
      <c r="AI3" s="157"/>
      <c r="AJ3" s="157"/>
    </row>
    <row r="4" spans="1:36" s="70" customFormat="1" ht="12">
      <c r="A4" s="67"/>
      <c r="B4" s="67"/>
      <c r="C4" s="67"/>
      <c r="D4" s="68"/>
      <c r="E4" s="68"/>
      <c r="F4" s="68"/>
      <c r="G4" s="68"/>
      <c r="H4" s="68"/>
      <c r="I4" s="68"/>
      <c r="J4" s="68"/>
      <c r="K4" s="68"/>
      <c r="L4" s="69"/>
      <c r="M4" s="69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71"/>
      <c r="AI4" s="68"/>
      <c r="AJ4" s="68"/>
    </row>
    <row r="5" spans="1:36" ht="15.75" customHeight="1">
      <c r="A5" s="160" t="s">
        <v>85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</row>
    <row r="6" spans="1:42" ht="15.7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6"/>
      <c r="AI6" s="47"/>
      <c r="AJ6" s="47"/>
      <c r="AO6" s="162" t="s">
        <v>64</v>
      </c>
      <c r="AP6" s="162"/>
    </row>
    <row r="7" spans="1:38" s="6" customFormat="1" ht="29.25" customHeight="1">
      <c r="A7" s="161" t="s">
        <v>53</v>
      </c>
      <c r="B7" s="150" t="s">
        <v>31</v>
      </c>
      <c r="C7" s="151"/>
      <c r="D7" s="154" t="s">
        <v>33</v>
      </c>
      <c r="E7" s="154"/>
      <c r="F7" s="154" t="s">
        <v>34</v>
      </c>
      <c r="G7" s="154"/>
      <c r="H7" s="154" t="s">
        <v>35</v>
      </c>
      <c r="I7" s="154"/>
      <c r="J7" s="154" t="s">
        <v>0</v>
      </c>
      <c r="K7" s="154"/>
      <c r="L7" s="155" t="s">
        <v>38</v>
      </c>
      <c r="M7" s="155"/>
      <c r="N7" s="154" t="s">
        <v>1</v>
      </c>
      <c r="O7" s="154"/>
      <c r="P7" s="154" t="s">
        <v>2</v>
      </c>
      <c r="Q7" s="154"/>
      <c r="R7" s="154" t="s">
        <v>36</v>
      </c>
      <c r="S7" s="154"/>
      <c r="T7" s="154" t="s">
        <v>3</v>
      </c>
      <c r="U7" s="154"/>
      <c r="V7" s="154" t="s">
        <v>4</v>
      </c>
      <c r="W7" s="154"/>
      <c r="X7" s="155" t="s">
        <v>39</v>
      </c>
      <c r="Y7" s="155"/>
      <c r="Z7" s="154" t="s">
        <v>5</v>
      </c>
      <c r="AA7" s="154"/>
      <c r="AB7" s="154" t="s">
        <v>6</v>
      </c>
      <c r="AC7" s="154"/>
      <c r="AD7" s="155" t="s">
        <v>40</v>
      </c>
      <c r="AE7" s="155"/>
      <c r="AF7" s="154" t="s">
        <v>68</v>
      </c>
      <c r="AG7" s="154"/>
      <c r="AH7" s="158" t="s">
        <v>42</v>
      </c>
      <c r="AI7" s="154" t="s">
        <v>78</v>
      </c>
      <c r="AJ7" s="154"/>
      <c r="AK7" s="149" t="s">
        <v>59</v>
      </c>
      <c r="AL7" s="149"/>
    </row>
    <row r="8" spans="1:38" s="8" customFormat="1" ht="42.75" customHeight="1">
      <c r="A8" s="161"/>
      <c r="B8" s="48" t="s">
        <v>8</v>
      </c>
      <c r="C8" s="48" t="s">
        <v>9</v>
      </c>
      <c r="D8" s="49" t="s">
        <v>8</v>
      </c>
      <c r="E8" s="49" t="s">
        <v>9</v>
      </c>
      <c r="F8" s="49" t="s">
        <v>8</v>
      </c>
      <c r="G8" s="49" t="s">
        <v>9</v>
      </c>
      <c r="H8" s="49" t="s">
        <v>8</v>
      </c>
      <c r="I8" s="49" t="s">
        <v>9</v>
      </c>
      <c r="J8" s="49" t="s">
        <v>8</v>
      </c>
      <c r="K8" s="49" t="s">
        <v>9</v>
      </c>
      <c r="L8" s="48" t="s">
        <v>8</v>
      </c>
      <c r="M8" s="48" t="s">
        <v>9</v>
      </c>
      <c r="N8" s="49" t="s">
        <v>8</v>
      </c>
      <c r="O8" s="49" t="s">
        <v>9</v>
      </c>
      <c r="P8" s="49" t="s">
        <v>8</v>
      </c>
      <c r="Q8" s="49" t="s">
        <v>9</v>
      </c>
      <c r="R8" s="49" t="s">
        <v>8</v>
      </c>
      <c r="S8" s="49" t="s">
        <v>9</v>
      </c>
      <c r="T8" s="49" t="s">
        <v>8</v>
      </c>
      <c r="U8" s="49" t="s">
        <v>9</v>
      </c>
      <c r="V8" s="49" t="s">
        <v>8</v>
      </c>
      <c r="W8" s="49" t="s">
        <v>9</v>
      </c>
      <c r="X8" s="48" t="s">
        <v>8</v>
      </c>
      <c r="Y8" s="48" t="s">
        <v>9</v>
      </c>
      <c r="Z8" s="49" t="s">
        <v>8</v>
      </c>
      <c r="AA8" s="49" t="s">
        <v>9</v>
      </c>
      <c r="AB8" s="49" t="s">
        <v>8</v>
      </c>
      <c r="AC8" s="49" t="s">
        <v>9</v>
      </c>
      <c r="AD8" s="48" t="s">
        <v>8</v>
      </c>
      <c r="AE8" s="48" t="s">
        <v>9</v>
      </c>
      <c r="AF8" s="49" t="s">
        <v>8</v>
      </c>
      <c r="AG8" s="49" t="s">
        <v>9</v>
      </c>
      <c r="AH8" s="159"/>
      <c r="AI8" s="49" t="s">
        <v>8</v>
      </c>
      <c r="AJ8" s="49" t="s">
        <v>9</v>
      </c>
      <c r="AK8" s="3" t="s">
        <v>8</v>
      </c>
      <c r="AL8" s="3" t="s">
        <v>9</v>
      </c>
    </row>
    <row r="9" spans="1:48" s="7" customFormat="1" ht="12" customHeight="1">
      <c r="A9" s="55" t="s">
        <v>10</v>
      </c>
      <c r="B9" s="50"/>
      <c r="C9" s="50"/>
      <c r="D9" s="51">
        <v>4</v>
      </c>
      <c r="E9" s="51">
        <f>30+30+30+32</f>
        <v>122</v>
      </c>
      <c r="F9" s="51">
        <v>5</v>
      </c>
      <c r="G9" s="51">
        <f>30+30+32+31+28</f>
        <v>151</v>
      </c>
      <c r="H9" s="51">
        <f>4</f>
        <v>4</v>
      </c>
      <c r="I9" s="51">
        <f>33+34+31+33</f>
        <v>131</v>
      </c>
      <c r="J9" s="51">
        <v>4</v>
      </c>
      <c r="K9" s="51">
        <f>29+31+28+29</f>
        <v>117</v>
      </c>
      <c r="L9" s="52">
        <f>D9+F9+H9+J9</f>
        <v>17</v>
      </c>
      <c r="M9" s="52">
        <f>E9+G9+I9+K9</f>
        <v>521</v>
      </c>
      <c r="N9" s="53">
        <f>4</f>
        <v>4</v>
      </c>
      <c r="O9" s="53">
        <f>30+33+34+34</f>
        <v>131</v>
      </c>
      <c r="P9" s="53">
        <v>4</v>
      </c>
      <c r="Q9" s="53">
        <f>30+32+30+18</f>
        <v>110</v>
      </c>
      <c r="R9" s="53">
        <v>4</v>
      </c>
      <c r="S9" s="53">
        <f>30+29+29+29</f>
        <v>117</v>
      </c>
      <c r="T9" s="53">
        <v>3</v>
      </c>
      <c r="U9" s="53">
        <f>29+29+29</f>
        <v>87</v>
      </c>
      <c r="V9" s="53">
        <f>3</f>
        <v>3</v>
      </c>
      <c r="W9" s="53">
        <f>31+34+32</f>
        <v>97</v>
      </c>
      <c r="X9" s="52">
        <f>N9+P9+R9+T9+V9</f>
        <v>18</v>
      </c>
      <c r="Y9" s="52">
        <f>O9+Q9+S9+U9+W9</f>
        <v>542</v>
      </c>
      <c r="Z9" s="53">
        <v>1</v>
      </c>
      <c r="AA9" s="53">
        <v>33</v>
      </c>
      <c r="AB9" s="53">
        <f>2</f>
        <v>2</v>
      </c>
      <c r="AC9" s="53">
        <f>20+26</f>
        <v>46</v>
      </c>
      <c r="AD9" s="52">
        <f>Z9+AB9</f>
        <v>3</v>
      </c>
      <c r="AE9" s="52">
        <f>AA9+AC9</f>
        <v>79</v>
      </c>
      <c r="AF9" s="95">
        <f>L9+X9+AD9+B9</f>
        <v>38</v>
      </c>
      <c r="AG9" s="95">
        <f>M9+Y9+AE9+C9</f>
        <v>1142</v>
      </c>
      <c r="AH9" s="54">
        <f>AG9/AF9</f>
        <v>30.05263157894737</v>
      </c>
      <c r="AI9" s="53">
        <v>3</v>
      </c>
      <c r="AJ9" s="53">
        <v>90</v>
      </c>
      <c r="AK9" s="74">
        <v>3</v>
      </c>
      <c r="AL9" s="74">
        <v>113</v>
      </c>
      <c r="AM9" s="75"/>
      <c r="AN9" s="75"/>
      <c r="AO9" s="75">
        <v>3</v>
      </c>
      <c r="AP9" s="75">
        <v>90</v>
      </c>
      <c r="AQ9" s="7">
        <v>3</v>
      </c>
      <c r="AR9" s="7">
        <v>90</v>
      </c>
      <c r="AV9" s="84">
        <v>90</v>
      </c>
    </row>
    <row r="10" spans="1:48" s="7" customFormat="1" ht="12" customHeight="1">
      <c r="A10" s="118" t="s">
        <v>58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10">
        <f>D10+F10+H10+J10</f>
        <v>0</v>
      </c>
      <c r="M10" s="110">
        <f>E10+G10+I10+K10</f>
        <v>0</v>
      </c>
      <c r="N10" s="107">
        <v>1</v>
      </c>
      <c r="O10" s="107">
        <v>1</v>
      </c>
      <c r="P10" s="107"/>
      <c r="Q10" s="107"/>
      <c r="R10" s="107"/>
      <c r="S10" s="107"/>
      <c r="T10" s="107"/>
      <c r="U10" s="107"/>
      <c r="V10" s="107"/>
      <c r="W10" s="107"/>
      <c r="X10" s="110">
        <f>N10+P10+R10+T10+V10</f>
        <v>1</v>
      </c>
      <c r="Y10" s="110">
        <f>O10+Q10+S10+U10+W10</f>
        <v>1</v>
      </c>
      <c r="Z10" s="107"/>
      <c r="AA10" s="107"/>
      <c r="AB10" s="107"/>
      <c r="AC10" s="107"/>
      <c r="AD10" s="110">
        <f>Z10+AB10</f>
        <v>0</v>
      </c>
      <c r="AE10" s="110">
        <f>AA10+AC10</f>
        <v>0</v>
      </c>
      <c r="AF10" s="110">
        <f>L10+X10+AD10</f>
        <v>1</v>
      </c>
      <c r="AG10" s="110">
        <f>M10+Y10+AE10</f>
        <v>1</v>
      </c>
      <c r="AH10" s="54"/>
      <c r="AI10" s="53"/>
      <c r="AJ10" s="53"/>
      <c r="AK10" s="74"/>
      <c r="AL10" s="74"/>
      <c r="AM10" s="75"/>
      <c r="AN10" s="75"/>
      <c r="AO10" s="75"/>
      <c r="AP10" s="75"/>
      <c r="AV10" s="84"/>
    </row>
    <row r="11" spans="1:48" s="7" customFormat="1" ht="12" customHeight="1">
      <c r="A11" s="99" t="s">
        <v>11</v>
      </c>
      <c r="B11" s="50"/>
      <c r="C11" s="50"/>
      <c r="D11" s="51">
        <v>4</v>
      </c>
      <c r="E11" s="51">
        <f>27+28+30+30</f>
        <v>115</v>
      </c>
      <c r="F11" s="51">
        <f>4</f>
        <v>4</v>
      </c>
      <c r="G11" s="51">
        <f>32+30+30+30</f>
        <v>122</v>
      </c>
      <c r="H11" s="51">
        <f>3</f>
        <v>3</v>
      </c>
      <c r="I11" s="51">
        <f>36+34+32</f>
        <v>102</v>
      </c>
      <c r="J11" s="51">
        <f>3</f>
        <v>3</v>
      </c>
      <c r="K11" s="51">
        <f>33+32+32</f>
        <v>97</v>
      </c>
      <c r="L11" s="52">
        <f aca="true" t="shared" si="0" ref="L11:L59">D11+F11+H11+J11</f>
        <v>14</v>
      </c>
      <c r="M11" s="52">
        <f aca="true" t="shared" si="1" ref="M11:M59">E11+G11+I11+K11</f>
        <v>436</v>
      </c>
      <c r="N11" s="53">
        <f>4</f>
        <v>4</v>
      </c>
      <c r="O11" s="53">
        <f>32+31+30+34</f>
        <v>127</v>
      </c>
      <c r="P11" s="53">
        <v>4</v>
      </c>
      <c r="Q11" s="53">
        <f>31+29+30+28</f>
        <v>118</v>
      </c>
      <c r="R11" s="53">
        <f>3</f>
        <v>3</v>
      </c>
      <c r="S11" s="53">
        <f>30+33+31</f>
        <v>94</v>
      </c>
      <c r="T11" s="53">
        <f>3</f>
        <v>3</v>
      </c>
      <c r="U11" s="53">
        <f>34+32+33</f>
        <v>99</v>
      </c>
      <c r="V11" s="53">
        <f>3</f>
        <v>3</v>
      </c>
      <c r="W11" s="53">
        <f>25+23+24</f>
        <v>72</v>
      </c>
      <c r="X11" s="52">
        <f aca="true" t="shared" si="2" ref="X11:X45">N11+P11+R11+T11+V11</f>
        <v>17</v>
      </c>
      <c r="Y11" s="52">
        <f aca="true" t="shared" si="3" ref="Y11:Y36">O11+Q11+S11+U11+W11</f>
        <v>510</v>
      </c>
      <c r="Z11" s="53">
        <v>2</v>
      </c>
      <c r="AA11" s="53">
        <f>26+26</f>
        <v>52</v>
      </c>
      <c r="AB11" s="53">
        <f>2</f>
        <v>2</v>
      </c>
      <c r="AC11" s="53">
        <f>29+28</f>
        <v>57</v>
      </c>
      <c r="AD11" s="52">
        <f aca="true" t="shared" si="4" ref="AD11:AE59">Z11+AB11</f>
        <v>4</v>
      </c>
      <c r="AE11" s="52">
        <f aca="true" t="shared" si="5" ref="AD11:AE19">AA11+AC11</f>
        <v>109</v>
      </c>
      <c r="AF11" s="95">
        <f aca="true" t="shared" si="6" ref="AF11:AF19">L11+X11+AD11+B11</f>
        <v>35</v>
      </c>
      <c r="AG11" s="95">
        <f aca="true" t="shared" si="7" ref="AG11:AG19">M11+Y11+AE11+C11</f>
        <v>1055</v>
      </c>
      <c r="AH11" s="54">
        <f aca="true" t="shared" si="8" ref="AH11:AH80">AG11/AF11</f>
        <v>30.142857142857142</v>
      </c>
      <c r="AI11" s="53">
        <v>2</v>
      </c>
      <c r="AJ11" s="53">
        <v>60</v>
      </c>
      <c r="AK11" s="18">
        <v>2</v>
      </c>
      <c r="AL11" s="18">
        <v>60</v>
      </c>
      <c r="AM11" s="7">
        <v>1</v>
      </c>
      <c r="AO11" s="7">
        <v>2</v>
      </c>
      <c r="AP11" s="7">
        <v>60</v>
      </c>
      <c r="AV11" s="84">
        <v>60</v>
      </c>
    </row>
    <row r="12" spans="1:48" s="12" customFormat="1" ht="12" customHeight="1">
      <c r="A12" s="99" t="s">
        <v>12</v>
      </c>
      <c r="B12" s="50"/>
      <c r="C12" s="50"/>
      <c r="D12" s="51">
        <v>1</v>
      </c>
      <c r="E12" s="51">
        <v>22</v>
      </c>
      <c r="F12" s="51">
        <v>1</v>
      </c>
      <c r="G12" s="51">
        <v>16</v>
      </c>
      <c r="H12" s="51">
        <v>1</v>
      </c>
      <c r="I12" s="51">
        <v>22</v>
      </c>
      <c r="J12" s="51">
        <v>1</v>
      </c>
      <c r="K12" s="51">
        <v>17</v>
      </c>
      <c r="L12" s="52">
        <f t="shared" si="0"/>
        <v>4</v>
      </c>
      <c r="M12" s="52">
        <f t="shared" si="1"/>
        <v>77</v>
      </c>
      <c r="N12" s="53">
        <v>1</v>
      </c>
      <c r="O12" s="53">
        <v>22</v>
      </c>
      <c r="P12" s="53"/>
      <c r="Q12" s="53"/>
      <c r="R12" s="53"/>
      <c r="S12" s="53"/>
      <c r="T12" s="53">
        <v>1</v>
      </c>
      <c r="U12" s="53">
        <v>18</v>
      </c>
      <c r="V12" s="53">
        <v>1</v>
      </c>
      <c r="W12" s="53">
        <v>19</v>
      </c>
      <c r="X12" s="52">
        <f t="shared" si="2"/>
        <v>3</v>
      </c>
      <c r="Y12" s="52">
        <f t="shared" si="3"/>
        <v>59</v>
      </c>
      <c r="Z12" s="53"/>
      <c r="AA12" s="53"/>
      <c r="AB12" s="53">
        <v>1</v>
      </c>
      <c r="AC12" s="53">
        <v>15</v>
      </c>
      <c r="AD12" s="52">
        <f t="shared" si="4"/>
        <v>1</v>
      </c>
      <c r="AE12" s="52">
        <f t="shared" si="5"/>
        <v>15</v>
      </c>
      <c r="AF12" s="95">
        <f t="shared" si="6"/>
        <v>8</v>
      </c>
      <c r="AG12" s="95">
        <f t="shared" si="7"/>
        <v>151</v>
      </c>
      <c r="AH12" s="54">
        <f t="shared" si="8"/>
        <v>18.875</v>
      </c>
      <c r="AI12" s="53">
        <v>1</v>
      </c>
      <c r="AJ12" s="53">
        <v>30</v>
      </c>
      <c r="AK12" s="16">
        <v>1</v>
      </c>
      <c r="AL12" s="16">
        <v>30</v>
      </c>
      <c r="AV12" s="85"/>
    </row>
    <row r="13" spans="1:38" s="12" customFormat="1" ht="12" customHeight="1">
      <c r="A13" s="106" t="s">
        <v>58</v>
      </c>
      <c r="B13" s="108"/>
      <c r="C13" s="108"/>
      <c r="D13" s="108"/>
      <c r="E13" s="108"/>
      <c r="F13" s="108">
        <v>1</v>
      </c>
      <c r="G13" s="108">
        <v>3</v>
      </c>
      <c r="H13" s="108">
        <v>1</v>
      </c>
      <c r="I13" s="108">
        <v>1</v>
      </c>
      <c r="J13" s="108"/>
      <c r="K13" s="108"/>
      <c r="L13" s="109">
        <f>D13+F13+H13+J13</f>
        <v>2</v>
      </c>
      <c r="M13" s="109">
        <f>E13+G13+I13+K13</f>
        <v>4</v>
      </c>
      <c r="N13" s="108">
        <v>1</v>
      </c>
      <c r="O13" s="108">
        <v>2</v>
      </c>
      <c r="P13" s="108"/>
      <c r="Q13" s="108"/>
      <c r="R13" s="108"/>
      <c r="S13" s="108"/>
      <c r="T13" s="108"/>
      <c r="U13" s="108"/>
      <c r="V13" s="108"/>
      <c r="W13" s="108"/>
      <c r="X13" s="109">
        <f t="shared" si="2"/>
        <v>1</v>
      </c>
      <c r="Y13" s="109">
        <f t="shared" si="3"/>
        <v>2</v>
      </c>
      <c r="Z13" s="108"/>
      <c r="AA13" s="108"/>
      <c r="AB13" s="108"/>
      <c r="AC13" s="108"/>
      <c r="AD13" s="109">
        <f t="shared" si="5"/>
        <v>0</v>
      </c>
      <c r="AE13" s="109">
        <f t="shared" si="5"/>
        <v>0</v>
      </c>
      <c r="AF13" s="109">
        <f>L13+X13+AD13</f>
        <v>3</v>
      </c>
      <c r="AG13" s="109">
        <f>M13+Y13+AE13</f>
        <v>6</v>
      </c>
      <c r="AH13" s="111"/>
      <c r="AI13" s="112"/>
      <c r="AJ13" s="112"/>
      <c r="AK13" s="16"/>
      <c r="AL13" s="16"/>
    </row>
    <row r="14" spans="1:48" s="7" customFormat="1" ht="12" customHeight="1">
      <c r="A14" s="82" t="s">
        <v>13</v>
      </c>
      <c r="B14" s="50"/>
      <c r="C14" s="50"/>
      <c r="D14" s="51">
        <v>2</v>
      </c>
      <c r="E14" s="51">
        <f>28+26</f>
        <v>54</v>
      </c>
      <c r="F14" s="51">
        <v>2</v>
      </c>
      <c r="G14" s="51">
        <f>28+31</f>
        <v>59</v>
      </c>
      <c r="H14" s="51">
        <v>3</v>
      </c>
      <c r="I14" s="51">
        <f>29+31+28</f>
        <v>88</v>
      </c>
      <c r="J14" s="51">
        <f>2</f>
        <v>2</v>
      </c>
      <c r="K14" s="51">
        <f>32+28</f>
        <v>60</v>
      </c>
      <c r="L14" s="52">
        <f t="shared" si="0"/>
        <v>9</v>
      </c>
      <c r="M14" s="52">
        <f t="shared" si="1"/>
        <v>261</v>
      </c>
      <c r="N14" s="53">
        <v>2</v>
      </c>
      <c r="O14" s="53">
        <f>17+17</f>
        <v>34</v>
      </c>
      <c r="P14" s="53">
        <f>2</f>
        <v>2</v>
      </c>
      <c r="Q14" s="53">
        <f>19+22</f>
        <v>41</v>
      </c>
      <c r="R14" s="53">
        <f>2</f>
        <v>2</v>
      </c>
      <c r="S14" s="53">
        <f>17+18</f>
        <v>35</v>
      </c>
      <c r="T14" s="53">
        <v>1</v>
      </c>
      <c r="U14" s="53">
        <v>23</v>
      </c>
      <c r="V14" s="53">
        <v>1</v>
      </c>
      <c r="W14" s="53">
        <v>29</v>
      </c>
      <c r="X14" s="52">
        <f t="shared" si="2"/>
        <v>8</v>
      </c>
      <c r="Y14" s="52">
        <f t="shared" si="3"/>
        <v>162</v>
      </c>
      <c r="Z14" s="53">
        <v>1</v>
      </c>
      <c r="AA14" s="53">
        <v>19</v>
      </c>
      <c r="AB14" s="53">
        <v>1</v>
      </c>
      <c r="AC14" s="53">
        <v>21</v>
      </c>
      <c r="AD14" s="52">
        <f t="shared" si="4"/>
        <v>2</v>
      </c>
      <c r="AE14" s="52">
        <f t="shared" si="5"/>
        <v>40</v>
      </c>
      <c r="AF14" s="95">
        <f t="shared" si="6"/>
        <v>19</v>
      </c>
      <c r="AG14" s="95">
        <f t="shared" si="7"/>
        <v>463</v>
      </c>
      <c r="AH14" s="54">
        <f t="shared" si="8"/>
        <v>24.36842105263158</v>
      </c>
      <c r="AI14" s="53">
        <v>2</v>
      </c>
      <c r="AJ14" s="53">
        <v>60</v>
      </c>
      <c r="AK14" s="88">
        <v>2</v>
      </c>
      <c r="AL14" s="88">
        <v>74</v>
      </c>
      <c r="AM14" s="89">
        <v>1</v>
      </c>
      <c r="AN14" s="89">
        <v>3</v>
      </c>
      <c r="AO14" s="89">
        <v>3</v>
      </c>
      <c r="AP14" s="89">
        <v>90</v>
      </c>
      <c r="AQ14" s="90">
        <v>2</v>
      </c>
      <c r="AR14" s="90">
        <v>60</v>
      </c>
      <c r="AS14" s="90"/>
      <c r="AT14" s="90"/>
      <c r="AU14" s="90"/>
      <c r="AV14" s="91">
        <v>90</v>
      </c>
    </row>
    <row r="15" spans="1:48" s="7" customFormat="1" ht="12" customHeight="1">
      <c r="A15" s="82" t="s">
        <v>14</v>
      </c>
      <c r="B15" s="50"/>
      <c r="C15" s="50"/>
      <c r="D15" s="51">
        <v>2</v>
      </c>
      <c r="E15" s="51">
        <f>20+21</f>
        <v>41</v>
      </c>
      <c r="F15" s="51">
        <v>2</v>
      </c>
      <c r="G15" s="51">
        <f>21+21</f>
        <v>42</v>
      </c>
      <c r="H15" s="51">
        <f>2</f>
        <v>2</v>
      </c>
      <c r="I15" s="51">
        <f>20+23</f>
        <v>43</v>
      </c>
      <c r="J15" s="51">
        <v>1</v>
      </c>
      <c r="K15" s="51">
        <v>28</v>
      </c>
      <c r="L15" s="52">
        <f t="shared" si="0"/>
        <v>7</v>
      </c>
      <c r="M15" s="52">
        <f t="shared" si="1"/>
        <v>154</v>
      </c>
      <c r="N15" s="53">
        <v>2</v>
      </c>
      <c r="O15" s="53">
        <f>23+21</f>
        <v>44</v>
      </c>
      <c r="P15" s="53">
        <v>2</v>
      </c>
      <c r="Q15" s="53">
        <f>21+21</f>
        <v>42</v>
      </c>
      <c r="R15" s="53">
        <v>1</v>
      </c>
      <c r="S15" s="53">
        <v>32</v>
      </c>
      <c r="T15" s="53">
        <f>2</f>
        <v>2</v>
      </c>
      <c r="U15" s="53">
        <f>18+19</f>
        <v>37</v>
      </c>
      <c r="V15" s="53">
        <f>2</f>
        <v>2</v>
      </c>
      <c r="W15" s="53">
        <f>18+19</f>
        <v>37</v>
      </c>
      <c r="X15" s="52">
        <f t="shared" si="2"/>
        <v>9</v>
      </c>
      <c r="Y15" s="52">
        <f t="shared" si="3"/>
        <v>192</v>
      </c>
      <c r="Z15" s="53">
        <v>1</v>
      </c>
      <c r="AA15" s="53">
        <v>23</v>
      </c>
      <c r="AB15" s="53">
        <v>1</v>
      </c>
      <c r="AC15" s="53">
        <v>21</v>
      </c>
      <c r="AD15" s="52">
        <f t="shared" si="4"/>
        <v>2</v>
      </c>
      <c r="AE15" s="52">
        <f t="shared" si="5"/>
        <v>44</v>
      </c>
      <c r="AF15" s="95">
        <f t="shared" si="6"/>
        <v>18</v>
      </c>
      <c r="AG15" s="95">
        <f t="shared" si="7"/>
        <v>390</v>
      </c>
      <c r="AH15" s="54">
        <f t="shared" si="8"/>
        <v>21.666666666666668</v>
      </c>
      <c r="AI15" s="53">
        <v>1</v>
      </c>
      <c r="AJ15" s="53">
        <v>30</v>
      </c>
      <c r="AK15" s="92">
        <v>1</v>
      </c>
      <c r="AL15" s="92">
        <v>25</v>
      </c>
      <c r="AM15" s="90"/>
      <c r="AN15" s="90"/>
      <c r="AO15" s="90">
        <v>1</v>
      </c>
      <c r="AP15" s="90">
        <v>30</v>
      </c>
      <c r="AQ15" s="90"/>
      <c r="AR15" s="90"/>
      <c r="AS15" s="90"/>
      <c r="AT15" s="90"/>
      <c r="AU15" s="90"/>
      <c r="AV15" s="91">
        <v>30</v>
      </c>
    </row>
    <row r="16" spans="1:48" s="7" customFormat="1" ht="11.25" customHeight="1">
      <c r="A16" s="82" t="s">
        <v>15</v>
      </c>
      <c r="B16" s="50"/>
      <c r="C16" s="50"/>
      <c r="D16" s="51">
        <f>5</f>
        <v>5</v>
      </c>
      <c r="E16" s="51">
        <f>32+31+30+30+31</f>
        <v>154</v>
      </c>
      <c r="F16" s="51">
        <v>5</v>
      </c>
      <c r="G16" s="51">
        <f>33+33+32+34+30</f>
        <v>162</v>
      </c>
      <c r="H16" s="51">
        <v>4</v>
      </c>
      <c r="I16" s="51">
        <f>38+37+33+32</f>
        <v>140</v>
      </c>
      <c r="J16" s="51">
        <f>4</f>
        <v>4</v>
      </c>
      <c r="K16" s="51">
        <f>29+28+29+28</f>
        <v>114</v>
      </c>
      <c r="L16" s="52">
        <f t="shared" si="0"/>
        <v>18</v>
      </c>
      <c r="M16" s="52">
        <f t="shared" si="1"/>
        <v>570</v>
      </c>
      <c r="N16" s="53">
        <f>4</f>
        <v>4</v>
      </c>
      <c r="O16" s="53">
        <f>29+33+32+33</f>
        <v>127</v>
      </c>
      <c r="P16" s="53">
        <f>4</f>
        <v>4</v>
      </c>
      <c r="Q16" s="53">
        <f>33+32+34+33</f>
        <v>132</v>
      </c>
      <c r="R16" s="53">
        <f>4</f>
        <v>4</v>
      </c>
      <c r="S16" s="53">
        <f>28+28+28+25</f>
        <v>109</v>
      </c>
      <c r="T16" s="53">
        <f>4</f>
        <v>4</v>
      </c>
      <c r="U16" s="53">
        <f>29+30+28+26</f>
        <v>113</v>
      </c>
      <c r="V16" s="53">
        <f>4</f>
        <v>4</v>
      </c>
      <c r="W16" s="53">
        <f>28+26+28+29</f>
        <v>111</v>
      </c>
      <c r="X16" s="52">
        <f t="shared" si="2"/>
        <v>20</v>
      </c>
      <c r="Y16" s="52">
        <f t="shared" si="3"/>
        <v>592</v>
      </c>
      <c r="Z16" s="53">
        <f>2</f>
        <v>2</v>
      </c>
      <c r="AA16" s="53">
        <f>29+22</f>
        <v>51</v>
      </c>
      <c r="AB16" s="53">
        <f>2</f>
        <v>2</v>
      </c>
      <c r="AC16" s="53">
        <f>26+31</f>
        <v>57</v>
      </c>
      <c r="AD16" s="52">
        <f t="shared" si="4"/>
        <v>4</v>
      </c>
      <c r="AE16" s="52">
        <f t="shared" si="5"/>
        <v>108</v>
      </c>
      <c r="AF16" s="95">
        <f t="shared" si="6"/>
        <v>42</v>
      </c>
      <c r="AG16" s="95">
        <f t="shared" si="7"/>
        <v>1270</v>
      </c>
      <c r="AH16" s="54">
        <f t="shared" si="8"/>
        <v>30.238095238095237</v>
      </c>
      <c r="AI16" s="53">
        <v>3</v>
      </c>
      <c r="AJ16" s="53">
        <v>90</v>
      </c>
      <c r="AK16" s="92">
        <v>2</v>
      </c>
      <c r="AL16" s="92">
        <v>60</v>
      </c>
      <c r="AM16" s="90"/>
      <c r="AN16" s="90"/>
      <c r="AO16" s="90">
        <v>2</v>
      </c>
      <c r="AP16" s="90">
        <v>60</v>
      </c>
      <c r="AQ16" s="93">
        <v>3</v>
      </c>
      <c r="AR16" s="93">
        <v>90</v>
      </c>
      <c r="AS16" s="90"/>
      <c r="AT16" s="90"/>
      <c r="AU16" s="90"/>
      <c r="AV16" s="91">
        <v>60</v>
      </c>
    </row>
    <row r="17" spans="1:48" s="90" customFormat="1" ht="12" customHeight="1">
      <c r="A17" s="82" t="s">
        <v>17</v>
      </c>
      <c r="B17" s="50"/>
      <c r="C17" s="50"/>
      <c r="D17" s="51">
        <v>7</v>
      </c>
      <c r="E17" s="51">
        <f>31+30+31+30+31+32+32</f>
        <v>217</v>
      </c>
      <c r="F17" s="51">
        <f>8</f>
        <v>8</v>
      </c>
      <c r="G17" s="51">
        <f>30+26+30+27+29+30+28+25</f>
        <v>225</v>
      </c>
      <c r="H17" s="51">
        <v>8</v>
      </c>
      <c r="I17" s="51">
        <f>30+31+29+29+28+24+31+26</f>
        <v>228</v>
      </c>
      <c r="J17" s="51">
        <f>7</f>
        <v>7</v>
      </c>
      <c r="K17" s="51">
        <f>29+28+28+29+31+30+31</f>
        <v>206</v>
      </c>
      <c r="L17" s="52">
        <f t="shared" si="0"/>
        <v>30</v>
      </c>
      <c r="M17" s="52">
        <f t="shared" si="1"/>
        <v>876</v>
      </c>
      <c r="N17" s="53">
        <v>8</v>
      </c>
      <c r="O17" s="53">
        <f>30+28+30+25+31+29+29+25</f>
        <v>227</v>
      </c>
      <c r="P17" s="53">
        <v>7</v>
      </c>
      <c r="Q17" s="53">
        <f>34+31+35+29+28+28+28</f>
        <v>213</v>
      </c>
      <c r="R17" s="53">
        <v>8</v>
      </c>
      <c r="S17" s="53">
        <f>28+28+25+25+25+26+25+28</f>
        <v>210</v>
      </c>
      <c r="T17" s="53">
        <f>6</f>
        <v>6</v>
      </c>
      <c r="U17" s="53">
        <f>28+29+29+25+25+27</f>
        <v>163</v>
      </c>
      <c r="V17" s="53">
        <f>6</f>
        <v>6</v>
      </c>
      <c r="W17" s="53">
        <f>28+29+29+28+25+31</f>
        <v>170</v>
      </c>
      <c r="X17" s="52">
        <f t="shared" si="2"/>
        <v>35</v>
      </c>
      <c r="Y17" s="52">
        <f t="shared" si="3"/>
        <v>983</v>
      </c>
      <c r="Z17" s="53">
        <v>3</v>
      </c>
      <c r="AA17" s="53">
        <f>28*3</f>
        <v>84</v>
      </c>
      <c r="AB17" s="53">
        <v>4</v>
      </c>
      <c r="AC17" s="53">
        <f>30+28+30+29</f>
        <v>117</v>
      </c>
      <c r="AD17" s="52">
        <f t="shared" si="4"/>
        <v>7</v>
      </c>
      <c r="AE17" s="52">
        <f t="shared" si="5"/>
        <v>201</v>
      </c>
      <c r="AF17" s="95">
        <f t="shared" si="6"/>
        <v>72</v>
      </c>
      <c r="AG17" s="95">
        <f t="shared" si="7"/>
        <v>2060</v>
      </c>
      <c r="AH17" s="54">
        <f t="shared" si="8"/>
        <v>28.61111111111111</v>
      </c>
      <c r="AI17" s="53">
        <v>4</v>
      </c>
      <c r="AJ17" s="53">
        <v>120</v>
      </c>
      <c r="AK17" s="92">
        <v>4</v>
      </c>
      <c r="AL17" s="92">
        <v>140</v>
      </c>
      <c r="AO17" s="90">
        <v>4</v>
      </c>
      <c r="AP17" s="90">
        <v>120</v>
      </c>
      <c r="AV17" s="91">
        <v>144</v>
      </c>
    </row>
    <row r="18" spans="1:48" s="90" customFormat="1" ht="12" customHeight="1">
      <c r="A18" s="106" t="s">
        <v>58</v>
      </c>
      <c r="B18" s="108"/>
      <c r="C18" s="108"/>
      <c r="D18" s="108">
        <v>1</v>
      </c>
      <c r="E18" s="108">
        <v>1</v>
      </c>
      <c r="F18" s="108"/>
      <c r="G18" s="108"/>
      <c r="H18" s="108">
        <v>1</v>
      </c>
      <c r="I18" s="108">
        <v>1</v>
      </c>
      <c r="J18" s="108"/>
      <c r="K18" s="108"/>
      <c r="L18" s="109">
        <f>D18+F18+H18+J18</f>
        <v>2</v>
      </c>
      <c r="M18" s="109">
        <f>E18+G18+I18+K18</f>
        <v>2</v>
      </c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9">
        <f t="shared" si="2"/>
        <v>0</v>
      </c>
      <c r="Y18" s="109">
        <f>O18+Q18+S18+U18+W18</f>
        <v>0</v>
      </c>
      <c r="Z18" s="108"/>
      <c r="AA18" s="108"/>
      <c r="AB18" s="108"/>
      <c r="AC18" s="108"/>
      <c r="AD18" s="109">
        <f t="shared" si="4"/>
        <v>0</v>
      </c>
      <c r="AE18" s="109">
        <f>AA18+AC18</f>
        <v>0</v>
      </c>
      <c r="AF18" s="109">
        <f>L18+X18+AD18</f>
        <v>2</v>
      </c>
      <c r="AG18" s="109">
        <f>M18+Y18+AE18</f>
        <v>2</v>
      </c>
      <c r="AH18" s="54"/>
      <c r="AI18" s="53"/>
      <c r="AJ18" s="53"/>
      <c r="AK18" s="92"/>
      <c r="AL18" s="92"/>
      <c r="AV18" s="91"/>
    </row>
    <row r="19" spans="1:48" s="7" customFormat="1" ht="13.5" customHeight="1">
      <c r="A19" s="55" t="s">
        <v>16</v>
      </c>
      <c r="B19" s="50"/>
      <c r="C19" s="50"/>
      <c r="D19" s="51">
        <v>1</v>
      </c>
      <c r="E19" s="51">
        <v>29</v>
      </c>
      <c r="F19" s="51">
        <v>2</v>
      </c>
      <c r="G19" s="51">
        <f>25+26</f>
        <v>51</v>
      </c>
      <c r="H19" s="51">
        <f>1</f>
        <v>1</v>
      </c>
      <c r="I19" s="51">
        <v>28</v>
      </c>
      <c r="J19" s="51">
        <v>1</v>
      </c>
      <c r="K19" s="51">
        <v>24</v>
      </c>
      <c r="L19" s="52">
        <f t="shared" si="0"/>
        <v>5</v>
      </c>
      <c r="M19" s="52">
        <f t="shared" si="1"/>
        <v>132</v>
      </c>
      <c r="N19" s="53">
        <v>1</v>
      </c>
      <c r="O19" s="53">
        <v>32</v>
      </c>
      <c r="P19" s="53">
        <v>2</v>
      </c>
      <c r="Q19" s="53">
        <f>21+22</f>
        <v>43</v>
      </c>
      <c r="R19" s="53">
        <v>1</v>
      </c>
      <c r="S19" s="53">
        <v>22</v>
      </c>
      <c r="T19" s="53">
        <v>1</v>
      </c>
      <c r="U19" s="53">
        <v>31</v>
      </c>
      <c r="V19" s="53">
        <v>1</v>
      </c>
      <c r="W19" s="53">
        <v>23</v>
      </c>
      <c r="X19" s="52">
        <f t="shared" si="2"/>
        <v>6</v>
      </c>
      <c r="Y19" s="52">
        <f t="shared" si="3"/>
        <v>151</v>
      </c>
      <c r="Z19" s="100">
        <v>1</v>
      </c>
      <c r="AA19" s="100">
        <v>17</v>
      </c>
      <c r="AB19" s="100">
        <v>1</v>
      </c>
      <c r="AC19" s="100">
        <v>24</v>
      </c>
      <c r="AD19" s="52">
        <f t="shared" si="4"/>
        <v>2</v>
      </c>
      <c r="AE19" s="52">
        <f t="shared" si="5"/>
        <v>41</v>
      </c>
      <c r="AF19" s="95">
        <f t="shared" si="6"/>
        <v>13</v>
      </c>
      <c r="AG19" s="95">
        <f t="shared" si="7"/>
        <v>324</v>
      </c>
      <c r="AH19" s="54">
        <f t="shared" si="8"/>
        <v>24.923076923076923</v>
      </c>
      <c r="AI19" s="53">
        <v>1</v>
      </c>
      <c r="AJ19" s="53">
        <v>30</v>
      </c>
      <c r="AK19" s="4">
        <v>1</v>
      </c>
      <c r="AL19" s="4">
        <v>30</v>
      </c>
      <c r="AO19" s="7">
        <v>1</v>
      </c>
      <c r="AP19" s="7">
        <v>30</v>
      </c>
      <c r="AV19" s="84">
        <v>30</v>
      </c>
    </row>
    <row r="20" spans="1:38" s="7" customFormat="1" ht="12.75" customHeight="1">
      <c r="A20" s="106" t="s">
        <v>58</v>
      </c>
      <c r="B20" s="109"/>
      <c r="C20" s="109"/>
      <c r="D20" s="119"/>
      <c r="E20" s="119"/>
      <c r="F20" s="109">
        <v>2</v>
      </c>
      <c r="G20" s="109">
        <v>4</v>
      </c>
      <c r="H20" s="109"/>
      <c r="I20" s="109"/>
      <c r="J20" s="109">
        <v>1</v>
      </c>
      <c r="K20" s="109">
        <v>1</v>
      </c>
      <c r="L20" s="109">
        <f>D20+F20+H20+J20</f>
        <v>3</v>
      </c>
      <c r="M20" s="109">
        <f>E20+G20+I20+K20</f>
        <v>5</v>
      </c>
      <c r="N20" s="108"/>
      <c r="O20" s="108"/>
      <c r="P20" s="108"/>
      <c r="Q20" s="108"/>
      <c r="R20" s="108">
        <v>1</v>
      </c>
      <c r="S20" s="108">
        <v>1</v>
      </c>
      <c r="T20" s="108">
        <v>1</v>
      </c>
      <c r="U20" s="108">
        <v>2</v>
      </c>
      <c r="V20" s="108"/>
      <c r="W20" s="108"/>
      <c r="X20" s="109">
        <f t="shared" si="2"/>
        <v>2</v>
      </c>
      <c r="Y20" s="109">
        <f>O20+Q20+S20+U20+W20</f>
        <v>3</v>
      </c>
      <c r="Z20" s="108"/>
      <c r="AA20" s="108"/>
      <c r="AB20" s="108"/>
      <c r="AC20" s="108"/>
      <c r="AD20" s="109">
        <f>Z20+AB20</f>
        <v>0</v>
      </c>
      <c r="AE20" s="109">
        <f t="shared" si="4"/>
        <v>0</v>
      </c>
      <c r="AF20" s="109">
        <f>L20+X20+AD20</f>
        <v>5</v>
      </c>
      <c r="AG20" s="109">
        <f>M20+Y20+AE20</f>
        <v>8</v>
      </c>
      <c r="AH20" s="113"/>
      <c r="AI20" s="80"/>
      <c r="AJ20" s="80"/>
      <c r="AK20" s="4"/>
      <c r="AL20" s="4"/>
    </row>
    <row r="21" spans="1:48" s="7" customFormat="1" ht="12" customHeight="1">
      <c r="A21" s="55" t="s">
        <v>18</v>
      </c>
      <c r="B21" s="50"/>
      <c r="C21" s="50"/>
      <c r="D21" s="51">
        <v>4</v>
      </c>
      <c r="E21" s="51">
        <f>34+34+34+35</f>
        <v>137</v>
      </c>
      <c r="F21" s="51">
        <v>4</v>
      </c>
      <c r="G21" s="51">
        <f>31+31+31+34</f>
        <v>127</v>
      </c>
      <c r="H21" s="51">
        <v>5</v>
      </c>
      <c r="I21" s="51">
        <f>33+33+34+32+33</f>
        <v>165</v>
      </c>
      <c r="J21" s="51">
        <v>5</v>
      </c>
      <c r="K21" s="51">
        <f>31+30+32+28+25</f>
        <v>146</v>
      </c>
      <c r="L21" s="52">
        <f t="shared" si="0"/>
        <v>18</v>
      </c>
      <c r="M21" s="52">
        <f t="shared" si="1"/>
        <v>575</v>
      </c>
      <c r="N21" s="53">
        <v>5</v>
      </c>
      <c r="O21" s="53">
        <f>29+32+32+30+30</f>
        <v>153</v>
      </c>
      <c r="P21" s="53">
        <v>4</v>
      </c>
      <c r="Q21" s="53">
        <f>32+32+34+34</f>
        <v>132</v>
      </c>
      <c r="R21" s="53">
        <f>5</f>
        <v>5</v>
      </c>
      <c r="S21" s="53">
        <f>27+25+30+16+27</f>
        <v>125</v>
      </c>
      <c r="T21" s="53">
        <f>4</f>
        <v>4</v>
      </c>
      <c r="U21" s="53">
        <f>32+27+30+27</f>
        <v>116</v>
      </c>
      <c r="V21" s="53">
        <v>4</v>
      </c>
      <c r="W21" s="53">
        <f>30+28+28+29</f>
        <v>115</v>
      </c>
      <c r="X21" s="52">
        <f t="shared" si="2"/>
        <v>22</v>
      </c>
      <c r="Y21" s="52">
        <f t="shared" si="3"/>
        <v>641</v>
      </c>
      <c r="Z21" s="53">
        <f>2</f>
        <v>2</v>
      </c>
      <c r="AA21" s="53">
        <f>28+20</f>
        <v>48</v>
      </c>
      <c r="AB21" s="53">
        <v>2</v>
      </c>
      <c r="AC21" s="53">
        <f>27+32</f>
        <v>59</v>
      </c>
      <c r="AD21" s="52">
        <f>Z21+AB21</f>
        <v>4</v>
      </c>
      <c r="AE21" s="52">
        <f t="shared" si="4"/>
        <v>107</v>
      </c>
      <c r="AF21" s="95">
        <f aca="true" t="shared" si="9" ref="AF21:AF59">L21+X21+AD21+B21</f>
        <v>44</v>
      </c>
      <c r="AG21" s="95">
        <f aca="true" t="shared" si="10" ref="AG21:AG59">M21+Y21+AE21+C21</f>
        <v>1323</v>
      </c>
      <c r="AH21" s="54">
        <f t="shared" si="8"/>
        <v>30.068181818181817</v>
      </c>
      <c r="AI21" s="53">
        <v>3</v>
      </c>
      <c r="AJ21" s="53">
        <v>90</v>
      </c>
      <c r="AK21" s="92">
        <v>3</v>
      </c>
      <c r="AL21" s="92">
        <v>90</v>
      </c>
      <c r="AM21" s="90"/>
      <c r="AN21" s="90"/>
      <c r="AO21" s="90">
        <v>2</v>
      </c>
      <c r="AP21" s="90">
        <v>60</v>
      </c>
      <c r="AQ21" s="90">
        <v>3</v>
      </c>
      <c r="AR21" s="90">
        <v>90</v>
      </c>
      <c r="AS21" s="90"/>
      <c r="AT21" s="90"/>
      <c r="AU21" s="90"/>
      <c r="AV21" s="91">
        <v>90</v>
      </c>
    </row>
    <row r="22" spans="1:48" s="7" customFormat="1" ht="12" customHeight="1">
      <c r="A22" s="106" t="s">
        <v>58</v>
      </c>
      <c r="B22" s="107"/>
      <c r="C22" s="107"/>
      <c r="D22" s="108"/>
      <c r="E22" s="108"/>
      <c r="F22" s="108"/>
      <c r="G22" s="108"/>
      <c r="H22" s="108"/>
      <c r="I22" s="108"/>
      <c r="J22" s="108"/>
      <c r="K22" s="108"/>
      <c r="L22" s="109">
        <f>D22+F22+H22+J22</f>
        <v>0</v>
      </c>
      <c r="M22" s="109">
        <f>E22+G22+I22+K22</f>
        <v>0</v>
      </c>
      <c r="N22" s="108">
        <v>1</v>
      </c>
      <c r="O22" s="108">
        <v>1</v>
      </c>
      <c r="P22" s="108"/>
      <c r="Q22" s="108"/>
      <c r="R22" s="108"/>
      <c r="S22" s="108"/>
      <c r="T22" s="108"/>
      <c r="U22" s="108"/>
      <c r="V22" s="108"/>
      <c r="W22" s="108"/>
      <c r="X22" s="109">
        <f t="shared" si="2"/>
        <v>1</v>
      </c>
      <c r="Y22" s="109">
        <f>O22+Q22+S22+U22+W22</f>
        <v>1</v>
      </c>
      <c r="Z22" s="108"/>
      <c r="AA22" s="108"/>
      <c r="AB22" s="108"/>
      <c r="AC22" s="108"/>
      <c r="AD22" s="109">
        <f>Z22+AB22</f>
        <v>0</v>
      </c>
      <c r="AE22" s="109">
        <f t="shared" si="4"/>
        <v>0</v>
      </c>
      <c r="AF22" s="109">
        <f>L22+X22+AD22</f>
        <v>1</v>
      </c>
      <c r="AG22" s="109">
        <f>M22+Y22+AE22</f>
        <v>1</v>
      </c>
      <c r="AH22" s="54"/>
      <c r="AI22" s="53"/>
      <c r="AJ22" s="53"/>
      <c r="AK22" s="92"/>
      <c r="AL22" s="92"/>
      <c r="AM22" s="90"/>
      <c r="AN22" s="90"/>
      <c r="AO22" s="90"/>
      <c r="AP22" s="90"/>
      <c r="AQ22" s="90"/>
      <c r="AR22" s="90"/>
      <c r="AS22" s="90"/>
      <c r="AT22" s="90"/>
      <c r="AU22" s="90"/>
      <c r="AV22" s="91"/>
    </row>
    <row r="23" spans="1:48" s="7" customFormat="1" ht="12" customHeight="1">
      <c r="A23" s="55" t="s">
        <v>19</v>
      </c>
      <c r="B23" s="50"/>
      <c r="C23" s="50"/>
      <c r="D23" s="51">
        <v>5</v>
      </c>
      <c r="E23" s="51">
        <f>27+27+26+26+26</f>
        <v>132</v>
      </c>
      <c r="F23" s="51">
        <v>5</v>
      </c>
      <c r="G23" s="51">
        <f>31+32+27+27+28</f>
        <v>145</v>
      </c>
      <c r="H23" s="51">
        <f>6</f>
        <v>6</v>
      </c>
      <c r="I23" s="51">
        <f>32+28+28+25+31+23</f>
        <v>167</v>
      </c>
      <c r="J23" s="51">
        <f>5</f>
        <v>5</v>
      </c>
      <c r="K23" s="51">
        <f>29+33+30+31+28</f>
        <v>151</v>
      </c>
      <c r="L23" s="52">
        <f t="shared" si="0"/>
        <v>21</v>
      </c>
      <c r="M23" s="52">
        <f t="shared" si="1"/>
        <v>595</v>
      </c>
      <c r="N23" s="53">
        <v>5</v>
      </c>
      <c r="O23" s="53">
        <f>29+29+30+29+29</f>
        <v>146</v>
      </c>
      <c r="P23" s="53">
        <v>6</v>
      </c>
      <c r="Q23" s="53">
        <f>36+34+31+32+32+25</f>
        <v>190</v>
      </c>
      <c r="R23" s="53">
        <f>6</f>
        <v>6</v>
      </c>
      <c r="S23" s="53">
        <f>29+25+28+22+28+23</f>
        <v>155</v>
      </c>
      <c r="T23" s="53">
        <f>5</f>
        <v>5</v>
      </c>
      <c r="U23" s="53">
        <f>29+30+22+22+23</f>
        <v>126</v>
      </c>
      <c r="V23" s="53">
        <f>5</f>
        <v>5</v>
      </c>
      <c r="W23" s="53">
        <f>27+26+25+26+23</f>
        <v>127</v>
      </c>
      <c r="X23" s="52">
        <f t="shared" si="2"/>
        <v>27</v>
      </c>
      <c r="Y23" s="52">
        <f t="shared" si="3"/>
        <v>744</v>
      </c>
      <c r="Z23" s="53">
        <f>2</f>
        <v>2</v>
      </c>
      <c r="AA23" s="53">
        <f>26+29</f>
        <v>55</v>
      </c>
      <c r="AB23" s="53">
        <f>3</f>
        <v>3</v>
      </c>
      <c r="AC23" s="53">
        <f>31+25+29</f>
        <v>85</v>
      </c>
      <c r="AD23" s="52">
        <f t="shared" si="4"/>
        <v>5</v>
      </c>
      <c r="AE23" s="52">
        <f t="shared" si="4"/>
        <v>140</v>
      </c>
      <c r="AF23" s="95">
        <f t="shared" si="9"/>
        <v>53</v>
      </c>
      <c r="AG23" s="95">
        <f t="shared" si="10"/>
        <v>1479</v>
      </c>
      <c r="AH23" s="54">
        <f t="shared" si="8"/>
        <v>27.90566037735849</v>
      </c>
      <c r="AI23" s="53">
        <v>3</v>
      </c>
      <c r="AJ23" s="53">
        <v>90</v>
      </c>
      <c r="AK23" s="88">
        <v>4</v>
      </c>
      <c r="AL23" s="88">
        <v>140</v>
      </c>
      <c r="AM23" s="89"/>
      <c r="AN23" s="89">
        <v>4</v>
      </c>
      <c r="AO23" s="89">
        <v>4</v>
      </c>
      <c r="AP23" s="89">
        <v>120</v>
      </c>
      <c r="AQ23" s="94"/>
      <c r="AR23" s="94"/>
      <c r="AS23" s="90"/>
      <c r="AT23" s="90"/>
      <c r="AU23" s="90"/>
      <c r="AV23" s="91">
        <v>90</v>
      </c>
    </row>
    <row r="24" spans="1:48" s="7" customFormat="1" ht="12" customHeight="1">
      <c r="A24" s="55" t="s">
        <v>20</v>
      </c>
      <c r="B24" s="50"/>
      <c r="C24" s="50"/>
      <c r="D24" s="51">
        <v>3</v>
      </c>
      <c r="E24" s="51">
        <f>31+32+29</f>
        <v>92</v>
      </c>
      <c r="F24" s="51">
        <f>3</f>
        <v>3</v>
      </c>
      <c r="G24" s="51">
        <f>31+31+31</f>
        <v>93</v>
      </c>
      <c r="H24" s="51">
        <f>3</f>
        <v>3</v>
      </c>
      <c r="I24" s="51">
        <f>29+30+29</f>
        <v>88</v>
      </c>
      <c r="J24" s="51">
        <f>3</f>
        <v>3</v>
      </c>
      <c r="K24" s="51">
        <f>32+34+34</f>
        <v>100</v>
      </c>
      <c r="L24" s="52">
        <f t="shared" si="0"/>
        <v>12</v>
      </c>
      <c r="M24" s="52">
        <f t="shared" si="1"/>
        <v>373</v>
      </c>
      <c r="N24" s="53">
        <v>3</v>
      </c>
      <c r="O24" s="53">
        <f>33+33+32</f>
        <v>98</v>
      </c>
      <c r="P24" s="53">
        <f>3</f>
        <v>3</v>
      </c>
      <c r="Q24" s="53">
        <f>29+32+30</f>
        <v>91</v>
      </c>
      <c r="R24" s="53">
        <f>3</f>
        <v>3</v>
      </c>
      <c r="S24" s="53">
        <f>20+25+29</f>
        <v>74</v>
      </c>
      <c r="T24" s="53">
        <v>2</v>
      </c>
      <c r="U24" s="53">
        <f>29+33</f>
        <v>62</v>
      </c>
      <c r="V24" s="53">
        <f>3</f>
        <v>3</v>
      </c>
      <c r="W24" s="53">
        <f>20+20+20</f>
        <v>60</v>
      </c>
      <c r="X24" s="52">
        <f t="shared" si="2"/>
        <v>14</v>
      </c>
      <c r="Y24" s="52">
        <f t="shared" si="3"/>
        <v>385</v>
      </c>
      <c r="Z24" s="53">
        <f>2</f>
        <v>2</v>
      </c>
      <c r="AA24" s="53">
        <f>22+22</f>
        <v>44</v>
      </c>
      <c r="AB24" s="53">
        <v>1</v>
      </c>
      <c r="AC24" s="53">
        <v>29</v>
      </c>
      <c r="AD24" s="52">
        <f t="shared" si="4"/>
        <v>3</v>
      </c>
      <c r="AE24" s="52">
        <f t="shared" si="4"/>
        <v>73</v>
      </c>
      <c r="AF24" s="95">
        <f t="shared" si="9"/>
        <v>29</v>
      </c>
      <c r="AG24" s="95">
        <f t="shared" si="10"/>
        <v>831</v>
      </c>
      <c r="AH24" s="54">
        <f t="shared" si="8"/>
        <v>28.655172413793103</v>
      </c>
      <c r="AI24" s="53">
        <v>2</v>
      </c>
      <c r="AJ24" s="53">
        <v>60</v>
      </c>
      <c r="AK24" s="92">
        <v>2</v>
      </c>
      <c r="AL24" s="92">
        <v>60</v>
      </c>
      <c r="AM24" s="90"/>
      <c r="AN24" s="90"/>
      <c r="AO24" s="90">
        <v>2</v>
      </c>
      <c r="AP24" s="90">
        <v>60</v>
      </c>
      <c r="AQ24" s="90"/>
      <c r="AR24" s="90"/>
      <c r="AS24" s="90"/>
      <c r="AT24" s="90"/>
      <c r="AU24" s="90"/>
      <c r="AV24" s="91">
        <v>60</v>
      </c>
    </row>
    <row r="25" spans="1:48" s="7" customFormat="1" ht="12" customHeight="1">
      <c r="A25" s="99" t="s">
        <v>21</v>
      </c>
      <c r="B25" s="50"/>
      <c r="C25" s="50"/>
      <c r="D25" s="51">
        <v>2</v>
      </c>
      <c r="E25" s="51">
        <f>30+30</f>
        <v>60</v>
      </c>
      <c r="F25" s="51">
        <f>2</f>
        <v>2</v>
      </c>
      <c r="G25" s="51">
        <f>28+28</f>
        <v>56</v>
      </c>
      <c r="H25" s="51">
        <v>2</v>
      </c>
      <c r="I25" s="51">
        <f>27+20</f>
        <v>47</v>
      </c>
      <c r="J25" s="51">
        <f>2</f>
        <v>2</v>
      </c>
      <c r="K25" s="51">
        <f>27+25</f>
        <v>52</v>
      </c>
      <c r="L25" s="52">
        <f t="shared" si="0"/>
        <v>8</v>
      </c>
      <c r="M25" s="52">
        <f t="shared" si="1"/>
        <v>215</v>
      </c>
      <c r="N25" s="53">
        <f>2</f>
        <v>2</v>
      </c>
      <c r="O25" s="53">
        <f>23+24</f>
        <v>47</v>
      </c>
      <c r="P25" s="53">
        <f>2</f>
        <v>2</v>
      </c>
      <c r="Q25" s="53">
        <f>28+28</f>
        <v>56</v>
      </c>
      <c r="R25" s="53">
        <f>2</f>
        <v>2</v>
      </c>
      <c r="S25" s="53">
        <f>23+24</f>
        <v>47</v>
      </c>
      <c r="T25" s="53">
        <f>2</f>
        <v>2</v>
      </c>
      <c r="U25" s="53">
        <f>24+26</f>
        <v>50</v>
      </c>
      <c r="V25" s="53">
        <v>2</v>
      </c>
      <c r="W25" s="53">
        <f>19+18</f>
        <v>37</v>
      </c>
      <c r="X25" s="52">
        <f t="shared" si="2"/>
        <v>10</v>
      </c>
      <c r="Y25" s="52">
        <f t="shared" si="3"/>
        <v>237</v>
      </c>
      <c r="Z25" s="53">
        <f>1</f>
        <v>1</v>
      </c>
      <c r="AA25" s="53">
        <v>23</v>
      </c>
      <c r="AB25" s="53">
        <v>1</v>
      </c>
      <c r="AC25" s="53">
        <v>23</v>
      </c>
      <c r="AD25" s="52">
        <f t="shared" si="4"/>
        <v>2</v>
      </c>
      <c r="AE25" s="52">
        <f t="shared" si="4"/>
        <v>46</v>
      </c>
      <c r="AF25" s="95">
        <f t="shared" si="9"/>
        <v>20</v>
      </c>
      <c r="AG25" s="95">
        <f t="shared" si="10"/>
        <v>498</v>
      </c>
      <c r="AH25" s="54">
        <f t="shared" si="8"/>
        <v>24.9</v>
      </c>
      <c r="AI25" s="53">
        <v>1</v>
      </c>
      <c r="AJ25" s="53">
        <v>30</v>
      </c>
      <c r="AK25" s="92">
        <v>1</v>
      </c>
      <c r="AL25" s="92">
        <v>30</v>
      </c>
      <c r="AM25" s="90"/>
      <c r="AN25" s="90"/>
      <c r="AO25" s="90">
        <v>1</v>
      </c>
      <c r="AP25" s="90">
        <v>30</v>
      </c>
      <c r="AQ25" s="90"/>
      <c r="AR25" s="90"/>
      <c r="AS25" s="90"/>
      <c r="AT25" s="90"/>
      <c r="AU25" s="90"/>
      <c r="AV25" s="91">
        <v>30</v>
      </c>
    </row>
    <row r="26" spans="1:48" s="7" customFormat="1" ht="12" customHeight="1">
      <c r="A26" s="106" t="s">
        <v>58</v>
      </c>
      <c r="B26" s="107"/>
      <c r="C26" s="107"/>
      <c r="D26" s="108"/>
      <c r="E26" s="108"/>
      <c r="F26" s="108">
        <v>1</v>
      </c>
      <c r="G26" s="108">
        <v>1</v>
      </c>
      <c r="H26" s="108"/>
      <c r="I26" s="108"/>
      <c r="J26" s="108"/>
      <c r="K26" s="108"/>
      <c r="L26" s="109">
        <f>D26+F26+H26+J26</f>
        <v>1</v>
      </c>
      <c r="M26" s="109">
        <f>E26+G26+I26+K26</f>
        <v>1</v>
      </c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9">
        <f t="shared" si="2"/>
        <v>0</v>
      </c>
      <c r="Y26" s="109">
        <f t="shared" si="3"/>
        <v>0</v>
      </c>
      <c r="Z26" s="108"/>
      <c r="AA26" s="108"/>
      <c r="AB26" s="108"/>
      <c r="AC26" s="108"/>
      <c r="AD26" s="109">
        <f t="shared" si="4"/>
        <v>0</v>
      </c>
      <c r="AE26" s="109">
        <f>AA26+AC26</f>
        <v>0</v>
      </c>
      <c r="AF26" s="109">
        <f>L26+X26+AD26</f>
        <v>1</v>
      </c>
      <c r="AG26" s="109">
        <f>M26+Y26+AE26</f>
        <v>1</v>
      </c>
      <c r="AH26" s="54"/>
      <c r="AI26" s="53"/>
      <c r="AJ26" s="53"/>
      <c r="AK26" s="92"/>
      <c r="AL26" s="92"/>
      <c r="AM26" s="90"/>
      <c r="AN26" s="90"/>
      <c r="AO26" s="90"/>
      <c r="AP26" s="90"/>
      <c r="AQ26" s="90"/>
      <c r="AR26" s="90"/>
      <c r="AS26" s="90"/>
      <c r="AT26" s="90"/>
      <c r="AU26" s="90"/>
      <c r="AV26" s="91"/>
    </row>
    <row r="27" spans="1:49" s="7" customFormat="1" ht="12" customHeight="1">
      <c r="A27" s="55" t="s">
        <v>22</v>
      </c>
      <c r="B27" s="50"/>
      <c r="C27" s="50"/>
      <c r="D27" s="51">
        <v>4</v>
      </c>
      <c r="E27" s="51">
        <f>24+31+32+30</f>
        <v>117</v>
      </c>
      <c r="F27" s="51">
        <v>5</v>
      </c>
      <c r="G27" s="51">
        <f>28+29+28+28+28</f>
        <v>141</v>
      </c>
      <c r="H27" s="51">
        <v>4</v>
      </c>
      <c r="I27" s="51">
        <f>29+35+34+34</f>
        <v>132</v>
      </c>
      <c r="J27" s="51">
        <f>3</f>
        <v>3</v>
      </c>
      <c r="K27" s="51">
        <f>32+30+31</f>
        <v>93</v>
      </c>
      <c r="L27" s="52">
        <f t="shared" si="0"/>
        <v>16</v>
      </c>
      <c r="M27" s="52">
        <f t="shared" si="1"/>
        <v>483</v>
      </c>
      <c r="N27" s="53">
        <v>4</v>
      </c>
      <c r="O27" s="53">
        <f>26+26+25+25</f>
        <v>102</v>
      </c>
      <c r="P27" s="53">
        <f>4</f>
        <v>4</v>
      </c>
      <c r="Q27" s="53">
        <f>28+28+32+21</f>
        <v>109</v>
      </c>
      <c r="R27" s="53">
        <v>4</v>
      </c>
      <c r="S27" s="53">
        <f>29+31+31+17</f>
        <v>108</v>
      </c>
      <c r="T27" s="53">
        <v>3</v>
      </c>
      <c r="U27" s="53">
        <f>24+21+30</f>
        <v>75</v>
      </c>
      <c r="V27" s="53">
        <f>4</f>
        <v>4</v>
      </c>
      <c r="W27" s="53">
        <f>28+28+27+14</f>
        <v>97</v>
      </c>
      <c r="X27" s="52">
        <f t="shared" si="2"/>
        <v>19</v>
      </c>
      <c r="Y27" s="52">
        <f t="shared" si="3"/>
        <v>491</v>
      </c>
      <c r="Z27" s="53">
        <v>2</v>
      </c>
      <c r="AA27" s="53">
        <f>30+30</f>
        <v>60</v>
      </c>
      <c r="AB27" s="53">
        <v>2</v>
      </c>
      <c r="AC27" s="53">
        <f>26+16</f>
        <v>42</v>
      </c>
      <c r="AD27" s="52">
        <f t="shared" si="4"/>
        <v>4</v>
      </c>
      <c r="AE27" s="52">
        <f t="shared" si="4"/>
        <v>102</v>
      </c>
      <c r="AF27" s="95">
        <f t="shared" si="9"/>
        <v>39</v>
      </c>
      <c r="AG27" s="95">
        <f t="shared" si="10"/>
        <v>1076</v>
      </c>
      <c r="AH27" s="54">
        <f t="shared" si="8"/>
        <v>27.58974358974359</v>
      </c>
      <c r="AI27" s="53">
        <v>3</v>
      </c>
      <c r="AJ27" s="53">
        <v>105</v>
      </c>
      <c r="AK27" s="74">
        <v>3</v>
      </c>
      <c r="AL27" s="74">
        <v>114</v>
      </c>
      <c r="AM27" s="75"/>
      <c r="AN27" s="75">
        <v>3</v>
      </c>
      <c r="AO27" s="75">
        <v>3</v>
      </c>
      <c r="AP27" s="75">
        <v>105</v>
      </c>
      <c r="AQ27" s="7">
        <v>3</v>
      </c>
      <c r="AR27" s="7">
        <v>90</v>
      </c>
      <c r="AV27" s="84">
        <v>2</v>
      </c>
      <c r="AW27" s="84">
        <v>60</v>
      </c>
    </row>
    <row r="28" spans="1:49" s="7" customFormat="1" ht="12" customHeight="1">
      <c r="A28" s="55" t="s">
        <v>23</v>
      </c>
      <c r="B28" s="50"/>
      <c r="C28" s="50"/>
      <c r="D28" s="51">
        <f>7</f>
        <v>7</v>
      </c>
      <c r="E28" s="51">
        <f>29+29+28+28+28+28+29</f>
        <v>199</v>
      </c>
      <c r="F28" s="51">
        <v>7</v>
      </c>
      <c r="G28" s="51">
        <f>32+28+30+29+30+30+29</f>
        <v>208</v>
      </c>
      <c r="H28" s="51">
        <v>5</v>
      </c>
      <c r="I28" s="51">
        <f>30+30+28+28+30</f>
        <v>146</v>
      </c>
      <c r="J28" s="51">
        <v>5</v>
      </c>
      <c r="K28" s="51">
        <f>30+32+31+32+32</f>
        <v>157</v>
      </c>
      <c r="L28" s="52">
        <f t="shared" si="0"/>
        <v>24</v>
      </c>
      <c r="M28" s="52">
        <f t="shared" si="1"/>
        <v>710</v>
      </c>
      <c r="N28" s="53">
        <v>6</v>
      </c>
      <c r="O28" s="53">
        <f>28+30+28+28+28+28</f>
        <v>170</v>
      </c>
      <c r="P28" s="53">
        <f>6</f>
        <v>6</v>
      </c>
      <c r="Q28" s="53">
        <f>30+30+29+28+28+28</f>
        <v>173</v>
      </c>
      <c r="R28" s="53">
        <v>5</v>
      </c>
      <c r="S28" s="53">
        <f>28+28+26+24+25</f>
        <v>131</v>
      </c>
      <c r="T28" s="53">
        <v>5</v>
      </c>
      <c r="U28" s="53">
        <f>32+29+27+24+27</f>
        <v>139</v>
      </c>
      <c r="V28" s="53">
        <v>5</v>
      </c>
      <c r="W28" s="53">
        <f>28+28+22+23+23</f>
        <v>124</v>
      </c>
      <c r="X28" s="52">
        <f t="shared" si="2"/>
        <v>27</v>
      </c>
      <c r="Y28" s="52">
        <f t="shared" si="3"/>
        <v>737</v>
      </c>
      <c r="Z28" s="53">
        <v>2</v>
      </c>
      <c r="AA28" s="53">
        <f>28*2</f>
        <v>56</v>
      </c>
      <c r="AB28" s="53">
        <f>2</f>
        <v>2</v>
      </c>
      <c r="AC28" s="53">
        <f>22+20</f>
        <v>42</v>
      </c>
      <c r="AD28" s="52">
        <f t="shared" si="4"/>
        <v>4</v>
      </c>
      <c r="AE28" s="52">
        <f t="shared" si="4"/>
        <v>98</v>
      </c>
      <c r="AF28" s="95">
        <f t="shared" si="9"/>
        <v>55</v>
      </c>
      <c r="AG28" s="95">
        <f t="shared" si="10"/>
        <v>1545</v>
      </c>
      <c r="AH28" s="54">
        <f t="shared" si="8"/>
        <v>28.09090909090909</v>
      </c>
      <c r="AI28" s="53">
        <v>4</v>
      </c>
      <c r="AJ28" s="53">
        <v>120</v>
      </c>
      <c r="AK28" s="4">
        <v>4</v>
      </c>
      <c r="AL28" s="4">
        <v>120</v>
      </c>
      <c r="AO28" s="7">
        <v>3</v>
      </c>
      <c r="AP28" s="7">
        <v>90</v>
      </c>
      <c r="AQ28" s="7">
        <v>4</v>
      </c>
      <c r="AR28" s="7">
        <v>120</v>
      </c>
      <c r="AV28" s="84">
        <v>4</v>
      </c>
      <c r="AW28" s="84">
        <v>120</v>
      </c>
    </row>
    <row r="29" spans="1:38" s="7" customFormat="1" ht="12.75" customHeight="1">
      <c r="A29" s="106" t="s">
        <v>58</v>
      </c>
      <c r="B29" s="108"/>
      <c r="C29" s="108"/>
      <c r="D29" s="108">
        <v>1</v>
      </c>
      <c r="E29" s="108">
        <v>2</v>
      </c>
      <c r="F29" s="108"/>
      <c r="G29" s="108"/>
      <c r="H29" s="108">
        <v>1</v>
      </c>
      <c r="I29" s="108">
        <v>2</v>
      </c>
      <c r="J29" s="108"/>
      <c r="K29" s="108"/>
      <c r="L29" s="109">
        <f>D29+F29+H29+J29</f>
        <v>2</v>
      </c>
      <c r="M29" s="109">
        <f>E29+G29+I29+K29</f>
        <v>4</v>
      </c>
      <c r="N29" s="108"/>
      <c r="O29" s="108"/>
      <c r="P29" s="108">
        <v>1</v>
      </c>
      <c r="Q29" s="108">
        <v>1</v>
      </c>
      <c r="R29" s="108"/>
      <c r="S29" s="108"/>
      <c r="T29" s="108"/>
      <c r="U29" s="108"/>
      <c r="V29" s="108"/>
      <c r="W29" s="108"/>
      <c r="X29" s="109">
        <f t="shared" si="2"/>
        <v>1</v>
      </c>
      <c r="Y29" s="109">
        <f>O29+Q29+S29+U29+W29</f>
        <v>1</v>
      </c>
      <c r="Z29" s="108"/>
      <c r="AA29" s="108"/>
      <c r="AB29" s="108"/>
      <c r="AC29" s="108"/>
      <c r="AD29" s="109">
        <f>Z29+AB29</f>
        <v>0</v>
      </c>
      <c r="AE29" s="109">
        <f>AA29+AC29</f>
        <v>0</v>
      </c>
      <c r="AF29" s="109">
        <f>L29+X29+AD29+B29</f>
        <v>3</v>
      </c>
      <c r="AG29" s="109">
        <f>M29+Y29+AE29+C29</f>
        <v>5</v>
      </c>
      <c r="AH29" s="54"/>
      <c r="AI29" s="53"/>
      <c r="AJ29" s="53"/>
      <c r="AK29" s="4"/>
      <c r="AL29" s="4"/>
    </row>
    <row r="30" spans="1:49" s="7" customFormat="1" ht="12" customHeight="1">
      <c r="A30" s="55" t="s">
        <v>24</v>
      </c>
      <c r="B30" s="50"/>
      <c r="C30" s="50"/>
      <c r="D30" s="51">
        <v>4</v>
      </c>
      <c r="E30" s="51">
        <f>32+33+33+33</f>
        <v>131</v>
      </c>
      <c r="F30" s="51">
        <v>4</v>
      </c>
      <c r="G30" s="51">
        <f>30+28+28+32</f>
        <v>118</v>
      </c>
      <c r="H30" s="51">
        <f>4</f>
        <v>4</v>
      </c>
      <c r="I30" s="51">
        <f>25+30+28+24</f>
        <v>107</v>
      </c>
      <c r="J30" s="51">
        <f>4</f>
        <v>4</v>
      </c>
      <c r="K30" s="51">
        <f>28+24+30+24</f>
        <v>106</v>
      </c>
      <c r="L30" s="52">
        <f t="shared" si="0"/>
        <v>16</v>
      </c>
      <c r="M30" s="52">
        <f t="shared" si="1"/>
        <v>462</v>
      </c>
      <c r="N30" s="53">
        <v>4</v>
      </c>
      <c r="O30" s="53">
        <f>32+28+30+30</f>
        <v>120</v>
      </c>
      <c r="P30" s="53">
        <v>4</v>
      </c>
      <c r="Q30" s="53">
        <f>30+31+30+33</f>
        <v>124</v>
      </c>
      <c r="R30" s="53">
        <v>4</v>
      </c>
      <c r="S30" s="53">
        <f>29+28+27+29</f>
        <v>113</v>
      </c>
      <c r="T30" s="53">
        <v>4</v>
      </c>
      <c r="U30" s="53">
        <f>27+26+22+24</f>
        <v>99</v>
      </c>
      <c r="V30" s="53">
        <f>3</f>
        <v>3</v>
      </c>
      <c r="W30" s="53">
        <f>28+24+28</f>
        <v>80</v>
      </c>
      <c r="X30" s="52">
        <f t="shared" si="2"/>
        <v>19</v>
      </c>
      <c r="Y30" s="52">
        <f t="shared" si="3"/>
        <v>536</v>
      </c>
      <c r="Z30" s="53">
        <v>2</v>
      </c>
      <c r="AA30" s="53">
        <f>24+22</f>
        <v>46</v>
      </c>
      <c r="AB30" s="53">
        <v>2</v>
      </c>
      <c r="AC30" s="53">
        <f>23+28</f>
        <v>51</v>
      </c>
      <c r="AD30" s="52">
        <f t="shared" si="4"/>
        <v>4</v>
      </c>
      <c r="AE30" s="52">
        <f t="shared" si="4"/>
        <v>97</v>
      </c>
      <c r="AF30" s="95">
        <f t="shared" si="9"/>
        <v>39</v>
      </c>
      <c r="AG30" s="95">
        <f t="shared" si="10"/>
        <v>1095</v>
      </c>
      <c r="AH30" s="54">
        <f t="shared" si="8"/>
        <v>28.076923076923077</v>
      </c>
      <c r="AI30" s="53">
        <v>2</v>
      </c>
      <c r="AJ30" s="53">
        <v>60</v>
      </c>
      <c r="AK30" s="4">
        <v>3</v>
      </c>
      <c r="AL30" s="4">
        <v>90</v>
      </c>
      <c r="AO30" s="7">
        <v>2</v>
      </c>
      <c r="AP30" s="7">
        <v>60</v>
      </c>
      <c r="AV30" s="84">
        <v>2</v>
      </c>
      <c r="AW30" s="84">
        <v>60</v>
      </c>
    </row>
    <row r="31" spans="1:38" s="7" customFormat="1" ht="13.5" customHeight="1">
      <c r="A31" s="106" t="s">
        <v>58</v>
      </c>
      <c r="B31" s="108"/>
      <c r="C31" s="108"/>
      <c r="D31" s="108"/>
      <c r="E31" s="108"/>
      <c r="F31" s="108">
        <v>1</v>
      </c>
      <c r="G31" s="108">
        <v>1</v>
      </c>
      <c r="H31" s="108">
        <v>1</v>
      </c>
      <c r="I31" s="108">
        <v>2</v>
      </c>
      <c r="J31" s="108"/>
      <c r="K31" s="108"/>
      <c r="L31" s="109">
        <f>D31+F31+H31+J31</f>
        <v>2</v>
      </c>
      <c r="M31" s="109">
        <f>E31+G31+I31+K31</f>
        <v>3</v>
      </c>
      <c r="N31" s="108">
        <v>1</v>
      </c>
      <c r="O31" s="108">
        <v>1</v>
      </c>
      <c r="P31" s="108"/>
      <c r="Q31" s="108"/>
      <c r="R31" s="108"/>
      <c r="S31" s="108"/>
      <c r="T31" s="108"/>
      <c r="U31" s="108"/>
      <c r="V31" s="108"/>
      <c r="W31" s="108"/>
      <c r="X31" s="109">
        <f t="shared" si="2"/>
        <v>1</v>
      </c>
      <c r="Y31" s="109">
        <f t="shared" si="3"/>
        <v>1</v>
      </c>
      <c r="Z31" s="108"/>
      <c r="AA31" s="108"/>
      <c r="AB31" s="108"/>
      <c r="AC31" s="108"/>
      <c r="AD31" s="109">
        <f>Z31+AB31</f>
        <v>0</v>
      </c>
      <c r="AE31" s="109">
        <f>AA31+AC31</f>
        <v>0</v>
      </c>
      <c r="AF31" s="109">
        <f t="shared" si="9"/>
        <v>3</v>
      </c>
      <c r="AG31" s="109">
        <f t="shared" si="10"/>
        <v>4</v>
      </c>
      <c r="AH31" s="54"/>
      <c r="AI31" s="53"/>
      <c r="AJ31" s="53"/>
      <c r="AK31" s="4"/>
      <c r="AL31" s="4"/>
    </row>
    <row r="32" spans="1:49" s="7" customFormat="1" ht="12" customHeight="1">
      <c r="A32" s="55" t="s">
        <v>69</v>
      </c>
      <c r="B32" s="50"/>
      <c r="C32" s="50"/>
      <c r="D32" s="51">
        <v>1</v>
      </c>
      <c r="E32" s="51">
        <v>30</v>
      </c>
      <c r="F32" s="51">
        <v>1</v>
      </c>
      <c r="G32" s="51">
        <v>34</v>
      </c>
      <c r="H32" s="51">
        <v>1</v>
      </c>
      <c r="I32" s="51">
        <v>28</v>
      </c>
      <c r="J32" s="51">
        <v>1</v>
      </c>
      <c r="K32" s="51">
        <v>28</v>
      </c>
      <c r="L32" s="52">
        <f t="shared" si="0"/>
        <v>4</v>
      </c>
      <c r="M32" s="52">
        <f t="shared" si="1"/>
        <v>120</v>
      </c>
      <c r="N32" s="53">
        <v>1</v>
      </c>
      <c r="O32" s="53">
        <v>27</v>
      </c>
      <c r="P32" s="53">
        <v>1</v>
      </c>
      <c r="Q32" s="53">
        <v>24</v>
      </c>
      <c r="R32" s="53">
        <v>1</v>
      </c>
      <c r="S32" s="53">
        <v>31</v>
      </c>
      <c r="T32" s="53">
        <v>1</v>
      </c>
      <c r="U32" s="53">
        <v>27</v>
      </c>
      <c r="V32" s="53">
        <v>1</v>
      </c>
      <c r="W32" s="53">
        <v>27</v>
      </c>
      <c r="X32" s="52">
        <f t="shared" si="2"/>
        <v>5</v>
      </c>
      <c r="Y32" s="52">
        <f t="shared" si="3"/>
        <v>136</v>
      </c>
      <c r="Z32" s="53">
        <v>1</v>
      </c>
      <c r="AA32" s="53">
        <v>27</v>
      </c>
      <c r="AB32" s="53">
        <v>1</v>
      </c>
      <c r="AC32" s="53">
        <v>29</v>
      </c>
      <c r="AD32" s="52">
        <f t="shared" si="4"/>
        <v>2</v>
      </c>
      <c r="AE32" s="52">
        <f t="shared" si="4"/>
        <v>56</v>
      </c>
      <c r="AF32" s="95">
        <f t="shared" si="9"/>
        <v>11</v>
      </c>
      <c r="AG32" s="95">
        <f t="shared" si="10"/>
        <v>312</v>
      </c>
      <c r="AH32" s="54">
        <f t="shared" si="8"/>
        <v>28.363636363636363</v>
      </c>
      <c r="AI32" s="53">
        <v>1</v>
      </c>
      <c r="AJ32" s="53">
        <v>30</v>
      </c>
      <c r="AK32" s="4">
        <v>1</v>
      </c>
      <c r="AL32" s="4">
        <v>35</v>
      </c>
      <c r="AO32" s="7">
        <v>1</v>
      </c>
      <c r="AP32" s="7">
        <v>30</v>
      </c>
      <c r="AV32" s="84">
        <v>1</v>
      </c>
      <c r="AW32" s="84">
        <v>30</v>
      </c>
    </row>
    <row r="33" spans="1:38" s="7" customFormat="1" ht="12" customHeight="1">
      <c r="A33" s="106" t="s">
        <v>58</v>
      </c>
      <c r="B33" s="108"/>
      <c r="C33" s="108"/>
      <c r="D33" s="108"/>
      <c r="E33" s="108"/>
      <c r="F33" s="108"/>
      <c r="G33" s="108"/>
      <c r="H33" s="108">
        <v>1</v>
      </c>
      <c r="I33" s="108">
        <v>2</v>
      </c>
      <c r="J33" s="108"/>
      <c r="K33" s="108"/>
      <c r="L33" s="109">
        <f>D33+F33+H33+J33</f>
        <v>1</v>
      </c>
      <c r="M33" s="109">
        <f>E33+G33+I33+K33</f>
        <v>2</v>
      </c>
      <c r="N33" s="108"/>
      <c r="O33" s="108"/>
      <c r="P33" s="108">
        <v>1</v>
      </c>
      <c r="Q33" s="108">
        <v>1</v>
      </c>
      <c r="R33" s="108"/>
      <c r="S33" s="108"/>
      <c r="T33" s="108"/>
      <c r="U33" s="108"/>
      <c r="V33" s="108"/>
      <c r="W33" s="108"/>
      <c r="X33" s="109">
        <f t="shared" si="2"/>
        <v>1</v>
      </c>
      <c r="Y33" s="109">
        <f t="shared" si="3"/>
        <v>1</v>
      </c>
      <c r="Z33" s="108"/>
      <c r="AA33" s="108"/>
      <c r="AB33" s="108"/>
      <c r="AC33" s="108"/>
      <c r="AD33" s="109">
        <f>Z33+AB33</f>
        <v>0</v>
      </c>
      <c r="AE33" s="109">
        <f>AA33+AC33</f>
        <v>0</v>
      </c>
      <c r="AF33" s="109">
        <f t="shared" si="9"/>
        <v>2</v>
      </c>
      <c r="AG33" s="109">
        <f t="shared" si="10"/>
        <v>3</v>
      </c>
      <c r="AH33" s="54"/>
      <c r="AI33" s="53"/>
      <c r="AJ33" s="53"/>
      <c r="AK33" s="4"/>
      <c r="AL33" s="4"/>
    </row>
    <row r="34" spans="1:49" s="7" customFormat="1" ht="12" customHeight="1">
      <c r="A34" s="82" t="s">
        <v>71</v>
      </c>
      <c r="B34" s="50"/>
      <c r="C34" s="50"/>
      <c r="D34" s="51">
        <v>3</v>
      </c>
      <c r="E34" s="51">
        <f>30+30+30</f>
        <v>90</v>
      </c>
      <c r="F34" s="51">
        <v>4</v>
      </c>
      <c r="G34" s="51">
        <f>28+28+27+24</f>
        <v>107</v>
      </c>
      <c r="H34" s="51">
        <f>4</f>
        <v>4</v>
      </c>
      <c r="I34" s="51">
        <f>29+32+27+30</f>
        <v>118</v>
      </c>
      <c r="J34" s="51">
        <f>3</f>
        <v>3</v>
      </c>
      <c r="K34" s="51">
        <f>26+27+30</f>
        <v>83</v>
      </c>
      <c r="L34" s="52">
        <f t="shared" si="0"/>
        <v>14</v>
      </c>
      <c r="M34" s="52">
        <f t="shared" si="1"/>
        <v>398</v>
      </c>
      <c r="N34" s="53">
        <v>4</v>
      </c>
      <c r="O34" s="53">
        <f>26+30+30+26</f>
        <v>112</v>
      </c>
      <c r="P34" s="53">
        <f>3</f>
        <v>3</v>
      </c>
      <c r="Q34" s="53">
        <f>30+32+30</f>
        <v>92</v>
      </c>
      <c r="R34" s="53">
        <f>3</f>
        <v>3</v>
      </c>
      <c r="S34" s="53">
        <f>27+29+25</f>
        <v>81</v>
      </c>
      <c r="T34" s="53">
        <f>4</f>
        <v>4</v>
      </c>
      <c r="U34" s="53">
        <f>23+27+25+26</f>
        <v>101</v>
      </c>
      <c r="V34" s="53">
        <f>3</f>
        <v>3</v>
      </c>
      <c r="W34" s="53">
        <f>32+31+30</f>
        <v>93</v>
      </c>
      <c r="X34" s="52">
        <f t="shared" si="2"/>
        <v>17</v>
      </c>
      <c r="Y34" s="52">
        <f t="shared" si="3"/>
        <v>479</v>
      </c>
      <c r="Z34" s="53">
        <v>2</v>
      </c>
      <c r="AA34" s="53">
        <f>21+26</f>
        <v>47</v>
      </c>
      <c r="AB34" s="53">
        <f>2</f>
        <v>2</v>
      </c>
      <c r="AC34" s="53">
        <f>25+29</f>
        <v>54</v>
      </c>
      <c r="AD34" s="52">
        <f t="shared" si="4"/>
        <v>4</v>
      </c>
      <c r="AE34" s="52">
        <f t="shared" si="4"/>
        <v>101</v>
      </c>
      <c r="AF34" s="95">
        <f t="shared" si="9"/>
        <v>35</v>
      </c>
      <c r="AG34" s="95">
        <f t="shared" si="10"/>
        <v>978</v>
      </c>
      <c r="AH34" s="54">
        <f t="shared" si="8"/>
        <v>27.942857142857143</v>
      </c>
      <c r="AI34" s="53">
        <v>2</v>
      </c>
      <c r="AJ34" s="53">
        <v>60</v>
      </c>
      <c r="AK34" s="17">
        <v>2</v>
      </c>
      <c r="AL34" s="17">
        <v>60</v>
      </c>
      <c r="AM34" s="7">
        <v>1</v>
      </c>
      <c r="AO34" s="7">
        <v>2</v>
      </c>
      <c r="AP34" s="7">
        <v>60</v>
      </c>
      <c r="AV34" s="84">
        <v>2</v>
      </c>
      <c r="AW34" s="84">
        <v>60</v>
      </c>
    </row>
    <row r="35" spans="1:49" s="7" customFormat="1" ht="12" customHeight="1">
      <c r="A35" s="106" t="s">
        <v>58</v>
      </c>
      <c r="B35" s="108"/>
      <c r="C35" s="108"/>
      <c r="D35" s="108"/>
      <c r="E35" s="108"/>
      <c r="F35" s="108"/>
      <c r="G35" s="108"/>
      <c r="H35" s="108">
        <v>1</v>
      </c>
      <c r="I35" s="108">
        <v>1</v>
      </c>
      <c r="J35" s="108"/>
      <c r="K35" s="108"/>
      <c r="L35" s="109">
        <f>D35+F35+H35+J35</f>
        <v>1</v>
      </c>
      <c r="M35" s="109">
        <f>E35+G35+I35+K35</f>
        <v>1</v>
      </c>
      <c r="N35" s="108"/>
      <c r="O35" s="108"/>
      <c r="P35" s="108">
        <v>1</v>
      </c>
      <c r="Q35" s="108">
        <v>1</v>
      </c>
      <c r="R35" s="108"/>
      <c r="S35" s="108"/>
      <c r="T35" s="108"/>
      <c r="U35" s="108"/>
      <c r="V35" s="108"/>
      <c r="W35" s="108"/>
      <c r="X35" s="109">
        <f t="shared" si="2"/>
        <v>1</v>
      </c>
      <c r="Y35" s="109">
        <f>O35+Q35+S35+U35+W35</f>
        <v>1</v>
      </c>
      <c r="Z35" s="108"/>
      <c r="AA35" s="108"/>
      <c r="AB35" s="108"/>
      <c r="AC35" s="108"/>
      <c r="AD35" s="109">
        <f>Z35+AB35</f>
        <v>0</v>
      </c>
      <c r="AE35" s="109">
        <f>AA35+AC35</f>
        <v>0</v>
      </c>
      <c r="AF35" s="109">
        <f>L35+X35+AD35+B35</f>
        <v>2</v>
      </c>
      <c r="AG35" s="109">
        <f>M35+Y35+AE35+C35</f>
        <v>2</v>
      </c>
      <c r="AH35" s="54"/>
      <c r="AI35" s="53"/>
      <c r="AJ35" s="53"/>
      <c r="AK35" s="17"/>
      <c r="AL35" s="17"/>
      <c r="AV35" s="84"/>
      <c r="AW35" s="84"/>
    </row>
    <row r="36" spans="1:49" s="7" customFormat="1" ht="12" customHeight="1">
      <c r="A36" s="82" t="s">
        <v>70</v>
      </c>
      <c r="B36" s="50"/>
      <c r="C36" s="50"/>
      <c r="D36" s="51">
        <v>2</v>
      </c>
      <c r="E36" s="51">
        <f>33+32</f>
        <v>65</v>
      </c>
      <c r="F36" s="51">
        <f>3</f>
        <v>3</v>
      </c>
      <c r="G36" s="51">
        <f>31+33+31</f>
        <v>95</v>
      </c>
      <c r="H36" s="51">
        <f>3</f>
        <v>3</v>
      </c>
      <c r="I36" s="51">
        <f>30+30+29</f>
        <v>89</v>
      </c>
      <c r="J36" s="51">
        <f>3</f>
        <v>3</v>
      </c>
      <c r="K36" s="51">
        <f>28+29+27</f>
        <v>84</v>
      </c>
      <c r="L36" s="52">
        <f t="shared" si="0"/>
        <v>11</v>
      </c>
      <c r="M36" s="52">
        <f t="shared" si="1"/>
        <v>333</v>
      </c>
      <c r="N36" s="53">
        <v>3</v>
      </c>
      <c r="O36" s="53">
        <f>23+28+28</f>
        <v>79</v>
      </c>
      <c r="P36" s="53">
        <f>3</f>
        <v>3</v>
      </c>
      <c r="Q36" s="53">
        <f>27+26+26</f>
        <v>79</v>
      </c>
      <c r="R36" s="53">
        <f>2</f>
        <v>2</v>
      </c>
      <c r="S36" s="53">
        <f>30+26</f>
        <v>56</v>
      </c>
      <c r="T36" s="53">
        <f>2</f>
        <v>2</v>
      </c>
      <c r="U36" s="53">
        <f>31+32</f>
        <v>63</v>
      </c>
      <c r="V36" s="53">
        <f>1</f>
        <v>1</v>
      </c>
      <c r="W36" s="53">
        <v>32</v>
      </c>
      <c r="X36" s="52">
        <f t="shared" si="2"/>
        <v>11</v>
      </c>
      <c r="Y36" s="52">
        <f t="shared" si="3"/>
        <v>309</v>
      </c>
      <c r="Z36" s="53">
        <f>1</f>
        <v>1</v>
      </c>
      <c r="AA36" s="53">
        <v>29</v>
      </c>
      <c r="AB36" s="53">
        <f>1</f>
        <v>1</v>
      </c>
      <c r="AC36" s="53">
        <v>29</v>
      </c>
      <c r="AD36" s="52">
        <f t="shared" si="4"/>
        <v>2</v>
      </c>
      <c r="AE36" s="52">
        <f t="shared" si="4"/>
        <v>58</v>
      </c>
      <c r="AF36" s="95">
        <f t="shared" si="9"/>
        <v>24</v>
      </c>
      <c r="AG36" s="95">
        <f t="shared" si="10"/>
        <v>700</v>
      </c>
      <c r="AH36" s="54">
        <f t="shared" si="8"/>
        <v>29.166666666666668</v>
      </c>
      <c r="AI36" s="53">
        <v>2</v>
      </c>
      <c r="AJ36" s="53">
        <v>60</v>
      </c>
      <c r="AK36" s="4">
        <v>1</v>
      </c>
      <c r="AL36" s="4">
        <v>30</v>
      </c>
      <c r="AO36" s="7">
        <v>2</v>
      </c>
      <c r="AP36" s="7">
        <v>60</v>
      </c>
      <c r="AV36" s="84">
        <v>2</v>
      </c>
      <c r="AW36" s="84">
        <v>60</v>
      </c>
    </row>
    <row r="37" spans="1:38" s="7" customFormat="1" ht="12" customHeight="1" hidden="1">
      <c r="A37" s="106" t="s">
        <v>58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9">
        <f>D37+F37+H37+J37</f>
        <v>0</v>
      </c>
      <c r="M37" s="109">
        <f>E37+G37+I37+K37</f>
        <v>0</v>
      </c>
      <c r="N37" s="108"/>
      <c r="O37" s="108"/>
      <c r="P37" s="107"/>
      <c r="Q37" s="107"/>
      <c r="R37" s="107"/>
      <c r="S37" s="107"/>
      <c r="T37" s="107"/>
      <c r="U37" s="107"/>
      <c r="V37" s="107"/>
      <c r="W37" s="107"/>
      <c r="X37" s="109">
        <f t="shared" si="2"/>
        <v>0</v>
      </c>
      <c r="Y37" s="109">
        <f aca="true" t="shared" si="11" ref="Y37:Y45">O37+Q37+S37+U37+W37</f>
        <v>0</v>
      </c>
      <c r="Z37" s="107"/>
      <c r="AA37" s="107"/>
      <c r="AB37" s="107"/>
      <c r="AC37" s="107"/>
      <c r="AD37" s="109">
        <f>Z37+AB37</f>
        <v>0</v>
      </c>
      <c r="AE37" s="109">
        <f>AA37+AC37</f>
        <v>0</v>
      </c>
      <c r="AF37" s="109">
        <f>L37+X37+AD37+B37</f>
        <v>0</v>
      </c>
      <c r="AG37" s="109">
        <f>M37+Y37+AE37+C37</f>
        <v>0</v>
      </c>
      <c r="AH37" s="54"/>
      <c r="AI37" s="53"/>
      <c r="AJ37" s="53"/>
      <c r="AK37" s="4"/>
      <c r="AL37" s="4"/>
    </row>
    <row r="38" spans="1:49" s="7" customFormat="1" ht="12" customHeight="1">
      <c r="A38" s="82" t="s">
        <v>72</v>
      </c>
      <c r="B38" s="50"/>
      <c r="C38" s="50"/>
      <c r="D38" s="51">
        <v>5</v>
      </c>
      <c r="E38" s="51">
        <f>32*5</f>
        <v>160</v>
      </c>
      <c r="F38" s="51">
        <f>6</f>
        <v>6</v>
      </c>
      <c r="G38" s="51">
        <f>29+31+28+28+24+24</f>
        <v>164</v>
      </c>
      <c r="H38" s="51">
        <f>5</f>
        <v>5</v>
      </c>
      <c r="I38" s="51">
        <f>28+24+28+24+28</f>
        <v>132</v>
      </c>
      <c r="J38" s="51">
        <f>5</f>
        <v>5</v>
      </c>
      <c r="K38" s="51">
        <f>31+28+28+28+28</f>
        <v>143</v>
      </c>
      <c r="L38" s="52">
        <f t="shared" si="0"/>
        <v>21</v>
      </c>
      <c r="M38" s="52">
        <f t="shared" si="1"/>
        <v>599</v>
      </c>
      <c r="N38" s="53">
        <v>5</v>
      </c>
      <c r="O38" s="53">
        <f>29+29+28+24+24</f>
        <v>134</v>
      </c>
      <c r="P38" s="53">
        <v>5</v>
      </c>
      <c r="Q38" s="53">
        <f>29+28+29+29+29</f>
        <v>144</v>
      </c>
      <c r="R38" s="53">
        <f>4</f>
        <v>4</v>
      </c>
      <c r="S38" s="53">
        <f>30+32+30+30</f>
        <v>122</v>
      </c>
      <c r="T38" s="53">
        <v>4</v>
      </c>
      <c r="U38" s="53">
        <f>30+31+32+29</f>
        <v>122</v>
      </c>
      <c r="V38" s="53">
        <f>3</f>
        <v>3</v>
      </c>
      <c r="W38" s="53">
        <f>30+32+29</f>
        <v>91</v>
      </c>
      <c r="X38" s="52">
        <f t="shared" si="2"/>
        <v>21</v>
      </c>
      <c r="Y38" s="52">
        <f t="shared" si="11"/>
        <v>613</v>
      </c>
      <c r="Z38" s="53">
        <v>2</v>
      </c>
      <c r="AA38" s="53">
        <f>21+21</f>
        <v>42</v>
      </c>
      <c r="AB38" s="53">
        <f>1</f>
        <v>1</v>
      </c>
      <c r="AC38" s="53">
        <v>26</v>
      </c>
      <c r="AD38" s="52">
        <f t="shared" si="4"/>
        <v>3</v>
      </c>
      <c r="AE38" s="52">
        <f t="shared" si="4"/>
        <v>68</v>
      </c>
      <c r="AF38" s="95">
        <f t="shared" si="9"/>
        <v>45</v>
      </c>
      <c r="AG38" s="95">
        <f t="shared" si="10"/>
        <v>1280</v>
      </c>
      <c r="AH38" s="54">
        <f t="shared" si="8"/>
        <v>28.444444444444443</v>
      </c>
      <c r="AI38" s="53">
        <v>4</v>
      </c>
      <c r="AJ38" s="53">
        <v>120</v>
      </c>
      <c r="AK38" s="4">
        <v>3</v>
      </c>
      <c r="AL38" s="4">
        <v>90</v>
      </c>
      <c r="AO38" s="7">
        <v>3</v>
      </c>
      <c r="AP38" s="7">
        <v>90</v>
      </c>
      <c r="AQ38" s="7">
        <v>4</v>
      </c>
      <c r="AR38" s="7">
        <v>120</v>
      </c>
      <c r="AV38" s="85">
        <v>3</v>
      </c>
      <c r="AW38" s="85">
        <v>90</v>
      </c>
    </row>
    <row r="39" spans="1:49" s="7" customFormat="1" ht="12" customHeight="1">
      <c r="A39" s="106" t="s">
        <v>58</v>
      </c>
      <c r="B39" s="108"/>
      <c r="C39" s="108"/>
      <c r="D39" s="108"/>
      <c r="E39" s="108"/>
      <c r="F39" s="108">
        <v>1</v>
      </c>
      <c r="G39" s="108">
        <v>1</v>
      </c>
      <c r="H39" s="108"/>
      <c r="I39" s="108"/>
      <c r="J39" s="108"/>
      <c r="K39" s="108"/>
      <c r="L39" s="109">
        <f>D39+F39+H39+J39</f>
        <v>1</v>
      </c>
      <c r="M39" s="109">
        <f>E39+G39+I39+K39</f>
        <v>1</v>
      </c>
      <c r="N39" s="108"/>
      <c r="O39" s="108"/>
      <c r="P39" s="108">
        <v>1</v>
      </c>
      <c r="Q39" s="108">
        <v>1</v>
      </c>
      <c r="R39" s="108"/>
      <c r="S39" s="108"/>
      <c r="T39" s="108"/>
      <c r="U39" s="108"/>
      <c r="V39" s="108"/>
      <c r="W39" s="108"/>
      <c r="X39" s="109">
        <f t="shared" si="2"/>
        <v>1</v>
      </c>
      <c r="Y39" s="109">
        <f t="shared" si="11"/>
        <v>1</v>
      </c>
      <c r="Z39" s="108"/>
      <c r="AA39" s="108"/>
      <c r="AB39" s="108"/>
      <c r="AC39" s="108"/>
      <c r="AD39" s="109">
        <f>Z39+AB39</f>
        <v>0</v>
      </c>
      <c r="AE39" s="109">
        <f>AA39+AC39</f>
        <v>0</v>
      </c>
      <c r="AF39" s="109">
        <f t="shared" si="9"/>
        <v>2</v>
      </c>
      <c r="AG39" s="109">
        <f t="shared" si="10"/>
        <v>2</v>
      </c>
      <c r="AH39" s="54"/>
      <c r="AI39" s="53"/>
      <c r="AJ39" s="53"/>
      <c r="AK39" s="4"/>
      <c r="AL39" s="4"/>
      <c r="AV39" s="85"/>
      <c r="AW39" s="85"/>
    </row>
    <row r="40" spans="1:49" s="7" customFormat="1" ht="12" customHeight="1">
      <c r="A40" s="82" t="s">
        <v>73</v>
      </c>
      <c r="B40" s="50"/>
      <c r="C40" s="50"/>
      <c r="D40" s="51">
        <v>8</v>
      </c>
      <c r="E40" s="51">
        <f>28+28+28+27+27+27+26+26</f>
        <v>217</v>
      </c>
      <c r="F40" s="51">
        <f>8</f>
        <v>8</v>
      </c>
      <c r="G40" s="51">
        <f>30+30+30+29+29+29+28+28</f>
        <v>233</v>
      </c>
      <c r="H40" s="51">
        <v>8</v>
      </c>
      <c r="I40" s="51">
        <f>29+29+30+28+28+22+28+28</f>
        <v>222</v>
      </c>
      <c r="J40" s="51">
        <v>6</v>
      </c>
      <c r="K40" s="51">
        <f>29+29+28+28+29+28</f>
        <v>171</v>
      </c>
      <c r="L40" s="52">
        <f t="shared" si="0"/>
        <v>30</v>
      </c>
      <c r="M40" s="52">
        <f t="shared" si="1"/>
        <v>843</v>
      </c>
      <c r="N40" s="53">
        <v>7</v>
      </c>
      <c r="O40" s="53">
        <f>32+29+30+30+28+28+30</f>
        <v>207</v>
      </c>
      <c r="P40" s="53">
        <v>4</v>
      </c>
      <c r="Q40" s="53">
        <f>32+34+29+33</f>
        <v>128</v>
      </c>
      <c r="R40" s="53">
        <v>6</v>
      </c>
      <c r="S40" s="53">
        <f>29+28+28+25+28+23</f>
        <v>161</v>
      </c>
      <c r="T40" s="53">
        <v>4</v>
      </c>
      <c r="U40" s="53">
        <f>32+30+32+29</f>
        <v>123</v>
      </c>
      <c r="V40" s="53">
        <v>4</v>
      </c>
      <c r="W40" s="53">
        <f>25+26+25+21</f>
        <v>97</v>
      </c>
      <c r="X40" s="52">
        <f t="shared" si="2"/>
        <v>25</v>
      </c>
      <c r="Y40" s="52">
        <f t="shared" si="11"/>
        <v>716</v>
      </c>
      <c r="Z40" s="53">
        <f>3</f>
        <v>3</v>
      </c>
      <c r="AA40" s="53">
        <f>28+28+28</f>
        <v>84</v>
      </c>
      <c r="AB40" s="53">
        <f>2</f>
        <v>2</v>
      </c>
      <c r="AC40" s="53">
        <f>29+28</f>
        <v>57</v>
      </c>
      <c r="AD40" s="52">
        <f t="shared" si="4"/>
        <v>5</v>
      </c>
      <c r="AE40" s="52">
        <f t="shared" si="4"/>
        <v>141</v>
      </c>
      <c r="AF40" s="95">
        <f t="shared" si="9"/>
        <v>60</v>
      </c>
      <c r="AG40" s="95">
        <f t="shared" si="10"/>
        <v>1700</v>
      </c>
      <c r="AH40" s="54">
        <f t="shared" si="8"/>
        <v>28.333333333333332</v>
      </c>
      <c r="AI40" s="53">
        <v>5</v>
      </c>
      <c r="AJ40" s="53">
        <v>150</v>
      </c>
      <c r="AK40" s="17">
        <v>3</v>
      </c>
      <c r="AL40" s="17">
        <v>90</v>
      </c>
      <c r="AM40" s="7">
        <v>1</v>
      </c>
      <c r="AO40" s="7">
        <v>4</v>
      </c>
      <c r="AP40" s="7">
        <v>120</v>
      </c>
      <c r="AQ40" s="7">
        <v>5</v>
      </c>
      <c r="AR40" s="7">
        <v>150</v>
      </c>
      <c r="AV40" s="84">
        <v>5</v>
      </c>
      <c r="AW40" s="84">
        <v>150</v>
      </c>
    </row>
    <row r="41" spans="1:49" s="7" customFormat="1" ht="12" customHeight="1">
      <c r="A41" s="106" t="s">
        <v>58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9">
        <f>D41+F41+H41+J41</f>
        <v>0</v>
      </c>
      <c r="M41" s="109">
        <f>E41+G41+I41+K41</f>
        <v>0</v>
      </c>
      <c r="N41" s="108">
        <v>1</v>
      </c>
      <c r="O41" s="108">
        <v>1</v>
      </c>
      <c r="P41" s="107"/>
      <c r="Q41" s="107"/>
      <c r="R41" s="107"/>
      <c r="S41" s="107"/>
      <c r="T41" s="107"/>
      <c r="U41" s="107"/>
      <c r="V41" s="107"/>
      <c r="W41" s="107"/>
      <c r="X41" s="109">
        <f t="shared" si="2"/>
        <v>1</v>
      </c>
      <c r="Y41" s="109">
        <f t="shared" si="11"/>
        <v>1</v>
      </c>
      <c r="Z41" s="107"/>
      <c r="AA41" s="107"/>
      <c r="AB41" s="107"/>
      <c r="AC41" s="107"/>
      <c r="AD41" s="109">
        <f>Z41+AB41</f>
        <v>0</v>
      </c>
      <c r="AE41" s="109">
        <f>AA41+AC41</f>
        <v>0</v>
      </c>
      <c r="AF41" s="109">
        <f>L41+X41+AD41+B41</f>
        <v>1</v>
      </c>
      <c r="AG41" s="109">
        <f>M41+Y41+AE41+C41</f>
        <v>1</v>
      </c>
      <c r="AH41" s="54"/>
      <c r="AI41" s="53"/>
      <c r="AJ41" s="53"/>
      <c r="AK41" s="17"/>
      <c r="AL41" s="17"/>
      <c r="AV41" s="84"/>
      <c r="AW41" s="84"/>
    </row>
    <row r="42" spans="1:44" s="7" customFormat="1" ht="12" customHeight="1">
      <c r="A42" s="55" t="s">
        <v>74</v>
      </c>
      <c r="B42" s="50"/>
      <c r="C42" s="50"/>
      <c r="D42" s="51">
        <v>3</v>
      </c>
      <c r="E42" s="51">
        <f>29+29+30</f>
        <v>88</v>
      </c>
      <c r="F42" s="51">
        <f>3</f>
        <v>3</v>
      </c>
      <c r="G42" s="51">
        <f>23+22+26</f>
        <v>71</v>
      </c>
      <c r="H42" s="51">
        <v>3</v>
      </c>
      <c r="I42" s="51">
        <f>25+25+26</f>
        <v>76</v>
      </c>
      <c r="J42" s="51">
        <f>2</f>
        <v>2</v>
      </c>
      <c r="K42" s="51">
        <f>28+27</f>
        <v>55</v>
      </c>
      <c r="L42" s="52">
        <f t="shared" si="0"/>
        <v>11</v>
      </c>
      <c r="M42" s="52">
        <f t="shared" si="1"/>
        <v>290</v>
      </c>
      <c r="N42" s="53">
        <v>2</v>
      </c>
      <c r="O42" s="53">
        <f>30+30</f>
        <v>60</v>
      </c>
      <c r="P42" s="53">
        <f>2</f>
        <v>2</v>
      </c>
      <c r="Q42" s="53">
        <f>26+19</f>
        <v>45</v>
      </c>
      <c r="R42" s="53">
        <f>2</f>
        <v>2</v>
      </c>
      <c r="S42" s="53">
        <f>28+22</f>
        <v>50</v>
      </c>
      <c r="T42" s="53">
        <v>2</v>
      </c>
      <c r="U42" s="53">
        <f>26+20</f>
        <v>46</v>
      </c>
      <c r="V42" s="53">
        <f>1</f>
        <v>1</v>
      </c>
      <c r="W42" s="53">
        <v>24</v>
      </c>
      <c r="X42" s="52">
        <f t="shared" si="2"/>
        <v>9</v>
      </c>
      <c r="Y42" s="52">
        <f t="shared" si="11"/>
        <v>225</v>
      </c>
      <c r="Z42" s="53">
        <f>1</f>
        <v>1</v>
      </c>
      <c r="AA42" s="53">
        <v>20</v>
      </c>
      <c r="AB42" s="53">
        <v>1</v>
      </c>
      <c r="AC42" s="53">
        <v>24</v>
      </c>
      <c r="AD42" s="52">
        <f t="shared" si="4"/>
        <v>2</v>
      </c>
      <c r="AE42" s="52">
        <f t="shared" si="4"/>
        <v>44</v>
      </c>
      <c r="AF42" s="95">
        <f t="shared" si="9"/>
        <v>22</v>
      </c>
      <c r="AG42" s="95">
        <f t="shared" si="10"/>
        <v>559</v>
      </c>
      <c r="AH42" s="54">
        <f t="shared" si="8"/>
        <v>25.40909090909091</v>
      </c>
      <c r="AI42" s="53">
        <v>1</v>
      </c>
      <c r="AJ42" s="53">
        <v>30</v>
      </c>
      <c r="AK42" s="4">
        <v>1</v>
      </c>
      <c r="AL42" s="4">
        <v>35</v>
      </c>
      <c r="AM42" s="7">
        <v>1</v>
      </c>
      <c r="AO42" s="7">
        <v>1</v>
      </c>
      <c r="AP42" s="7">
        <v>30</v>
      </c>
      <c r="AQ42" s="7">
        <v>2</v>
      </c>
      <c r="AR42" s="7">
        <v>60</v>
      </c>
    </row>
    <row r="43" spans="1:38" s="7" customFormat="1" ht="12" customHeight="1">
      <c r="A43" s="106" t="s">
        <v>58</v>
      </c>
      <c r="B43" s="107"/>
      <c r="C43" s="107"/>
      <c r="D43" s="108">
        <v>1</v>
      </c>
      <c r="E43" s="108">
        <v>1</v>
      </c>
      <c r="F43" s="108"/>
      <c r="G43" s="108"/>
      <c r="H43" s="108">
        <v>1</v>
      </c>
      <c r="I43" s="108">
        <v>2</v>
      </c>
      <c r="J43" s="108"/>
      <c r="K43" s="107"/>
      <c r="L43" s="109">
        <f>D43+F43+H43+J43</f>
        <v>2</v>
      </c>
      <c r="M43" s="109">
        <f>E43+G43+I43+K43</f>
        <v>3</v>
      </c>
      <c r="N43" s="108">
        <v>0</v>
      </c>
      <c r="O43" s="108">
        <v>0</v>
      </c>
      <c r="P43" s="107"/>
      <c r="Q43" s="107"/>
      <c r="R43" s="107"/>
      <c r="S43" s="107"/>
      <c r="T43" s="107"/>
      <c r="U43" s="107"/>
      <c r="V43" s="107"/>
      <c r="W43" s="107"/>
      <c r="X43" s="109">
        <f t="shared" si="2"/>
        <v>0</v>
      </c>
      <c r="Y43" s="109">
        <f t="shared" si="11"/>
        <v>0</v>
      </c>
      <c r="Z43" s="107"/>
      <c r="AA43" s="107"/>
      <c r="AB43" s="107"/>
      <c r="AC43" s="107"/>
      <c r="AD43" s="109">
        <f>Z43+AB43</f>
        <v>0</v>
      </c>
      <c r="AE43" s="109">
        <f>AA43+AC43</f>
        <v>0</v>
      </c>
      <c r="AF43" s="109">
        <f t="shared" si="9"/>
        <v>2</v>
      </c>
      <c r="AG43" s="109">
        <f t="shared" si="10"/>
        <v>3</v>
      </c>
      <c r="AH43" s="54"/>
      <c r="AI43" s="53"/>
      <c r="AJ43" s="53"/>
      <c r="AK43" s="4"/>
      <c r="AL43" s="4"/>
    </row>
    <row r="44" spans="1:42" s="7" customFormat="1" ht="12" customHeight="1">
      <c r="A44" s="55" t="s">
        <v>27</v>
      </c>
      <c r="B44" s="50"/>
      <c r="C44" s="50"/>
      <c r="D44" s="51">
        <v>4</v>
      </c>
      <c r="E44" s="51">
        <f>30+30+30+30</f>
        <v>120</v>
      </c>
      <c r="F44" s="51">
        <v>4</v>
      </c>
      <c r="G44" s="51">
        <f>30+29+29+29</f>
        <v>117</v>
      </c>
      <c r="H44" s="51">
        <v>4</v>
      </c>
      <c r="I44" s="51">
        <f>33+28+24+28</f>
        <v>113</v>
      </c>
      <c r="J44" s="51">
        <v>4</v>
      </c>
      <c r="K44" s="51">
        <f>28+24+28+23</f>
        <v>103</v>
      </c>
      <c r="L44" s="52">
        <f t="shared" si="0"/>
        <v>16</v>
      </c>
      <c r="M44" s="52">
        <f t="shared" si="1"/>
        <v>453</v>
      </c>
      <c r="N44" s="53">
        <v>4</v>
      </c>
      <c r="O44" s="53">
        <f>28+28+31+30</f>
        <v>117</v>
      </c>
      <c r="P44" s="53">
        <f>4</f>
        <v>4</v>
      </c>
      <c r="Q44" s="53">
        <f>31+29+28+31</f>
        <v>119</v>
      </c>
      <c r="R44" s="53">
        <f>3</f>
        <v>3</v>
      </c>
      <c r="S44" s="53">
        <f>31+29+29</f>
        <v>89</v>
      </c>
      <c r="T44" s="53">
        <v>3</v>
      </c>
      <c r="U44" s="53">
        <f>30+31+29</f>
        <v>90</v>
      </c>
      <c r="V44" s="53">
        <f>3</f>
        <v>3</v>
      </c>
      <c r="W44" s="53">
        <f>28+28+29</f>
        <v>85</v>
      </c>
      <c r="X44" s="52">
        <f t="shared" si="2"/>
        <v>17</v>
      </c>
      <c r="Y44" s="52">
        <f t="shared" si="11"/>
        <v>500</v>
      </c>
      <c r="Z44" s="53">
        <f>2</f>
        <v>2</v>
      </c>
      <c r="AA44" s="53">
        <f>23+29</f>
        <v>52</v>
      </c>
      <c r="AB44" s="53">
        <v>2</v>
      </c>
      <c r="AC44" s="53">
        <f>24+20</f>
        <v>44</v>
      </c>
      <c r="AD44" s="52">
        <f t="shared" si="4"/>
        <v>4</v>
      </c>
      <c r="AE44" s="52">
        <f t="shared" si="4"/>
        <v>96</v>
      </c>
      <c r="AF44" s="95">
        <f t="shared" si="9"/>
        <v>37</v>
      </c>
      <c r="AG44" s="95">
        <f t="shared" si="10"/>
        <v>1049</v>
      </c>
      <c r="AH44" s="54">
        <f t="shared" si="8"/>
        <v>28.35135135135135</v>
      </c>
      <c r="AI44" s="53">
        <v>2</v>
      </c>
      <c r="AJ44" s="53">
        <v>60</v>
      </c>
      <c r="AK44" s="4">
        <v>3</v>
      </c>
      <c r="AL44" s="4">
        <v>90</v>
      </c>
      <c r="AN44" s="7">
        <v>3</v>
      </c>
      <c r="AO44" s="7">
        <v>3</v>
      </c>
      <c r="AP44" s="7">
        <v>90</v>
      </c>
    </row>
    <row r="45" spans="1:49" s="7" customFormat="1" ht="11.25" customHeight="1">
      <c r="A45" s="55" t="s">
        <v>75</v>
      </c>
      <c r="B45" s="50"/>
      <c r="C45" s="50"/>
      <c r="D45" s="51">
        <v>2</v>
      </c>
      <c r="E45" s="51">
        <f>31+31</f>
        <v>62</v>
      </c>
      <c r="F45" s="51">
        <v>3</v>
      </c>
      <c r="G45" s="51">
        <f>25+25+26</f>
        <v>76</v>
      </c>
      <c r="H45" s="51">
        <f>2</f>
        <v>2</v>
      </c>
      <c r="I45" s="51">
        <f>30*2</f>
        <v>60</v>
      </c>
      <c r="J45" s="51">
        <f>2</f>
        <v>2</v>
      </c>
      <c r="K45" s="51">
        <f>29*2</f>
        <v>58</v>
      </c>
      <c r="L45" s="52">
        <f t="shared" si="0"/>
        <v>9</v>
      </c>
      <c r="M45" s="52">
        <f t="shared" si="1"/>
        <v>256</v>
      </c>
      <c r="N45" s="53">
        <f>2</f>
        <v>2</v>
      </c>
      <c r="O45" s="53">
        <f>24+27</f>
        <v>51</v>
      </c>
      <c r="P45" s="53">
        <f>2</f>
        <v>2</v>
      </c>
      <c r="Q45" s="53">
        <f>30+32</f>
        <v>62</v>
      </c>
      <c r="R45" s="53">
        <f>2</f>
        <v>2</v>
      </c>
      <c r="S45" s="53">
        <f>24+23</f>
        <v>47</v>
      </c>
      <c r="T45" s="53">
        <f>2</f>
        <v>2</v>
      </c>
      <c r="U45" s="53">
        <f>29+24</f>
        <v>53</v>
      </c>
      <c r="V45" s="53">
        <f>2</f>
        <v>2</v>
      </c>
      <c r="W45" s="53">
        <f>25+23</f>
        <v>48</v>
      </c>
      <c r="X45" s="52">
        <f t="shared" si="2"/>
        <v>10</v>
      </c>
      <c r="Y45" s="52">
        <f t="shared" si="11"/>
        <v>261</v>
      </c>
      <c r="Z45" s="53"/>
      <c r="AA45" s="53"/>
      <c r="AB45" s="53">
        <v>1</v>
      </c>
      <c r="AC45" s="53">
        <v>30</v>
      </c>
      <c r="AD45" s="52">
        <f t="shared" si="4"/>
        <v>1</v>
      </c>
      <c r="AE45" s="52">
        <f t="shared" si="4"/>
        <v>30</v>
      </c>
      <c r="AF45" s="95">
        <f t="shared" si="9"/>
        <v>20</v>
      </c>
      <c r="AG45" s="95">
        <f t="shared" si="10"/>
        <v>547</v>
      </c>
      <c r="AH45" s="54">
        <f t="shared" si="8"/>
        <v>27.35</v>
      </c>
      <c r="AI45" s="53">
        <v>1</v>
      </c>
      <c r="AJ45" s="53">
        <v>28</v>
      </c>
      <c r="AK45" s="4">
        <v>1</v>
      </c>
      <c r="AL45" s="4">
        <v>28</v>
      </c>
      <c r="AO45" s="7">
        <v>1</v>
      </c>
      <c r="AP45" s="7">
        <v>30</v>
      </c>
      <c r="AV45" s="84">
        <v>1</v>
      </c>
      <c r="AW45" s="84">
        <v>28</v>
      </c>
    </row>
    <row r="46" spans="1:49" s="7" customFormat="1" ht="11.25" customHeight="1">
      <c r="A46" s="123" t="s">
        <v>58</v>
      </c>
      <c r="B46" s="124"/>
      <c r="C46" s="124"/>
      <c r="D46" s="124"/>
      <c r="E46" s="124"/>
      <c r="F46" s="124">
        <v>1</v>
      </c>
      <c r="G46" s="124">
        <v>2</v>
      </c>
      <c r="H46" s="124"/>
      <c r="I46" s="124"/>
      <c r="J46" s="124">
        <v>1</v>
      </c>
      <c r="K46" s="124">
        <v>2</v>
      </c>
      <c r="L46" s="125">
        <f>D46+F46+H46+J46</f>
        <v>2</v>
      </c>
      <c r="M46" s="125">
        <f>E46+G46+I46+K46</f>
        <v>4</v>
      </c>
      <c r="N46" s="124">
        <v>1</v>
      </c>
      <c r="O46" s="124">
        <v>2</v>
      </c>
      <c r="P46" s="124">
        <v>1</v>
      </c>
      <c r="Q46" s="124">
        <v>2</v>
      </c>
      <c r="R46" s="124"/>
      <c r="S46" s="124"/>
      <c r="T46" s="124"/>
      <c r="U46" s="124"/>
      <c r="V46" s="124"/>
      <c r="W46" s="124"/>
      <c r="X46" s="125">
        <f>P46+R46+T46+V46</f>
        <v>1</v>
      </c>
      <c r="Y46" s="125">
        <f>Q46+S46+U46+W46</f>
        <v>2</v>
      </c>
      <c r="Z46" s="124"/>
      <c r="AA46" s="124"/>
      <c r="AB46" s="124"/>
      <c r="AC46" s="124"/>
      <c r="AD46" s="125">
        <f>V46+X46+Z46+AB46</f>
        <v>1</v>
      </c>
      <c r="AE46" s="125">
        <f>W46+Y46+AA46+AC46</f>
        <v>2</v>
      </c>
      <c r="AF46" s="125">
        <f>L46+X46+AD46+B46</f>
        <v>4</v>
      </c>
      <c r="AG46" s="125">
        <f>M46+Y46+AE46+C46</f>
        <v>8</v>
      </c>
      <c r="AH46" s="126"/>
      <c r="AI46" s="127"/>
      <c r="AJ46" s="127"/>
      <c r="AK46" s="4"/>
      <c r="AL46" s="4"/>
      <c r="AV46" s="84"/>
      <c r="AW46" s="84"/>
    </row>
    <row r="47" spans="1:49" s="7" customFormat="1" ht="11.25" customHeight="1">
      <c r="A47" s="128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30"/>
      <c r="M47" s="130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30"/>
      <c r="Y47" s="130"/>
      <c r="Z47" s="129"/>
      <c r="AA47" s="129"/>
      <c r="AB47" s="129"/>
      <c r="AC47" s="129"/>
      <c r="AD47" s="130"/>
      <c r="AE47" s="130"/>
      <c r="AF47" s="130"/>
      <c r="AG47" s="130"/>
      <c r="AH47" s="131"/>
      <c r="AI47" s="132"/>
      <c r="AJ47" s="132"/>
      <c r="AK47" s="122"/>
      <c r="AL47" s="4"/>
      <c r="AV47" s="84"/>
      <c r="AW47" s="84"/>
    </row>
    <row r="48" spans="1:49" s="7" customFormat="1" ht="11.25" customHeight="1">
      <c r="A48" s="133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5"/>
      <c r="M48" s="135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5"/>
      <c r="Y48" s="135"/>
      <c r="Z48" s="134"/>
      <c r="AA48" s="134"/>
      <c r="AB48" s="134"/>
      <c r="AC48" s="134"/>
      <c r="AD48" s="135"/>
      <c r="AE48" s="135"/>
      <c r="AF48" s="153" t="s">
        <v>57</v>
      </c>
      <c r="AG48" s="153"/>
      <c r="AH48" s="153"/>
      <c r="AI48" s="153"/>
      <c r="AJ48" s="153"/>
      <c r="AK48" s="122"/>
      <c r="AL48" s="4"/>
      <c r="AV48" s="84"/>
      <c r="AW48" s="84"/>
    </row>
    <row r="49" spans="1:49" s="7" customFormat="1" ht="24" customHeight="1">
      <c r="A49" s="143" t="s">
        <v>53</v>
      </c>
      <c r="B49" s="145" t="s">
        <v>31</v>
      </c>
      <c r="C49" s="146"/>
      <c r="D49" s="147" t="s">
        <v>33</v>
      </c>
      <c r="E49" s="148"/>
      <c r="F49" s="140" t="s">
        <v>34</v>
      </c>
      <c r="G49" s="140"/>
      <c r="H49" s="140" t="s">
        <v>35</v>
      </c>
      <c r="I49" s="140"/>
      <c r="J49" s="140" t="s">
        <v>0</v>
      </c>
      <c r="K49" s="140"/>
      <c r="L49" s="139" t="s">
        <v>38</v>
      </c>
      <c r="M49" s="139"/>
      <c r="N49" s="140" t="s">
        <v>1</v>
      </c>
      <c r="O49" s="140"/>
      <c r="P49" s="140" t="s">
        <v>2</v>
      </c>
      <c r="Q49" s="140"/>
      <c r="R49" s="140" t="s">
        <v>36</v>
      </c>
      <c r="S49" s="140"/>
      <c r="T49" s="140" t="s">
        <v>3</v>
      </c>
      <c r="U49" s="140"/>
      <c r="V49" s="140" t="s">
        <v>4</v>
      </c>
      <c r="W49" s="140"/>
      <c r="X49" s="139" t="s">
        <v>39</v>
      </c>
      <c r="Y49" s="139"/>
      <c r="Z49" s="140" t="s">
        <v>5</v>
      </c>
      <c r="AA49" s="140"/>
      <c r="AB49" s="140" t="s">
        <v>6</v>
      </c>
      <c r="AC49" s="140"/>
      <c r="AD49" s="139" t="s">
        <v>40</v>
      </c>
      <c r="AE49" s="139"/>
      <c r="AF49" s="140" t="s">
        <v>41</v>
      </c>
      <c r="AG49" s="140"/>
      <c r="AH49" s="141" t="s">
        <v>42</v>
      </c>
      <c r="AI49" s="138" t="s">
        <v>30</v>
      </c>
      <c r="AJ49" s="138"/>
      <c r="AK49" s="4"/>
      <c r="AL49" s="4"/>
      <c r="AV49" s="84"/>
      <c r="AW49" s="84"/>
    </row>
    <row r="50" spans="1:49" s="7" customFormat="1" ht="69.75" customHeight="1">
      <c r="A50" s="144"/>
      <c r="B50" s="59" t="s">
        <v>8</v>
      </c>
      <c r="C50" s="59" t="s">
        <v>9</v>
      </c>
      <c r="D50" s="22" t="s">
        <v>8</v>
      </c>
      <c r="E50" s="22" t="s">
        <v>9</v>
      </c>
      <c r="F50" s="22" t="s">
        <v>8</v>
      </c>
      <c r="G50" s="22" t="s">
        <v>9</v>
      </c>
      <c r="H50" s="22" t="s">
        <v>8</v>
      </c>
      <c r="I50" s="22" t="s">
        <v>9</v>
      </c>
      <c r="J50" s="22" t="s">
        <v>8</v>
      </c>
      <c r="K50" s="22" t="s">
        <v>9</v>
      </c>
      <c r="L50" s="59" t="s">
        <v>8</v>
      </c>
      <c r="M50" s="59" t="s">
        <v>9</v>
      </c>
      <c r="N50" s="22" t="s">
        <v>8</v>
      </c>
      <c r="O50" s="22" t="s">
        <v>9</v>
      </c>
      <c r="P50" s="22" t="s">
        <v>8</v>
      </c>
      <c r="Q50" s="22" t="s">
        <v>9</v>
      </c>
      <c r="R50" s="22" t="s">
        <v>8</v>
      </c>
      <c r="S50" s="22" t="s">
        <v>9</v>
      </c>
      <c r="T50" s="22" t="s">
        <v>8</v>
      </c>
      <c r="U50" s="22" t="s">
        <v>9</v>
      </c>
      <c r="V50" s="22" t="s">
        <v>8</v>
      </c>
      <c r="W50" s="22" t="s">
        <v>9</v>
      </c>
      <c r="X50" s="59" t="s">
        <v>8</v>
      </c>
      <c r="Y50" s="59" t="s">
        <v>9</v>
      </c>
      <c r="Z50" s="22" t="s">
        <v>8</v>
      </c>
      <c r="AA50" s="22" t="s">
        <v>9</v>
      </c>
      <c r="AB50" s="22" t="s">
        <v>8</v>
      </c>
      <c r="AC50" s="22" t="s">
        <v>9</v>
      </c>
      <c r="AD50" s="59" t="s">
        <v>8</v>
      </c>
      <c r="AE50" s="59" t="s">
        <v>9</v>
      </c>
      <c r="AF50" s="22" t="s">
        <v>8</v>
      </c>
      <c r="AG50" s="22" t="s">
        <v>9</v>
      </c>
      <c r="AH50" s="142"/>
      <c r="AI50" s="22" t="s">
        <v>8</v>
      </c>
      <c r="AJ50" s="22" t="s">
        <v>9</v>
      </c>
      <c r="AK50" s="4"/>
      <c r="AL50" s="4"/>
      <c r="AV50" s="84"/>
      <c r="AW50" s="84"/>
    </row>
    <row r="51" spans="1:49" s="7" customFormat="1" ht="11.25" customHeight="1">
      <c r="A51" s="106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9"/>
      <c r="M51" s="109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9"/>
      <c r="Y51" s="109"/>
      <c r="Z51" s="108"/>
      <c r="AA51" s="108"/>
      <c r="AB51" s="108"/>
      <c r="AC51" s="108"/>
      <c r="AD51" s="109"/>
      <c r="AE51" s="109"/>
      <c r="AF51" s="109"/>
      <c r="AG51" s="109"/>
      <c r="AH51" s="114"/>
      <c r="AI51" s="100"/>
      <c r="AJ51" s="100"/>
      <c r="AK51" s="4"/>
      <c r="AL51" s="4"/>
      <c r="AV51" s="84"/>
      <c r="AW51" s="84"/>
    </row>
    <row r="52" spans="1:49" s="7" customFormat="1" ht="10.5" customHeight="1">
      <c r="A52" s="55" t="s">
        <v>76</v>
      </c>
      <c r="B52" s="50"/>
      <c r="C52" s="50"/>
      <c r="D52" s="51">
        <v>4</v>
      </c>
      <c r="E52" s="51">
        <f>31*4</f>
        <v>124</v>
      </c>
      <c r="F52" s="51">
        <v>3</v>
      </c>
      <c r="G52" s="51">
        <f>32+34+34</f>
        <v>100</v>
      </c>
      <c r="H52" s="51">
        <f>3</f>
        <v>3</v>
      </c>
      <c r="I52" s="51">
        <f>29+30+35</f>
        <v>94</v>
      </c>
      <c r="J52" s="51">
        <f>4</f>
        <v>4</v>
      </c>
      <c r="K52" s="51">
        <f>31+30+28+24</f>
        <v>113</v>
      </c>
      <c r="L52" s="52">
        <f t="shared" si="0"/>
        <v>14</v>
      </c>
      <c r="M52" s="52">
        <f t="shared" si="1"/>
        <v>431</v>
      </c>
      <c r="N52" s="53">
        <v>4</v>
      </c>
      <c r="O52" s="53">
        <f>31*3+32</f>
        <v>125</v>
      </c>
      <c r="P52" s="53">
        <v>3</v>
      </c>
      <c r="Q52" s="53">
        <f>32+33+31</f>
        <v>96</v>
      </c>
      <c r="R52" s="53">
        <f>4</f>
        <v>4</v>
      </c>
      <c r="S52" s="53">
        <f>29+30+27+32</f>
        <v>118</v>
      </c>
      <c r="T52" s="53">
        <v>4</v>
      </c>
      <c r="U52" s="53">
        <f>28+29+28+29</f>
        <v>114</v>
      </c>
      <c r="V52" s="53">
        <v>4</v>
      </c>
      <c r="W52" s="53">
        <f>23+30+32+26</f>
        <v>111</v>
      </c>
      <c r="X52" s="52">
        <f>N52+P52+R52+T52+V52</f>
        <v>19</v>
      </c>
      <c r="Y52" s="52">
        <f>O52+Q52+S52+U52+W52</f>
        <v>564</v>
      </c>
      <c r="Z52" s="53">
        <v>2</v>
      </c>
      <c r="AA52" s="53">
        <f>25+25</f>
        <v>50</v>
      </c>
      <c r="AB52" s="53">
        <f>2</f>
        <v>2</v>
      </c>
      <c r="AC52" s="53">
        <f>20+24</f>
        <v>44</v>
      </c>
      <c r="AD52" s="52">
        <f t="shared" si="4"/>
        <v>4</v>
      </c>
      <c r="AE52" s="52">
        <f t="shared" si="4"/>
        <v>94</v>
      </c>
      <c r="AF52" s="95">
        <f t="shared" si="9"/>
        <v>37</v>
      </c>
      <c r="AG52" s="95">
        <f t="shared" si="10"/>
        <v>1089</v>
      </c>
      <c r="AH52" s="54">
        <f t="shared" si="8"/>
        <v>29.43243243243243</v>
      </c>
      <c r="AI52" s="53">
        <v>2</v>
      </c>
      <c r="AJ52" s="53">
        <v>60</v>
      </c>
      <c r="AK52" s="4">
        <v>2</v>
      </c>
      <c r="AL52" s="4">
        <v>60</v>
      </c>
      <c r="AO52" s="7">
        <v>2</v>
      </c>
      <c r="AP52" s="7">
        <v>60</v>
      </c>
      <c r="AV52" s="84">
        <v>2</v>
      </c>
      <c r="AW52" s="84">
        <v>60</v>
      </c>
    </row>
    <row r="53" spans="1:49" s="7" customFormat="1" ht="10.5" customHeight="1">
      <c r="A53" s="106" t="s">
        <v>58</v>
      </c>
      <c r="B53" s="108"/>
      <c r="C53" s="108"/>
      <c r="D53" s="108"/>
      <c r="E53" s="108"/>
      <c r="F53" s="108"/>
      <c r="G53" s="108"/>
      <c r="H53" s="108"/>
      <c r="I53" s="108"/>
      <c r="J53" s="108">
        <v>1</v>
      </c>
      <c r="K53" s="108">
        <v>1</v>
      </c>
      <c r="L53" s="109">
        <f>D53+F53+H53+J53</f>
        <v>1</v>
      </c>
      <c r="M53" s="109">
        <f>E53+G53+I53+K53</f>
        <v>1</v>
      </c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>
        <f>P53+R53+T53+V53</f>
        <v>0</v>
      </c>
      <c r="Y53" s="109">
        <f>Q53+S53+U53+W53</f>
        <v>0</v>
      </c>
      <c r="Z53" s="108"/>
      <c r="AA53" s="108"/>
      <c r="AB53" s="108"/>
      <c r="AC53" s="108"/>
      <c r="AD53" s="109">
        <f>V53+X53+Z53+AB53</f>
        <v>0</v>
      </c>
      <c r="AE53" s="109">
        <f>W53+Y53+AA53+AC53</f>
        <v>0</v>
      </c>
      <c r="AF53" s="109">
        <f>L53+X53+AD53+B53</f>
        <v>1</v>
      </c>
      <c r="AG53" s="109">
        <f>M53+Y53+AE53+C53</f>
        <v>1</v>
      </c>
      <c r="AH53" s="54"/>
      <c r="AI53" s="53"/>
      <c r="AJ53" s="53"/>
      <c r="AK53" s="4"/>
      <c r="AL53" s="4"/>
      <c r="AV53" s="84"/>
      <c r="AW53" s="84"/>
    </row>
    <row r="54" spans="1:49" s="7" customFormat="1" ht="11.25" customHeight="1">
      <c r="A54" s="55" t="s">
        <v>25</v>
      </c>
      <c r="B54" s="50"/>
      <c r="C54" s="50"/>
      <c r="D54" s="51">
        <v>6</v>
      </c>
      <c r="E54" s="51">
        <f>32+30+30+30+30+29</f>
        <v>181</v>
      </c>
      <c r="F54" s="51">
        <v>6</v>
      </c>
      <c r="G54" s="51">
        <f>32+31+32+30+28+28</f>
        <v>181</v>
      </c>
      <c r="H54" s="51">
        <v>6</v>
      </c>
      <c r="I54" s="51">
        <f>28+29+32+30+31+29</f>
        <v>179</v>
      </c>
      <c r="J54" s="51">
        <v>6</v>
      </c>
      <c r="K54" s="51">
        <f>31+32+32+34+34+33</f>
        <v>196</v>
      </c>
      <c r="L54" s="52">
        <f t="shared" si="0"/>
        <v>24</v>
      </c>
      <c r="M54" s="52">
        <f t="shared" si="1"/>
        <v>737</v>
      </c>
      <c r="N54" s="53">
        <f>6</f>
        <v>6</v>
      </c>
      <c r="O54" s="53">
        <f>25+26+31+24+33+28</f>
        <v>167</v>
      </c>
      <c r="P54" s="53">
        <f>6</f>
        <v>6</v>
      </c>
      <c r="Q54" s="53">
        <f>29+34+34+28+29+28</f>
        <v>182</v>
      </c>
      <c r="R54" s="53">
        <v>6</v>
      </c>
      <c r="S54" s="53">
        <f>31+26+28+33+32+19</f>
        <v>169</v>
      </c>
      <c r="T54" s="53">
        <f>5</f>
        <v>5</v>
      </c>
      <c r="U54" s="53">
        <f>34+28+25+28+33</f>
        <v>148</v>
      </c>
      <c r="V54" s="53">
        <f>3</f>
        <v>3</v>
      </c>
      <c r="W54" s="53">
        <f>34+33+34</f>
        <v>101</v>
      </c>
      <c r="X54" s="52">
        <f aca="true" t="shared" si="12" ref="X54:Y59">N54+P54+R54+T54+V54</f>
        <v>26</v>
      </c>
      <c r="Y54" s="52">
        <f t="shared" si="12"/>
        <v>767</v>
      </c>
      <c r="Z54" s="53">
        <v>1</v>
      </c>
      <c r="AA54" s="53">
        <v>28</v>
      </c>
      <c r="AB54" s="53">
        <v>1</v>
      </c>
      <c r="AC54" s="53">
        <v>23</v>
      </c>
      <c r="AD54" s="52">
        <f t="shared" si="4"/>
        <v>2</v>
      </c>
      <c r="AE54" s="52">
        <f t="shared" si="4"/>
        <v>51</v>
      </c>
      <c r="AF54" s="95">
        <f t="shared" si="9"/>
        <v>52</v>
      </c>
      <c r="AG54" s="95">
        <f t="shared" si="10"/>
        <v>1555</v>
      </c>
      <c r="AH54" s="54">
        <f t="shared" si="8"/>
        <v>29.903846153846153</v>
      </c>
      <c r="AI54" s="53">
        <v>3</v>
      </c>
      <c r="AJ54" s="53">
        <v>120</v>
      </c>
      <c r="AK54" s="74">
        <v>4</v>
      </c>
      <c r="AL54" s="74">
        <v>160</v>
      </c>
      <c r="AM54" s="75"/>
      <c r="AN54" s="75"/>
      <c r="AO54" s="75">
        <v>4</v>
      </c>
      <c r="AP54" s="75">
        <v>120</v>
      </c>
      <c r="AQ54" s="83">
        <v>4</v>
      </c>
      <c r="AR54" s="83">
        <v>120</v>
      </c>
      <c r="AV54" s="84">
        <v>3</v>
      </c>
      <c r="AW54" s="84">
        <v>120</v>
      </c>
    </row>
    <row r="55" spans="1:38" s="7" customFormat="1" ht="12" customHeight="1">
      <c r="A55" s="106" t="s">
        <v>58</v>
      </c>
      <c r="B55" s="108"/>
      <c r="C55" s="108"/>
      <c r="D55" s="108">
        <v>1</v>
      </c>
      <c r="E55" s="108">
        <v>1</v>
      </c>
      <c r="F55" s="108">
        <v>1</v>
      </c>
      <c r="G55" s="108">
        <v>1</v>
      </c>
      <c r="H55" s="108"/>
      <c r="I55" s="108"/>
      <c r="J55" s="108"/>
      <c r="K55" s="108"/>
      <c r="L55" s="109">
        <f>D55+F55+H55+J55</f>
        <v>2</v>
      </c>
      <c r="M55" s="109">
        <f>E55+G55+I55+K55</f>
        <v>2</v>
      </c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9">
        <f t="shared" si="12"/>
        <v>0</v>
      </c>
      <c r="Y55" s="109">
        <f t="shared" si="12"/>
        <v>0</v>
      </c>
      <c r="Z55" s="108"/>
      <c r="AA55" s="108"/>
      <c r="AB55" s="108"/>
      <c r="AC55" s="108"/>
      <c r="AD55" s="109">
        <f>Z55+AB55</f>
        <v>0</v>
      </c>
      <c r="AE55" s="109">
        <f>AA55+AC55</f>
        <v>0</v>
      </c>
      <c r="AF55" s="109">
        <f>L55+X55+AD55+B55</f>
        <v>2</v>
      </c>
      <c r="AG55" s="109">
        <f>M55+Y55+AE55+C55</f>
        <v>2</v>
      </c>
      <c r="AH55" s="54"/>
      <c r="AI55" s="53"/>
      <c r="AJ55" s="53"/>
      <c r="AK55" s="4"/>
      <c r="AL55" s="4"/>
    </row>
    <row r="56" spans="1:49" s="7" customFormat="1" ht="14.25" customHeight="1">
      <c r="A56" s="55" t="s">
        <v>26</v>
      </c>
      <c r="B56" s="50"/>
      <c r="C56" s="50"/>
      <c r="D56" s="51">
        <v>4</v>
      </c>
      <c r="E56" s="51">
        <f>33+35+35+36</f>
        <v>139</v>
      </c>
      <c r="F56" s="51">
        <v>4</v>
      </c>
      <c r="G56" s="51">
        <f>38+37+37+37</f>
        <v>149</v>
      </c>
      <c r="H56" s="51">
        <v>4</v>
      </c>
      <c r="I56" s="51">
        <f>35+36+36+35</f>
        <v>142</v>
      </c>
      <c r="J56" s="51">
        <f>4</f>
        <v>4</v>
      </c>
      <c r="K56" s="51">
        <f>33+33+36+34</f>
        <v>136</v>
      </c>
      <c r="L56" s="52">
        <f t="shared" si="0"/>
        <v>16</v>
      </c>
      <c r="M56" s="52">
        <f t="shared" si="1"/>
        <v>566</v>
      </c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2">
        <f t="shared" si="12"/>
        <v>0</v>
      </c>
      <c r="Y56" s="52">
        <f t="shared" si="12"/>
        <v>0</v>
      </c>
      <c r="Z56" s="53"/>
      <c r="AA56" s="53"/>
      <c r="AB56" s="53"/>
      <c r="AC56" s="53"/>
      <c r="AD56" s="52">
        <f t="shared" si="4"/>
        <v>0</v>
      </c>
      <c r="AE56" s="52">
        <f t="shared" si="4"/>
        <v>0</v>
      </c>
      <c r="AF56" s="95">
        <f t="shared" si="9"/>
        <v>16</v>
      </c>
      <c r="AG56" s="95">
        <f t="shared" si="10"/>
        <v>566</v>
      </c>
      <c r="AH56" s="54">
        <f t="shared" si="8"/>
        <v>35.375</v>
      </c>
      <c r="AI56" s="53">
        <v>8</v>
      </c>
      <c r="AJ56" s="53">
        <v>240</v>
      </c>
      <c r="AK56" s="4">
        <v>12</v>
      </c>
      <c r="AL56" s="4">
        <v>360</v>
      </c>
      <c r="AO56" s="7">
        <v>6</v>
      </c>
      <c r="AP56" s="7">
        <v>180</v>
      </c>
      <c r="AQ56" s="7">
        <v>8</v>
      </c>
      <c r="AR56" s="7">
        <v>240</v>
      </c>
      <c r="AV56" s="84">
        <v>8</v>
      </c>
      <c r="AW56" s="84">
        <v>180</v>
      </c>
    </row>
    <row r="57" spans="1:38" s="7" customFormat="1" ht="12.75" customHeight="1">
      <c r="A57" s="55" t="s">
        <v>81</v>
      </c>
      <c r="B57" s="50"/>
      <c r="C57" s="50"/>
      <c r="D57" s="51"/>
      <c r="E57" s="51"/>
      <c r="F57" s="51"/>
      <c r="G57" s="51"/>
      <c r="H57" s="51"/>
      <c r="I57" s="51"/>
      <c r="J57" s="51"/>
      <c r="K57" s="51"/>
      <c r="L57" s="52">
        <f t="shared" si="0"/>
        <v>0</v>
      </c>
      <c r="M57" s="52">
        <f t="shared" si="1"/>
        <v>0</v>
      </c>
      <c r="N57" s="53">
        <v>4</v>
      </c>
      <c r="O57" s="53">
        <f>33*4</f>
        <v>132</v>
      </c>
      <c r="P57" s="53">
        <v>5</v>
      </c>
      <c r="Q57" s="53">
        <f>32+34+34+34+33</f>
        <v>167</v>
      </c>
      <c r="R57" s="53">
        <v>4</v>
      </c>
      <c r="S57" s="53">
        <f>33+33+33+34</f>
        <v>133</v>
      </c>
      <c r="T57" s="53">
        <v>3</v>
      </c>
      <c r="U57" s="53">
        <f>33+32+35</f>
        <v>100</v>
      </c>
      <c r="V57" s="53">
        <v>3</v>
      </c>
      <c r="W57" s="53">
        <f>31+30+33</f>
        <v>94</v>
      </c>
      <c r="X57" s="52">
        <f t="shared" si="12"/>
        <v>19</v>
      </c>
      <c r="Y57" s="52">
        <f t="shared" si="12"/>
        <v>626</v>
      </c>
      <c r="Z57" s="53">
        <v>4</v>
      </c>
      <c r="AA57" s="53">
        <f>28+28+28+28</f>
        <v>112</v>
      </c>
      <c r="AB57" s="53">
        <v>4</v>
      </c>
      <c r="AC57" s="53">
        <f>23+25+25+22</f>
        <v>95</v>
      </c>
      <c r="AD57" s="52">
        <f t="shared" si="4"/>
        <v>8</v>
      </c>
      <c r="AE57" s="52">
        <f t="shared" si="4"/>
        <v>207</v>
      </c>
      <c r="AF57" s="95">
        <f t="shared" si="9"/>
        <v>27</v>
      </c>
      <c r="AG57" s="95">
        <f t="shared" si="10"/>
        <v>833</v>
      </c>
      <c r="AH57" s="54">
        <f t="shared" si="8"/>
        <v>30.85185185185185</v>
      </c>
      <c r="AI57" s="53"/>
      <c r="AJ57" s="53"/>
      <c r="AK57" s="4"/>
      <c r="AL57" s="4"/>
    </row>
    <row r="58" spans="1:38" s="7" customFormat="1" ht="13.5" customHeight="1">
      <c r="A58" s="106" t="s">
        <v>58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>
        <f>D58+F58+H58+J58</f>
        <v>0</v>
      </c>
      <c r="M58" s="109">
        <f>E58+G58+I58+K58</f>
        <v>0</v>
      </c>
      <c r="N58" s="109"/>
      <c r="O58" s="109"/>
      <c r="P58" s="109"/>
      <c r="Q58" s="109"/>
      <c r="R58" s="109">
        <v>1</v>
      </c>
      <c r="S58" s="109">
        <v>1</v>
      </c>
      <c r="T58" s="109"/>
      <c r="U58" s="109"/>
      <c r="V58" s="109"/>
      <c r="W58" s="109"/>
      <c r="X58" s="109">
        <f t="shared" si="12"/>
        <v>1</v>
      </c>
      <c r="Y58" s="109">
        <f t="shared" si="12"/>
        <v>1</v>
      </c>
      <c r="Z58" s="109"/>
      <c r="AA58" s="109"/>
      <c r="AB58" s="109"/>
      <c r="AC58" s="109"/>
      <c r="AD58" s="109">
        <f>Z58+AB58</f>
        <v>0</v>
      </c>
      <c r="AE58" s="109">
        <f>AA58+AC58</f>
        <v>0</v>
      </c>
      <c r="AF58" s="109">
        <f>L58+X58+AD58+B58</f>
        <v>1</v>
      </c>
      <c r="AG58" s="109">
        <f>M58+Y58+AE58+C58</f>
        <v>1</v>
      </c>
      <c r="AH58" s="113"/>
      <c r="AI58" s="80"/>
      <c r="AJ58" s="80"/>
      <c r="AK58" s="4"/>
      <c r="AL58" s="4"/>
    </row>
    <row r="59" spans="1:38" s="7" customFormat="1" ht="12" customHeight="1">
      <c r="A59" s="98" t="s">
        <v>84</v>
      </c>
      <c r="B59" s="50"/>
      <c r="C59" s="50"/>
      <c r="D59" s="51"/>
      <c r="E59" s="51"/>
      <c r="F59" s="51"/>
      <c r="G59" s="51"/>
      <c r="H59" s="51"/>
      <c r="I59" s="51"/>
      <c r="J59" s="51"/>
      <c r="K59" s="51"/>
      <c r="L59" s="120">
        <f t="shared" si="0"/>
        <v>0</v>
      </c>
      <c r="M59" s="120">
        <f t="shared" si="1"/>
        <v>0</v>
      </c>
      <c r="N59" s="53">
        <v>4</v>
      </c>
      <c r="O59" s="53">
        <f>29+28+28+30</f>
        <v>115</v>
      </c>
      <c r="P59" s="53">
        <v>3</v>
      </c>
      <c r="Q59" s="53">
        <f>36+37+38</f>
        <v>111</v>
      </c>
      <c r="R59" s="53">
        <v>5</v>
      </c>
      <c r="S59" s="53">
        <f>32+26+26+36+32</f>
        <v>152</v>
      </c>
      <c r="T59" s="53">
        <v>4</v>
      </c>
      <c r="U59" s="53">
        <f>31+31+33+31</f>
        <v>126</v>
      </c>
      <c r="V59" s="53">
        <v>4</v>
      </c>
      <c r="W59" s="53">
        <f>29+36+28+32</f>
        <v>125</v>
      </c>
      <c r="X59" s="120">
        <f t="shared" si="12"/>
        <v>20</v>
      </c>
      <c r="Y59" s="120">
        <f t="shared" si="12"/>
        <v>629</v>
      </c>
      <c r="Z59" s="53">
        <v>3</v>
      </c>
      <c r="AA59" s="53">
        <f>27+36+36</f>
        <v>99</v>
      </c>
      <c r="AB59" s="53">
        <v>4</v>
      </c>
      <c r="AC59" s="53">
        <f>33+26+29+28</f>
        <v>116</v>
      </c>
      <c r="AD59" s="120">
        <f t="shared" si="4"/>
        <v>7</v>
      </c>
      <c r="AE59" s="120">
        <f t="shared" si="4"/>
        <v>215</v>
      </c>
      <c r="AF59" s="95">
        <f t="shared" si="9"/>
        <v>27</v>
      </c>
      <c r="AG59" s="95">
        <f t="shared" si="10"/>
        <v>844</v>
      </c>
      <c r="AH59" s="54">
        <f t="shared" si="8"/>
        <v>31.25925925925926</v>
      </c>
      <c r="AI59" s="53"/>
      <c r="AJ59" s="53"/>
      <c r="AK59" s="4"/>
      <c r="AL59" s="4"/>
    </row>
    <row r="60" spans="1:38" s="6" customFormat="1" ht="13.5" customHeight="1">
      <c r="A60" s="20" t="s">
        <v>7</v>
      </c>
      <c r="B60" s="79">
        <f>SUM(B9:B59)</f>
        <v>0</v>
      </c>
      <c r="C60" s="79">
        <f>SUM(C9:C59)</f>
        <v>0</v>
      </c>
      <c r="D60" s="95">
        <f>SUM(D9:D59)-D58-D55-D53-D46-D43-D41-D39-D37-D35-D33-D31-D29-D26-D22-D20-D18-D13-D10</f>
        <v>97</v>
      </c>
      <c r="E60" s="96">
        <f aca="true" t="shared" si="13" ref="E60:K60">SUM(E9:E59)-E58-E55-E53-E46-E43-E41-E39-E37-E35-E33-E31-E29-E26-E22-E20-E18-E13-E10</f>
        <v>2898</v>
      </c>
      <c r="F60" s="96">
        <f t="shared" si="13"/>
        <v>104</v>
      </c>
      <c r="G60" s="96">
        <f t="shared" si="13"/>
        <v>3043</v>
      </c>
      <c r="H60" s="96">
        <f t="shared" si="13"/>
        <v>98</v>
      </c>
      <c r="I60" s="96">
        <f t="shared" si="13"/>
        <v>2887</v>
      </c>
      <c r="J60" s="96">
        <f t="shared" si="13"/>
        <v>90</v>
      </c>
      <c r="K60" s="96">
        <f t="shared" si="13"/>
        <v>2638</v>
      </c>
      <c r="L60" s="121">
        <f>SUM(L9:L59)-L58-L55-L53-L46-L43-L41-L39-L37-L35-L33-L31-L29-L26-L22-L20-L18-L13-L10</f>
        <v>389</v>
      </c>
      <c r="M60" s="121">
        <f>SUM(M9:M59)-M58-M55-M53-M46-M43-M41-M39-M37-M35-M33-M31-M29-M26-M22-M20-M18-M13-M10</f>
        <v>11466</v>
      </c>
      <c r="N60" s="96">
        <f aca="true" t="shared" si="14" ref="N60:W60">SUM(N9:N59)-N58-N55-N53-N46-N43-N41-N39-N37-N35-N33-N31-N29-N26-N22-N20-N18-N13-N10</f>
        <v>101</v>
      </c>
      <c r="O60" s="96">
        <f t="shared" si="14"/>
        <v>2906</v>
      </c>
      <c r="P60" s="96">
        <f t="shared" si="14"/>
        <v>95</v>
      </c>
      <c r="Q60" s="96">
        <f t="shared" si="14"/>
        <v>2823</v>
      </c>
      <c r="R60" s="96">
        <f t="shared" si="14"/>
        <v>94</v>
      </c>
      <c r="S60" s="96">
        <f t="shared" si="14"/>
        <v>2581</v>
      </c>
      <c r="T60" s="96">
        <f t="shared" si="14"/>
        <v>84</v>
      </c>
      <c r="U60" s="96">
        <f t="shared" si="14"/>
        <v>2351</v>
      </c>
      <c r="V60" s="96">
        <f t="shared" si="14"/>
        <v>79</v>
      </c>
      <c r="W60" s="96">
        <f t="shared" si="14"/>
        <v>2126</v>
      </c>
      <c r="X60" s="121">
        <f aca="true" t="shared" si="15" ref="X60:AG60">SUM(X9:X59)-X58-X55-X53-X46-X43-X41-X39-X37-X35-X33-X31-X29-X26-X22-X20-X18-X13-X10</f>
        <v>453</v>
      </c>
      <c r="Y60" s="121">
        <f t="shared" si="15"/>
        <v>12787</v>
      </c>
      <c r="Z60" s="96">
        <f t="shared" si="15"/>
        <v>46</v>
      </c>
      <c r="AA60" s="96">
        <f t="shared" si="15"/>
        <v>1201</v>
      </c>
      <c r="AB60" s="96">
        <f t="shared" si="15"/>
        <v>49</v>
      </c>
      <c r="AC60" s="96">
        <f t="shared" si="15"/>
        <v>1260</v>
      </c>
      <c r="AD60" s="121">
        <f t="shared" si="15"/>
        <v>95</v>
      </c>
      <c r="AE60" s="121">
        <f t="shared" si="15"/>
        <v>2461</v>
      </c>
      <c r="AF60" s="96">
        <f t="shared" si="15"/>
        <v>937</v>
      </c>
      <c r="AG60" s="96">
        <f t="shared" si="15"/>
        <v>26714</v>
      </c>
      <c r="AH60" s="56">
        <f>AG60/AF60</f>
        <v>28.510138740661688</v>
      </c>
      <c r="AI60" s="96">
        <f>SUM(AI9:AI59)-AI20</f>
        <v>66</v>
      </c>
      <c r="AJ60" s="96">
        <f>SUM(AJ9:AJ59)-AJ20</f>
        <v>2023</v>
      </c>
      <c r="AK60" s="2">
        <f>SUM(AK9:AK59)-AK20</f>
        <v>69</v>
      </c>
      <c r="AL60" s="2">
        <f>SUM(AL9:AL59)-AL20</f>
        <v>2214</v>
      </c>
    </row>
    <row r="61" spans="1:36" s="6" customFormat="1" ht="17.25" customHeight="1" hidden="1">
      <c r="A61" s="57"/>
      <c r="B61" s="33"/>
      <c r="C61" s="33"/>
      <c r="D61" s="33">
        <f aca="true" t="shared" si="16" ref="D61:AG61">D9+D11+D12+D14+D15+D16+D17+D19+D21+D23+D24+D25+D27+D28+D30+D32+D34+D36+D38+D40+D42+D44+D45+D52+D54+D56+D57+D59</f>
        <v>97</v>
      </c>
      <c r="E61" s="33">
        <f t="shared" si="16"/>
        <v>2898</v>
      </c>
      <c r="F61" s="33">
        <f t="shared" si="16"/>
        <v>104</v>
      </c>
      <c r="G61" s="33">
        <f t="shared" si="16"/>
        <v>3043</v>
      </c>
      <c r="H61" s="33">
        <f t="shared" si="16"/>
        <v>98</v>
      </c>
      <c r="I61" s="33">
        <f t="shared" si="16"/>
        <v>2887</v>
      </c>
      <c r="J61" s="33">
        <f t="shared" si="16"/>
        <v>90</v>
      </c>
      <c r="K61" s="33">
        <f t="shared" si="16"/>
        <v>2638</v>
      </c>
      <c r="L61" s="33">
        <f t="shared" si="16"/>
        <v>389</v>
      </c>
      <c r="M61" s="33">
        <f t="shared" si="16"/>
        <v>11466</v>
      </c>
      <c r="N61" s="33">
        <f t="shared" si="16"/>
        <v>101</v>
      </c>
      <c r="O61" s="33">
        <f t="shared" si="16"/>
        <v>2906</v>
      </c>
      <c r="P61" s="33">
        <f t="shared" si="16"/>
        <v>95</v>
      </c>
      <c r="Q61" s="33">
        <f t="shared" si="16"/>
        <v>2823</v>
      </c>
      <c r="R61" s="33">
        <f t="shared" si="16"/>
        <v>94</v>
      </c>
      <c r="S61" s="33">
        <f t="shared" si="16"/>
        <v>2581</v>
      </c>
      <c r="T61" s="33">
        <f t="shared" si="16"/>
        <v>84</v>
      </c>
      <c r="U61" s="33">
        <f t="shared" si="16"/>
        <v>2351</v>
      </c>
      <c r="V61" s="33">
        <f t="shared" si="16"/>
        <v>79</v>
      </c>
      <c r="W61" s="33">
        <f t="shared" si="16"/>
        <v>2126</v>
      </c>
      <c r="X61" s="33">
        <f t="shared" si="16"/>
        <v>453</v>
      </c>
      <c r="Y61" s="33">
        <f t="shared" si="16"/>
        <v>12787</v>
      </c>
      <c r="Z61" s="33">
        <f t="shared" si="16"/>
        <v>46</v>
      </c>
      <c r="AA61" s="33">
        <f t="shared" si="16"/>
        <v>1201</v>
      </c>
      <c r="AB61" s="33">
        <f t="shared" si="16"/>
        <v>49</v>
      </c>
      <c r="AC61" s="33">
        <f t="shared" si="16"/>
        <v>1260</v>
      </c>
      <c r="AD61" s="33">
        <f t="shared" si="16"/>
        <v>95</v>
      </c>
      <c r="AE61" s="33">
        <f t="shared" si="16"/>
        <v>2461</v>
      </c>
      <c r="AF61" s="33">
        <f t="shared" si="16"/>
        <v>937</v>
      </c>
      <c r="AG61" s="33">
        <f t="shared" si="16"/>
        <v>26714</v>
      </c>
      <c r="AH61" s="115"/>
      <c r="AI61" s="115">
        <f>AI9+AI11+AI12+AI14+AI15+AI16+AI17+AI19+AI21+AI23+AI24+AI25+AI27+AI28+AI30+AI32+AI34+AI36+AI38+AI40+AI42+AI44+AI45+AI52+AI54+AI56+AI57+AI59</f>
        <v>66</v>
      </c>
      <c r="AJ61" s="115">
        <f>AJ9+AJ11+AJ12+AJ14+AJ15+AJ16+AJ17+AJ19+AJ21+AJ23+AJ24+AJ25+AJ27+AJ28+AJ30+AJ32+AJ34+AJ36+AJ38+AJ40+AJ42+AJ44+AJ45+AJ52+AJ54+AJ56+AJ57+AJ59</f>
        <v>2023</v>
      </c>
    </row>
    <row r="62" spans="1:36" s="6" customFormat="1" ht="17.25" customHeight="1" hidden="1">
      <c r="A62" s="57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58"/>
      <c r="M62" s="58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58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</row>
    <row r="63" spans="1:31" s="5" customFormat="1" ht="16.5" customHeight="1" hidden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62"/>
      <c r="Z63" s="62"/>
      <c r="AA63" s="62"/>
      <c r="AB63" s="62"/>
      <c r="AC63" s="62"/>
      <c r="AD63" s="62"/>
      <c r="AE63" s="62"/>
    </row>
    <row r="64" spans="1:38" s="15" customFormat="1" ht="12" customHeight="1">
      <c r="A64" s="99" t="s">
        <v>82</v>
      </c>
      <c r="B64" s="50"/>
      <c r="C64" s="50"/>
      <c r="D64" s="51">
        <v>1</v>
      </c>
      <c r="E64" s="51">
        <v>13</v>
      </c>
      <c r="F64" s="51">
        <v>1</v>
      </c>
      <c r="G64" s="51">
        <v>9</v>
      </c>
      <c r="H64" s="51">
        <v>1</v>
      </c>
      <c r="I64" s="51">
        <v>14</v>
      </c>
      <c r="J64" s="51">
        <v>1</v>
      </c>
      <c r="K64" s="51">
        <v>12</v>
      </c>
      <c r="L64" s="52">
        <f aca="true" t="shared" si="17" ref="L64:M67">D64+F64+H64+J64</f>
        <v>4</v>
      </c>
      <c r="M64" s="52">
        <f t="shared" si="17"/>
        <v>48</v>
      </c>
      <c r="N64" s="51">
        <v>1</v>
      </c>
      <c r="O64" s="51">
        <v>18</v>
      </c>
      <c r="P64" s="51">
        <v>1</v>
      </c>
      <c r="Q64" s="51">
        <v>14</v>
      </c>
      <c r="R64" s="51">
        <v>1</v>
      </c>
      <c r="S64" s="51">
        <v>8</v>
      </c>
      <c r="T64" s="51">
        <v>1</v>
      </c>
      <c r="U64" s="51">
        <v>18</v>
      </c>
      <c r="V64" s="51">
        <v>1</v>
      </c>
      <c r="W64" s="51">
        <v>10</v>
      </c>
      <c r="X64" s="52">
        <f aca="true" t="shared" si="18" ref="X64:Y66">N64+P64+R64+T64+V64</f>
        <v>5</v>
      </c>
      <c r="Y64" s="52">
        <f t="shared" si="18"/>
        <v>68</v>
      </c>
      <c r="Z64" s="51"/>
      <c r="AA64" s="51"/>
      <c r="AB64" s="51"/>
      <c r="AC64" s="51"/>
      <c r="AD64" s="52">
        <f aca="true" t="shared" si="19" ref="AD64:AE66">Z64+AB64</f>
        <v>0</v>
      </c>
      <c r="AE64" s="52">
        <f t="shared" si="19"/>
        <v>0</v>
      </c>
      <c r="AF64" s="60">
        <f aca="true" t="shared" si="20" ref="AF64:AG66">L64+X64+AD64+B64</f>
        <v>9</v>
      </c>
      <c r="AG64" s="60">
        <f t="shared" si="20"/>
        <v>116</v>
      </c>
      <c r="AH64" s="54">
        <f t="shared" si="8"/>
        <v>12.88888888888889</v>
      </c>
      <c r="AI64" s="53">
        <v>1</v>
      </c>
      <c r="AJ64" s="53">
        <v>30</v>
      </c>
      <c r="AK64" s="13"/>
      <c r="AL64" s="13"/>
    </row>
    <row r="65" spans="1:38" s="15" customFormat="1" ht="13.5" customHeight="1">
      <c r="A65" s="106" t="s">
        <v>58</v>
      </c>
      <c r="B65" s="108"/>
      <c r="C65" s="108"/>
      <c r="D65" s="108">
        <v>1</v>
      </c>
      <c r="E65" s="108">
        <v>1</v>
      </c>
      <c r="F65" s="108"/>
      <c r="G65" s="108"/>
      <c r="H65" s="108">
        <v>1</v>
      </c>
      <c r="I65" s="108">
        <v>1</v>
      </c>
      <c r="J65" s="108"/>
      <c r="K65" s="108"/>
      <c r="L65" s="109">
        <f>D65+F65+H65+J65</f>
        <v>2</v>
      </c>
      <c r="M65" s="109">
        <f>E65+G65+I65+K65</f>
        <v>2</v>
      </c>
      <c r="N65" s="108">
        <v>1</v>
      </c>
      <c r="O65" s="108">
        <v>1</v>
      </c>
      <c r="P65" s="108">
        <v>1</v>
      </c>
      <c r="Q65" s="108">
        <v>1</v>
      </c>
      <c r="R65" s="108"/>
      <c r="S65" s="108"/>
      <c r="T65" s="108"/>
      <c r="U65" s="108"/>
      <c r="V65" s="108"/>
      <c r="W65" s="108"/>
      <c r="X65" s="109">
        <f t="shared" si="18"/>
        <v>2</v>
      </c>
      <c r="Y65" s="109">
        <f t="shared" si="18"/>
        <v>2</v>
      </c>
      <c r="Z65" s="108"/>
      <c r="AA65" s="108"/>
      <c r="AB65" s="108"/>
      <c r="AC65" s="108"/>
      <c r="AD65" s="109">
        <f t="shared" si="19"/>
        <v>0</v>
      </c>
      <c r="AE65" s="109">
        <f t="shared" si="19"/>
        <v>0</v>
      </c>
      <c r="AF65" s="109">
        <f t="shared" si="20"/>
        <v>4</v>
      </c>
      <c r="AG65" s="109">
        <f t="shared" si="20"/>
        <v>4</v>
      </c>
      <c r="AH65" s="114"/>
      <c r="AI65" s="53"/>
      <c r="AJ65" s="53"/>
      <c r="AK65" s="13"/>
      <c r="AL65" s="13"/>
    </row>
    <row r="66" spans="1:38" s="7" customFormat="1" ht="12" customHeight="1">
      <c r="A66" s="55" t="s">
        <v>83</v>
      </c>
      <c r="B66" s="50"/>
      <c r="C66" s="50"/>
      <c r="D66" s="51">
        <v>1</v>
      </c>
      <c r="E66" s="51">
        <v>7</v>
      </c>
      <c r="F66" s="51">
        <v>1</v>
      </c>
      <c r="G66" s="51">
        <v>8</v>
      </c>
      <c r="H66" s="51">
        <v>1</v>
      </c>
      <c r="I66" s="51">
        <v>6</v>
      </c>
      <c r="J66" s="51">
        <v>1</v>
      </c>
      <c r="K66" s="51">
        <v>7</v>
      </c>
      <c r="L66" s="52">
        <f>D66+F66+H66+J66</f>
        <v>4</v>
      </c>
      <c r="M66" s="52">
        <f t="shared" si="17"/>
        <v>28</v>
      </c>
      <c r="N66" s="51">
        <v>1</v>
      </c>
      <c r="O66" s="51">
        <v>10</v>
      </c>
      <c r="P66" s="51">
        <v>1</v>
      </c>
      <c r="Q66" s="51">
        <v>14</v>
      </c>
      <c r="R66" s="51">
        <v>1</v>
      </c>
      <c r="S66" s="51">
        <v>10</v>
      </c>
      <c r="T66" s="51">
        <v>1</v>
      </c>
      <c r="U66" s="51">
        <v>7</v>
      </c>
      <c r="V66" s="51">
        <v>1</v>
      </c>
      <c r="W66" s="51">
        <v>7</v>
      </c>
      <c r="X66" s="52">
        <f t="shared" si="18"/>
        <v>5</v>
      </c>
      <c r="Y66" s="52">
        <f t="shared" si="18"/>
        <v>48</v>
      </c>
      <c r="Z66" s="51"/>
      <c r="AA66" s="51"/>
      <c r="AB66" s="51"/>
      <c r="AC66" s="51"/>
      <c r="AD66" s="52">
        <f t="shared" si="19"/>
        <v>0</v>
      </c>
      <c r="AE66" s="52">
        <f t="shared" si="19"/>
        <v>0</v>
      </c>
      <c r="AF66" s="60">
        <f t="shared" si="20"/>
        <v>9</v>
      </c>
      <c r="AG66" s="60">
        <f t="shared" si="20"/>
        <v>76</v>
      </c>
      <c r="AH66" s="54">
        <f t="shared" si="8"/>
        <v>8.444444444444445</v>
      </c>
      <c r="AI66" s="53">
        <v>0</v>
      </c>
      <c r="AJ66" s="53">
        <v>0</v>
      </c>
      <c r="AK66" s="4"/>
      <c r="AL66" s="4"/>
    </row>
    <row r="67" spans="1:38" s="6" customFormat="1" ht="12" customHeight="1">
      <c r="A67" s="20" t="s">
        <v>7</v>
      </c>
      <c r="B67" s="79"/>
      <c r="C67" s="79"/>
      <c r="D67" s="60">
        <f>D66+D64</f>
        <v>2</v>
      </c>
      <c r="E67" s="60">
        <f aca="true" t="shared" si="21" ref="E67:AD67">E66+E64</f>
        <v>20</v>
      </c>
      <c r="F67" s="60">
        <f t="shared" si="21"/>
        <v>2</v>
      </c>
      <c r="G67" s="60">
        <f t="shared" si="21"/>
        <v>17</v>
      </c>
      <c r="H67" s="60">
        <f t="shared" si="21"/>
        <v>2</v>
      </c>
      <c r="I67" s="60">
        <f t="shared" si="21"/>
        <v>20</v>
      </c>
      <c r="J67" s="60">
        <f t="shared" si="21"/>
        <v>2</v>
      </c>
      <c r="K67" s="60">
        <f t="shared" si="21"/>
        <v>19</v>
      </c>
      <c r="L67" s="52">
        <f t="shared" si="17"/>
        <v>8</v>
      </c>
      <c r="M67" s="52">
        <f t="shared" si="17"/>
        <v>76</v>
      </c>
      <c r="N67" s="60">
        <f t="shared" si="21"/>
        <v>2</v>
      </c>
      <c r="O67" s="60">
        <f t="shared" si="21"/>
        <v>28</v>
      </c>
      <c r="P67" s="60">
        <f t="shared" si="21"/>
        <v>2</v>
      </c>
      <c r="Q67" s="60">
        <f t="shared" si="21"/>
        <v>28</v>
      </c>
      <c r="R67" s="60">
        <f t="shared" si="21"/>
        <v>2</v>
      </c>
      <c r="S67" s="60">
        <f t="shared" si="21"/>
        <v>18</v>
      </c>
      <c r="T67" s="60">
        <f t="shared" si="21"/>
        <v>2</v>
      </c>
      <c r="U67" s="60">
        <f t="shared" si="21"/>
        <v>25</v>
      </c>
      <c r="V67" s="60">
        <f t="shared" si="21"/>
        <v>2</v>
      </c>
      <c r="W67" s="60">
        <f t="shared" si="21"/>
        <v>17</v>
      </c>
      <c r="X67" s="79">
        <f t="shared" si="21"/>
        <v>10</v>
      </c>
      <c r="Y67" s="79">
        <f t="shared" si="21"/>
        <v>116</v>
      </c>
      <c r="Z67" s="60">
        <f t="shared" si="21"/>
        <v>0</v>
      </c>
      <c r="AA67" s="60">
        <f t="shared" si="21"/>
        <v>0</v>
      </c>
      <c r="AB67" s="60">
        <f t="shared" si="21"/>
        <v>0</v>
      </c>
      <c r="AC67" s="60">
        <f t="shared" si="21"/>
        <v>0</v>
      </c>
      <c r="AD67" s="79">
        <f t="shared" si="21"/>
        <v>0</v>
      </c>
      <c r="AE67" s="79">
        <f>AE66+AE64</f>
        <v>0</v>
      </c>
      <c r="AF67" s="60">
        <f>AF66+AF64</f>
        <v>18</v>
      </c>
      <c r="AG67" s="60">
        <f>AG66+AG64</f>
        <v>192</v>
      </c>
      <c r="AH67" s="54">
        <f t="shared" si="8"/>
        <v>10.666666666666666</v>
      </c>
      <c r="AI67" s="96">
        <f>AI64</f>
        <v>1</v>
      </c>
      <c r="AJ67" s="96">
        <f>AJ64</f>
        <v>30</v>
      </c>
      <c r="AK67" s="14">
        <v>0</v>
      </c>
      <c r="AL67" s="14">
        <v>0</v>
      </c>
    </row>
    <row r="68" spans="1:38" s="6" customFormat="1" ht="11.25" customHeight="1">
      <c r="A68" s="20" t="s">
        <v>28</v>
      </c>
      <c r="B68" s="79">
        <f aca="true" t="shared" si="22" ref="B68:M68">B60+B67</f>
        <v>0</v>
      </c>
      <c r="C68" s="79">
        <f t="shared" si="22"/>
        <v>0</v>
      </c>
      <c r="D68" s="60">
        <f t="shared" si="22"/>
        <v>99</v>
      </c>
      <c r="E68" s="60">
        <f t="shared" si="22"/>
        <v>2918</v>
      </c>
      <c r="F68" s="60">
        <f t="shared" si="22"/>
        <v>106</v>
      </c>
      <c r="G68" s="60">
        <f t="shared" si="22"/>
        <v>3060</v>
      </c>
      <c r="H68" s="60">
        <f t="shared" si="22"/>
        <v>100</v>
      </c>
      <c r="I68" s="60">
        <f t="shared" si="22"/>
        <v>2907</v>
      </c>
      <c r="J68" s="60">
        <f t="shared" si="22"/>
        <v>92</v>
      </c>
      <c r="K68" s="60">
        <f t="shared" si="22"/>
        <v>2657</v>
      </c>
      <c r="L68" s="79">
        <f t="shared" si="22"/>
        <v>397</v>
      </c>
      <c r="M68" s="79">
        <f t="shared" si="22"/>
        <v>11542</v>
      </c>
      <c r="N68" s="60">
        <f aca="true" t="shared" si="23" ref="N68:AG68">N66+N64+N60</f>
        <v>103</v>
      </c>
      <c r="O68" s="60">
        <f t="shared" si="23"/>
        <v>2934</v>
      </c>
      <c r="P68" s="60">
        <f t="shared" si="23"/>
        <v>97</v>
      </c>
      <c r="Q68" s="60">
        <f t="shared" si="23"/>
        <v>2851</v>
      </c>
      <c r="R68" s="60">
        <f t="shared" si="23"/>
        <v>96</v>
      </c>
      <c r="S68" s="60">
        <f t="shared" si="23"/>
        <v>2599</v>
      </c>
      <c r="T68" s="60">
        <f t="shared" si="23"/>
        <v>86</v>
      </c>
      <c r="U68" s="60">
        <f t="shared" si="23"/>
        <v>2376</v>
      </c>
      <c r="V68" s="60">
        <f t="shared" si="23"/>
        <v>81</v>
      </c>
      <c r="W68" s="60">
        <f t="shared" si="23"/>
        <v>2143</v>
      </c>
      <c r="X68" s="79">
        <f t="shared" si="23"/>
        <v>463</v>
      </c>
      <c r="Y68" s="79">
        <f t="shared" si="23"/>
        <v>12903</v>
      </c>
      <c r="Z68" s="60">
        <f t="shared" si="23"/>
        <v>46</v>
      </c>
      <c r="AA68" s="60">
        <f t="shared" si="23"/>
        <v>1201</v>
      </c>
      <c r="AB68" s="60">
        <f t="shared" si="23"/>
        <v>49</v>
      </c>
      <c r="AC68" s="60">
        <f t="shared" si="23"/>
        <v>1260</v>
      </c>
      <c r="AD68" s="79">
        <f t="shared" si="23"/>
        <v>95</v>
      </c>
      <c r="AE68" s="79">
        <f t="shared" si="23"/>
        <v>2461</v>
      </c>
      <c r="AF68" s="60">
        <f t="shared" si="23"/>
        <v>955</v>
      </c>
      <c r="AG68" s="60">
        <f t="shared" si="23"/>
        <v>26906</v>
      </c>
      <c r="AH68" s="116">
        <f t="shared" si="8"/>
        <v>28.173821989528797</v>
      </c>
      <c r="AI68" s="96">
        <f>AI67+AI60</f>
        <v>67</v>
      </c>
      <c r="AJ68" s="96">
        <f>AJ67+AJ60</f>
        <v>2053</v>
      </c>
      <c r="AK68" s="14">
        <f>AK67+AK60</f>
        <v>69</v>
      </c>
      <c r="AL68" s="14">
        <f>AL67+AL60</f>
        <v>2214</v>
      </c>
    </row>
    <row r="69" spans="1:49" s="7" customFormat="1" ht="12" customHeight="1">
      <c r="A69" s="101" t="s">
        <v>43</v>
      </c>
      <c r="B69" s="102"/>
      <c r="C69" s="102"/>
      <c r="D69" s="103">
        <v>1</v>
      </c>
      <c r="E69" s="103">
        <v>29</v>
      </c>
      <c r="F69" s="104">
        <v>1</v>
      </c>
      <c r="G69" s="104">
        <v>33</v>
      </c>
      <c r="H69" s="104"/>
      <c r="I69" s="104"/>
      <c r="J69" s="104">
        <v>1</v>
      </c>
      <c r="K69" s="104">
        <v>32</v>
      </c>
      <c r="L69" s="52">
        <f>D69+F69+H69+J69</f>
        <v>3</v>
      </c>
      <c r="M69" s="52">
        <f>E69+G69+I69+K69</f>
        <v>94</v>
      </c>
      <c r="N69" s="103">
        <v>0</v>
      </c>
      <c r="O69" s="103">
        <v>0</v>
      </c>
      <c r="P69" s="103">
        <v>0</v>
      </c>
      <c r="Q69" s="103">
        <v>0</v>
      </c>
      <c r="R69" s="103">
        <v>0</v>
      </c>
      <c r="S69" s="103">
        <v>0</v>
      </c>
      <c r="T69" s="103">
        <v>0</v>
      </c>
      <c r="U69" s="103">
        <v>0</v>
      </c>
      <c r="V69" s="103">
        <v>0</v>
      </c>
      <c r="W69" s="103">
        <v>0</v>
      </c>
      <c r="X69" s="52">
        <f aca="true" t="shared" si="24" ref="X69:X78">N69+P69+R69+T69+V69</f>
        <v>0</v>
      </c>
      <c r="Y69" s="105">
        <f aca="true" t="shared" si="25" ref="Y69:Y79">O69+Q69+S69+U69+W69</f>
        <v>0</v>
      </c>
      <c r="Z69" s="103">
        <v>0</v>
      </c>
      <c r="AA69" s="103">
        <v>0</v>
      </c>
      <c r="AB69" s="103">
        <v>0</v>
      </c>
      <c r="AC69" s="103">
        <v>0</v>
      </c>
      <c r="AD69" s="105">
        <v>0</v>
      </c>
      <c r="AE69" s="105">
        <v>0</v>
      </c>
      <c r="AF69" s="60">
        <f aca="true" t="shared" si="26" ref="AF69:AG71">L69+X69+AD69+B69</f>
        <v>3</v>
      </c>
      <c r="AG69" s="60">
        <f t="shared" si="26"/>
        <v>94</v>
      </c>
      <c r="AH69" s="117">
        <f t="shared" si="8"/>
        <v>31.333333333333332</v>
      </c>
      <c r="AI69" s="104">
        <v>1</v>
      </c>
      <c r="AJ69" s="104">
        <v>40</v>
      </c>
      <c r="AK69" s="4">
        <v>2</v>
      </c>
      <c r="AL69" s="4">
        <v>69</v>
      </c>
      <c r="AO69" s="7">
        <v>1</v>
      </c>
      <c r="AP69" s="7">
        <v>30</v>
      </c>
      <c r="AV69" s="86">
        <v>2</v>
      </c>
      <c r="AW69" s="86">
        <v>60</v>
      </c>
    </row>
    <row r="70" spans="1:49" s="7" customFormat="1" ht="11.25">
      <c r="A70" s="55" t="s">
        <v>44</v>
      </c>
      <c r="B70" s="50"/>
      <c r="C70" s="50"/>
      <c r="D70" s="51">
        <v>1</v>
      </c>
      <c r="E70" s="51">
        <v>34</v>
      </c>
      <c r="F70" s="53">
        <v>1</v>
      </c>
      <c r="G70" s="53">
        <v>34</v>
      </c>
      <c r="H70" s="53">
        <v>1</v>
      </c>
      <c r="I70" s="53">
        <v>33</v>
      </c>
      <c r="J70" s="53">
        <v>1</v>
      </c>
      <c r="K70" s="53">
        <v>32</v>
      </c>
      <c r="L70" s="52">
        <f aca="true" t="shared" si="27" ref="L70:L78">D70+F70+H70+J70</f>
        <v>4</v>
      </c>
      <c r="M70" s="52">
        <f aca="true" t="shared" si="28" ref="M70:M79">E70+G70+I70+K70</f>
        <v>133</v>
      </c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2">
        <f t="shared" si="24"/>
        <v>0</v>
      </c>
      <c r="Y70" s="52">
        <f t="shared" si="25"/>
        <v>0</v>
      </c>
      <c r="Z70" s="51"/>
      <c r="AA70" s="51"/>
      <c r="AB70" s="51"/>
      <c r="AC70" s="51"/>
      <c r="AD70" s="52">
        <f aca="true" t="shared" si="29" ref="AD70:AE78">Z70+AB70</f>
        <v>0</v>
      </c>
      <c r="AE70" s="52">
        <f t="shared" si="29"/>
        <v>0</v>
      </c>
      <c r="AF70" s="60">
        <f t="shared" si="26"/>
        <v>4</v>
      </c>
      <c r="AG70" s="60">
        <f t="shared" si="26"/>
        <v>133</v>
      </c>
      <c r="AH70" s="54">
        <f t="shared" si="8"/>
        <v>33.25</v>
      </c>
      <c r="AI70" s="53">
        <v>1</v>
      </c>
      <c r="AJ70" s="53">
        <v>30</v>
      </c>
      <c r="AK70" s="4">
        <v>2</v>
      </c>
      <c r="AL70" s="4">
        <v>90</v>
      </c>
      <c r="AO70" s="7">
        <v>1</v>
      </c>
      <c r="AP70" s="7">
        <v>30</v>
      </c>
      <c r="AV70" s="86">
        <v>2</v>
      </c>
      <c r="AW70" s="86">
        <v>70</v>
      </c>
    </row>
    <row r="71" spans="1:49" s="7" customFormat="1" ht="11.25">
      <c r="A71" s="55" t="s">
        <v>56</v>
      </c>
      <c r="B71" s="50"/>
      <c r="C71" s="50"/>
      <c r="D71" s="51">
        <v>3</v>
      </c>
      <c r="E71" s="51">
        <f>18+17+11</f>
        <v>46</v>
      </c>
      <c r="F71" s="53">
        <f>3</f>
        <v>3</v>
      </c>
      <c r="G71" s="53">
        <f>16+14+12</f>
        <v>42</v>
      </c>
      <c r="H71" s="53">
        <v>2</v>
      </c>
      <c r="I71" s="53">
        <f>26+18</f>
        <v>44</v>
      </c>
      <c r="J71" s="53">
        <v>2</v>
      </c>
      <c r="K71" s="53">
        <f>17+14</f>
        <v>31</v>
      </c>
      <c r="L71" s="52">
        <f t="shared" si="27"/>
        <v>10</v>
      </c>
      <c r="M71" s="52">
        <f t="shared" si="28"/>
        <v>163</v>
      </c>
      <c r="N71" s="51">
        <v>1</v>
      </c>
      <c r="O71" s="51">
        <v>25</v>
      </c>
      <c r="P71" s="51">
        <v>2</v>
      </c>
      <c r="Q71" s="51">
        <f>15+15</f>
        <v>30</v>
      </c>
      <c r="R71" s="51">
        <v>1</v>
      </c>
      <c r="S71" s="51">
        <v>22</v>
      </c>
      <c r="T71" s="51">
        <v>2</v>
      </c>
      <c r="U71" s="51">
        <f>21+19</f>
        <v>40</v>
      </c>
      <c r="V71" s="51">
        <v>2</v>
      </c>
      <c r="W71" s="51">
        <f>14+13</f>
        <v>27</v>
      </c>
      <c r="X71" s="52">
        <f t="shared" si="24"/>
        <v>8</v>
      </c>
      <c r="Y71" s="52">
        <f t="shared" si="25"/>
        <v>144</v>
      </c>
      <c r="Z71" s="51">
        <v>1</v>
      </c>
      <c r="AA71" s="51">
        <v>17</v>
      </c>
      <c r="AB71" s="51">
        <v>1</v>
      </c>
      <c r="AC71" s="51">
        <v>12</v>
      </c>
      <c r="AD71" s="52">
        <f>Z71+AB71</f>
        <v>2</v>
      </c>
      <c r="AE71" s="52">
        <f>AA71+AC71</f>
        <v>29</v>
      </c>
      <c r="AF71" s="60">
        <f t="shared" si="26"/>
        <v>20</v>
      </c>
      <c r="AG71" s="60">
        <f t="shared" si="26"/>
        <v>336</v>
      </c>
      <c r="AH71" s="54">
        <f>AG71/AF71</f>
        <v>16.8</v>
      </c>
      <c r="AI71" s="53">
        <v>2</v>
      </c>
      <c r="AJ71" s="53">
        <v>60</v>
      </c>
      <c r="AK71" s="4">
        <v>1</v>
      </c>
      <c r="AL71" s="4">
        <v>30</v>
      </c>
      <c r="AO71" s="7">
        <v>2</v>
      </c>
      <c r="AP71" s="7">
        <v>60</v>
      </c>
      <c r="AV71" s="7">
        <v>2</v>
      </c>
      <c r="AW71" s="7">
        <v>60</v>
      </c>
    </row>
    <row r="72" spans="1:38" s="7" customFormat="1" ht="20.25" customHeight="1">
      <c r="A72" s="106" t="s">
        <v>61</v>
      </c>
      <c r="B72" s="109"/>
      <c r="C72" s="109"/>
      <c r="D72" s="109">
        <v>3</v>
      </c>
      <c r="E72" s="109">
        <v>16</v>
      </c>
      <c r="F72" s="109">
        <v>3</v>
      </c>
      <c r="G72" s="109">
        <v>18</v>
      </c>
      <c r="H72" s="109">
        <v>1</v>
      </c>
      <c r="I72" s="109">
        <v>2</v>
      </c>
      <c r="J72" s="109">
        <v>2</v>
      </c>
      <c r="K72" s="109">
        <v>6</v>
      </c>
      <c r="L72" s="109">
        <f t="shared" si="27"/>
        <v>9</v>
      </c>
      <c r="M72" s="109">
        <f t="shared" si="28"/>
        <v>42</v>
      </c>
      <c r="N72" s="109">
        <v>1</v>
      </c>
      <c r="O72" s="109">
        <v>3</v>
      </c>
      <c r="P72" s="109">
        <v>1</v>
      </c>
      <c r="Q72" s="109">
        <v>2</v>
      </c>
      <c r="R72" s="109">
        <v>1</v>
      </c>
      <c r="S72" s="109">
        <v>4</v>
      </c>
      <c r="T72" s="109">
        <v>2</v>
      </c>
      <c r="U72" s="109">
        <v>6</v>
      </c>
      <c r="V72" s="109">
        <v>2</v>
      </c>
      <c r="W72" s="109">
        <v>5</v>
      </c>
      <c r="X72" s="109">
        <f t="shared" si="24"/>
        <v>7</v>
      </c>
      <c r="Y72" s="109">
        <f t="shared" si="25"/>
        <v>20</v>
      </c>
      <c r="Z72" s="109"/>
      <c r="AA72" s="109"/>
      <c r="AB72" s="109"/>
      <c r="AC72" s="109"/>
      <c r="AD72" s="109">
        <f>Z72+AB72</f>
        <v>0</v>
      </c>
      <c r="AE72" s="109">
        <f>AA72+AC72</f>
        <v>0</v>
      </c>
      <c r="AF72" s="109">
        <f>L72+X72+AD72</f>
        <v>16</v>
      </c>
      <c r="AG72" s="109">
        <f>M72+Y72+AE72</f>
        <v>62</v>
      </c>
      <c r="AH72" s="113"/>
      <c r="AI72" s="80"/>
      <c r="AJ72" s="80"/>
      <c r="AK72" s="4"/>
      <c r="AL72" s="4"/>
    </row>
    <row r="73" spans="1:44" s="86" customFormat="1" ht="12" customHeight="1">
      <c r="A73" s="55" t="s">
        <v>45</v>
      </c>
      <c r="B73" s="50"/>
      <c r="C73" s="50"/>
      <c r="D73" s="51"/>
      <c r="E73" s="51"/>
      <c r="F73" s="53"/>
      <c r="G73" s="53"/>
      <c r="H73" s="53">
        <v>1</v>
      </c>
      <c r="I73" s="53">
        <v>8</v>
      </c>
      <c r="J73" s="53">
        <v>1</v>
      </c>
      <c r="K73" s="53">
        <v>6</v>
      </c>
      <c r="L73" s="52">
        <f t="shared" si="27"/>
        <v>2</v>
      </c>
      <c r="M73" s="52">
        <f t="shared" si="28"/>
        <v>14</v>
      </c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2">
        <f t="shared" si="24"/>
        <v>0</v>
      </c>
      <c r="Y73" s="52">
        <f t="shared" si="25"/>
        <v>0</v>
      </c>
      <c r="Z73" s="51"/>
      <c r="AA73" s="51"/>
      <c r="AB73" s="51"/>
      <c r="AC73" s="51"/>
      <c r="AD73" s="52">
        <f t="shared" si="29"/>
        <v>0</v>
      </c>
      <c r="AE73" s="52">
        <f t="shared" si="29"/>
        <v>0</v>
      </c>
      <c r="AF73" s="60">
        <f aca="true" t="shared" si="30" ref="AF73:AG78">L73+X73+AD73+B73</f>
        <v>2</v>
      </c>
      <c r="AG73" s="60">
        <f t="shared" si="30"/>
        <v>14</v>
      </c>
      <c r="AH73" s="54">
        <f>AG73/AF73</f>
        <v>7</v>
      </c>
      <c r="AI73" s="53">
        <v>2</v>
      </c>
      <c r="AJ73" s="53">
        <v>15</v>
      </c>
      <c r="AK73" s="18">
        <v>2</v>
      </c>
      <c r="AL73" s="18">
        <v>15</v>
      </c>
      <c r="AO73" s="86">
        <v>1</v>
      </c>
      <c r="AP73" s="86">
        <v>15</v>
      </c>
      <c r="AQ73" s="86">
        <v>2</v>
      </c>
      <c r="AR73" s="86">
        <v>15</v>
      </c>
    </row>
    <row r="74" spans="1:42" s="7" customFormat="1" ht="12" customHeight="1">
      <c r="A74" s="55" t="s">
        <v>46</v>
      </c>
      <c r="B74" s="50"/>
      <c r="C74" s="50"/>
      <c r="D74" s="51">
        <v>2</v>
      </c>
      <c r="E74" s="51">
        <f>13+13</f>
        <v>26</v>
      </c>
      <c r="F74" s="53">
        <f>4</f>
        <v>4</v>
      </c>
      <c r="G74" s="53">
        <f>15+14+15+11</f>
        <v>55</v>
      </c>
      <c r="H74" s="53">
        <f>2</f>
        <v>2</v>
      </c>
      <c r="I74" s="53">
        <f>11+13</f>
        <v>24</v>
      </c>
      <c r="J74" s="53">
        <v>3</v>
      </c>
      <c r="K74" s="53">
        <f>11+6+11</f>
        <v>28</v>
      </c>
      <c r="L74" s="52">
        <f t="shared" si="27"/>
        <v>11</v>
      </c>
      <c r="M74" s="52">
        <f t="shared" si="28"/>
        <v>133</v>
      </c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2">
        <f t="shared" si="24"/>
        <v>0</v>
      </c>
      <c r="Y74" s="52">
        <f t="shared" si="25"/>
        <v>0</v>
      </c>
      <c r="Z74" s="51"/>
      <c r="AA74" s="51"/>
      <c r="AB74" s="51"/>
      <c r="AC74" s="51"/>
      <c r="AD74" s="52">
        <f t="shared" si="29"/>
        <v>0</v>
      </c>
      <c r="AE74" s="52">
        <f t="shared" si="29"/>
        <v>0</v>
      </c>
      <c r="AF74" s="60">
        <f t="shared" si="30"/>
        <v>11</v>
      </c>
      <c r="AG74" s="60">
        <f t="shared" si="30"/>
        <v>133</v>
      </c>
      <c r="AH74" s="54">
        <f t="shared" si="8"/>
        <v>12.090909090909092</v>
      </c>
      <c r="AI74" s="53">
        <v>11</v>
      </c>
      <c r="AJ74" s="53">
        <v>133</v>
      </c>
      <c r="AK74" s="17">
        <v>9</v>
      </c>
      <c r="AL74" s="17">
        <v>127</v>
      </c>
      <c r="AM74" s="7">
        <v>1</v>
      </c>
      <c r="AO74" s="7">
        <v>11</v>
      </c>
      <c r="AP74" s="7">
        <v>138</v>
      </c>
    </row>
    <row r="75" spans="1:38" s="7" customFormat="1" ht="16.5" customHeight="1" hidden="1">
      <c r="A75" s="76" t="s">
        <v>79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2">
        <f>D75+F75+H75+J75</f>
        <v>0</v>
      </c>
      <c r="M75" s="72">
        <f>E75+G75+I75+K75</f>
        <v>0</v>
      </c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2">
        <f>N75+P75+R75+T75+V75</f>
        <v>0</v>
      </c>
      <c r="Y75" s="72">
        <f>O75+Q75+S75+U75+W75</f>
        <v>0</v>
      </c>
      <c r="Z75" s="73"/>
      <c r="AA75" s="73"/>
      <c r="AB75" s="73"/>
      <c r="AC75" s="73"/>
      <c r="AD75" s="72">
        <f>Z75+AB75</f>
        <v>0</v>
      </c>
      <c r="AE75" s="72">
        <f>AA75+AC75</f>
        <v>0</v>
      </c>
      <c r="AF75" s="72">
        <f>L75+X75+AD75</f>
        <v>0</v>
      </c>
      <c r="AG75" s="72">
        <f>M75+Y75+AE75</f>
        <v>0</v>
      </c>
      <c r="AH75" s="54"/>
      <c r="AI75" s="53"/>
      <c r="AJ75" s="53"/>
      <c r="AK75" s="17"/>
      <c r="AL75" s="17"/>
    </row>
    <row r="76" spans="1:49" s="7" customFormat="1" ht="12" customHeight="1">
      <c r="A76" s="55" t="s">
        <v>47</v>
      </c>
      <c r="B76" s="50"/>
      <c r="C76" s="50"/>
      <c r="D76" s="51">
        <v>2</v>
      </c>
      <c r="E76" s="51">
        <f>31+30</f>
        <v>61</v>
      </c>
      <c r="F76" s="53">
        <v>1</v>
      </c>
      <c r="G76" s="53">
        <v>33</v>
      </c>
      <c r="H76" s="53">
        <v>1</v>
      </c>
      <c r="I76" s="53">
        <v>33</v>
      </c>
      <c r="J76" s="53">
        <f>2</f>
        <v>2</v>
      </c>
      <c r="K76" s="53">
        <f>28+29</f>
        <v>57</v>
      </c>
      <c r="L76" s="52">
        <f t="shared" si="27"/>
        <v>6</v>
      </c>
      <c r="M76" s="52">
        <f t="shared" si="28"/>
        <v>184</v>
      </c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2">
        <f t="shared" si="24"/>
        <v>0</v>
      </c>
      <c r="Y76" s="52">
        <f t="shared" si="25"/>
        <v>0</v>
      </c>
      <c r="Z76" s="51"/>
      <c r="AA76" s="51"/>
      <c r="AB76" s="51"/>
      <c r="AC76" s="51"/>
      <c r="AD76" s="52">
        <f t="shared" si="29"/>
        <v>0</v>
      </c>
      <c r="AE76" s="52">
        <f t="shared" si="29"/>
        <v>0</v>
      </c>
      <c r="AF76" s="60">
        <f t="shared" si="30"/>
        <v>6</v>
      </c>
      <c r="AG76" s="60">
        <f t="shared" si="30"/>
        <v>184</v>
      </c>
      <c r="AH76" s="54">
        <f t="shared" si="8"/>
        <v>30.666666666666668</v>
      </c>
      <c r="AI76" s="53">
        <v>2</v>
      </c>
      <c r="AJ76" s="53">
        <v>60</v>
      </c>
      <c r="AK76" s="4">
        <v>3</v>
      </c>
      <c r="AL76" s="4">
        <v>100</v>
      </c>
      <c r="AO76" s="7">
        <v>1</v>
      </c>
      <c r="AP76" s="7">
        <v>70</v>
      </c>
      <c r="AQ76" s="7">
        <v>2</v>
      </c>
      <c r="AR76" s="7">
        <v>60</v>
      </c>
      <c r="AV76" s="86">
        <v>4</v>
      </c>
      <c r="AW76" s="86">
        <v>130</v>
      </c>
    </row>
    <row r="77" spans="1:49" s="7" customFormat="1" ht="12" customHeight="1">
      <c r="A77" s="106" t="s">
        <v>58</v>
      </c>
      <c r="B77" s="108"/>
      <c r="C77" s="108"/>
      <c r="D77" s="108">
        <v>1</v>
      </c>
      <c r="E77" s="108">
        <v>1</v>
      </c>
      <c r="F77" s="108"/>
      <c r="G77" s="108"/>
      <c r="H77" s="108"/>
      <c r="I77" s="108"/>
      <c r="J77" s="108"/>
      <c r="K77" s="108"/>
      <c r="L77" s="109">
        <f>D77+F77+H77+J77</f>
        <v>1</v>
      </c>
      <c r="M77" s="109">
        <f>E77+G77+I77+K77</f>
        <v>1</v>
      </c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9">
        <f t="shared" si="24"/>
        <v>0</v>
      </c>
      <c r="Y77" s="109">
        <f t="shared" si="25"/>
        <v>0</v>
      </c>
      <c r="Z77" s="108"/>
      <c r="AA77" s="108"/>
      <c r="AB77" s="108"/>
      <c r="AC77" s="108"/>
      <c r="AD77" s="109">
        <f t="shared" si="29"/>
        <v>0</v>
      </c>
      <c r="AE77" s="109">
        <f t="shared" si="29"/>
        <v>0</v>
      </c>
      <c r="AF77" s="109">
        <f t="shared" si="30"/>
        <v>1</v>
      </c>
      <c r="AG77" s="109">
        <f t="shared" si="30"/>
        <v>1</v>
      </c>
      <c r="AH77" s="54"/>
      <c r="AI77" s="53"/>
      <c r="AJ77" s="53"/>
      <c r="AK77" s="4"/>
      <c r="AL77" s="4"/>
      <c r="AV77" s="86"/>
      <c r="AW77" s="86"/>
    </row>
    <row r="78" spans="1:42" s="7" customFormat="1" ht="12" customHeight="1">
      <c r="A78" s="55" t="s">
        <v>48</v>
      </c>
      <c r="B78" s="50"/>
      <c r="C78" s="50"/>
      <c r="D78" s="51">
        <v>2</v>
      </c>
      <c r="E78" s="51">
        <f>32+33</f>
        <v>65</v>
      </c>
      <c r="F78" s="53">
        <v>2</v>
      </c>
      <c r="G78" s="53">
        <f>32+34</f>
        <v>66</v>
      </c>
      <c r="H78" s="53">
        <v>2</v>
      </c>
      <c r="I78" s="53">
        <f>34+34</f>
        <v>68</v>
      </c>
      <c r="J78" s="53">
        <v>2</v>
      </c>
      <c r="K78" s="53">
        <f>28+33</f>
        <v>61</v>
      </c>
      <c r="L78" s="52">
        <f t="shared" si="27"/>
        <v>8</v>
      </c>
      <c r="M78" s="52">
        <f t="shared" si="28"/>
        <v>260</v>
      </c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2">
        <f t="shared" si="24"/>
        <v>0</v>
      </c>
      <c r="Y78" s="52">
        <f t="shared" si="25"/>
        <v>0</v>
      </c>
      <c r="Z78" s="51"/>
      <c r="AA78" s="51"/>
      <c r="AB78" s="51"/>
      <c r="AC78" s="51"/>
      <c r="AD78" s="52">
        <f t="shared" si="29"/>
        <v>0</v>
      </c>
      <c r="AE78" s="52">
        <f t="shared" si="29"/>
        <v>0</v>
      </c>
      <c r="AF78" s="60">
        <f t="shared" si="30"/>
        <v>8</v>
      </c>
      <c r="AG78" s="60">
        <f t="shared" si="30"/>
        <v>260</v>
      </c>
      <c r="AH78" s="54">
        <f t="shared" si="8"/>
        <v>32.5</v>
      </c>
      <c r="AI78" s="53">
        <v>4</v>
      </c>
      <c r="AJ78" s="53">
        <v>120</v>
      </c>
      <c r="AK78" s="4">
        <v>5</v>
      </c>
      <c r="AL78" s="4">
        <v>152</v>
      </c>
      <c r="AN78" s="7">
        <v>4</v>
      </c>
      <c r="AO78" s="7">
        <v>3</v>
      </c>
      <c r="AP78" s="7">
        <v>90</v>
      </c>
    </row>
    <row r="79" spans="1:38" s="6" customFormat="1" ht="12" customHeight="1">
      <c r="A79" s="20" t="s">
        <v>28</v>
      </c>
      <c r="B79" s="79">
        <f aca="true" t="shared" si="31" ref="B79:K79">B69+B70+B71+B73+B74+B76+B78</f>
        <v>0</v>
      </c>
      <c r="C79" s="79">
        <f t="shared" si="31"/>
        <v>0</v>
      </c>
      <c r="D79" s="21">
        <f>D69+D70+D71+D73+D74+D76+D78</f>
        <v>11</v>
      </c>
      <c r="E79" s="21">
        <f t="shared" si="31"/>
        <v>261</v>
      </c>
      <c r="F79" s="21">
        <f t="shared" si="31"/>
        <v>12</v>
      </c>
      <c r="G79" s="21">
        <f t="shared" si="31"/>
        <v>263</v>
      </c>
      <c r="H79" s="21">
        <f t="shared" si="31"/>
        <v>9</v>
      </c>
      <c r="I79" s="21">
        <f t="shared" si="31"/>
        <v>210</v>
      </c>
      <c r="J79" s="21">
        <f t="shared" si="31"/>
        <v>12</v>
      </c>
      <c r="K79" s="21">
        <f t="shared" si="31"/>
        <v>247</v>
      </c>
      <c r="L79" s="52">
        <f>L69+L70+L71+L73+L74+L76+L78</f>
        <v>44</v>
      </c>
      <c r="M79" s="52">
        <f t="shared" si="28"/>
        <v>981</v>
      </c>
      <c r="N79" s="21">
        <f aca="true" t="shared" si="32" ref="N79:W79">N69+N70+N71+N73+N74+N76+N78</f>
        <v>1</v>
      </c>
      <c r="O79" s="21">
        <f t="shared" si="32"/>
        <v>25</v>
      </c>
      <c r="P79" s="21">
        <f t="shared" si="32"/>
        <v>2</v>
      </c>
      <c r="Q79" s="21">
        <f t="shared" si="32"/>
        <v>30</v>
      </c>
      <c r="R79" s="21">
        <f t="shared" si="32"/>
        <v>1</v>
      </c>
      <c r="S79" s="21">
        <f t="shared" si="32"/>
        <v>22</v>
      </c>
      <c r="T79" s="21">
        <f t="shared" si="32"/>
        <v>2</v>
      </c>
      <c r="U79" s="21">
        <f t="shared" si="32"/>
        <v>40</v>
      </c>
      <c r="V79" s="21">
        <f t="shared" si="32"/>
        <v>2</v>
      </c>
      <c r="W79" s="21">
        <f t="shared" si="32"/>
        <v>27</v>
      </c>
      <c r="X79" s="79">
        <f>N79+P79+R79+T79+V79</f>
        <v>8</v>
      </c>
      <c r="Y79" s="79">
        <f t="shared" si="25"/>
        <v>144</v>
      </c>
      <c r="Z79" s="21">
        <f>Z69+Z70+Z71+Z73+Z74+Z76+Z78</f>
        <v>1</v>
      </c>
      <c r="AA79" s="21">
        <f>AA69+AA70+AA71+AA73+AA74+AA76+AA78</f>
        <v>17</v>
      </c>
      <c r="AB79" s="21">
        <f>AB69+AB70+AB71+AB73+AB74+AB76+AB78</f>
        <v>1</v>
      </c>
      <c r="AC79" s="21">
        <f>AC69+AC70+AC71+AC73+AC74+AC76+AC78</f>
        <v>12</v>
      </c>
      <c r="AD79" s="79">
        <f>Z79+AB79</f>
        <v>2</v>
      </c>
      <c r="AE79" s="79">
        <f>AA79+AC79</f>
        <v>29</v>
      </c>
      <c r="AF79" s="21">
        <f>AF69+AF70+AF71+AF73+AF74+AF76+AF78</f>
        <v>54</v>
      </c>
      <c r="AG79" s="21">
        <f>AG69+AG70+AG71+AG73+AG74+AG76+AG78</f>
        <v>1154</v>
      </c>
      <c r="AH79" s="56">
        <f>AG79/AF79</f>
        <v>21.37037037037037</v>
      </c>
      <c r="AI79" s="96">
        <f>AI69+AI70+AI71+AI73+AI74+AI76+AI78</f>
        <v>23</v>
      </c>
      <c r="AJ79" s="96">
        <f>AJ69+AJ70+AJ71+AJ73+AJ74+AJ76+AJ78</f>
        <v>458</v>
      </c>
      <c r="AK79" s="2">
        <f>AK69+AK70+AK71+AK73+AK74+AK76+AK78</f>
        <v>24</v>
      </c>
      <c r="AL79" s="2">
        <f>AL69+AL70+AL71+AL73+AL74+AL76+AL78</f>
        <v>583</v>
      </c>
    </row>
    <row r="80" spans="1:41" s="6" customFormat="1" ht="12" customHeight="1">
      <c r="A80" s="20" t="s">
        <v>29</v>
      </c>
      <c r="B80" s="79">
        <f aca="true" t="shared" si="33" ref="B80:AE80">B68+B79</f>
        <v>0</v>
      </c>
      <c r="C80" s="79">
        <f>C68+C79</f>
        <v>0</v>
      </c>
      <c r="D80" s="21">
        <f>D68+D79</f>
        <v>110</v>
      </c>
      <c r="E80" s="21">
        <f t="shared" si="33"/>
        <v>3179</v>
      </c>
      <c r="F80" s="21">
        <f t="shared" si="33"/>
        <v>118</v>
      </c>
      <c r="G80" s="21">
        <f t="shared" si="33"/>
        <v>3323</v>
      </c>
      <c r="H80" s="21">
        <f t="shared" si="33"/>
        <v>109</v>
      </c>
      <c r="I80" s="21">
        <f t="shared" si="33"/>
        <v>3117</v>
      </c>
      <c r="J80" s="21">
        <f t="shared" si="33"/>
        <v>104</v>
      </c>
      <c r="K80" s="21">
        <f t="shared" si="33"/>
        <v>2904</v>
      </c>
      <c r="L80" s="79">
        <f>L68+L79</f>
        <v>441</v>
      </c>
      <c r="M80" s="79">
        <f>M68+M79</f>
        <v>12523</v>
      </c>
      <c r="N80" s="21">
        <f t="shared" si="33"/>
        <v>104</v>
      </c>
      <c r="O80" s="21">
        <f t="shared" si="33"/>
        <v>2959</v>
      </c>
      <c r="P80" s="21">
        <f t="shared" si="33"/>
        <v>99</v>
      </c>
      <c r="Q80" s="21">
        <f t="shared" si="33"/>
        <v>2881</v>
      </c>
      <c r="R80" s="21">
        <f t="shared" si="33"/>
        <v>97</v>
      </c>
      <c r="S80" s="21">
        <f t="shared" si="33"/>
        <v>2621</v>
      </c>
      <c r="T80" s="21">
        <f t="shared" si="33"/>
        <v>88</v>
      </c>
      <c r="U80" s="21">
        <f t="shared" si="33"/>
        <v>2416</v>
      </c>
      <c r="V80" s="21">
        <f t="shared" si="33"/>
        <v>83</v>
      </c>
      <c r="W80" s="21">
        <f t="shared" si="33"/>
        <v>2170</v>
      </c>
      <c r="X80" s="79">
        <f t="shared" si="33"/>
        <v>471</v>
      </c>
      <c r="Y80" s="79">
        <f>Y68+Y79</f>
        <v>13047</v>
      </c>
      <c r="Z80" s="21">
        <f t="shared" si="33"/>
        <v>47</v>
      </c>
      <c r="AA80" s="21">
        <f t="shared" si="33"/>
        <v>1218</v>
      </c>
      <c r="AB80" s="21">
        <f t="shared" si="33"/>
        <v>50</v>
      </c>
      <c r="AC80" s="21">
        <f t="shared" si="33"/>
        <v>1272</v>
      </c>
      <c r="AD80" s="79">
        <f t="shared" si="33"/>
        <v>97</v>
      </c>
      <c r="AE80" s="79">
        <f t="shared" si="33"/>
        <v>2490</v>
      </c>
      <c r="AF80" s="21">
        <f>AF68+AF79</f>
        <v>1009</v>
      </c>
      <c r="AG80" s="21">
        <f>AG68+AG79</f>
        <v>28060</v>
      </c>
      <c r="AH80" s="56">
        <f t="shared" si="8"/>
        <v>27.809712586719524</v>
      </c>
      <c r="AI80" s="95">
        <f>AI68+AI79</f>
        <v>90</v>
      </c>
      <c r="AJ80" s="95">
        <f>AJ68+AJ79</f>
        <v>2511</v>
      </c>
      <c r="AK80" s="2">
        <f>AK68+AK79</f>
        <v>93</v>
      </c>
      <c r="AL80" s="2">
        <f>AL68+AL79</f>
        <v>2797</v>
      </c>
      <c r="AO80" s="6">
        <f>SUM(AO9:AO79)</f>
        <v>82</v>
      </c>
    </row>
    <row r="81" spans="1:38" s="6" customFormat="1" ht="12" customHeight="1" hidden="1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56"/>
      <c r="AI81" s="95"/>
      <c r="AJ81" s="95"/>
      <c r="AK81" s="5"/>
      <c r="AL81" s="5"/>
    </row>
    <row r="82" spans="1:36" ht="16.5" customHeight="1" hidden="1">
      <c r="A82" s="64" t="s">
        <v>62</v>
      </c>
      <c r="B82" s="79">
        <f>'[2]до рішення '!$B$58</f>
        <v>3</v>
      </c>
      <c r="C82" s="79">
        <f>'[2]до рішення '!$C$58</f>
        <v>29</v>
      </c>
      <c r="D82" s="21">
        <f>'[2]до рішення '!$D$58</f>
        <v>109</v>
      </c>
      <c r="E82" s="21">
        <f>'[2]до рішення '!$E$58</f>
        <v>3184</v>
      </c>
      <c r="F82" s="21">
        <f>'[2]до рішення '!$F$58</f>
        <v>105</v>
      </c>
      <c r="G82" s="21">
        <f>'[2]до рішення '!$G$58</f>
        <v>2963</v>
      </c>
      <c r="H82" s="21">
        <f>'[2]до рішення '!$H$58</f>
        <v>106</v>
      </c>
      <c r="I82" s="21">
        <f>'[2]до рішення '!$I$58</f>
        <v>3034</v>
      </c>
      <c r="J82" s="21">
        <f>'[2]до рішення '!$J$58</f>
        <v>102</v>
      </c>
      <c r="K82" s="21">
        <f>'[2]до рішення '!$K$58</f>
        <v>2904</v>
      </c>
      <c r="L82" s="79">
        <f>'[2]до рішення '!$L$58</f>
        <v>422</v>
      </c>
      <c r="M82" s="79">
        <f>E82+G82+I82+K82</f>
        <v>12085</v>
      </c>
      <c r="N82" s="21">
        <f>'[2]до рішення '!$N$58</f>
        <v>97</v>
      </c>
      <c r="O82" s="21">
        <f>'[2]до рішення '!$O$58</f>
        <v>2659</v>
      </c>
      <c r="P82" s="21">
        <f>'[2]до рішення '!$P$58</f>
        <v>89</v>
      </c>
      <c r="Q82" s="21">
        <f>'[2]до рішення '!$Q$58</f>
        <v>2500</v>
      </c>
      <c r="R82" s="21">
        <f>'[2]до рішення '!$R$58</f>
        <v>82</v>
      </c>
      <c r="S82" s="21">
        <f>'[2]до рішення '!$S$58</f>
        <v>2271</v>
      </c>
      <c r="T82" s="21">
        <f>'[2]до рішення '!$T$58</f>
        <v>77</v>
      </c>
      <c r="U82" s="21">
        <f>'[2]до рішення '!$U$58</f>
        <v>2131</v>
      </c>
      <c r="V82" s="21">
        <f>'[2]до рішення '!$V$58</f>
        <v>81</v>
      </c>
      <c r="W82" s="21">
        <f>'[2]до рішення '!$W$58</f>
        <v>2208</v>
      </c>
      <c r="X82" s="79">
        <f>'[2]до рішення '!$X$58</f>
        <v>426</v>
      </c>
      <c r="Y82" s="79">
        <f>O82+Q82+S82+U82+W82</f>
        <v>11769</v>
      </c>
      <c r="Z82" s="21">
        <f>'[2]до рішення '!$Z$58</f>
        <v>43</v>
      </c>
      <c r="AA82" s="21">
        <f>'[2]до рішення '!$AA$58</f>
        <v>1178</v>
      </c>
      <c r="AB82" s="21">
        <f>'[2]до рішення '!$AB$58</f>
        <v>44</v>
      </c>
      <c r="AC82" s="65">
        <f>'[2]до рішення '!$AC$58</f>
        <v>1137</v>
      </c>
      <c r="AD82" s="66">
        <f>'[2]до рішення '!$AD$58</f>
        <v>87</v>
      </c>
      <c r="AE82" s="66">
        <f>AA82+AC82</f>
        <v>2315</v>
      </c>
      <c r="AF82" s="65">
        <f>'[2]до рішення '!$AF$58</f>
        <v>938</v>
      </c>
      <c r="AG82" s="65">
        <f>M82+Y82+AE82+C82</f>
        <v>26198</v>
      </c>
      <c r="AH82" s="65">
        <f>AG82/AF82</f>
        <v>27.929637526652453</v>
      </c>
      <c r="AI82" s="65">
        <f>'[2]до рішення '!$AI$58</f>
        <v>98</v>
      </c>
      <c r="AJ82" s="65">
        <f>'[2]до рішення '!$AJ$58</f>
        <v>2867</v>
      </c>
    </row>
    <row r="83" spans="1:36" s="6" customFormat="1" ht="12" customHeight="1" hidden="1">
      <c r="A83" s="21" t="s">
        <v>63</v>
      </c>
      <c r="B83" s="79">
        <f>B80-B82</f>
        <v>-3</v>
      </c>
      <c r="C83" s="79">
        <f>C80-C82</f>
        <v>-29</v>
      </c>
      <c r="D83" s="21">
        <f>D80-D82</f>
        <v>1</v>
      </c>
      <c r="E83" s="21">
        <f>E80-E82</f>
        <v>-5</v>
      </c>
      <c r="F83" s="21">
        <f aca="true" t="shared" si="34" ref="F83:AJ83">F80-F82</f>
        <v>13</v>
      </c>
      <c r="G83" s="21">
        <f t="shared" si="34"/>
        <v>360</v>
      </c>
      <c r="H83" s="21">
        <f t="shared" si="34"/>
        <v>3</v>
      </c>
      <c r="I83" s="21">
        <f t="shared" si="34"/>
        <v>83</v>
      </c>
      <c r="J83" s="21">
        <f t="shared" si="34"/>
        <v>2</v>
      </c>
      <c r="K83" s="21">
        <f t="shared" si="34"/>
        <v>0</v>
      </c>
      <c r="L83" s="79">
        <f t="shared" si="34"/>
        <v>19</v>
      </c>
      <c r="M83" s="79">
        <f t="shared" si="34"/>
        <v>438</v>
      </c>
      <c r="N83" s="21">
        <f t="shared" si="34"/>
        <v>7</v>
      </c>
      <c r="O83" s="21">
        <f t="shared" si="34"/>
        <v>300</v>
      </c>
      <c r="P83" s="21">
        <f t="shared" si="34"/>
        <v>10</v>
      </c>
      <c r="Q83" s="21">
        <f t="shared" si="34"/>
        <v>381</v>
      </c>
      <c r="R83" s="21">
        <f t="shared" si="34"/>
        <v>15</v>
      </c>
      <c r="S83" s="21">
        <f t="shared" si="34"/>
        <v>350</v>
      </c>
      <c r="T83" s="21">
        <f t="shared" si="34"/>
        <v>11</v>
      </c>
      <c r="U83" s="21">
        <f t="shared" si="34"/>
        <v>285</v>
      </c>
      <c r="V83" s="21">
        <f t="shared" si="34"/>
        <v>2</v>
      </c>
      <c r="W83" s="21">
        <f t="shared" si="34"/>
        <v>-38</v>
      </c>
      <c r="X83" s="79">
        <f t="shared" si="34"/>
        <v>45</v>
      </c>
      <c r="Y83" s="79">
        <f t="shared" si="34"/>
        <v>1278</v>
      </c>
      <c r="Z83" s="21">
        <f t="shared" si="34"/>
        <v>4</v>
      </c>
      <c r="AA83" s="21">
        <f t="shared" si="34"/>
        <v>40</v>
      </c>
      <c r="AB83" s="21">
        <f t="shared" si="34"/>
        <v>6</v>
      </c>
      <c r="AC83" s="21">
        <f t="shared" si="34"/>
        <v>135</v>
      </c>
      <c r="AD83" s="79">
        <f t="shared" si="34"/>
        <v>10</v>
      </c>
      <c r="AE83" s="79">
        <f t="shared" si="34"/>
        <v>175</v>
      </c>
      <c r="AF83" s="21">
        <f t="shared" si="34"/>
        <v>71</v>
      </c>
      <c r="AG83" s="21">
        <f t="shared" si="34"/>
        <v>1862</v>
      </c>
      <c r="AH83" s="21">
        <f t="shared" si="34"/>
        <v>-0.11992493993292896</v>
      </c>
      <c r="AI83" s="21">
        <f t="shared" si="34"/>
        <v>-8</v>
      </c>
      <c r="AJ83" s="21">
        <f t="shared" si="34"/>
        <v>-356</v>
      </c>
    </row>
    <row r="84" spans="1:41" s="6" customFormat="1" ht="12" customHeight="1" hidden="1">
      <c r="A84" s="33"/>
      <c r="B84" s="33"/>
      <c r="C84" s="33"/>
      <c r="D84" s="33">
        <f aca="true" t="shared" si="35" ref="D84:AG84">D61+D64+D66+D69+D70+D71+D73+D74+D76+D78</f>
        <v>110</v>
      </c>
      <c r="E84" s="33">
        <f t="shared" si="35"/>
        <v>3179</v>
      </c>
      <c r="F84" s="33">
        <f t="shared" si="35"/>
        <v>118</v>
      </c>
      <c r="G84" s="33">
        <f t="shared" si="35"/>
        <v>3323</v>
      </c>
      <c r="H84" s="33">
        <f t="shared" si="35"/>
        <v>109</v>
      </c>
      <c r="I84" s="33">
        <f t="shared" si="35"/>
        <v>3117</v>
      </c>
      <c r="J84" s="33">
        <f t="shared" si="35"/>
        <v>104</v>
      </c>
      <c r="K84" s="33">
        <f t="shared" si="35"/>
        <v>2904</v>
      </c>
      <c r="L84" s="33">
        <f t="shared" si="35"/>
        <v>441</v>
      </c>
      <c r="M84" s="33">
        <f t="shared" si="35"/>
        <v>12523</v>
      </c>
      <c r="N84" s="33">
        <f t="shared" si="35"/>
        <v>104</v>
      </c>
      <c r="O84" s="33">
        <f t="shared" si="35"/>
        <v>2959</v>
      </c>
      <c r="P84" s="33">
        <f t="shared" si="35"/>
        <v>99</v>
      </c>
      <c r="Q84" s="33">
        <f t="shared" si="35"/>
        <v>2881</v>
      </c>
      <c r="R84" s="33">
        <f t="shared" si="35"/>
        <v>97</v>
      </c>
      <c r="S84" s="33">
        <f t="shared" si="35"/>
        <v>2621</v>
      </c>
      <c r="T84" s="33">
        <f t="shared" si="35"/>
        <v>88</v>
      </c>
      <c r="U84" s="33">
        <f t="shared" si="35"/>
        <v>2416</v>
      </c>
      <c r="V84" s="33">
        <f t="shared" si="35"/>
        <v>83</v>
      </c>
      <c r="W84" s="33">
        <f t="shared" si="35"/>
        <v>2170</v>
      </c>
      <c r="X84" s="33">
        <f t="shared" si="35"/>
        <v>471</v>
      </c>
      <c r="Y84" s="33">
        <f t="shared" si="35"/>
        <v>13047</v>
      </c>
      <c r="Z84" s="33">
        <f t="shared" si="35"/>
        <v>47</v>
      </c>
      <c r="AA84" s="33">
        <f t="shared" si="35"/>
        <v>1218</v>
      </c>
      <c r="AB84" s="33">
        <f t="shared" si="35"/>
        <v>50</v>
      </c>
      <c r="AC84" s="33">
        <f t="shared" si="35"/>
        <v>1272</v>
      </c>
      <c r="AD84" s="33">
        <f t="shared" si="35"/>
        <v>97</v>
      </c>
      <c r="AE84" s="33">
        <f t="shared" si="35"/>
        <v>2490</v>
      </c>
      <c r="AF84" s="33">
        <f t="shared" si="35"/>
        <v>1009</v>
      </c>
      <c r="AG84" s="33">
        <f t="shared" si="35"/>
        <v>28060</v>
      </c>
      <c r="AH84" s="87"/>
      <c r="AI84" s="33">
        <f>AI61+AI64+AI66+AI69+AI70+AI71+AI73+AI74+AI76+AI78</f>
        <v>90</v>
      </c>
      <c r="AJ84" s="33">
        <f>AJ61+AJ64+AJ66+AJ69+AJ70+AJ71+AJ73+AJ74+AJ76+AJ78</f>
        <v>2511</v>
      </c>
      <c r="AO84" s="6">
        <f>AF20+AF29+AF31+AF33+AF55+AF65+AF72+AF75</f>
        <v>35</v>
      </c>
    </row>
    <row r="85" spans="1:36" s="6" customFormat="1" ht="12" customHeight="1" hidden="1">
      <c r="A85" s="33" t="s">
        <v>88</v>
      </c>
      <c r="B85" s="33"/>
      <c r="C85" s="33"/>
      <c r="D85" s="33">
        <v>119</v>
      </c>
      <c r="E85" s="33">
        <v>3349</v>
      </c>
      <c r="F85" s="33">
        <v>109</v>
      </c>
      <c r="G85" s="33">
        <v>3163</v>
      </c>
      <c r="H85" s="33">
        <v>105</v>
      </c>
      <c r="I85" s="33">
        <v>2947</v>
      </c>
      <c r="J85" s="33">
        <v>106</v>
      </c>
      <c r="K85" s="33">
        <v>3014</v>
      </c>
      <c r="L85" s="33">
        <v>439</v>
      </c>
      <c r="M85" s="33">
        <v>12473</v>
      </c>
      <c r="N85" s="33">
        <v>99</v>
      </c>
      <c r="O85" s="33">
        <v>2889</v>
      </c>
      <c r="P85" s="33">
        <v>97</v>
      </c>
      <c r="Q85" s="33">
        <v>2644</v>
      </c>
      <c r="R85" s="33">
        <v>89</v>
      </c>
      <c r="S85" s="33">
        <v>2468</v>
      </c>
      <c r="T85" s="33">
        <v>84</v>
      </c>
      <c r="U85" s="33">
        <v>2199</v>
      </c>
      <c r="V85" s="33">
        <v>75</v>
      </c>
      <c r="W85" s="33">
        <v>2112</v>
      </c>
      <c r="X85" s="33">
        <v>444</v>
      </c>
      <c r="Y85" s="33">
        <v>12312</v>
      </c>
      <c r="Z85" s="33">
        <v>50</v>
      </c>
      <c r="AA85" s="33">
        <v>1294</v>
      </c>
      <c r="AB85" s="33">
        <v>43</v>
      </c>
      <c r="AC85" s="33">
        <v>1145</v>
      </c>
      <c r="AD85" s="33">
        <v>93</v>
      </c>
      <c r="AE85" s="33">
        <v>2439</v>
      </c>
      <c r="AF85" s="33">
        <v>976</v>
      </c>
      <c r="AG85" s="97">
        <v>27224</v>
      </c>
      <c r="AH85" s="97"/>
      <c r="AI85" s="97">
        <v>91</v>
      </c>
      <c r="AJ85" s="97">
        <v>2539</v>
      </c>
    </row>
    <row r="86" spans="1:36" s="6" customFormat="1" ht="12" customHeight="1" hidden="1">
      <c r="A86" s="33"/>
      <c r="B86" s="33"/>
      <c r="C86" s="33"/>
      <c r="D86" s="33">
        <f>D84-D85</f>
        <v>-9</v>
      </c>
      <c r="E86" s="33">
        <f aca="true" t="shared" si="36" ref="E86:AJ86">E84-E85</f>
        <v>-170</v>
      </c>
      <c r="F86" s="33">
        <f t="shared" si="36"/>
        <v>9</v>
      </c>
      <c r="G86" s="33">
        <f t="shared" si="36"/>
        <v>160</v>
      </c>
      <c r="H86" s="33">
        <f t="shared" si="36"/>
        <v>4</v>
      </c>
      <c r="I86" s="33">
        <f t="shared" si="36"/>
        <v>170</v>
      </c>
      <c r="J86" s="33">
        <f t="shared" si="36"/>
        <v>-2</v>
      </c>
      <c r="K86" s="33">
        <f t="shared" si="36"/>
        <v>-110</v>
      </c>
      <c r="L86" s="33">
        <f t="shared" si="36"/>
        <v>2</v>
      </c>
      <c r="M86" s="33">
        <f t="shared" si="36"/>
        <v>50</v>
      </c>
      <c r="N86" s="33">
        <f t="shared" si="36"/>
        <v>5</v>
      </c>
      <c r="O86" s="33">
        <f t="shared" si="36"/>
        <v>70</v>
      </c>
      <c r="P86" s="33">
        <f t="shared" si="36"/>
        <v>2</v>
      </c>
      <c r="Q86" s="33">
        <f t="shared" si="36"/>
        <v>237</v>
      </c>
      <c r="R86" s="33">
        <f t="shared" si="36"/>
        <v>8</v>
      </c>
      <c r="S86" s="33">
        <f t="shared" si="36"/>
        <v>153</v>
      </c>
      <c r="T86" s="33">
        <f t="shared" si="36"/>
        <v>4</v>
      </c>
      <c r="U86" s="33">
        <f t="shared" si="36"/>
        <v>217</v>
      </c>
      <c r="V86" s="33">
        <f t="shared" si="36"/>
        <v>8</v>
      </c>
      <c r="W86" s="33">
        <f t="shared" si="36"/>
        <v>58</v>
      </c>
      <c r="X86" s="33">
        <f t="shared" si="36"/>
        <v>27</v>
      </c>
      <c r="Y86" s="33">
        <f t="shared" si="36"/>
        <v>735</v>
      </c>
      <c r="Z86" s="33">
        <f t="shared" si="36"/>
        <v>-3</v>
      </c>
      <c r="AA86" s="33">
        <f t="shared" si="36"/>
        <v>-76</v>
      </c>
      <c r="AB86" s="33">
        <f t="shared" si="36"/>
        <v>7</v>
      </c>
      <c r="AC86" s="33">
        <f t="shared" si="36"/>
        <v>127</v>
      </c>
      <c r="AD86" s="33">
        <f t="shared" si="36"/>
        <v>4</v>
      </c>
      <c r="AE86" s="33">
        <f t="shared" si="36"/>
        <v>51</v>
      </c>
      <c r="AF86" s="33">
        <f t="shared" si="36"/>
        <v>33</v>
      </c>
      <c r="AG86" s="33">
        <f t="shared" si="36"/>
        <v>836</v>
      </c>
      <c r="AH86" s="33">
        <f t="shared" si="36"/>
        <v>0</v>
      </c>
      <c r="AI86" s="33">
        <f t="shared" si="36"/>
        <v>-1</v>
      </c>
      <c r="AJ86" s="33">
        <f t="shared" si="36"/>
        <v>-28</v>
      </c>
    </row>
    <row r="87" spans="1:36" s="6" customFormat="1" ht="12" customHeight="1" hidden="1">
      <c r="A87" s="33" t="s">
        <v>89</v>
      </c>
      <c r="B87" s="33"/>
      <c r="C87" s="33"/>
      <c r="D87" s="33">
        <v>116</v>
      </c>
      <c r="E87" s="33">
        <v>3355</v>
      </c>
      <c r="F87" s="33">
        <v>119</v>
      </c>
      <c r="G87" s="33">
        <v>3349</v>
      </c>
      <c r="H87" s="33">
        <v>109</v>
      </c>
      <c r="I87" s="33">
        <v>3163</v>
      </c>
      <c r="J87" s="33">
        <v>105</v>
      </c>
      <c r="K87" s="33">
        <v>2947</v>
      </c>
      <c r="L87" s="33">
        <v>449</v>
      </c>
      <c r="M87" s="33">
        <v>12814</v>
      </c>
      <c r="N87" s="33">
        <v>103</v>
      </c>
      <c r="O87" s="33">
        <v>2979</v>
      </c>
      <c r="P87" s="33">
        <v>99</v>
      </c>
      <c r="Q87" s="33">
        <v>2889</v>
      </c>
      <c r="R87" s="33">
        <v>97</v>
      </c>
      <c r="S87" s="33">
        <v>2644</v>
      </c>
      <c r="T87" s="33">
        <v>89</v>
      </c>
      <c r="U87" s="33">
        <v>2468</v>
      </c>
      <c r="V87" s="33">
        <v>84</v>
      </c>
      <c r="W87" s="33">
        <v>2199</v>
      </c>
      <c r="X87" s="33">
        <v>472</v>
      </c>
      <c r="Y87" s="33">
        <v>13179</v>
      </c>
      <c r="Z87" s="33">
        <v>51</v>
      </c>
      <c r="AA87" s="33">
        <v>1414</v>
      </c>
      <c r="AB87" s="33">
        <v>50</v>
      </c>
      <c r="AC87" s="33">
        <v>1294</v>
      </c>
      <c r="AD87" s="33">
        <v>101</v>
      </c>
      <c r="AE87" s="33">
        <v>2708</v>
      </c>
      <c r="AF87" s="33">
        <v>1022</v>
      </c>
      <c r="AG87" s="33">
        <v>28701</v>
      </c>
      <c r="AH87" s="33"/>
      <c r="AI87" s="33"/>
      <c r="AJ87" s="33"/>
    </row>
    <row r="88" spans="1:36" s="6" customFormat="1" ht="12" customHeight="1" hidden="1">
      <c r="A88" s="33"/>
      <c r="B88" s="33"/>
      <c r="C88" s="33"/>
      <c r="D88" s="33">
        <f>D80-D87</f>
        <v>-6</v>
      </c>
      <c r="E88" s="33">
        <f aca="true" t="shared" si="37" ref="E88:AJ88">E80-E87</f>
        <v>-176</v>
      </c>
      <c r="F88" s="33">
        <f t="shared" si="37"/>
        <v>-1</v>
      </c>
      <c r="G88" s="33">
        <f t="shared" si="37"/>
        <v>-26</v>
      </c>
      <c r="H88" s="33">
        <f t="shared" si="37"/>
        <v>0</v>
      </c>
      <c r="I88" s="33">
        <f t="shared" si="37"/>
        <v>-46</v>
      </c>
      <c r="J88" s="33">
        <f t="shared" si="37"/>
        <v>-1</v>
      </c>
      <c r="K88" s="33">
        <f t="shared" si="37"/>
        <v>-43</v>
      </c>
      <c r="L88" s="33">
        <f t="shared" si="37"/>
        <v>-8</v>
      </c>
      <c r="M88" s="33">
        <f t="shared" si="37"/>
        <v>-291</v>
      </c>
      <c r="N88" s="33">
        <f t="shared" si="37"/>
        <v>1</v>
      </c>
      <c r="O88" s="33">
        <f t="shared" si="37"/>
        <v>-20</v>
      </c>
      <c r="P88" s="33">
        <f t="shared" si="37"/>
        <v>0</v>
      </c>
      <c r="Q88" s="33">
        <f t="shared" si="37"/>
        <v>-8</v>
      </c>
      <c r="R88" s="33">
        <f t="shared" si="37"/>
        <v>0</v>
      </c>
      <c r="S88" s="33">
        <f t="shared" si="37"/>
        <v>-23</v>
      </c>
      <c r="T88" s="33">
        <f t="shared" si="37"/>
        <v>-1</v>
      </c>
      <c r="U88" s="33">
        <f t="shared" si="37"/>
        <v>-52</v>
      </c>
      <c r="V88" s="33">
        <f t="shared" si="37"/>
        <v>-1</v>
      </c>
      <c r="W88" s="33">
        <f t="shared" si="37"/>
        <v>-29</v>
      </c>
      <c r="X88" s="33">
        <f t="shared" si="37"/>
        <v>-1</v>
      </c>
      <c r="Y88" s="33">
        <f t="shared" si="37"/>
        <v>-132</v>
      </c>
      <c r="Z88" s="33">
        <f t="shared" si="37"/>
        <v>-4</v>
      </c>
      <c r="AA88" s="33">
        <f t="shared" si="37"/>
        <v>-196</v>
      </c>
      <c r="AB88" s="33">
        <f t="shared" si="37"/>
        <v>0</v>
      </c>
      <c r="AC88" s="33">
        <f t="shared" si="37"/>
        <v>-22</v>
      </c>
      <c r="AD88" s="33">
        <f t="shared" si="37"/>
        <v>-4</v>
      </c>
      <c r="AE88" s="33">
        <f t="shared" si="37"/>
        <v>-218</v>
      </c>
      <c r="AF88" s="33">
        <f t="shared" si="37"/>
        <v>-13</v>
      </c>
      <c r="AG88" s="33">
        <f t="shared" si="37"/>
        <v>-641</v>
      </c>
      <c r="AH88" s="33">
        <f t="shared" si="37"/>
        <v>27.809712586719524</v>
      </c>
      <c r="AI88" s="33">
        <f t="shared" si="37"/>
        <v>90</v>
      </c>
      <c r="AJ88" s="33">
        <f t="shared" si="37"/>
        <v>2511</v>
      </c>
    </row>
    <row r="89" spans="1:36" s="6" customFormat="1" ht="12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</row>
    <row r="90" spans="1:36" s="137" customFormat="1" ht="12" customHeight="1">
      <c r="A90" s="136"/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>
        <f>AF10+AF13+AF18+AF20+AF22+AF26+AF29+AF31+AF33+AF35+AF37+AF39+AF41+AF43+AF46+AF53+AF55+AF58+AF65+AF72+AF77</f>
        <v>57</v>
      </c>
      <c r="AG90" s="136">
        <f>AG10+AG13+AG18+AG20+AG22+AG26+AG29+AG31+AG33+AG35+AG37+AG39+AG41+AG43+AG46+AG53+AG55+AG58+AG65+AG72+AG77</f>
        <v>118</v>
      </c>
      <c r="AH90" s="136"/>
      <c r="AI90" s="136"/>
      <c r="AJ90" s="136"/>
    </row>
    <row r="91" spans="1:36" s="6" customFormat="1" ht="12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</row>
    <row r="92" spans="1:36" s="6" customFormat="1" ht="12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</row>
    <row r="93" spans="1:36" s="6" customFormat="1" ht="24" customHeight="1">
      <c r="A93" s="32"/>
      <c r="B93" s="32"/>
      <c r="C93" s="32"/>
      <c r="D93" s="152" t="s">
        <v>80</v>
      </c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152" t="s">
        <v>67</v>
      </c>
      <c r="AA93" s="152"/>
      <c r="AB93" s="152"/>
      <c r="AC93" s="152"/>
      <c r="AD93" s="152"/>
      <c r="AE93" s="152"/>
      <c r="AF93" s="32"/>
      <c r="AG93" s="23"/>
      <c r="AH93" s="23"/>
      <c r="AI93" s="23"/>
      <c r="AJ93" s="19"/>
    </row>
    <row r="94" spans="1:36" s="6" customFormat="1" ht="12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19"/>
      <c r="AH94" s="19"/>
      <c r="AI94" s="19"/>
      <c r="AJ94" s="19"/>
    </row>
    <row r="95" spans="1:36" s="6" customFormat="1" ht="12" customHeight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19"/>
      <c r="AH95" s="19"/>
      <c r="AI95" s="19"/>
      <c r="AJ95" s="19"/>
    </row>
    <row r="96" spans="1:36" s="6" customFormat="1" ht="12" customHeigh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19"/>
      <c r="AH96" s="19"/>
      <c r="AI96" s="19"/>
      <c r="AJ96" s="19"/>
    </row>
    <row r="97" spans="1:36" s="6" customFormat="1" ht="12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19"/>
      <c r="AH97" s="19"/>
      <c r="AI97" s="19"/>
      <c r="AJ97" s="19"/>
    </row>
    <row r="98" spans="1:36" s="6" customFormat="1" ht="12" customHeight="1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</row>
    <row r="99" spans="1:36" s="6" customFormat="1" ht="12" customHeight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</row>
    <row r="100" spans="1:36" s="6" customFormat="1" ht="12" customHeight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</row>
    <row r="101" spans="1:36" s="6" customFormat="1" ht="12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</row>
    <row r="102" spans="1:36" s="6" customFormat="1" ht="12" customHeight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</row>
    <row r="103" spans="1:36" s="6" customFormat="1" ht="12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</row>
    <row r="104" spans="1:36" s="6" customFormat="1" ht="11.25" customHeight="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</row>
    <row r="105" spans="1:36" s="6" customFormat="1" ht="10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ht="12">
      <c r="AH106" s="1"/>
    </row>
  </sheetData>
  <sheetProtection/>
  <mergeCells count="47">
    <mergeCell ref="AO6:AP6"/>
    <mergeCell ref="D93:O93"/>
    <mergeCell ref="A7:A8"/>
    <mergeCell ref="N7:O7"/>
    <mergeCell ref="D7:E7"/>
    <mergeCell ref="F7:G7"/>
    <mergeCell ref="H7:I7"/>
    <mergeCell ref="J7:K7"/>
    <mergeCell ref="X7:Y7"/>
    <mergeCell ref="L7:M7"/>
    <mergeCell ref="AD1:AJ1"/>
    <mergeCell ref="AD2:AJ2"/>
    <mergeCell ref="AD3:AJ3"/>
    <mergeCell ref="AF7:AG7"/>
    <mergeCell ref="AH7:AH8"/>
    <mergeCell ref="AD7:AE7"/>
    <mergeCell ref="AI7:AJ7"/>
    <mergeCell ref="A5:AJ5"/>
    <mergeCell ref="AK7:AL7"/>
    <mergeCell ref="B7:C7"/>
    <mergeCell ref="Z93:AE93"/>
    <mergeCell ref="AF48:AJ48"/>
    <mergeCell ref="R7:S7"/>
    <mergeCell ref="T7:U7"/>
    <mergeCell ref="V7:W7"/>
    <mergeCell ref="Z7:AA7"/>
    <mergeCell ref="AB7:AC7"/>
    <mergeCell ref="P7:Q7"/>
    <mergeCell ref="A49:A50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AI49:AJ49"/>
    <mergeCell ref="X49:Y49"/>
    <mergeCell ref="Z49:AA49"/>
    <mergeCell ref="AB49:AC49"/>
    <mergeCell ref="AD49:AE49"/>
    <mergeCell ref="AF49:AG49"/>
    <mergeCell ref="AH49:AH50"/>
  </mergeCells>
  <printOptions/>
  <pageMargins left="0.3937007874015748" right="0.3937007874015748" top="1.1811023622047245" bottom="0.3937007874015748" header="0.15748031496062992" footer="0.2362204724409449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="86" zoomScaleNormal="86" zoomScalePageLayoutView="0" workbookViewId="0" topLeftCell="A1">
      <selection activeCell="A2" sqref="A2"/>
    </sheetView>
  </sheetViews>
  <sheetFormatPr defaultColWidth="9.00390625" defaultRowHeight="12.75"/>
  <cols>
    <col min="1" max="1" width="43.00390625" style="0" customWidth="1"/>
    <col min="2" max="2" width="8.00390625" style="0" hidden="1" customWidth="1"/>
    <col min="3" max="3" width="6.25390625" style="0" hidden="1" customWidth="1"/>
    <col min="4" max="4" width="10.125" style="0" customWidth="1"/>
    <col min="5" max="5" width="10.25390625" style="0" customWidth="1"/>
    <col min="6" max="6" width="9.625" style="0" customWidth="1"/>
    <col min="7" max="7" width="10.00390625" style="0" customWidth="1"/>
    <col min="8" max="8" width="8.375" style="0" customWidth="1"/>
    <col min="9" max="10" width="8.625" style="0" customWidth="1"/>
    <col min="11" max="11" width="8.125" style="0" customWidth="1"/>
    <col min="13" max="13" width="10.00390625" style="0" customWidth="1"/>
  </cols>
  <sheetData>
    <row r="1" spans="1:13" ht="12.75">
      <c r="A1" s="19"/>
      <c r="B1" s="19"/>
      <c r="C1" s="19"/>
      <c r="D1" s="19"/>
      <c r="E1" s="19"/>
      <c r="F1" s="19"/>
      <c r="G1" s="19"/>
      <c r="H1" s="19"/>
      <c r="I1" s="19"/>
      <c r="J1" s="157" t="s">
        <v>55</v>
      </c>
      <c r="K1" s="157"/>
      <c r="L1" s="157"/>
      <c r="M1" s="157"/>
    </row>
    <row r="2" spans="1:13" ht="12.75" customHeight="1">
      <c r="A2" s="19"/>
      <c r="B2" s="19"/>
      <c r="C2" s="19"/>
      <c r="D2" s="19"/>
      <c r="E2" s="19"/>
      <c r="F2" s="19"/>
      <c r="G2" s="19"/>
      <c r="H2" s="19"/>
      <c r="I2" s="19"/>
      <c r="J2" s="157" t="s">
        <v>60</v>
      </c>
      <c r="K2" s="157"/>
      <c r="L2" s="157"/>
      <c r="M2" s="157"/>
    </row>
    <row r="3" spans="1:13" ht="12.75" customHeight="1">
      <c r="A3" s="19"/>
      <c r="B3" s="19"/>
      <c r="C3" s="19"/>
      <c r="D3" s="19"/>
      <c r="E3" s="19"/>
      <c r="F3" s="19"/>
      <c r="G3" s="19"/>
      <c r="H3" s="19"/>
      <c r="I3" s="19"/>
      <c r="J3" s="157" t="s">
        <v>37</v>
      </c>
      <c r="K3" s="157"/>
      <c r="L3" s="157"/>
      <c r="M3" s="157"/>
    </row>
    <row r="4" spans="1:13" ht="12.75">
      <c r="A4" s="19"/>
      <c r="B4" s="19"/>
      <c r="C4" s="19"/>
      <c r="D4" s="19"/>
      <c r="E4" s="19"/>
      <c r="F4" s="19"/>
      <c r="G4" s="19"/>
      <c r="H4" s="19"/>
      <c r="I4" s="19"/>
      <c r="J4" s="61"/>
      <c r="K4" s="61"/>
      <c r="L4" s="61"/>
      <c r="M4" s="61"/>
    </row>
    <row r="5" spans="1:13" ht="46.5" customHeight="1">
      <c r="A5" s="165" t="s">
        <v>87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pans="1:13" ht="24.7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30" customHeight="1">
      <c r="A7" s="163" t="s">
        <v>53</v>
      </c>
      <c r="B7" s="164" t="s">
        <v>3</v>
      </c>
      <c r="C7" s="164"/>
      <c r="D7" s="164" t="s">
        <v>4</v>
      </c>
      <c r="E7" s="164"/>
      <c r="F7" s="164" t="s">
        <v>5</v>
      </c>
      <c r="G7" s="164"/>
      <c r="H7" s="164" t="s">
        <v>6</v>
      </c>
      <c r="I7" s="164"/>
      <c r="J7" s="164" t="s">
        <v>32</v>
      </c>
      <c r="K7" s="164"/>
      <c r="L7" s="164" t="s">
        <v>50</v>
      </c>
      <c r="M7" s="164"/>
    </row>
    <row r="8" spans="1:13" ht="78.75" customHeight="1">
      <c r="A8" s="163"/>
      <c r="B8" s="28" t="s">
        <v>8</v>
      </c>
      <c r="C8" s="28" t="s">
        <v>9</v>
      </c>
      <c r="D8" s="28" t="s">
        <v>8</v>
      </c>
      <c r="E8" s="28" t="s">
        <v>9</v>
      </c>
      <c r="F8" s="28" t="s">
        <v>8</v>
      </c>
      <c r="G8" s="28" t="s">
        <v>9</v>
      </c>
      <c r="H8" s="28" t="s">
        <v>8</v>
      </c>
      <c r="I8" s="28" t="s">
        <v>9</v>
      </c>
      <c r="J8" s="28" t="s">
        <v>8</v>
      </c>
      <c r="K8" s="28" t="s">
        <v>9</v>
      </c>
      <c r="L8" s="28" t="s">
        <v>8</v>
      </c>
      <c r="M8" s="28" t="s">
        <v>9</v>
      </c>
    </row>
    <row r="9" spans="1:13" s="11" customFormat="1" ht="46.5" customHeight="1">
      <c r="A9" s="29" t="s">
        <v>54</v>
      </c>
      <c r="B9" s="30"/>
      <c r="C9" s="30"/>
      <c r="D9" s="30">
        <v>1</v>
      </c>
      <c r="E9" s="30">
        <v>3</v>
      </c>
      <c r="F9" s="30">
        <v>2</v>
      </c>
      <c r="G9" s="30">
        <f>12+12</f>
        <v>24</v>
      </c>
      <c r="H9" s="30">
        <v>1</v>
      </c>
      <c r="I9" s="30">
        <v>15</v>
      </c>
      <c r="J9" s="30">
        <v>1</v>
      </c>
      <c r="K9" s="30">
        <v>16</v>
      </c>
      <c r="L9" s="30">
        <f>D9+F9+H9+J9+B9</f>
        <v>5</v>
      </c>
      <c r="M9" s="30">
        <f>E9+G9+I9+K9+C9</f>
        <v>58</v>
      </c>
    </row>
    <row r="10" spans="1:13" ht="12.75" hidden="1">
      <c r="A10" s="19"/>
      <c r="B10" s="19"/>
      <c r="C10" s="19"/>
      <c r="D10" s="63">
        <f>'[1]вечірня'!$D$9</f>
        <v>1</v>
      </c>
      <c r="E10" s="63">
        <f>'[1]вечірня'!$E$9</f>
        <v>7</v>
      </c>
      <c r="F10" s="63">
        <f>'[1]вечірня'!$F$9</f>
        <v>2</v>
      </c>
      <c r="G10" s="63">
        <f>'[1]вечірня'!$G$9</f>
        <v>24</v>
      </c>
      <c r="H10" s="63">
        <f>'[1]вечірня'!$H$9</f>
        <v>1</v>
      </c>
      <c r="I10" s="63">
        <f>'[1]вечірня'!$I$9</f>
        <v>19</v>
      </c>
      <c r="J10" s="63">
        <f>'[1]вечірня'!$J$9</f>
        <v>1</v>
      </c>
      <c r="K10" s="63">
        <f>'[1]вечірня'!$K$9</f>
        <v>15</v>
      </c>
      <c r="L10" s="63">
        <f>'[1]вечірня'!$L$9</f>
        <v>5</v>
      </c>
      <c r="M10" s="63">
        <f>'[1]вечірня'!$M$9</f>
        <v>65</v>
      </c>
    </row>
    <row r="11" spans="1:13" ht="12.75" hidden="1">
      <c r="A11" s="19"/>
      <c r="B11" s="19"/>
      <c r="C11" s="19"/>
      <c r="D11" s="63">
        <f>D9-D10</f>
        <v>0</v>
      </c>
      <c r="E11" s="63">
        <f aca="true" t="shared" si="0" ref="E11:M11">E9-E10</f>
        <v>-4</v>
      </c>
      <c r="F11" s="63">
        <f t="shared" si="0"/>
        <v>0</v>
      </c>
      <c r="G11" s="63">
        <f t="shared" si="0"/>
        <v>0</v>
      </c>
      <c r="H11" s="63">
        <f t="shared" si="0"/>
        <v>0</v>
      </c>
      <c r="I11" s="63">
        <f t="shared" si="0"/>
        <v>-4</v>
      </c>
      <c r="J11" s="63">
        <f t="shared" si="0"/>
        <v>0</v>
      </c>
      <c r="K11" s="63">
        <f t="shared" si="0"/>
        <v>1</v>
      </c>
      <c r="L11" s="63">
        <f t="shared" si="0"/>
        <v>0</v>
      </c>
      <c r="M11" s="63">
        <f t="shared" si="0"/>
        <v>-7</v>
      </c>
    </row>
    <row r="12" spans="1:13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28" ht="21.75" customHeight="1">
      <c r="A13" s="152" t="s">
        <v>65</v>
      </c>
      <c r="B13" s="152"/>
      <c r="C13" s="152"/>
      <c r="D13" s="152"/>
      <c r="E13" s="152"/>
      <c r="F13" s="152"/>
      <c r="G13" s="24"/>
      <c r="H13" s="24"/>
      <c r="I13" s="24"/>
      <c r="J13" s="152" t="s">
        <v>66</v>
      </c>
      <c r="K13" s="152"/>
      <c r="L13" s="152"/>
      <c r="M13" s="152"/>
      <c r="N13" s="32"/>
      <c r="O13" s="32"/>
      <c r="P13" s="32"/>
      <c r="Q13" s="32"/>
      <c r="R13" s="32"/>
      <c r="S13" s="32"/>
      <c r="T13" s="32"/>
      <c r="U13" s="32"/>
      <c r="V13" s="32"/>
      <c r="X13" s="24"/>
      <c r="Y13" s="24"/>
      <c r="Z13" s="24"/>
      <c r="AA13" s="24"/>
      <c r="AB13" s="24"/>
    </row>
    <row r="14" spans="1:13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</sheetData>
  <sheetProtection/>
  <mergeCells count="13">
    <mergeCell ref="J1:M1"/>
    <mergeCell ref="A5:M5"/>
    <mergeCell ref="J7:K7"/>
    <mergeCell ref="J2:M2"/>
    <mergeCell ref="J3:M3"/>
    <mergeCell ref="L7:M7"/>
    <mergeCell ref="A13:F13"/>
    <mergeCell ref="A7:A8"/>
    <mergeCell ref="D7:E7"/>
    <mergeCell ref="J13:M13"/>
    <mergeCell ref="F7:G7"/>
    <mergeCell ref="H7:I7"/>
    <mergeCell ref="B7:C7"/>
  </mergeCells>
  <printOptions/>
  <pageMargins left="0.3937007874015748" right="0.3937007874015748" top="1.1811023622047245" bottom="0.984251968503937" header="0.1968503937007874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"/>
  <sheetViews>
    <sheetView zoomScalePageLayoutView="0" workbookViewId="0" topLeftCell="A1">
      <selection activeCell="AQ16" sqref="AQ16"/>
    </sheetView>
  </sheetViews>
  <sheetFormatPr defaultColWidth="9.00390625" defaultRowHeight="12.75"/>
  <cols>
    <col min="1" max="1" width="9.125" style="7" customWidth="1"/>
    <col min="2" max="2" width="4.00390625" style="7" hidden="1" customWidth="1"/>
    <col min="3" max="3" width="4.75390625" style="7" hidden="1" customWidth="1"/>
    <col min="4" max="4" width="4.875" style="7" hidden="1" customWidth="1"/>
    <col min="5" max="5" width="4.625" style="7" hidden="1" customWidth="1"/>
    <col min="6" max="6" width="3.375" style="1" customWidth="1"/>
    <col min="7" max="7" width="5.125" style="1" customWidth="1"/>
    <col min="8" max="9" width="4.625" style="1" hidden="1" customWidth="1"/>
    <col min="10" max="10" width="3.625" style="1" customWidth="1"/>
    <col min="11" max="11" width="4.75390625" style="1" customWidth="1"/>
    <col min="12" max="13" width="4.125" style="1" hidden="1" customWidth="1"/>
    <col min="14" max="14" width="4.125" style="1" customWidth="1"/>
    <col min="15" max="15" width="4.25390625" style="1" customWidth="1"/>
    <col min="16" max="17" width="4.25390625" style="1" hidden="1" customWidth="1"/>
    <col min="18" max="19" width="3.375" style="1" customWidth="1"/>
    <col min="20" max="21" width="4.375" style="1" hidden="1" customWidth="1"/>
    <col min="22" max="22" width="5.00390625" style="9" customWidth="1"/>
    <col min="23" max="23" width="4.75390625" style="9" customWidth="1"/>
    <col min="24" max="25" width="4.375" style="9" hidden="1" customWidth="1"/>
    <col min="26" max="26" width="3.875" style="1" customWidth="1"/>
    <col min="27" max="27" width="4.25390625" style="1" customWidth="1"/>
    <col min="28" max="29" width="4.25390625" style="1" hidden="1" customWidth="1"/>
    <col min="30" max="31" width="4.125" style="1" customWidth="1"/>
    <col min="32" max="33" width="4.125" style="1" hidden="1" customWidth="1"/>
    <col min="34" max="34" width="4.25390625" style="1" hidden="1" customWidth="1"/>
    <col min="35" max="37" width="4.125" style="1" hidden="1" customWidth="1"/>
    <col min="38" max="38" width="4.375" style="1" customWidth="1"/>
    <col min="39" max="39" width="4.25390625" style="1" customWidth="1"/>
    <col min="40" max="40" width="5.00390625" style="1" hidden="1" customWidth="1"/>
    <col min="41" max="41" width="4.25390625" style="1" hidden="1" customWidth="1"/>
    <col min="42" max="43" width="4.25390625" style="1" customWidth="1"/>
    <col min="44" max="44" width="4.625" style="1" customWidth="1"/>
    <col min="45" max="45" width="4.375" style="1" customWidth="1"/>
    <col min="46" max="47" width="4.375" style="1" hidden="1" customWidth="1"/>
    <col min="48" max="48" width="4.375" style="1" customWidth="1"/>
    <col min="49" max="49" width="4.75390625" style="1" customWidth="1"/>
    <col min="50" max="51" width="5.25390625" style="1" hidden="1" customWidth="1"/>
    <col min="52" max="53" width="3.75390625" style="1" customWidth="1"/>
    <col min="54" max="54" width="4.375" style="1" hidden="1" customWidth="1"/>
    <col min="55" max="55" width="4.25390625" style="1" hidden="1" customWidth="1"/>
    <col min="56" max="57" width="3.375" style="1" customWidth="1"/>
    <col min="58" max="58" width="4.875" style="1" hidden="1" customWidth="1"/>
    <col min="59" max="59" width="4.25390625" style="1" hidden="1" customWidth="1"/>
    <col min="60" max="60" width="4.875" style="1" customWidth="1"/>
    <col min="61" max="61" width="3.375" style="1" customWidth="1"/>
    <col min="62" max="62" width="4.875" style="1" hidden="1" customWidth="1"/>
    <col min="63" max="63" width="3.875" style="1" hidden="1" customWidth="1"/>
    <col min="64" max="65" width="3.75390625" style="1" customWidth="1"/>
    <col min="66" max="66" width="4.375" style="1" hidden="1" customWidth="1"/>
    <col min="67" max="67" width="4.75390625" style="1" hidden="1" customWidth="1"/>
    <col min="68" max="68" width="5.625" style="10" customWidth="1"/>
    <col min="69" max="69" width="3.25390625" style="1" customWidth="1"/>
    <col min="70" max="70" width="4.75390625" style="1" customWidth="1"/>
    <col min="71" max="16384" width="9.125" style="1" customWidth="1"/>
  </cols>
  <sheetData>
    <row r="1" spans="1:70" s="6" customFormat="1" ht="12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4"/>
      <c r="BF1" s="34"/>
      <c r="BG1" s="34"/>
      <c r="BH1" s="156" t="s">
        <v>52</v>
      </c>
      <c r="BI1" s="156"/>
      <c r="BJ1" s="156"/>
      <c r="BK1" s="156"/>
      <c r="BL1" s="156"/>
      <c r="BM1" s="156"/>
      <c r="BN1" s="156"/>
      <c r="BO1" s="156"/>
      <c r="BP1" s="156"/>
      <c r="BQ1" s="156"/>
      <c r="BR1" s="156"/>
    </row>
    <row r="2" spans="1:70" s="6" customFormat="1" ht="12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4"/>
      <c r="BF2" s="34"/>
      <c r="BG2" s="34"/>
      <c r="BH2" s="157" t="s">
        <v>60</v>
      </c>
      <c r="BI2" s="157"/>
      <c r="BJ2" s="157"/>
      <c r="BK2" s="157"/>
      <c r="BL2" s="157"/>
      <c r="BM2" s="157"/>
      <c r="BN2" s="157"/>
      <c r="BO2" s="157"/>
      <c r="BP2" s="157"/>
      <c r="BQ2" s="157"/>
      <c r="BR2" s="157"/>
    </row>
    <row r="3" spans="1:70" s="6" customFormat="1" ht="18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4"/>
      <c r="BF3" s="34"/>
      <c r="BG3" s="34"/>
      <c r="BH3" s="157" t="s">
        <v>37</v>
      </c>
      <c r="BI3" s="157"/>
      <c r="BJ3" s="157"/>
      <c r="BK3" s="157"/>
      <c r="BL3" s="157"/>
      <c r="BM3" s="157"/>
      <c r="BN3" s="157"/>
      <c r="BO3" s="157"/>
      <c r="BP3" s="157"/>
      <c r="BQ3" s="157"/>
      <c r="BR3" s="157"/>
    </row>
    <row r="4" spans="1:70" s="6" customFormat="1" ht="12" customHeight="1">
      <c r="A4" s="33"/>
      <c r="B4" s="33"/>
      <c r="C4" s="33"/>
      <c r="D4" s="33"/>
      <c r="E4" s="33"/>
      <c r="F4" s="33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3"/>
      <c r="BJ4" s="33"/>
      <c r="BK4" s="33"/>
      <c r="BL4" s="33"/>
      <c r="BM4" s="33"/>
      <c r="BN4" s="33"/>
      <c r="BO4" s="33"/>
      <c r="BP4" s="37"/>
      <c r="BQ4" s="38"/>
      <c r="BR4" s="38"/>
    </row>
    <row r="5" spans="1:70" ht="37.5" customHeight="1">
      <c r="A5" s="165" t="s">
        <v>86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</row>
    <row r="6" spans="1:70" ht="18" customHeight="1">
      <c r="A6" s="32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2"/>
      <c r="BQ6" s="31"/>
      <c r="BR6" s="31"/>
    </row>
    <row r="7" spans="1:70" ht="91.5" customHeight="1">
      <c r="A7" s="174" t="s">
        <v>53</v>
      </c>
      <c r="B7" s="166" t="s">
        <v>31</v>
      </c>
      <c r="C7" s="166"/>
      <c r="D7" s="166"/>
      <c r="E7" s="166"/>
      <c r="F7" s="166" t="s">
        <v>33</v>
      </c>
      <c r="G7" s="166"/>
      <c r="H7" s="166"/>
      <c r="I7" s="166"/>
      <c r="J7" s="166" t="s">
        <v>34</v>
      </c>
      <c r="K7" s="166"/>
      <c r="L7" s="166"/>
      <c r="M7" s="166"/>
      <c r="N7" s="166" t="s">
        <v>35</v>
      </c>
      <c r="O7" s="166"/>
      <c r="P7" s="166"/>
      <c r="Q7" s="166"/>
      <c r="R7" s="166" t="s">
        <v>0</v>
      </c>
      <c r="S7" s="166"/>
      <c r="T7" s="166"/>
      <c r="U7" s="166"/>
      <c r="V7" s="167" t="s">
        <v>38</v>
      </c>
      <c r="W7" s="168"/>
      <c r="X7" s="168"/>
      <c r="Y7" s="169"/>
      <c r="Z7" s="166" t="s">
        <v>1</v>
      </c>
      <c r="AA7" s="166"/>
      <c r="AB7" s="166"/>
      <c r="AC7" s="166"/>
      <c r="AD7" s="166" t="s">
        <v>2</v>
      </c>
      <c r="AE7" s="166"/>
      <c r="AF7" s="166"/>
      <c r="AG7" s="166"/>
      <c r="AH7" s="166" t="s">
        <v>36</v>
      </c>
      <c r="AI7" s="166"/>
      <c r="AJ7" s="166"/>
      <c r="AK7" s="166"/>
      <c r="AL7" s="166" t="s">
        <v>36</v>
      </c>
      <c r="AM7" s="166"/>
      <c r="AN7" s="166"/>
      <c r="AO7" s="166"/>
      <c r="AP7" s="170" t="s">
        <v>3</v>
      </c>
      <c r="AQ7" s="171"/>
      <c r="AR7" s="166" t="s">
        <v>4</v>
      </c>
      <c r="AS7" s="166"/>
      <c r="AT7" s="166"/>
      <c r="AU7" s="166"/>
      <c r="AV7" s="167" t="s">
        <v>39</v>
      </c>
      <c r="AW7" s="168"/>
      <c r="AX7" s="168"/>
      <c r="AY7" s="169"/>
      <c r="AZ7" s="166" t="s">
        <v>5</v>
      </c>
      <c r="BA7" s="166"/>
      <c r="BB7" s="166"/>
      <c r="BC7" s="166"/>
      <c r="BD7" s="166" t="s">
        <v>6</v>
      </c>
      <c r="BE7" s="166"/>
      <c r="BF7" s="166"/>
      <c r="BG7" s="166"/>
      <c r="BH7" s="167" t="s">
        <v>40</v>
      </c>
      <c r="BI7" s="168"/>
      <c r="BJ7" s="168"/>
      <c r="BK7" s="169"/>
      <c r="BL7" s="176" t="s">
        <v>41</v>
      </c>
      <c r="BM7" s="177"/>
      <c r="BN7" s="177"/>
      <c r="BO7" s="178"/>
      <c r="BP7" s="172" t="s">
        <v>42</v>
      </c>
      <c r="BQ7" s="179" t="s">
        <v>77</v>
      </c>
      <c r="BR7" s="179"/>
    </row>
    <row r="8" spans="1:70" ht="74.25" customHeight="1">
      <c r="A8" s="175"/>
      <c r="B8" s="26" t="s">
        <v>8</v>
      </c>
      <c r="C8" s="26" t="s">
        <v>9</v>
      </c>
      <c r="D8" s="26" t="s">
        <v>8</v>
      </c>
      <c r="E8" s="26" t="s">
        <v>9</v>
      </c>
      <c r="F8" s="26" t="s">
        <v>8</v>
      </c>
      <c r="G8" s="26" t="s">
        <v>9</v>
      </c>
      <c r="H8" s="26" t="s">
        <v>8</v>
      </c>
      <c r="I8" s="26" t="s">
        <v>9</v>
      </c>
      <c r="J8" s="26" t="s">
        <v>8</v>
      </c>
      <c r="K8" s="26" t="s">
        <v>9</v>
      </c>
      <c r="L8" s="26" t="s">
        <v>8</v>
      </c>
      <c r="M8" s="26" t="s">
        <v>9</v>
      </c>
      <c r="N8" s="26" t="s">
        <v>8</v>
      </c>
      <c r="O8" s="26" t="s">
        <v>9</v>
      </c>
      <c r="P8" s="26" t="s">
        <v>8</v>
      </c>
      <c r="Q8" s="26" t="s">
        <v>9</v>
      </c>
      <c r="R8" s="26" t="s">
        <v>8</v>
      </c>
      <c r="S8" s="26" t="s">
        <v>9</v>
      </c>
      <c r="T8" s="26" t="s">
        <v>8</v>
      </c>
      <c r="U8" s="26" t="s">
        <v>9</v>
      </c>
      <c r="V8" s="77" t="s">
        <v>8</v>
      </c>
      <c r="W8" s="77" t="s">
        <v>9</v>
      </c>
      <c r="X8" s="77" t="s">
        <v>8</v>
      </c>
      <c r="Y8" s="77" t="s">
        <v>9</v>
      </c>
      <c r="Z8" s="26" t="s">
        <v>8</v>
      </c>
      <c r="AA8" s="26" t="s">
        <v>9</v>
      </c>
      <c r="AB8" s="26" t="s">
        <v>8</v>
      </c>
      <c r="AC8" s="26" t="s">
        <v>9</v>
      </c>
      <c r="AD8" s="26" t="s">
        <v>8</v>
      </c>
      <c r="AE8" s="26" t="s">
        <v>9</v>
      </c>
      <c r="AF8" s="26" t="s">
        <v>8</v>
      </c>
      <c r="AG8" s="26" t="s">
        <v>9</v>
      </c>
      <c r="AH8" s="26" t="s">
        <v>8</v>
      </c>
      <c r="AI8" s="26" t="s">
        <v>9</v>
      </c>
      <c r="AJ8" s="26" t="s">
        <v>8</v>
      </c>
      <c r="AK8" s="26" t="s">
        <v>9</v>
      </c>
      <c r="AL8" s="26" t="s">
        <v>8</v>
      </c>
      <c r="AM8" s="26" t="s">
        <v>9</v>
      </c>
      <c r="AN8" s="26" t="s">
        <v>8</v>
      </c>
      <c r="AO8" s="26" t="s">
        <v>9</v>
      </c>
      <c r="AP8" s="26" t="s">
        <v>8</v>
      </c>
      <c r="AQ8" s="26" t="s">
        <v>9</v>
      </c>
      <c r="AR8" s="26" t="s">
        <v>8</v>
      </c>
      <c r="AS8" s="26" t="s">
        <v>9</v>
      </c>
      <c r="AT8" s="26" t="s">
        <v>8</v>
      </c>
      <c r="AU8" s="26" t="s">
        <v>9</v>
      </c>
      <c r="AV8" s="77" t="s">
        <v>8</v>
      </c>
      <c r="AW8" s="77" t="s">
        <v>9</v>
      </c>
      <c r="AX8" s="77" t="s">
        <v>8</v>
      </c>
      <c r="AY8" s="77" t="s">
        <v>9</v>
      </c>
      <c r="AZ8" s="26" t="s">
        <v>8</v>
      </c>
      <c r="BA8" s="26" t="s">
        <v>9</v>
      </c>
      <c r="BB8" s="26" t="s">
        <v>8</v>
      </c>
      <c r="BC8" s="26" t="s">
        <v>9</v>
      </c>
      <c r="BD8" s="26" t="s">
        <v>8</v>
      </c>
      <c r="BE8" s="26" t="s">
        <v>9</v>
      </c>
      <c r="BF8" s="26" t="s">
        <v>8</v>
      </c>
      <c r="BG8" s="26" t="s">
        <v>9</v>
      </c>
      <c r="BH8" s="77" t="s">
        <v>8</v>
      </c>
      <c r="BI8" s="77" t="s">
        <v>9</v>
      </c>
      <c r="BJ8" s="77" t="s">
        <v>8</v>
      </c>
      <c r="BK8" s="77" t="s">
        <v>9</v>
      </c>
      <c r="BL8" s="26" t="s">
        <v>8</v>
      </c>
      <c r="BM8" s="26" t="s">
        <v>9</v>
      </c>
      <c r="BN8" s="26" t="s">
        <v>8</v>
      </c>
      <c r="BO8" s="26" t="s">
        <v>9</v>
      </c>
      <c r="BP8" s="173"/>
      <c r="BQ8" s="45" t="s">
        <v>8</v>
      </c>
      <c r="BR8" s="45" t="s">
        <v>9</v>
      </c>
    </row>
    <row r="9" spans="1:70" ht="28.5" customHeight="1">
      <c r="A9" s="25" t="s">
        <v>49</v>
      </c>
      <c r="B9" s="27"/>
      <c r="C9" s="27"/>
      <c r="D9" s="27"/>
      <c r="E9" s="27"/>
      <c r="F9" s="27">
        <v>1</v>
      </c>
      <c r="G9" s="27">
        <v>8</v>
      </c>
      <c r="H9" s="27"/>
      <c r="I9" s="27"/>
      <c r="J9" s="27">
        <v>2</v>
      </c>
      <c r="K9" s="27">
        <f>7+6</f>
        <v>13</v>
      </c>
      <c r="L9" s="27"/>
      <c r="M9" s="27"/>
      <c r="N9" s="27">
        <v>1</v>
      </c>
      <c r="O9" s="27">
        <v>9</v>
      </c>
      <c r="P9" s="27"/>
      <c r="Q9" s="27"/>
      <c r="R9" s="27">
        <v>1</v>
      </c>
      <c r="S9" s="27">
        <v>10</v>
      </c>
      <c r="T9" s="27"/>
      <c r="U9" s="27"/>
      <c r="V9" s="78">
        <f>F9+J9+N9+R9+D9</f>
        <v>5</v>
      </c>
      <c r="W9" s="78">
        <f>G9+K9+O9+S9+E9</f>
        <v>40</v>
      </c>
      <c r="X9" s="78"/>
      <c r="Y9" s="78"/>
      <c r="Z9" s="27">
        <v>1</v>
      </c>
      <c r="AA9" s="27">
        <v>11</v>
      </c>
      <c r="AB9" s="27"/>
      <c r="AC9" s="27"/>
      <c r="AD9" s="27">
        <v>1</v>
      </c>
      <c r="AE9" s="27">
        <v>10</v>
      </c>
      <c r="AF9" s="27"/>
      <c r="AG9" s="27"/>
      <c r="AH9" s="27"/>
      <c r="AI9" s="27"/>
      <c r="AJ9" s="27"/>
      <c r="AK9" s="27"/>
      <c r="AL9" s="27">
        <v>1</v>
      </c>
      <c r="AM9" s="27">
        <v>12</v>
      </c>
      <c r="AN9" s="27"/>
      <c r="AO9" s="27"/>
      <c r="AP9" s="27">
        <v>1</v>
      </c>
      <c r="AQ9" s="27">
        <v>11</v>
      </c>
      <c r="AR9" s="27">
        <v>1</v>
      </c>
      <c r="AS9" s="27">
        <v>11</v>
      </c>
      <c r="AT9" s="27"/>
      <c r="AU9" s="27"/>
      <c r="AV9" s="78">
        <f>Z9+AD9+AH9+AL9+AR9+AP9</f>
        <v>5</v>
      </c>
      <c r="AW9" s="78">
        <f>AA9+AE9+AI9+AM9+AS9+AQ9</f>
        <v>55</v>
      </c>
      <c r="AX9" s="78"/>
      <c r="AY9" s="78"/>
      <c r="AZ9" s="27">
        <v>1</v>
      </c>
      <c r="BA9" s="27">
        <v>10</v>
      </c>
      <c r="BB9" s="27"/>
      <c r="BC9" s="27"/>
      <c r="BD9" s="27"/>
      <c r="BE9" s="27"/>
      <c r="BF9" s="27"/>
      <c r="BG9" s="27"/>
      <c r="BH9" s="78">
        <f>AZ9+BD9</f>
        <v>1</v>
      </c>
      <c r="BI9" s="78">
        <f>BA9+BE9</f>
        <v>10</v>
      </c>
      <c r="BJ9" s="78">
        <f>BB9</f>
        <v>0</v>
      </c>
      <c r="BK9" s="78">
        <f>BC9</f>
        <v>0</v>
      </c>
      <c r="BL9" s="39">
        <f>V9+AV9+BH9</f>
        <v>11</v>
      </c>
      <c r="BM9" s="39">
        <f>W9+AW9+BI9</f>
        <v>105</v>
      </c>
      <c r="BN9" s="25"/>
      <c r="BO9" s="25"/>
      <c r="BP9" s="40">
        <f>BM9/BL9</f>
        <v>9.545454545454545</v>
      </c>
      <c r="BQ9" s="27">
        <v>11</v>
      </c>
      <c r="BR9" s="27">
        <v>98</v>
      </c>
    </row>
    <row r="10" spans="1:70" ht="28.5" customHeight="1">
      <c r="A10" s="41"/>
      <c r="B10" s="41"/>
      <c r="C10" s="41"/>
      <c r="D10" s="41"/>
      <c r="E10" s="41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3"/>
      <c r="W10" s="43"/>
      <c r="X10" s="43"/>
      <c r="Y10" s="43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3"/>
      <c r="AW10" s="43"/>
      <c r="AX10" s="43"/>
      <c r="AY10" s="43"/>
      <c r="AZ10" s="42"/>
      <c r="BA10" s="42"/>
      <c r="BB10" s="42"/>
      <c r="BC10" s="42"/>
      <c r="BD10" s="42"/>
      <c r="BE10" s="42"/>
      <c r="BF10" s="42"/>
      <c r="BG10" s="42"/>
      <c r="BH10" s="43"/>
      <c r="BI10" s="43"/>
      <c r="BJ10" s="43"/>
      <c r="BK10" s="43"/>
      <c r="BL10" s="44"/>
      <c r="BM10" s="44"/>
      <c r="BN10" s="44"/>
      <c r="BO10" s="44"/>
      <c r="BP10" s="42"/>
      <c r="BQ10" s="35"/>
      <c r="BR10" s="35"/>
    </row>
    <row r="11" spans="1:70" ht="24.75" customHeight="1">
      <c r="A11" s="152" t="s">
        <v>65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152" t="s">
        <v>67</v>
      </c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24"/>
      <c r="BN11" s="23"/>
      <c r="BO11" s="23"/>
      <c r="BP11" s="23"/>
      <c r="BQ11" s="23"/>
      <c r="BR11" s="23"/>
    </row>
  </sheetData>
  <sheetProtection/>
  <mergeCells count="26">
    <mergeCell ref="A11:AD11"/>
    <mergeCell ref="BP7:BP8"/>
    <mergeCell ref="BH1:BR1"/>
    <mergeCell ref="BH3:BR3"/>
    <mergeCell ref="BH2:BR2"/>
    <mergeCell ref="A7:A8"/>
    <mergeCell ref="BH7:BK7"/>
    <mergeCell ref="BL7:BO7"/>
    <mergeCell ref="BQ7:BR7"/>
    <mergeCell ref="AH7:AK7"/>
    <mergeCell ref="AL7:AO7"/>
    <mergeCell ref="AR7:AU7"/>
    <mergeCell ref="AV7:AY7"/>
    <mergeCell ref="AZ7:BC7"/>
    <mergeCell ref="BD7:BG7"/>
    <mergeCell ref="AP7:AQ7"/>
    <mergeCell ref="AW11:BL11"/>
    <mergeCell ref="R7:U7"/>
    <mergeCell ref="V7:Y7"/>
    <mergeCell ref="A5:BR5"/>
    <mergeCell ref="B7:E7"/>
    <mergeCell ref="F7:I7"/>
    <mergeCell ref="J7:M7"/>
    <mergeCell ref="N7:Q7"/>
    <mergeCell ref="Z7:AC7"/>
    <mergeCell ref="AD7:AG7"/>
  </mergeCells>
  <printOptions/>
  <pageMargins left="0.3937007874015748" right="0.3937007874015748" top="1.1811023622047245" bottom="0.984251968503937" header="0.3937007874015748" footer="0.5118110236220472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Гончарова Наталія Олександрівна</cp:lastModifiedBy>
  <cp:lastPrinted>2019-08-27T10:54:14Z</cp:lastPrinted>
  <dcterms:created xsi:type="dcterms:W3CDTF">2008-07-31T12:03:57Z</dcterms:created>
  <dcterms:modified xsi:type="dcterms:W3CDTF">2019-08-27T10:54:41Z</dcterms:modified>
  <cp:category/>
  <cp:version/>
  <cp:contentType/>
  <cp:contentStatus/>
</cp:coreProperties>
</file>