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2020_Програма\Березень\Проєкт ВК\ДРУК\"/>
    </mc:Choice>
  </mc:AlternateContent>
  <bookViews>
    <workbookView xWindow="0" yWindow="405" windowWidth="15300" windowHeight="7125" tabRatio="603"/>
  </bookViews>
  <sheets>
    <sheet name="додаток ВК" sheetId="11" r:id="rId1"/>
  </sheets>
  <definedNames>
    <definedName name="_xlnm.Print_Titles" localSheetId="0">'додаток ВК'!$8:$10</definedName>
    <definedName name="_xlnm.Print_Area" localSheetId="0">'додаток ВК'!$A$1:$N$567</definedName>
  </definedNames>
  <calcPr calcId="162913"/>
</workbook>
</file>

<file path=xl/calcChain.xml><?xml version="1.0" encoding="utf-8"?>
<calcChain xmlns="http://schemas.openxmlformats.org/spreadsheetml/2006/main">
  <c r="L371" i="11" l="1"/>
  <c r="M371" i="11" s="1"/>
  <c r="I413" i="11" l="1"/>
  <c r="J544" i="11" l="1"/>
  <c r="K544" i="11"/>
  <c r="L544" i="11"/>
  <c r="M544" i="11"/>
  <c r="I544" i="11"/>
  <c r="L545" i="11"/>
  <c r="M545" i="11" s="1"/>
  <c r="J154" i="11"/>
  <c r="K154" i="11"/>
  <c r="L159" i="11"/>
  <c r="M159" i="11" s="1"/>
  <c r="J394" i="11"/>
  <c r="K394" i="11"/>
  <c r="L394" i="11"/>
  <c r="I394" i="11"/>
  <c r="L395" i="11"/>
  <c r="M395" i="11" s="1"/>
  <c r="M394" i="11" s="1"/>
  <c r="I540" i="11" l="1"/>
  <c r="I515" i="11"/>
  <c r="I500" i="11"/>
  <c r="I498" i="11"/>
  <c r="I497" i="11"/>
  <c r="I496" i="11"/>
  <c r="I495" i="11"/>
  <c r="I494" i="11"/>
  <c r="I493" i="11"/>
  <c r="I492" i="11"/>
  <c r="I491" i="11"/>
  <c r="I489" i="11"/>
  <c r="I487" i="11"/>
  <c r="I485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1" i="11"/>
  <c r="I460" i="11"/>
  <c r="I456" i="11"/>
  <c r="I454" i="11"/>
  <c r="I453" i="11"/>
  <c r="I449" i="11"/>
  <c r="I448" i="11"/>
  <c r="I447" i="11"/>
  <c r="I446" i="11"/>
  <c r="I445" i="11"/>
  <c r="I444" i="11"/>
  <c r="I441" i="11"/>
  <c r="I440" i="11"/>
  <c r="I439" i="11"/>
  <c r="I438" i="11"/>
  <c r="I437" i="11"/>
  <c r="I436" i="11"/>
  <c r="I434" i="11"/>
  <c r="I430" i="11"/>
  <c r="I428" i="11"/>
  <c r="I391" i="11"/>
  <c r="I390" i="11"/>
  <c r="I385" i="11"/>
  <c r="I382" i="11"/>
  <c r="I381" i="11"/>
  <c r="I380" i="11"/>
  <c r="I379" i="11"/>
  <c r="I377" i="11"/>
  <c r="J373" i="11"/>
  <c r="K373" i="11"/>
  <c r="I373" i="11"/>
  <c r="I362" i="11"/>
  <c r="I347" i="11"/>
  <c r="I346" i="11"/>
  <c r="I345" i="11"/>
  <c r="I344" i="11"/>
  <c r="I343" i="11"/>
  <c r="I328" i="11"/>
  <c r="I327" i="11"/>
  <c r="I325" i="11"/>
  <c r="I312" i="11"/>
  <c r="I311" i="11"/>
  <c r="I284" i="11"/>
  <c r="I257" i="11"/>
  <c r="I229" i="11"/>
  <c r="I226" i="11"/>
  <c r="I217" i="11"/>
  <c r="L175" i="11"/>
  <c r="I174" i="11"/>
  <c r="I173" i="11"/>
  <c r="I164" i="11"/>
  <c r="I158" i="11"/>
  <c r="I155" i="11"/>
  <c r="I154" i="11" s="1"/>
  <c r="I142" i="11" l="1"/>
  <c r="I141" i="11"/>
  <c r="I117" i="11"/>
  <c r="I107" i="11"/>
  <c r="I86" i="11"/>
  <c r="I79" i="11"/>
  <c r="I70" i="11"/>
  <c r="I39" i="11"/>
  <c r="L457" i="11" l="1"/>
  <c r="M457" i="11" s="1"/>
  <c r="L459" i="11"/>
  <c r="M459" i="11" s="1"/>
  <c r="L458" i="11"/>
  <c r="M458" i="11" s="1"/>
  <c r="L310" i="11" l="1"/>
  <c r="M310" i="11" s="1"/>
  <c r="L309" i="11"/>
  <c r="M309" i="11" s="1"/>
  <c r="L308" i="11"/>
  <c r="M308" i="11" s="1"/>
  <c r="L307" i="11"/>
  <c r="M307" i="11" s="1"/>
  <c r="L306" i="11"/>
  <c r="M306" i="11" s="1"/>
  <c r="L305" i="11"/>
  <c r="M305" i="11" s="1"/>
  <c r="L304" i="11"/>
  <c r="M304" i="11" s="1"/>
  <c r="L329" i="11"/>
  <c r="M329" i="11" s="1"/>
  <c r="L326" i="11"/>
  <c r="M326" i="11" s="1"/>
  <c r="K313" i="11"/>
  <c r="L291" i="11"/>
  <c r="M291" i="11" s="1"/>
  <c r="L323" i="11" l="1"/>
  <c r="M323" i="11" s="1"/>
  <c r="L320" i="11"/>
  <c r="M320" i="11" s="1"/>
  <c r="L324" i="11"/>
  <c r="M324" i="11" s="1"/>
  <c r="L330" i="11"/>
  <c r="M330" i="11" s="1"/>
  <c r="L332" i="11"/>
  <c r="M332" i="11" s="1"/>
  <c r="L341" i="11"/>
  <c r="M341" i="11" s="1"/>
  <c r="L316" i="11"/>
  <c r="M316" i="11" s="1"/>
  <c r="L322" i="11"/>
  <c r="M322" i="11" s="1"/>
  <c r="L334" i="11"/>
  <c r="M334" i="11" s="1"/>
  <c r="L339" i="11"/>
  <c r="M339" i="11" s="1"/>
  <c r="L333" i="11"/>
  <c r="M333" i="11" s="1"/>
  <c r="L335" i="11"/>
  <c r="M335" i="11" s="1"/>
  <c r="L340" i="11"/>
  <c r="M340" i="11" s="1"/>
  <c r="L281" i="11"/>
  <c r="M281" i="11" s="1"/>
  <c r="L280" i="11" l="1"/>
  <c r="M280" i="11" s="1"/>
  <c r="L191" i="11"/>
  <c r="M191" i="11" s="1"/>
  <c r="L366" i="11"/>
  <c r="M366" i="11" s="1"/>
  <c r="L201" i="11"/>
  <c r="M201" i="11" s="1"/>
  <c r="L246" i="11"/>
  <c r="M246" i="11" s="1"/>
  <c r="L245" i="11"/>
  <c r="M245" i="11" s="1"/>
  <c r="L244" i="11"/>
  <c r="M244" i="11" s="1"/>
  <c r="L243" i="11"/>
  <c r="M243" i="11" s="1"/>
  <c r="L200" i="11"/>
  <c r="M200" i="11" s="1"/>
  <c r="J518" i="11" l="1"/>
  <c r="K518" i="11"/>
  <c r="I518" i="11"/>
  <c r="L519" i="11"/>
  <c r="M519" i="11" s="1"/>
  <c r="M518" i="11" s="1"/>
  <c r="L518" i="11" l="1"/>
  <c r="L450" i="11"/>
  <c r="M450" i="11" s="1"/>
  <c r="L452" i="11"/>
  <c r="M452" i="11" s="1"/>
  <c r="L451" i="11"/>
  <c r="M451" i="11" s="1"/>
  <c r="L435" i="11"/>
  <c r="M435" i="11" s="1"/>
  <c r="K558" i="11" l="1"/>
  <c r="K423" i="11"/>
  <c r="K169" i="11"/>
  <c r="K149" i="11"/>
  <c r="K135" i="11"/>
  <c r="K134" i="11" s="1"/>
  <c r="K132" i="11"/>
  <c r="K29" i="11"/>
  <c r="K27" i="11"/>
  <c r="K23" i="11"/>
  <c r="K20" i="11"/>
  <c r="K17" i="11"/>
  <c r="M175" i="11"/>
  <c r="L162" i="11"/>
  <c r="M162" i="11" s="1"/>
  <c r="L109" i="11"/>
  <c r="M109" i="11" s="1"/>
  <c r="L22" i="11"/>
  <c r="M22" i="11" s="1"/>
  <c r="J392" i="11"/>
  <c r="K392" i="11"/>
  <c r="I392" i="11"/>
  <c r="L118" i="11"/>
  <c r="M118" i="11" s="1"/>
  <c r="L204" i="11"/>
  <c r="M204" i="11" s="1"/>
  <c r="K140" i="11"/>
  <c r="K139" i="11" s="1"/>
  <c r="L534" i="11" l="1"/>
  <c r="M534" i="11" s="1"/>
  <c r="L533" i="11"/>
  <c r="M533" i="11" s="1"/>
  <c r="L532" i="11"/>
  <c r="M532" i="11" s="1"/>
  <c r="L527" i="11"/>
  <c r="M527" i="11" s="1"/>
  <c r="L286" i="11"/>
  <c r="M286" i="11" s="1"/>
  <c r="L501" i="11"/>
  <c r="M501" i="11" s="1"/>
  <c r="J427" i="11" l="1"/>
  <c r="I427" i="11"/>
  <c r="L120" i="11"/>
  <c r="M120" i="11" s="1"/>
  <c r="K41" i="11"/>
  <c r="J258" i="11"/>
  <c r="K258" i="11"/>
  <c r="J218" i="11"/>
  <c r="K218" i="11"/>
  <c r="I218" i="11"/>
  <c r="L187" i="11"/>
  <c r="M187" i="11" s="1"/>
  <c r="L184" i="11"/>
  <c r="M184" i="11" s="1"/>
  <c r="L185" i="11"/>
  <c r="M185" i="11" s="1"/>
  <c r="J182" i="11"/>
  <c r="L443" i="11" l="1"/>
  <c r="M443" i="11" s="1"/>
  <c r="L442" i="11"/>
  <c r="M442" i="11" s="1"/>
  <c r="K427" i="11"/>
  <c r="L88" i="11" l="1"/>
  <c r="M88" i="11" s="1"/>
  <c r="L122" i="11" l="1"/>
  <c r="M122" i="11" s="1"/>
  <c r="L253" i="11"/>
  <c r="M253" i="11" s="1"/>
  <c r="L252" i="11"/>
  <c r="M252" i="11" s="1"/>
  <c r="L256" i="11"/>
  <c r="M256" i="11" s="1"/>
  <c r="L255" i="11"/>
  <c r="M255" i="11" s="1"/>
  <c r="L254" i="11"/>
  <c r="M254" i="11" s="1"/>
  <c r="L239" i="11"/>
  <c r="M239" i="11" s="1"/>
  <c r="L238" i="11"/>
  <c r="M238" i="11" s="1"/>
  <c r="L237" i="11"/>
  <c r="M237" i="11" s="1"/>
  <c r="I236" i="11"/>
  <c r="L190" i="11" l="1"/>
  <c r="M190" i="11" s="1"/>
  <c r="I275" i="11"/>
  <c r="L561" i="11"/>
  <c r="M561" i="11" s="1"/>
  <c r="L560" i="11"/>
  <c r="L559" i="11"/>
  <c r="M559" i="11" s="1"/>
  <c r="J558" i="11"/>
  <c r="J557" i="11" s="1"/>
  <c r="K557" i="11"/>
  <c r="L556" i="11"/>
  <c r="M556" i="11" s="1"/>
  <c r="L555" i="11"/>
  <c r="M555" i="11" s="1"/>
  <c r="L554" i="11"/>
  <c r="M554" i="11" s="1"/>
  <c r="J553" i="11"/>
  <c r="K553" i="11"/>
  <c r="L552" i="11"/>
  <c r="M552" i="11" s="1"/>
  <c r="L551" i="11"/>
  <c r="M551" i="11" s="1"/>
  <c r="L550" i="11"/>
  <c r="M550" i="11" s="1"/>
  <c r="J549" i="11"/>
  <c r="K549" i="11"/>
  <c r="L547" i="11"/>
  <c r="M547" i="11" s="1"/>
  <c r="M546" i="11" s="1"/>
  <c r="J546" i="11"/>
  <c r="K546" i="11"/>
  <c r="L543" i="11"/>
  <c r="M543" i="11" s="1"/>
  <c r="L542" i="11"/>
  <c r="M542" i="11" s="1"/>
  <c r="L541" i="11"/>
  <c r="L540" i="11"/>
  <c r="M540" i="11" s="1"/>
  <c r="L539" i="11"/>
  <c r="M539" i="11" s="1"/>
  <c r="L538" i="11"/>
  <c r="M538" i="11" s="1"/>
  <c r="L537" i="11"/>
  <c r="M537" i="11" s="1"/>
  <c r="K536" i="11"/>
  <c r="L535" i="11"/>
  <c r="M535" i="11" s="1"/>
  <c r="L531" i="11"/>
  <c r="M531" i="11" s="1"/>
  <c r="L530" i="11"/>
  <c r="M530" i="11" s="1"/>
  <c r="L529" i="11"/>
  <c r="M529" i="11" s="1"/>
  <c r="L528" i="11"/>
  <c r="M528" i="11" s="1"/>
  <c r="L526" i="11"/>
  <c r="M526" i="11" s="1"/>
  <c r="L525" i="11"/>
  <c r="L524" i="11"/>
  <c r="L523" i="11"/>
  <c r="M523" i="11" s="1"/>
  <c r="L522" i="11"/>
  <c r="J521" i="11"/>
  <c r="K521" i="11"/>
  <c r="L515" i="11"/>
  <c r="M515" i="11" s="1"/>
  <c r="L517" i="11"/>
  <c r="M517" i="11" s="1"/>
  <c r="L516" i="11"/>
  <c r="M516" i="11" s="1"/>
  <c r="K514" i="11"/>
  <c r="K513" i="11" s="1"/>
  <c r="J511" i="11"/>
  <c r="K511" i="11"/>
  <c r="L512" i="11"/>
  <c r="M512" i="11" s="1"/>
  <c r="M511" i="11" s="1"/>
  <c r="L510" i="11"/>
  <c r="M510" i="11" s="1"/>
  <c r="M509" i="11" s="1"/>
  <c r="J509" i="11"/>
  <c r="K509" i="11"/>
  <c r="J506" i="11"/>
  <c r="K506" i="11"/>
  <c r="L507" i="11"/>
  <c r="M507" i="11" s="1"/>
  <c r="M506" i="11" s="1"/>
  <c r="L505" i="11"/>
  <c r="M505" i="11" s="1"/>
  <c r="L504" i="11"/>
  <c r="M504" i="11" s="1"/>
  <c r="J503" i="11"/>
  <c r="K503" i="11"/>
  <c r="L478" i="11"/>
  <c r="M478" i="11" s="1"/>
  <c r="L479" i="11"/>
  <c r="M479" i="11" s="1"/>
  <c r="L468" i="11"/>
  <c r="M468" i="11" s="1"/>
  <c r="L467" i="11"/>
  <c r="M467" i="11" s="1"/>
  <c r="L466" i="11"/>
  <c r="M466" i="11" s="1"/>
  <c r="L465" i="11"/>
  <c r="M465" i="11" s="1"/>
  <c r="L487" i="11"/>
  <c r="M487" i="11" s="1"/>
  <c r="L474" i="11"/>
  <c r="M474" i="11" s="1"/>
  <c r="L477" i="11"/>
  <c r="M477" i="11" s="1"/>
  <c r="L476" i="11"/>
  <c r="M476" i="11" s="1"/>
  <c r="L453" i="11"/>
  <c r="M453" i="11" s="1"/>
  <c r="L454" i="11"/>
  <c r="M454" i="11" s="1"/>
  <c r="L456" i="11"/>
  <c r="M456" i="11" s="1"/>
  <c r="L463" i="11"/>
  <c r="M463" i="11" s="1"/>
  <c r="L462" i="11"/>
  <c r="M462" i="11" s="1"/>
  <c r="L432" i="11"/>
  <c r="M432" i="11" s="1"/>
  <c r="L431" i="11"/>
  <c r="M431" i="11" s="1"/>
  <c r="L433" i="11"/>
  <c r="M433" i="11" s="1"/>
  <c r="L428" i="11"/>
  <c r="M428" i="11" s="1"/>
  <c r="L448" i="11"/>
  <c r="M448" i="11" s="1"/>
  <c r="L441" i="11"/>
  <c r="M441" i="11" s="1"/>
  <c r="L440" i="11"/>
  <c r="M440" i="11" s="1"/>
  <c r="L439" i="11"/>
  <c r="M439" i="11" s="1"/>
  <c r="L438" i="11"/>
  <c r="M438" i="11" s="1"/>
  <c r="L500" i="11"/>
  <c r="M500" i="11" s="1"/>
  <c r="L434" i="11"/>
  <c r="M434" i="11" s="1"/>
  <c r="L449" i="11"/>
  <c r="M449" i="11" s="1"/>
  <c r="L430" i="11"/>
  <c r="M430" i="11" s="1"/>
  <c r="L464" i="11"/>
  <c r="M464" i="11" s="1"/>
  <c r="L475" i="11"/>
  <c r="M475" i="11" s="1"/>
  <c r="L473" i="11"/>
  <c r="M473" i="11" s="1"/>
  <c r="L444" i="11"/>
  <c r="M444" i="11" s="1"/>
  <c r="L498" i="11"/>
  <c r="M498" i="11" s="1"/>
  <c r="L445" i="11"/>
  <c r="M445" i="11" s="1"/>
  <c r="L446" i="11"/>
  <c r="M446" i="11" s="1"/>
  <c r="L496" i="11"/>
  <c r="M496" i="11" s="1"/>
  <c r="L497" i="11"/>
  <c r="M497" i="11" s="1"/>
  <c r="L470" i="11"/>
  <c r="M470" i="11" s="1"/>
  <c r="L469" i="11"/>
  <c r="M469" i="11" s="1"/>
  <c r="L486" i="11"/>
  <c r="M486" i="11" s="1"/>
  <c r="L495" i="11"/>
  <c r="M495" i="11" s="1"/>
  <c r="L489" i="11"/>
  <c r="M489" i="11" s="1"/>
  <c r="L491" i="11"/>
  <c r="M491" i="11" s="1"/>
  <c r="L493" i="11"/>
  <c r="M493" i="11" s="1"/>
  <c r="L492" i="11"/>
  <c r="M492" i="11" s="1"/>
  <c r="L494" i="11"/>
  <c r="M494" i="11" s="1"/>
  <c r="L437" i="11"/>
  <c r="M437" i="11" s="1"/>
  <c r="L436" i="11"/>
  <c r="M436" i="11" s="1"/>
  <c r="L482" i="11"/>
  <c r="M482" i="11" s="1"/>
  <c r="L481" i="11"/>
  <c r="M481" i="11" s="1"/>
  <c r="L480" i="11"/>
  <c r="M480" i="11" s="1"/>
  <c r="L461" i="11"/>
  <c r="M461" i="11" s="1"/>
  <c r="L460" i="11"/>
  <c r="M460" i="11" s="1"/>
  <c r="L485" i="11"/>
  <c r="M485" i="11" s="1"/>
  <c r="L447" i="11"/>
  <c r="M447" i="11" s="1"/>
  <c r="L472" i="11"/>
  <c r="M472" i="11" s="1"/>
  <c r="L471" i="11"/>
  <c r="M471" i="11" s="1"/>
  <c r="L484" i="11"/>
  <c r="M484" i="11" s="1"/>
  <c r="L483" i="11"/>
  <c r="M483" i="11" s="1"/>
  <c r="L488" i="11"/>
  <c r="M488" i="11" s="1"/>
  <c r="L490" i="11"/>
  <c r="M490" i="11" s="1"/>
  <c r="L499" i="11"/>
  <c r="M499" i="11" s="1"/>
  <c r="L455" i="11"/>
  <c r="M455" i="11" s="1"/>
  <c r="L429" i="11"/>
  <c r="L424" i="11"/>
  <c r="M424" i="11" s="1"/>
  <c r="M423" i="11" s="1"/>
  <c r="M422" i="11" s="1"/>
  <c r="J423" i="11"/>
  <c r="J422" i="11" s="1"/>
  <c r="K422" i="11"/>
  <c r="L421" i="11"/>
  <c r="M421" i="11" s="1"/>
  <c r="L420" i="11"/>
  <c r="M420" i="11" s="1"/>
  <c r="L419" i="11"/>
  <c r="M419" i="11" s="1"/>
  <c r="L417" i="11"/>
  <c r="M417" i="11" s="1"/>
  <c r="L416" i="11"/>
  <c r="M416" i="11" s="1"/>
  <c r="L415" i="11"/>
  <c r="M415" i="11" s="1"/>
  <c r="L414" i="11"/>
  <c r="M414" i="11" s="1"/>
  <c r="J412" i="11"/>
  <c r="J413" i="11"/>
  <c r="K413" i="11"/>
  <c r="L411" i="11"/>
  <c r="M411" i="11" s="1"/>
  <c r="L409" i="11"/>
  <c r="M409" i="11" s="1"/>
  <c r="L408" i="11"/>
  <c r="M408" i="11" s="1"/>
  <c r="L407" i="11"/>
  <c r="M407" i="11" s="1"/>
  <c r="L406" i="11"/>
  <c r="M406" i="11" s="1"/>
  <c r="L405" i="11"/>
  <c r="M405" i="11" s="1"/>
  <c r="J403" i="11"/>
  <c r="J404" i="11"/>
  <c r="K404" i="11"/>
  <c r="J399" i="11"/>
  <c r="K399" i="11"/>
  <c r="L400" i="11"/>
  <c r="M400" i="11" s="1"/>
  <c r="M399" i="11" s="1"/>
  <c r="L398" i="11"/>
  <c r="M398" i="11" s="1"/>
  <c r="M397" i="11" s="1"/>
  <c r="J397" i="11"/>
  <c r="K397" i="11"/>
  <c r="L393" i="11"/>
  <c r="L391" i="11"/>
  <c r="M391" i="11" s="1"/>
  <c r="L390" i="11"/>
  <c r="L389" i="11"/>
  <c r="J388" i="11"/>
  <c r="K388" i="11"/>
  <c r="L387" i="11"/>
  <c r="M387" i="11" s="1"/>
  <c r="J384" i="11"/>
  <c r="L382" i="11"/>
  <c r="L381" i="11"/>
  <c r="M381" i="11" s="1"/>
  <c r="L380" i="11"/>
  <c r="M380" i="11" s="1"/>
  <c r="L378" i="11"/>
  <c r="M378" i="11" s="1"/>
  <c r="L379" i="11"/>
  <c r="K376" i="11"/>
  <c r="L375" i="11"/>
  <c r="M375" i="11" s="1"/>
  <c r="L374" i="11"/>
  <c r="L372" i="11"/>
  <c r="M372" i="11" s="1"/>
  <c r="L370" i="11"/>
  <c r="M370" i="11" s="1"/>
  <c r="L369" i="11"/>
  <c r="M369" i="11" s="1"/>
  <c r="L368" i="11"/>
  <c r="M368" i="11" s="1"/>
  <c r="L367" i="11"/>
  <c r="M367" i="11" s="1"/>
  <c r="J365" i="11"/>
  <c r="K365" i="11"/>
  <c r="L363" i="11"/>
  <c r="M363" i="11" s="1"/>
  <c r="L362" i="11"/>
  <c r="K361" i="11"/>
  <c r="L360" i="11"/>
  <c r="M360" i="11" s="1"/>
  <c r="L359" i="11"/>
  <c r="M359" i="11" s="1"/>
  <c r="L358" i="11"/>
  <c r="M358" i="11" s="1"/>
  <c r="L357" i="11"/>
  <c r="M357" i="11" s="1"/>
  <c r="L356" i="11"/>
  <c r="M356" i="11" s="1"/>
  <c r="L355" i="11"/>
  <c r="M355" i="11" s="1"/>
  <c r="L354" i="11"/>
  <c r="M354" i="11" s="1"/>
  <c r="L353" i="11"/>
  <c r="M353" i="11" s="1"/>
  <c r="L352" i="11"/>
  <c r="M352" i="11" s="1"/>
  <c r="L351" i="11"/>
  <c r="M351" i="11" s="1"/>
  <c r="L350" i="11"/>
  <c r="M350" i="11" s="1"/>
  <c r="L349" i="11"/>
  <c r="K348" i="11"/>
  <c r="L343" i="11"/>
  <c r="K342" i="11"/>
  <c r="J342" i="11"/>
  <c r="L346" i="11"/>
  <c r="M346" i="11" s="1"/>
  <c r="L345" i="11"/>
  <c r="L344" i="11"/>
  <c r="M344" i="11" s="1"/>
  <c r="L336" i="11"/>
  <c r="M336" i="11" s="1"/>
  <c r="L338" i="11"/>
  <c r="L328" i="11"/>
  <c r="M328" i="11" s="1"/>
  <c r="L327" i="11"/>
  <c r="L337" i="11"/>
  <c r="M337" i="11" s="1"/>
  <c r="L325" i="11"/>
  <c r="M325" i="11" s="1"/>
  <c r="L321" i="11"/>
  <c r="M321" i="11" s="1"/>
  <c r="L319" i="11"/>
  <c r="M319" i="11" s="1"/>
  <c r="L318" i="11"/>
  <c r="M318" i="11" s="1"/>
  <c r="L317" i="11"/>
  <c r="M317" i="11" s="1"/>
  <c r="L315" i="11"/>
  <c r="M315" i="11" s="1"/>
  <c r="L331" i="11"/>
  <c r="M331" i="11" s="1"/>
  <c r="L302" i="11"/>
  <c r="M302" i="11" s="1"/>
  <c r="L303" i="11"/>
  <c r="M303" i="11" s="1"/>
  <c r="L311" i="11"/>
  <c r="M311" i="11" s="1"/>
  <c r="L312" i="11"/>
  <c r="M312" i="11" s="1"/>
  <c r="L301" i="11"/>
  <c r="M301" i="11" s="1"/>
  <c r="L300" i="11"/>
  <c r="M300" i="11" s="1"/>
  <c r="L299" i="11"/>
  <c r="M299" i="11" s="1"/>
  <c r="L298" i="11"/>
  <c r="M298" i="11" s="1"/>
  <c r="K297" i="11"/>
  <c r="I297" i="11"/>
  <c r="L290" i="11"/>
  <c r="M290" i="11" s="1"/>
  <c r="L289" i="11"/>
  <c r="M289" i="11" s="1"/>
  <c r="L287" i="11"/>
  <c r="M287" i="11" s="1"/>
  <c r="L285" i="11"/>
  <c r="M285" i="11" s="1"/>
  <c r="L283" i="11"/>
  <c r="M283" i="11" s="1"/>
  <c r="L279" i="11"/>
  <c r="M279" i="11" s="1"/>
  <c r="L296" i="11"/>
  <c r="M296" i="11" s="1"/>
  <c r="L295" i="11"/>
  <c r="M295" i="11" s="1"/>
  <c r="L294" i="11"/>
  <c r="M294" i="11" s="1"/>
  <c r="L293" i="11"/>
  <c r="M293" i="11" s="1"/>
  <c r="L292" i="11"/>
  <c r="M292" i="11" s="1"/>
  <c r="L288" i="11"/>
  <c r="M288" i="11" s="1"/>
  <c r="L284" i="11"/>
  <c r="M284" i="11" s="1"/>
  <c r="L282" i="11"/>
  <c r="M282" i="11" s="1"/>
  <c r="L278" i="11"/>
  <c r="M278" i="11" s="1"/>
  <c r="L276" i="11"/>
  <c r="M276" i="11" s="1"/>
  <c r="M275" i="11" s="1"/>
  <c r="J275" i="11"/>
  <c r="K275" i="11"/>
  <c r="L259" i="11"/>
  <c r="L260" i="11"/>
  <c r="M260" i="11" s="1"/>
  <c r="L273" i="11"/>
  <c r="M273" i="11" s="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M267" i="11" s="1"/>
  <c r="L266" i="11"/>
  <c r="M266" i="11" s="1"/>
  <c r="L265" i="11"/>
  <c r="M265" i="11" s="1"/>
  <c r="L264" i="11"/>
  <c r="M264" i="11" s="1"/>
  <c r="L263" i="11"/>
  <c r="M263" i="11" s="1"/>
  <c r="L262" i="11"/>
  <c r="M262" i="11" s="1"/>
  <c r="L261" i="11"/>
  <c r="L235" i="11"/>
  <c r="M235" i="11" s="1"/>
  <c r="L249" i="11"/>
  <c r="M249" i="11" s="1"/>
  <c r="L233" i="11"/>
  <c r="M233" i="11" s="1"/>
  <c r="L234" i="11"/>
  <c r="M234" i="11" s="1"/>
  <c r="L251" i="11"/>
  <c r="M251" i="11" s="1"/>
  <c r="L250" i="11"/>
  <c r="M250" i="11" s="1"/>
  <c r="L247" i="11"/>
  <c r="M247" i="11" s="1"/>
  <c r="L242" i="11"/>
  <c r="M242" i="11" s="1"/>
  <c r="L241" i="11"/>
  <c r="M241" i="11" s="1"/>
  <c r="L240" i="11"/>
  <c r="M240" i="11" s="1"/>
  <c r="L236" i="11"/>
  <c r="M236" i="11" s="1"/>
  <c r="L248" i="11"/>
  <c r="M248" i="11" s="1"/>
  <c r="J232" i="11"/>
  <c r="L230" i="11"/>
  <c r="M230" i="11" s="1"/>
  <c r="L229" i="11"/>
  <c r="M229" i="11" s="1"/>
  <c r="M228" i="11" s="1"/>
  <c r="J228" i="11"/>
  <c r="J227" i="11" s="1"/>
  <c r="K228" i="11"/>
  <c r="K227" i="11" s="1"/>
  <c r="L226" i="11"/>
  <c r="M226" i="11" s="1"/>
  <c r="L221" i="11"/>
  <c r="M221" i="11" s="1"/>
  <c r="L219" i="11"/>
  <c r="L224" i="11"/>
  <c r="M224" i="11" s="1"/>
  <c r="L225" i="11"/>
  <c r="M225" i="11" s="1"/>
  <c r="L220" i="11"/>
  <c r="M220" i="11" s="1"/>
  <c r="L223" i="11"/>
  <c r="M223" i="11" s="1"/>
  <c r="L222" i="11"/>
  <c r="M222" i="11" s="1"/>
  <c r="L216" i="11"/>
  <c r="L210" i="11"/>
  <c r="M210" i="11" s="1"/>
  <c r="L207" i="11"/>
  <c r="M207" i="11" s="1"/>
  <c r="L202" i="11"/>
  <c r="M202" i="11" s="1"/>
  <c r="L195" i="11"/>
  <c r="M195" i="11" s="1"/>
  <c r="L214" i="11"/>
  <c r="M214" i="11" s="1"/>
  <c r="L197" i="11"/>
  <c r="M197" i="11" s="1"/>
  <c r="L192" i="11"/>
  <c r="M192" i="11" s="1"/>
  <c r="L193" i="11"/>
  <c r="M193" i="11" s="1"/>
  <c r="L215" i="11"/>
  <c r="M215" i="11" s="1"/>
  <c r="L213" i="11"/>
  <c r="M213" i="11" s="1"/>
  <c r="L212" i="11"/>
  <c r="M212" i="11" s="1"/>
  <c r="L211" i="11"/>
  <c r="M211" i="11" s="1"/>
  <c r="L194" i="11"/>
  <c r="M194" i="11" s="1"/>
  <c r="L206" i="11"/>
  <c r="M206" i="11" s="1"/>
  <c r="L199" i="11"/>
  <c r="M199" i="11" s="1"/>
  <c r="L196" i="11"/>
  <c r="M196" i="11" s="1"/>
  <c r="L198" i="11"/>
  <c r="M198" i="11" s="1"/>
  <c r="L205" i="11"/>
  <c r="M205" i="11" s="1"/>
  <c r="L208" i="11"/>
  <c r="M208" i="11" s="1"/>
  <c r="L203" i="11"/>
  <c r="M203" i="11" s="1"/>
  <c r="L209" i="11"/>
  <c r="M209" i="11" s="1"/>
  <c r="L183" i="11"/>
  <c r="L189" i="11"/>
  <c r="M189" i="11" s="1"/>
  <c r="L188" i="11"/>
  <c r="M188" i="11" s="1"/>
  <c r="L186" i="11"/>
  <c r="M186" i="11" s="1"/>
  <c r="L177" i="11"/>
  <c r="M177" i="11" s="1"/>
  <c r="M176" i="11" s="1"/>
  <c r="J176" i="11"/>
  <c r="K176" i="11"/>
  <c r="K172" i="11" s="1"/>
  <c r="L173" i="11"/>
  <c r="L170" i="11"/>
  <c r="L169" i="11" s="1"/>
  <c r="L168" i="11" s="1"/>
  <c r="J169" i="11"/>
  <c r="J168" i="11" s="1"/>
  <c r="K168" i="11"/>
  <c r="L167" i="11"/>
  <c r="M167" i="11" s="1"/>
  <c r="L166" i="11"/>
  <c r="L165" i="11" s="1"/>
  <c r="J165" i="11"/>
  <c r="J163" i="11" s="1"/>
  <c r="K165" i="11"/>
  <c r="K163" i="11" s="1"/>
  <c r="K161" i="11" s="1"/>
  <c r="L164" i="11"/>
  <c r="M164" i="11" s="1"/>
  <c r="L158" i="11"/>
  <c r="M158" i="11" s="1"/>
  <c r="L156" i="11"/>
  <c r="L157" i="11"/>
  <c r="M157" i="11" s="1"/>
  <c r="J153" i="11"/>
  <c r="L152" i="11"/>
  <c r="M152" i="11" s="1"/>
  <c r="L151" i="11"/>
  <c r="M151" i="11" s="1"/>
  <c r="L150" i="11"/>
  <c r="M150" i="11" s="1"/>
  <c r="J149" i="11"/>
  <c r="J147" i="11" s="1"/>
  <c r="K147" i="11"/>
  <c r="L148" i="11"/>
  <c r="M148" i="11" s="1"/>
  <c r="L146" i="11"/>
  <c r="M146" i="11" s="1"/>
  <c r="M144" i="11" s="1"/>
  <c r="J144" i="11"/>
  <c r="K144" i="11"/>
  <c r="J143" i="11"/>
  <c r="L142" i="11"/>
  <c r="M142" i="11" s="1"/>
  <c r="L141" i="11"/>
  <c r="L140" i="11" s="1"/>
  <c r="L139" i="11" s="1"/>
  <c r="J140" i="11"/>
  <c r="J139" i="11" s="1"/>
  <c r="L138" i="11"/>
  <c r="M138" i="11" s="1"/>
  <c r="L137" i="11"/>
  <c r="M137" i="11" s="1"/>
  <c r="L136" i="11"/>
  <c r="M136" i="11" s="1"/>
  <c r="J135" i="11"/>
  <c r="J134" i="11" s="1"/>
  <c r="L133" i="11"/>
  <c r="M133" i="11" s="1"/>
  <c r="M132" i="11" s="1"/>
  <c r="J132" i="11"/>
  <c r="J130" i="11" s="1"/>
  <c r="L129" i="11"/>
  <c r="M129" i="11" s="1"/>
  <c r="L128" i="11"/>
  <c r="M128" i="11" s="1"/>
  <c r="L127" i="11"/>
  <c r="M127" i="11" s="1"/>
  <c r="L126" i="11"/>
  <c r="M126" i="11" s="1"/>
  <c r="L125" i="11"/>
  <c r="M125" i="11" s="1"/>
  <c r="L124" i="11"/>
  <c r="M124" i="11" s="1"/>
  <c r="L123" i="11"/>
  <c r="M123" i="11" s="1"/>
  <c r="L121" i="11"/>
  <c r="M121" i="11" s="1"/>
  <c r="L119" i="11"/>
  <c r="M119" i="11" s="1"/>
  <c r="L117" i="11"/>
  <c r="M117" i="11" s="1"/>
  <c r="L116" i="11"/>
  <c r="M116" i="11" s="1"/>
  <c r="L115" i="11"/>
  <c r="M115" i="11" s="1"/>
  <c r="L113" i="11"/>
  <c r="M113" i="11" s="1"/>
  <c r="L112" i="11"/>
  <c r="M112" i="11" s="1"/>
  <c r="L111" i="11"/>
  <c r="M111" i="11" s="1"/>
  <c r="L110" i="11"/>
  <c r="M110" i="11" s="1"/>
  <c r="L108" i="11"/>
  <c r="M108" i="11" s="1"/>
  <c r="L107" i="11"/>
  <c r="M107" i="11" s="1"/>
  <c r="L106" i="11"/>
  <c r="M106" i="11" s="1"/>
  <c r="L105" i="11"/>
  <c r="M105" i="11" s="1"/>
  <c r="L104" i="11"/>
  <c r="M104" i="11" s="1"/>
  <c r="L103" i="11"/>
  <c r="M103" i="11" s="1"/>
  <c r="L102" i="11"/>
  <c r="M102" i="11" s="1"/>
  <c r="L101" i="11"/>
  <c r="M101" i="11" s="1"/>
  <c r="L100" i="11"/>
  <c r="M100" i="11" s="1"/>
  <c r="L99" i="11"/>
  <c r="M99" i="11" s="1"/>
  <c r="L98" i="11"/>
  <c r="M98" i="11" s="1"/>
  <c r="L97" i="11"/>
  <c r="M97" i="11" s="1"/>
  <c r="L96" i="11"/>
  <c r="M96" i="11" s="1"/>
  <c r="L95" i="11"/>
  <c r="M95" i="11" s="1"/>
  <c r="L93" i="11"/>
  <c r="M93" i="11" s="1"/>
  <c r="L92" i="11"/>
  <c r="M92" i="11" s="1"/>
  <c r="L91" i="11"/>
  <c r="M91" i="11" s="1"/>
  <c r="L90" i="11"/>
  <c r="M90" i="11" s="1"/>
  <c r="L89" i="11"/>
  <c r="M89" i="11" s="1"/>
  <c r="L87" i="11"/>
  <c r="M87" i="11" s="1"/>
  <c r="L86" i="11"/>
  <c r="M86" i="11" s="1"/>
  <c r="L85" i="11"/>
  <c r="M85" i="11" s="1"/>
  <c r="L84" i="11"/>
  <c r="M84" i="11" s="1"/>
  <c r="L83" i="11"/>
  <c r="M83" i="11" s="1"/>
  <c r="L82" i="11"/>
  <c r="M82" i="11" s="1"/>
  <c r="L114" i="11"/>
  <c r="M114" i="11" s="1"/>
  <c r="J81" i="11"/>
  <c r="J77" i="11" s="1"/>
  <c r="L80" i="11"/>
  <c r="M80" i="11" s="1"/>
  <c r="M78" i="11" s="1"/>
  <c r="J78" i="11"/>
  <c r="K78" i="11"/>
  <c r="I41" i="11"/>
  <c r="J41" i="11"/>
  <c r="J3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7" i="11"/>
  <c r="M47" i="11" s="1"/>
  <c r="L46" i="11"/>
  <c r="M46" i="11" s="1"/>
  <c r="L45" i="11"/>
  <c r="M45" i="11" s="1"/>
  <c r="L44" i="11"/>
  <c r="M44" i="11" s="1"/>
  <c r="L43" i="11"/>
  <c r="M43" i="11" s="1"/>
  <c r="L42" i="11"/>
  <c r="M42" i="11" s="1"/>
  <c r="L40" i="11"/>
  <c r="M40" i="11" s="1"/>
  <c r="L33" i="11"/>
  <c r="M33" i="11" s="1"/>
  <c r="L32" i="11"/>
  <c r="M32" i="11" s="1"/>
  <c r="L26" i="11"/>
  <c r="M26" i="11" s="1"/>
  <c r="L31" i="11"/>
  <c r="M31" i="11" s="1"/>
  <c r="L30" i="11"/>
  <c r="M30" i="11" s="1"/>
  <c r="L24" i="11"/>
  <c r="M24" i="11" s="1"/>
  <c r="M23" i="11" s="1"/>
  <c r="L21" i="11"/>
  <c r="M21" i="11" s="1"/>
  <c r="L16" i="11"/>
  <c r="M16" i="11" s="1"/>
  <c r="L15" i="11"/>
  <c r="M15" i="11" s="1"/>
  <c r="J29" i="11"/>
  <c r="J27" i="11"/>
  <c r="L27" i="11"/>
  <c r="J23" i="11"/>
  <c r="M156" i="11" l="1"/>
  <c r="J383" i="11"/>
  <c r="M374" i="11"/>
  <c r="M373" i="11" s="1"/>
  <c r="L373" i="11"/>
  <c r="J313" i="11"/>
  <c r="M338" i="11"/>
  <c r="L314" i="11"/>
  <c r="L313" i="11" s="1"/>
  <c r="J35" i="11"/>
  <c r="J34" i="11" s="1"/>
  <c r="M173" i="11"/>
  <c r="J172" i="11"/>
  <c r="J171" i="11" s="1"/>
  <c r="K160" i="11"/>
  <c r="J161" i="11"/>
  <c r="J160" i="11" s="1"/>
  <c r="M393" i="11"/>
  <c r="M392" i="11" s="1"/>
  <c r="L392" i="11"/>
  <c r="M429" i="11"/>
  <c r="M427" i="11" s="1"/>
  <c r="L427" i="11"/>
  <c r="J396" i="11"/>
  <c r="M259" i="11"/>
  <c r="L258" i="11"/>
  <c r="M219" i="11"/>
  <c r="M218" i="11" s="1"/>
  <c r="L218" i="11"/>
  <c r="L217" i="11"/>
  <c r="M217" i="11" s="1"/>
  <c r="K182" i="11"/>
  <c r="K181" i="11" s="1"/>
  <c r="L163" i="11"/>
  <c r="M183" i="11"/>
  <c r="L176" i="11"/>
  <c r="J536" i="11"/>
  <c r="J520" i="11" s="1"/>
  <c r="L144" i="11"/>
  <c r="J361" i="11"/>
  <c r="J401" i="11"/>
  <c r="M503" i="11"/>
  <c r="J514" i="11"/>
  <c r="J513" i="11" s="1"/>
  <c r="L257" i="11"/>
  <c r="L232" i="11" s="1"/>
  <c r="K232" i="11"/>
  <c r="K231" i="11" s="1"/>
  <c r="L78" i="11"/>
  <c r="J36" i="11"/>
  <c r="L347" i="11"/>
  <c r="L342" i="11" s="1"/>
  <c r="J376" i="11"/>
  <c r="J364" i="11" s="1"/>
  <c r="J502" i="11"/>
  <c r="L377" i="11"/>
  <c r="M377" i="11" s="1"/>
  <c r="L388" i="11"/>
  <c r="J348" i="11"/>
  <c r="M170" i="11"/>
  <c r="M169" i="11" s="1"/>
  <c r="M168" i="11" s="1"/>
  <c r="L23" i="11"/>
  <c r="M41" i="11"/>
  <c r="L41" i="11"/>
  <c r="L132" i="11"/>
  <c r="M141" i="11"/>
  <c r="M140" i="11" s="1"/>
  <c r="M139" i="11" s="1"/>
  <c r="J297" i="11"/>
  <c r="L558" i="11"/>
  <c r="L557" i="11" s="1"/>
  <c r="M166" i="11"/>
  <c r="M165" i="11" s="1"/>
  <c r="M163" i="11" s="1"/>
  <c r="M149" i="11"/>
  <c r="M147" i="11" s="1"/>
  <c r="L386" i="11"/>
  <c r="M386" i="11" s="1"/>
  <c r="L399" i="11"/>
  <c r="L511" i="11"/>
  <c r="L348" i="11"/>
  <c r="L546" i="11"/>
  <c r="M560" i="11"/>
  <c r="M558" i="11" s="1"/>
  <c r="M557" i="11" s="1"/>
  <c r="J548" i="11"/>
  <c r="L553" i="11"/>
  <c r="K548" i="11"/>
  <c r="M549" i="11"/>
  <c r="L549" i="11"/>
  <c r="L536" i="11"/>
  <c r="K520" i="11"/>
  <c r="L521" i="11"/>
  <c r="M514" i="11"/>
  <c r="M513" i="11" s="1"/>
  <c r="L514" i="11"/>
  <c r="L513" i="11" s="1"/>
  <c r="J508" i="11"/>
  <c r="L509" i="11"/>
  <c r="L506" i="11"/>
  <c r="L503" i="11"/>
  <c r="L423" i="11"/>
  <c r="L422" i="11" s="1"/>
  <c r="M413" i="11"/>
  <c r="L413" i="11"/>
  <c r="K402" i="11"/>
  <c r="K180" i="11" s="1"/>
  <c r="J402" i="11"/>
  <c r="J180" i="11" s="1"/>
  <c r="M404" i="11"/>
  <c r="L404" i="11"/>
  <c r="L397" i="11"/>
  <c r="K364" i="11"/>
  <c r="L365" i="11"/>
  <c r="L361" i="11"/>
  <c r="M349" i="11"/>
  <c r="L297" i="11"/>
  <c r="L275" i="11"/>
  <c r="J231" i="11"/>
  <c r="M227" i="11"/>
  <c r="L228" i="11"/>
  <c r="L227" i="11" s="1"/>
  <c r="J181" i="11"/>
  <c r="L149" i="11"/>
  <c r="L147" i="11" s="1"/>
  <c r="M135" i="11"/>
  <c r="M134" i="11" s="1"/>
  <c r="L135" i="11"/>
  <c r="L134" i="11" s="1"/>
  <c r="L29" i="11"/>
  <c r="L25" i="11" s="1"/>
  <c r="K25" i="11"/>
  <c r="J25" i="11"/>
  <c r="J426" i="11" l="1"/>
  <c r="J425" i="11" s="1"/>
  <c r="M314" i="11"/>
  <c r="M161" i="11"/>
  <c r="M160" i="11" s="1"/>
  <c r="L161" i="11"/>
  <c r="L160" i="11" s="1"/>
  <c r="L182" i="11"/>
  <c r="L181" i="11" s="1"/>
  <c r="L36" i="11"/>
  <c r="L402" i="11"/>
  <c r="L180" i="11" s="1"/>
  <c r="L508" i="11"/>
  <c r="J563" i="11"/>
  <c r="L376" i="11"/>
  <c r="L364" i="11" s="1"/>
  <c r="J277" i="11"/>
  <c r="J274" i="11" s="1"/>
  <c r="J179" i="11" s="1"/>
  <c r="L520" i="11"/>
  <c r="L396" i="11"/>
  <c r="L548" i="11"/>
  <c r="L502" i="11"/>
  <c r="M402" i="11"/>
  <c r="M180" i="11" s="1"/>
  <c r="L231" i="11"/>
  <c r="L426" i="11" l="1"/>
  <c r="L425" i="11" s="1"/>
  <c r="J178" i="11"/>
  <c r="L563" i="11"/>
  <c r="J20" i="11"/>
  <c r="L20" i="11"/>
  <c r="M20" i="11"/>
  <c r="J17" i="11"/>
  <c r="L17" i="11"/>
  <c r="J14" i="11"/>
  <c r="J13" i="11" s="1"/>
  <c r="K14" i="11"/>
  <c r="K13" i="11" s="1"/>
  <c r="K12" i="11" s="1"/>
  <c r="L14" i="11"/>
  <c r="L13" i="11" s="1"/>
  <c r="L39" i="11"/>
  <c r="I140" i="11"/>
  <c r="L79" i="11" l="1"/>
  <c r="M39" i="11"/>
  <c r="L37" i="11"/>
  <c r="J12" i="11"/>
  <c r="J11" i="11" s="1"/>
  <c r="J562" i="11" s="1"/>
  <c r="K11" i="11"/>
  <c r="L12" i="11"/>
  <c r="L11" i="11" s="1"/>
  <c r="M79" i="11" l="1"/>
  <c r="I143" i="11"/>
  <c r="I144" i="11"/>
  <c r="K143" i="11"/>
  <c r="L145" i="11" l="1"/>
  <c r="I404" i="11"/>
  <c r="I403" i="11"/>
  <c r="I412" i="11"/>
  <c r="L143" i="11" l="1"/>
  <c r="M145" i="11"/>
  <c r="M143" i="11" s="1"/>
  <c r="K403" i="11"/>
  <c r="L410" i="11"/>
  <c r="K412" i="11"/>
  <c r="L418" i="11"/>
  <c r="I401" i="11"/>
  <c r="I402" i="11"/>
  <c r="I180" i="11" s="1"/>
  <c r="M418" i="11" l="1"/>
  <c r="M412" i="11" s="1"/>
  <c r="L412" i="11"/>
  <c r="M410" i="11"/>
  <c r="M403" i="11" s="1"/>
  <c r="L403" i="11"/>
  <c r="K401" i="11"/>
  <c r="L401" i="11" l="1"/>
  <c r="M401" i="11"/>
  <c r="K153" i="11" l="1"/>
  <c r="L155" i="11"/>
  <c r="L154" i="11" s="1"/>
  <c r="K130" i="11"/>
  <c r="M155" i="11" l="1"/>
  <c r="M154" i="11" s="1"/>
  <c r="L153" i="11"/>
  <c r="L131" i="11"/>
  <c r="M153" i="11" l="1"/>
  <c r="K384" i="11"/>
  <c r="K383" i="11" s="1"/>
  <c r="L385" i="11"/>
  <c r="M131" i="11"/>
  <c r="M130" i="11" s="1"/>
  <c r="L130" i="11"/>
  <c r="K81" i="11"/>
  <c r="I132" i="11"/>
  <c r="I130" i="11" s="1"/>
  <c r="M385" i="11" l="1"/>
  <c r="L384" i="11"/>
  <c r="L383" i="11" s="1"/>
  <c r="K77" i="11"/>
  <c r="L94" i="11"/>
  <c r="L174" i="11"/>
  <c r="L172" i="11" s="1"/>
  <c r="K171" i="11"/>
  <c r="I149" i="11"/>
  <c r="I147" i="11" s="1"/>
  <c r="M379" i="11"/>
  <c r="M38" i="11"/>
  <c r="K38" i="11"/>
  <c r="K36" i="11" s="1"/>
  <c r="K563" i="11" s="1"/>
  <c r="I38" i="11"/>
  <c r="I78" i="11"/>
  <c r="M14" i="11"/>
  <c r="M13" i="11" s="1"/>
  <c r="M18" i="11"/>
  <c r="M17" i="11" s="1"/>
  <c r="M19" i="11"/>
  <c r="M28" i="11"/>
  <c r="M27" i="11" s="1"/>
  <c r="M382" i="11"/>
  <c r="I389" i="11"/>
  <c r="M389" i="11" s="1"/>
  <c r="I216" i="11"/>
  <c r="I182" i="11" s="1"/>
  <c r="I232" i="11"/>
  <c r="I261" i="11"/>
  <c r="I258" i="11" s="1"/>
  <c r="M297" i="11"/>
  <c r="M327" i="11"/>
  <c r="M343" i="11"/>
  <c r="M345" i="11"/>
  <c r="M347" i="11"/>
  <c r="M396" i="11"/>
  <c r="M502" i="11"/>
  <c r="M508" i="11"/>
  <c r="I522" i="11"/>
  <c r="I524" i="11"/>
  <c r="M524" i="11" s="1"/>
  <c r="I525" i="11"/>
  <c r="M525" i="11" s="1"/>
  <c r="I541" i="11"/>
  <c r="M553" i="11"/>
  <c r="M548" i="11" s="1"/>
  <c r="K37" i="11"/>
  <c r="K396" i="11"/>
  <c r="K502" i="11"/>
  <c r="K508" i="11"/>
  <c r="I14" i="11"/>
  <c r="I13" i="11" s="1"/>
  <c r="I17" i="11"/>
  <c r="I20" i="11"/>
  <c r="I23" i="11"/>
  <c r="I27" i="11"/>
  <c r="I29" i="11"/>
  <c r="I37" i="11"/>
  <c r="I81" i="11"/>
  <c r="I77" i="11" s="1"/>
  <c r="I135" i="11"/>
  <c r="I134" i="11" s="1"/>
  <c r="I139" i="11"/>
  <c r="I153" i="11"/>
  <c r="I165" i="11"/>
  <c r="I163" i="11" s="1"/>
  <c r="I169" i="11"/>
  <c r="I168" i="11" s="1"/>
  <c r="I176" i="11"/>
  <c r="I228" i="11"/>
  <c r="I227" i="11" s="1"/>
  <c r="I348" i="11"/>
  <c r="I397" i="11"/>
  <c r="I399" i="11"/>
  <c r="I423" i="11"/>
  <c r="I422" i="11" s="1"/>
  <c r="I503" i="11"/>
  <c r="I506" i="11"/>
  <c r="I509" i="11"/>
  <c r="I511" i="11"/>
  <c r="I514" i="11"/>
  <c r="I513" i="11" s="1"/>
  <c r="I549" i="11"/>
  <c r="I546" i="11"/>
  <c r="I558" i="11"/>
  <c r="I557" i="11" s="1"/>
  <c r="G381" i="11"/>
  <c r="G380" i="11"/>
  <c r="K426" i="11" l="1"/>
  <c r="K425" i="11" s="1"/>
  <c r="K35" i="11"/>
  <c r="K34" i="11" s="1"/>
  <c r="I313" i="11"/>
  <c r="M313" i="11"/>
  <c r="I35" i="11"/>
  <c r="I34" i="11" s="1"/>
  <c r="I161" i="11"/>
  <c r="I160" i="11" s="1"/>
  <c r="I172" i="11"/>
  <c r="I171" i="11" s="1"/>
  <c r="M522" i="11"/>
  <c r="M521" i="11" s="1"/>
  <c r="I521" i="11"/>
  <c r="M342" i="11"/>
  <c r="M390" i="11"/>
  <c r="M388" i="11" s="1"/>
  <c r="I181" i="11"/>
  <c r="M216" i="11"/>
  <c r="M94" i="11"/>
  <c r="M81" i="11" s="1"/>
  <c r="M77" i="11" s="1"/>
  <c r="L81" i="11"/>
  <c r="L77" i="11" s="1"/>
  <c r="L35" i="11" s="1"/>
  <c r="I536" i="11"/>
  <c r="M541" i="11"/>
  <c r="M536" i="11" s="1"/>
  <c r="I361" i="11"/>
  <c r="M362" i="11"/>
  <c r="M361" i="11" s="1"/>
  <c r="M261" i="11"/>
  <c r="M258" i="11" s="1"/>
  <c r="M365" i="11"/>
  <c r="M257" i="11"/>
  <c r="M232" i="11" s="1"/>
  <c r="I384" i="11"/>
  <c r="M174" i="11"/>
  <c r="L171" i="11"/>
  <c r="M376" i="11"/>
  <c r="M348" i="11"/>
  <c r="K277" i="11"/>
  <c r="K274" i="11" s="1"/>
  <c r="K179" i="11" s="1"/>
  <c r="I36" i="11"/>
  <c r="I563" i="11" s="1"/>
  <c r="M36" i="11"/>
  <c r="M563" i="11" s="1"/>
  <c r="I508" i="11"/>
  <c r="I376" i="11"/>
  <c r="M29" i="11"/>
  <c r="M25" i="11" s="1"/>
  <c r="M12" i="11" s="1"/>
  <c r="M11" i="11" s="1"/>
  <c r="I396" i="11"/>
  <c r="I25" i="11"/>
  <c r="I12" i="11" s="1"/>
  <c r="I11" i="11" s="1"/>
  <c r="I502" i="11"/>
  <c r="I342" i="11"/>
  <c r="I388" i="11"/>
  <c r="I553" i="11"/>
  <c r="I548" i="11" s="1"/>
  <c r="I365" i="11"/>
  <c r="M37" i="11"/>
  <c r="I277" i="11" l="1"/>
  <c r="I274" i="11" s="1"/>
  <c r="M35" i="11"/>
  <c r="M34" i="11" s="1"/>
  <c r="L34" i="11"/>
  <c r="I383" i="11"/>
  <c r="K178" i="11"/>
  <c r="K562" i="11" s="1"/>
  <c r="M172" i="11"/>
  <c r="M171" i="11" s="1"/>
  <c r="M364" i="11"/>
  <c r="I520" i="11"/>
  <c r="I426" i="11" s="1"/>
  <c r="M182" i="11"/>
  <c r="M181" i="11" s="1"/>
  <c r="M231" i="11"/>
  <c r="I231" i="11"/>
  <c r="M520" i="11"/>
  <c r="M426" i="11" s="1"/>
  <c r="M384" i="11"/>
  <c r="M383" i="11" s="1"/>
  <c r="M277" i="11"/>
  <c r="M274" i="11" s="1"/>
  <c r="L277" i="11"/>
  <c r="L274" i="11" s="1"/>
  <c r="I364" i="11"/>
  <c r="I179" i="11" l="1"/>
  <c r="M179" i="11"/>
  <c r="M178" i="11" s="1"/>
  <c r="L179" i="11"/>
  <c r="L178" i="11" s="1"/>
  <c r="L562" i="11" s="1"/>
  <c r="M425" i="11"/>
  <c r="I425" i="11"/>
  <c r="I178" i="11"/>
  <c r="I562" i="11" l="1"/>
  <c r="M562" i="11"/>
</calcChain>
</file>

<file path=xl/sharedStrings.xml><?xml version="1.0" encoding="utf-8"?>
<sst xmlns="http://schemas.openxmlformats.org/spreadsheetml/2006/main" count="875" uniqueCount="612">
  <si>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</si>
  <si>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</si>
  <si>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</si>
  <si>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</si>
  <si>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</si>
  <si>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</si>
  <si>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</si>
  <si>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</si>
  <si>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</si>
  <si>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</si>
  <si>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</si>
  <si>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</si>
  <si>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</si>
  <si>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</si>
  <si>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</si>
  <si>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</si>
  <si>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</si>
  <si>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</si>
  <si>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</si>
  <si>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</si>
  <si>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</si>
  <si>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</si>
  <si>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</si>
  <si>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</si>
  <si>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</si>
  <si>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</si>
  <si>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</si>
  <si>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</si>
  <si>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</si>
  <si>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</si>
  <si>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</si>
  <si>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</si>
  <si>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</si>
  <si>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</si>
  <si>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</si>
  <si>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</si>
  <si>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</si>
  <si>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</si>
  <si>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</si>
  <si>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</si>
  <si>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</si>
  <si>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</si>
  <si>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</si>
  <si>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</si>
  <si>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</si>
  <si>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</si>
  <si>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</si>
  <si>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</si>
  <si>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</si>
  <si>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</si>
  <si>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</si>
  <si>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</si>
  <si>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</si>
  <si>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</si>
  <si>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</si>
  <si>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</si>
  <si>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</si>
  <si>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</si>
  <si>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</si>
  <si>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</si>
  <si>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</si>
  <si>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</si>
  <si>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</si>
  <si>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</si>
  <si>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</si>
  <si>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</si>
  <si>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</si>
  <si>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</si>
  <si>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</si>
  <si>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</si>
  <si>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</si>
  <si>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</si>
  <si>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</si>
  <si>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</si>
  <si>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</si>
  <si>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</si>
  <si>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</si>
  <si>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</si>
  <si>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</si>
  <si>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</si>
  <si>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</si>
  <si>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</si>
  <si>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</si>
  <si>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</si>
  <si>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</si>
  <si>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</si>
  <si>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</si>
  <si>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</si>
  <si>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</si>
  <si>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</si>
  <si>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</si>
  <si>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</si>
  <si>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</si>
  <si>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</si>
  <si>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</si>
  <si>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</si>
  <si>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</si>
  <si>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</si>
  <si>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</si>
  <si>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</si>
  <si>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</si>
  <si>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</si>
  <si>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</si>
  <si>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</si>
  <si>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</si>
  <si>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</si>
  <si>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</si>
  <si>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</si>
  <si>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</si>
  <si>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</si>
  <si>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</si>
  <si>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</si>
  <si>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</si>
  <si>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</si>
  <si>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</si>
  <si>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</si>
  <si>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</si>
  <si>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</si>
  <si>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</si>
  <si>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</si>
  <si>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</si>
  <si>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</si>
  <si>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</si>
  <si>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</si>
  <si>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</si>
  <si>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</si>
  <si>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</si>
  <si>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</si>
  <si>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</si>
  <si>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</si>
  <si>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</si>
  <si>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</si>
  <si>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</si>
  <si>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</si>
  <si>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</si>
  <si>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</si>
  <si>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</si>
  <si>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</si>
  <si>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</si>
  <si>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</si>
  <si>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</si>
  <si>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</si>
  <si>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</si>
  <si>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</si>
  <si>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</si>
  <si>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</si>
  <si>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</si>
  <si>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</si>
  <si>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</si>
  <si>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</si>
  <si>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</si>
  <si>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</si>
  <si>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</si>
  <si>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</si>
  <si>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</si>
  <si>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</si>
  <si>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</si>
  <si>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</si>
  <si>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</si>
  <si>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</si>
  <si>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</si>
  <si>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</si>
  <si>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</si>
  <si>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</si>
  <si>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</si>
  <si>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</si>
  <si>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</si>
  <si>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</si>
  <si>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</si>
  <si>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</si>
  <si>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</si>
  <si>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</si>
  <si>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</si>
  <si>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</si>
  <si>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</si>
  <si>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</si>
  <si>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</si>
  <si>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</si>
  <si>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</si>
  <si>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</si>
  <si>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</si>
  <si>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</si>
  <si>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</si>
  <si>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</si>
  <si>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</si>
  <si>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</si>
  <si>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</si>
  <si>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</si>
  <si>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</si>
  <si>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</si>
  <si>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</si>
  <si>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</si>
  <si>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</si>
  <si>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</si>
  <si>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</si>
  <si>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</si>
  <si>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</si>
  <si>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</si>
  <si>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</si>
  <si>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</si>
  <si>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</si>
  <si>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</si>
  <si>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</si>
  <si>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</si>
  <si>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</si>
  <si>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</si>
  <si>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</si>
  <si>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</si>
  <si>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</si>
  <si>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</si>
  <si>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</si>
  <si>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</si>
  <si>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</si>
  <si>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</si>
  <si>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</si>
  <si>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</si>
  <si>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</si>
  <si>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</si>
  <si>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</si>
  <si>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</si>
  <si>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</si>
  <si>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</si>
  <si>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</si>
  <si>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</si>
  <si>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</si>
  <si>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</si>
  <si>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</si>
  <si>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</si>
  <si>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</si>
  <si>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</si>
  <si>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</si>
  <si>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</si>
  <si>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</si>
  <si>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</si>
  <si>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</si>
  <si>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</si>
  <si>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</si>
  <si>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</si>
  <si>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</si>
  <si>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</si>
  <si>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</si>
  <si>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</si>
  <si>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</si>
  <si>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</si>
  <si>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</si>
  <si>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</si>
  <si>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</si>
  <si>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</si>
  <si>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</si>
  <si>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</si>
  <si>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</si>
  <si>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</si>
  <si>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</si>
  <si>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</si>
  <si>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</si>
  <si>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</si>
  <si>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</si>
  <si>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</si>
  <si>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</si>
  <si>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</si>
  <si>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</si>
  <si>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</si>
  <si>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</si>
  <si>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</si>
  <si>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</si>
  <si>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</si>
  <si>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</si>
  <si>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</si>
  <si>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</si>
  <si>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</si>
  <si>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</si>
  <si>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</si>
  <si>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</si>
  <si>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</si>
  <si>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</si>
  <si>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</si>
  <si>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</si>
  <si>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</si>
  <si>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</si>
  <si>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</si>
  <si>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</si>
  <si>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</si>
  <si>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</si>
  <si>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</si>
  <si>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</si>
  <si>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</si>
  <si>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</si>
  <si>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</si>
  <si>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</si>
  <si>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</si>
  <si>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</si>
  <si>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</si>
  <si>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</si>
  <si>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</si>
  <si>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</si>
  <si>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</si>
  <si>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</si>
  <si>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</si>
  <si>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</si>
  <si>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</si>
  <si>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</si>
  <si>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</si>
  <si>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</si>
  <si>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</si>
  <si>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</si>
  <si>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</si>
  <si>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</si>
  <si>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</si>
  <si>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</si>
  <si>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</si>
  <si>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</si>
  <si>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</si>
  <si>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</si>
  <si>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</si>
  <si>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</si>
  <si>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</si>
  <si>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</si>
  <si>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</si>
  <si>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</si>
  <si>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</si>
  <si>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</si>
  <si>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</si>
  <si>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</si>
  <si>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</si>
  <si>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</si>
  <si>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</si>
  <si>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</si>
  <si>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</si>
  <si>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</si>
  <si>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</si>
  <si>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</si>
  <si>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</si>
  <si>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</si>
  <si>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</si>
  <si>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</si>
  <si>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</si>
  <si>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</si>
  <si>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</si>
  <si>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</si>
  <si>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</si>
  <si>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</si>
  <si>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</si>
  <si>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</si>
  <si>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</si>
  <si>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</si>
  <si>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</si>
  <si>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</si>
  <si>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</si>
  <si>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</si>
  <si>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</si>
  <si>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</si>
  <si>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</si>
  <si>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</si>
  <si>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</si>
  <si>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</si>
  <si>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</si>
  <si>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</si>
  <si>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</si>
  <si>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</si>
  <si>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</si>
  <si>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</si>
  <si>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</si>
  <si>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</si>
  <si>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</si>
  <si>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</si>
  <si>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</si>
  <si>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</si>
  <si>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</si>
  <si>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</si>
  <si>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</si>
  <si>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</si>
  <si>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</si>
  <si>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</si>
  <si>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</si>
  <si>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</si>
  <si>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</si>
  <si>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</si>
  <si>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</si>
  <si>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</si>
  <si>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</si>
  <si>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</si>
  <si>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</si>
  <si>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</si>
  <si>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</si>
  <si>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</si>
  <si>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</si>
  <si>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</si>
  <si>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</si>
  <si>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</si>
  <si>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</si>
  <si>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</si>
  <si>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</si>
  <si>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</si>
  <si>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</si>
  <si>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</si>
  <si>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</si>
  <si>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</si>
  <si>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</si>
  <si>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</si>
  <si>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</si>
  <si>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</si>
  <si>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</si>
  <si>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</si>
  <si>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</si>
  <si>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</si>
  <si>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</si>
  <si>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</si>
  <si>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</si>
  <si>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</si>
  <si>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</si>
  <si>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</si>
  <si>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</si>
  <si>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</si>
  <si>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</si>
  <si>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</si>
  <si>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</si>
  <si>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</si>
  <si>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</si>
  <si>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</si>
  <si>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</si>
  <si>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</si>
  <si>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</si>
  <si>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</si>
  <si>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</si>
  <si>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</si>
  <si>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</si>
  <si>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</si>
  <si>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</si>
  <si>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</si>
  <si>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</si>
  <si>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</si>
  <si>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</si>
  <si>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</si>
  <si>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</si>
  <si>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</si>
  <si>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</si>
  <si>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</si>
  <si>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</si>
  <si>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</si>
  <si>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</si>
  <si>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</si>
  <si>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</si>
  <si>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</si>
  <si>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</si>
  <si>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</si>
  <si>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</si>
  <si>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</si>
  <si>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</si>
  <si>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</si>
  <si>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</si>
  <si>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</si>
  <si>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</si>
  <si>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</si>
  <si>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</si>
  <si>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</si>
  <si>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</si>
  <si>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</si>
  <si>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</si>
  <si>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</si>
  <si>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</si>
  <si>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</si>
  <si>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</si>
  <si>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</si>
  <si>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</si>
  <si>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</si>
  <si>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</si>
  <si>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</si>
  <si>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</si>
  <si>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</si>
  <si>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</si>
  <si>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</si>
  <si>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</si>
  <si>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</si>
  <si>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</si>
  <si>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</si>
  <si>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</si>
  <si>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</si>
  <si>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</si>
  <si>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</si>
  <si>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</si>
  <si>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</si>
  <si>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</si>
  <si>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</si>
  <si>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</si>
  <si>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</si>
  <si>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</si>
  <si>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</si>
  <si>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</si>
  <si>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</si>
  <si>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</si>
  <si>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</si>
  <si>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</si>
  <si>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</si>
  <si>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</si>
  <si>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</si>
  <si>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</si>
  <si>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</si>
  <si>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</si>
  <si>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</si>
  <si>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</si>
  <si>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</si>
  <si>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</si>
  <si>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</si>
  <si>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</si>
  <si>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</si>
  <si>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</si>
  <si>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</si>
  <si>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</si>
  <si>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</si>
  <si>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</si>
  <si>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</si>
  <si>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</si>
  <si>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</si>
  <si>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</si>
  <si>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</si>
  <si>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</si>
  <si>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</si>
  <si>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</si>
  <si>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</si>
  <si>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</si>
  <si>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</si>
  <si>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</si>
  <si>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</si>
  <si>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</si>
  <si>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</si>
  <si>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</si>
  <si>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</si>
  <si>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</si>
  <si>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</si>
  <si>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</si>
  <si>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</si>
  <si>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</si>
  <si>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</si>
  <si>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</si>
  <si>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</si>
  <si>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</si>
  <si>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</si>
  <si>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</si>
  <si>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</si>
  <si>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</si>
  <si>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</si>
  <si>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</si>
  <si>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</si>
  <si>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</si>
  <si>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</si>
  <si>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</si>
  <si>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</si>
  <si>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</si>
  <si>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</si>
  <si>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</si>
  <si>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</si>
  <si>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</si>
  <si>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</si>
  <si>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</si>
  <si>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</si>
  <si>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</si>
  <si>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</si>
  <si>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</si>
  <si>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</si>
  <si>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</si>
  <si>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</si>
  <si>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</si>
  <si>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</si>
  <si>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</si>
  <si>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</si>
  <si>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</si>
  <si>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</si>
  <si>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</si>
  <si>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</si>
  <si>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</si>
  <si>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</si>
  <si>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</si>
  <si>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</si>
  <si>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</si>
  <si>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</si>
  <si>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</si>
  <si>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</si>
  <si>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</si>
  <si>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</si>
  <si>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</si>
  <si>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</si>
  <si>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</si>
  <si>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</si>
  <si>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</si>
  <si>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</si>
  <si>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</si>
  <si>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</si>
  <si>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</si>
  <si>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</si>
  <si>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</si>
  <si>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</si>
  <si>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</si>
  <si>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</si>
  <si>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</si>
  <si>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</si>
  <si>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</si>
  <si>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</si>
  <si>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</si>
  <si>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</si>
  <si>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</si>
  <si>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</si>
  <si>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r>
      <t>Капітальний ремонт огорожі Сумського дошкільного навчального закладу (ясла - садок) №6 «Метелик</t>
    </r>
    <r>
      <rPr>
        <b/>
        <sz val="18"/>
        <rFont val="Times New Roman"/>
        <family val="1"/>
        <charset val="204"/>
      </rPr>
      <t>»</t>
    </r>
    <r>
      <rPr>
        <sz val="18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</si>
  <si>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8"/>
        <rFont val="Times New Roman"/>
        <family val="1"/>
        <charset val="204"/>
      </rPr>
      <t>«</t>
    </r>
    <r>
      <rPr>
        <sz val="18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</si>
  <si>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</si>
  <si>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Разом видатків на поточний рік, гривень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</si>
  <si>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</si>
  <si>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Розподіл коштів бюджету розвитку бюджету Сумської міської об'єднаної територіальної громади у 2020 році</t>
  </si>
  <si>
    <t xml:space="preserve">         Додаток </t>
  </si>
  <si>
    <t>до рішення виконавчого комітету</t>
  </si>
  <si>
    <t xml:space="preserve">від                                 №       </t>
  </si>
  <si>
    <t>В.о. директора департаменту фінансів, економіки та інвестицій Сумської міської ради</t>
  </si>
  <si>
    <t>Л.І.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</si>
</sst>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/>
    <xf numFmtId="0" fontId="15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NumberFormat="1" applyFont="1" applyFill="1" applyAlignment="1" applyProtection="1">
      <alignment horizontal="left"/>
    </xf>
    <xf numFmtId="0" fontId="21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22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9" fillId="0" borderId="0" xfId="0" applyFont="1" applyFill="1"/>
    <xf numFmtId="0" fontId="19" fillId="0" borderId="0" xfId="0" applyNumberFormat="1" applyFont="1" applyFill="1" applyAlignment="1" applyProtection="1"/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24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 applyProtection="1"/>
    <xf numFmtId="0" fontId="9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8"/>
  <sheetViews>
    <sheetView tabSelected="1" view="pageBreakPreview" topLeftCell="D541" zoomScale="50" zoomScaleNormal="100" zoomScaleSheetLayoutView="50" workbookViewId="0">
      <selection activeCell="E546" sqref="E546"/>
    </sheetView>
  </sheetViews>
  <sheetFormatPr defaultColWidth="8.85546875" defaultRowHeight="23.25" x14ac:dyDescent="0.35"/>
  <cols>
    <col min="1" max="1" width="16" style="2" hidden="1" customWidth="1"/>
    <col min="2" max="2" width="16.140625" style="2" hidden="1" customWidth="1"/>
    <col min="3" max="3" width="14" style="2" hidden="1" customWidth="1"/>
    <col min="4" max="4" width="90.28515625" style="2" customWidth="1"/>
    <col min="5" max="5" width="105.7109375" style="2" customWidth="1"/>
    <col min="6" max="6" width="29.7109375" style="2" customWidth="1"/>
    <col min="7" max="7" width="30" style="2" customWidth="1"/>
    <col min="8" max="8" width="29.5703125" style="2" customWidth="1"/>
    <col min="9" max="9" width="28.140625" style="2" hidden="1" customWidth="1"/>
    <col min="10" max="10" width="24.7109375" style="2" hidden="1" customWidth="1"/>
    <col min="11" max="11" width="25.42578125" style="2" hidden="1" customWidth="1"/>
    <col min="12" max="12" width="24" style="2" hidden="1" customWidth="1"/>
    <col min="13" max="13" width="29.42578125" style="2" customWidth="1"/>
    <col min="14" max="14" width="29.5703125" style="2" customWidth="1"/>
    <col min="15" max="16384" width="8.85546875" style="2"/>
  </cols>
  <sheetData>
    <row r="1" spans="1:15" ht="39.75" customHeight="1" x14ac:dyDescent="0.4">
      <c r="G1" s="3"/>
      <c r="H1" s="4" t="s">
        <v>607</v>
      </c>
      <c r="I1" s="3"/>
      <c r="J1" s="3"/>
      <c r="K1" s="3"/>
      <c r="L1" s="3"/>
      <c r="M1" s="3"/>
      <c r="N1" s="3"/>
      <c r="O1" s="1"/>
    </row>
    <row r="2" spans="1:15" ht="39.75" customHeight="1" x14ac:dyDescent="0.4">
      <c r="G2" s="3"/>
      <c r="H2" s="4" t="s">
        <v>608</v>
      </c>
      <c r="I2" s="3"/>
      <c r="J2" s="3"/>
      <c r="K2" s="3"/>
      <c r="L2" s="3"/>
      <c r="M2" s="3"/>
      <c r="N2" s="3"/>
      <c r="O2" s="1"/>
    </row>
    <row r="3" spans="1:15" ht="36.950000000000003" customHeight="1" x14ac:dyDescent="0.4">
      <c r="G3" s="27"/>
      <c r="H3" s="28" t="s">
        <v>609</v>
      </c>
      <c r="I3" s="27"/>
      <c r="J3" s="27"/>
      <c r="K3" s="27"/>
      <c r="L3" s="27"/>
      <c r="M3" s="27"/>
      <c r="N3" s="27"/>
      <c r="O3" s="1"/>
    </row>
    <row r="4" spans="1:15" x14ac:dyDescent="0.35">
      <c r="G4" s="3"/>
      <c r="H4" s="3"/>
      <c r="I4" s="3"/>
      <c r="J4" s="3"/>
      <c r="K4" s="3"/>
      <c r="L4" s="3"/>
      <c r="M4" s="3"/>
      <c r="N4" s="3"/>
      <c r="O4" s="1"/>
    </row>
    <row r="5" spans="1:15" x14ac:dyDescent="0.3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"/>
    </row>
    <row r="6" spans="1:15" ht="77.45" customHeight="1" x14ac:dyDescent="0.35">
      <c r="A6" s="130" t="s">
        <v>606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"/>
    </row>
    <row r="7" spans="1:15" ht="24" customHeight="1" x14ac:dyDescent="0.35">
      <c r="A7" s="131"/>
      <c r="B7" s="13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"/>
    </row>
    <row r="8" spans="1:15" s="32" customFormat="1" ht="31.5" customHeight="1" x14ac:dyDescent="0.35">
      <c r="A8" s="132" t="s">
        <v>16</v>
      </c>
      <c r="B8" s="132" t="s">
        <v>17</v>
      </c>
      <c r="C8" s="132" t="s">
        <v>555</v>
      </c>
      <c r="D8" s="128" t="s">
        <v>18</v>
      </c>
      <c r="E8" s="128" t="s">
        <v>19</v>
      </c>
      <c r="F8" s="128" t="s">
        <v>20</v>
      </c>
      <c r="G8" s="128" t="s">
        <v>21</v>
      </c>
      <c r="H8" s="128" t="s">
        <v>22</v>
      </c>
      <c r="I8" s="128" t="s">
        <v>603</v>
      </c>
      <c r="J8" s="128" t="s">
        <v>557</v>
      </c>
      <c r="K8" s="128"/>
      <c r="L8" s="128" t="s">
        <v>569</v>
      </c>
      <c r="M8" s="128" t="s">
        <v>604</v>
      </c>
      <c r="N8" s="128" t="s">
        <v>23</v>
      </c>
      <c r="O8" s="31"/>
    </row>
    <row r="9" spans="1:15" s="32" customFormat="1" ht="114" customHeight="1" x14ac:dyDescent="0.35">
      <c r="A9" s="133"/>
      <c r="B9" s="133"/>
      <c r="C9" s="133"/>
      <c r="D9" s="128"/>
      <c r="E9" s="128"/>
      <c r="F9" s="128"/>
      <c r="G9" s="128"/>
      <c r="H9" s="128"/>
      <c r="I9" s="128"/>
      <c r="J9" s="33" t="s">
        <v>556</v>
      </c>
      <c r="K9" s="33" t="s">
        <v>598</v>
      </c>
      <c r="L9" s="128"/>
      <c r="M9" s="128"/>
      <c r="N9" s="128"/>
      <c r="O9" s="31"/>
    </row>
    <row r="10" spans="1:15" s="36" customFormat="1" ht="24" customHeight="1" x14ac:dyDescent="0.35">
      <c r="A10" s="34"/>
      <c r="B10" s="34"/>
      <c r="C10" s="34"/>
      <c r="D10" s="34">
        <v>1</v>
      </c>
      <c r="E10" s="34">
        <v>2</v>
      </c>
      <c r="F10" s="34">
        <v>3</v>
      </c>
      <c r="G10" s="34">
        <v>4</v>
      </c>
      <c r="H10" s="34">
        <v>5</v>
      </c>
      <c r="I10" s="34"/>
      <c r="J10" s="34"/>
      <c r="K10" s="34"/>
      <c r="L10" s="34"/>
      <c r="M10" s="34">
        <v>6</v>
      </c>
      <c r="N10" s="34">
        <v>7</v>
      </c>
      <c r="O10" s="35"/>
    </row>
    <row r="11" spans="1:15" ht="40.5" hidden="1" customHeight="1" x14ac:dyDescent="0.35">
      <c r="A11" s="13" t="s">
        <v>8</v>
      </c>
      <c r="B11" s="37"/>
      <c r="C11" s="37"/>
      <c r="D11" s="15" t="s">
        <v>9</v>
      </c>
      <c r="E11" s="37"/>
      <c r="F11" s="37"/>
      <c r="G11" s="37"/>
      <c r="H11" s="37"/>
      <c r="I11" s="38">
        <f>I12</f>
        <v>33754300</v>
      </c>
      <c r="J11" s="38">
        <f t="shared" ref="J11:L11" si="0">J12</f>
        <v>0</v>
      </c>
      <c r="K11" s="38">
        <f t="shared" si="0"/>
        <v>0</v>
      </c>
      <c r="L11" s="38">
        <f t="shared" si="0"/>
        <v>0</v>
      </c>
      <c r="M11" s="38">
        <f t="shared" ref="M11" si="1">M12</f>
        <v>33754300</v>
      </c>
      <c r="N11" s="37"/>
      <c r="O11" s="1"/>
    </row>
    <row r="12" spans="1:15" s="44" customFormat="1" ht="42.95" customHeight="1" x14ac:dyDescent="0.4">
      <c r="A12" s="39" t="s">
        <v>10</v>
      </c>
      <c r="B12" s="39"/>
      <c r="C12" s="39"/>
      <c r="D12" s="40" t="s">
        <v>9</v>
      </c>
      <c r="E12" s="41"/>
      <c r="F12" s="41"/>
      <c r="G12" s="41"/>
      <c r="H12" s="41"/>
      <c r="I12" s="42">
        <f>SUM(I33:I33)+I13+I17+I19+I20+I23+I25+I32+I22</f>
        <v>33754300</v>
      </c>
      <c r="J12" s="42">
        <f t="shared" ref="J12:L12" si="2">SUM(J33:J33)+J13+J17+J19+J20+J23+J25+J32+J22</f>
        <v>0</v>
      </c>
      <c r="K12" s="42">
        <f>SUM(K33:K33)+K13+K17+K19+K20+K23+K25+K32+K22</f>
        <v>0</v>
      </c>
      <c r="L12" s="42">
        <f t="shared" si="2"/>
        <v>0</v>
      </c>
      <c r="M12" s="42">
        <f t="shared" ref="M12" si="3">SUM(M33:M33)+M13+M17+M19+M20+M23+M25+M32+M22</f>
        <v>33754300</v>
      </c>
      <c r="N12" s="41"/>
      <c r="O12" s="43"/>
    </row>
    <row r="13" spans="1:15" s="21" customFormat="1" ht="102.95" customHeight="1" x14ac:dyDescent="0.35">
      <c r="A13" s="45" t="s">
        <v>77</v>
      </c>
      <c r="B13" s="46" t="s">
        <v>80</v>
      </c>
      <c r="C13" s="14" t="s">
        <v>78</v>
      </c>
      <c r="D13" s="15" t="s">
        <v>79</v>
      </c>
      <c r="E13" s="16" t="s">
        <v>179</v>
      </c>
      <c r="F13" s="13"/>
      <c r="G13" s="13"/>
      <c r="H13" s="13"/>
      <c r="I13" s="38">
        <f>I14</f>
        <v>1230200</v>
      </c>
      <c r="J13" s="38">
        <f t="shared" ref="J13:L13" si="4">J14</f>
        <v>0</v>
      </c>
      <c r="K13" s="38">
        <f>K14</f>
        <v>0</v>
      </c>
      <c r="L13" s="38">
        <f t="shared" si="4"/>
        <v>0</v>
      </c>
      <c r="M13" s="38">
        <f>M14</f>
        <v>1230200</v>
      </c>
      <c r="N13" s="13"/>
      <c r="O13" s="1"/>
    </row>
    <row r="14" spans="1:15" s="26" customFormat="1" ht="31.5" hidden="1" customHeight="1" x14ac:dyDescent="0.35">
      <c r="A14" s="47"/>
      <c r="B14" s="48"/>
      <c r="C14" s="23"/>
      <c r="D14" s="16"/>
      <c r="E14" s="16" t="s">
        <v>179</v>
      </c>
      <c r="F14" s="22"/>
      <c r="G14" s="22"/>
      <c r="H14" s="22"/>
      <c r="I14" s="19">
        <f>I15+I16</f>
        <v>1230200</v>
      </c>
      <c r="J14" s="19">
        <f t="shared" ref="J14:L14" si="5">J15+J16</f>
        <v>0</v>
      </c>
      <c r="K14" s="19">
        <f t="shared" si="5"/>
        <v>0</v>
      </c>
      <c r="L14" s="19">
        <f t="shared" si="5"/>
        <v>0</v>
      </c>
      <c r="M14" s="19">
        <f t="shared" ref="M14" si="6">M15+M16</f>
        <v>1230200</v>
      </c>
      <c r="N14" s="13"/>
      <c r="O14" s="1"/>
    </row>
    <row r="15" spans="1:15" s="9" customFormat="1" ht="66.95" hidden="1" customHeight="1" x14ac:dyDescent="0.35">
      <c r="A15" s="49"/>
      <c r="B15" s="50"/>
      <c r="C15" s="10"/>
      <c r="D15" s="6"/>
      <c r="E15" s="51" t="s">
        <v>270</v>
      </c>
      <c r="F15" s="52" t="s">
        <v>50</v>
      </c>
      <c r="G15" s="53">
        <v>1492916</v>
      </c>
      <c r="H15" s="52" t="s">
        <v>187</v>
      </c>
      <c r="I15" s="54">
        <v>870889</v>
      </c>
      <c r="J15" s="54"/>
      <c r="K15" s="54"/>
      <c r="L15" s="54">
        <f>K15+J15</f>
        <v>0</v>
      </c>
      <c r="M15" s="54">
        <f>I15+L15</f>
        <v>870889</v>
      </c>
      <c r="N15" s="37">
        <v>100</v>
      </c>
      <c r="O15" s="1"/>
    </row>
    <row r="16" spans="1:15" s="9" customFormat="1" ht="46.5" hidden="1" x14ac:dyDescent="0.35">
      <c r="A16" s="49"/>
      <c r="B16" s="50"/>
      <c r="C16" s="10"/>
      <c r="D16" s="6"/>
      <c r="E16" s="51" t="s">
        <v>271</v>
      </c>
      <c r="F16" s="52" t="s">
        <v>50</v>
      </c>
      <c r="G16" s="53">
        <v>1493136</v>
      </c>
      <c r="H16" s="52" t="s">
        <v>272</v>
      </c>
      <c r="I16" s="54">
        <v>359311</v>
      </c>
      <c r="J16" s="54"/>
      <c r="K16" s="54"/>
      <c r="L16" s="54">
        <f>K16+J16</f>
        <v>0</v>
      </c>
      <c r="M16" s="54">
        <f>I16+L16</f>
        <v>359311</v>
      </c>
      <c r="N16" s="37">
        <v>29.2</v>
      </c>
      <c r="O16" s="1"/>
    </row>
    <row r="17" spans="1:15" s="21" customFormat="1" ht="77.099999999999994" customHeight="1" x14ac:dyDescent="0.35">
      <c r="A17" s="45" t="s">
        <v>81</v>
      </c>
      <c r="B17" s="46" t="s">
        <v>82</v>
      </c>
      <c r="C17" s="14" t="s">
        <v>83</v>
      </c>
      <c r="D17" s="15" t="s">
        <v>384</v>
      </c>
      <c r="E17" s="16" t="s">
        <v>180</v>
      </c>
      <c r="F17" s="13"/>
      <c r="G17" s="13"/>
      <c r="H17" s="13"/>
      <c r="I17" s="38">
        <f>I18</f>
        <v>25500</v>
      </c>
      <c r="J17" s="38">
        <f t="shared" ref="J17:L17" si="7">J18</f>
        <v>0</v>
      </c>
      <c r="K17" s="38">
        <f>K18</f>
        <v>0</v>
      </c>
      <c r="L17" s="38">
        <f t="shared" si="7"/>
        <v>0</v>
      </c>
      <c r="M17" s="38">
        <f>M18</f>
        <v>25500</v>
      </c>
      <c r="N17" s="13"/>
      <c r="O17" s="1"/>
    </row>
    <row r="18" spans="1:15" s="26" customFormat="1" ht="57.6" hidden="1" customHeight="1" x14ac:dyDescent="0.35">
      <c r="A18" s="47"/>
      <c r="B18" s="48"/>
      <c r="C18" s="23"/>
      <c r="D18" s="16"/>
      <c r="E18" s="16" t="s">
        <v>180</v>
      </c>
      <c r="F18" s="22"/>
      <c r="G18" s="22"/>
      <c r="H18" s="22"/>
      <c r="I18" s="19">
        <v>25500</v>
      </c>
      <c r="J18" s="19"/>
      <c r="K18" s="19"/>
      <c r="L18" s="19"/>
      <c r="M18" s="19">
        <f>K18+I18</f>
        <v>25500</v>
      </c>
      <c r="N18" s="22"/>
      <c r="O18" s="1"/>
    </row>
    <row r="19" spans="1:15" s="21" customFormat="1" ht="62.1" customHeight="1" x14ac:dyDescent="0.35">
      <c r="A19" s="45" t="s">
        <v>84</v>
      </c>
      <c r="B19" s="46" t="s">
        <v>85</v>
      </c>
      <c r="C19" s="14" t="s">
        <v>86</v>
      </c>
      <c r="D19" s="15" t="s">
        <v>87</v>
      </c>
      <c r="E19" s="16" t="s">
        <v>180</v>
      </c>
      <c r="F19" s="13"/>
      <c r="G19" s="13"/>
      <c r="H19" s="13"/>
      <c r="I19" s="38">
        <v>224000</v>
      </c>
      <c r="J19" s="38"/>
      <c r="K19" s="38"/>
      <c r="L19" s="38"/>
      <c r="M19" s="38">
        <f>K19+I19</f>
        <v>224000</v>
      </c>
      <c r="N19" s="13"/>
      <c r="O19" s="55"/>
    </row>
    <row r="20" spans="1:15" s="21" customFormat="1" ht="78" customHeight="1" x14ac:dyDescent="0.35">
      <c r="A20" s="45" t="s">
        <v>88</v>
      </c>
      <c r="B20" s="46" t="s">
        <v>89</v>
      </c>
      <c r="C20" s="14" t="s">
        <v>90</v>
      </c>
      <c r="D20" s="15" t="s">
        <v>91</v>
      </c>
      <c r="E20" s="16" t="s">
        <v>179</v>
      </c>
      <c r="F20" s="13"/>
      <c r="G20" s="13"/>
      <c r="H20" s="13"/>
      <c r="I20" s="38">
        <f>I21</f>
        <v>500000</v>
      </c>
      <c r="J20" s="38">
        <f t="shared" ref="J20:M20" si="8">J21</f>
        <v>0</v>
      </c>
      <c r="K20" s="38">
        <f>K21</f>
        <v>0</v>
      </c>
      <c r="L20" s="38">
        <f t="shared" si="8"/>
        <v>0</v>
      </c>
      <c r="M20" s="38">
        <f t="shared" si="8"/>
        <v>500000</v>
      </c>
      <c r="N20" s="13"/>
      <c r="O20" s="55"/>
    </row>
    <row r="21" spans="1:15" ht="60.6" hidden="1" customHeight="1" x14ac:dyDescent="0.35">
      <c r="A21" s="56"/>
      <c r="B21" s="52"/>
      <c r="C21" s="57"/>
      <c r="D21" s="58"/>
      <c r="E21" s="51" t="s">
        <v>256</v>
      </c>
      <c r="F21" s="52" t="s">
        <v>188</v>
      </c>
      <c r="G21" s="53"/>
      <c r="H21" s="37"/>
      <c r="I21" s="54">
        <v>500000</v>
      </c>
      <c r="J21" s="54"/>
      <c r="K21" s="54"/>
      <c r="L21" s="54">
        <f>K21+J21</f>
        <v>0</v>
      </c>
      <c r="M21" s="54">
        <f>I21+L21</f>
        <v>500000</v>
      </c>
      <c r="N21" s="37"/>
      <c r="O21" s="55"/>
    </row>
    <row r="22" spans="1:15" s="21" customFormat="1" ht="78.95" customHeight="1" x14ac:dyDescent="0.35">
      <c r="A22" s="45" t="s">
        <v>462</v>
      </c>
      <c r="B22" s="46" t="s">
        <v>463</v>
      </c>
      <c r="C22" s="14"/>
      <c r="D22" s="15" t="s">
        <v>464</v>
      </c>
      <c r="E22" s="16" t="s">
        <v>182</v>
      </c>
      <c r="F22" s="46"/>
      <c r="G22" s="59"/>
      <c r="H22" s="13"/>
      <c r="I22" s="38">
        <v>93000</v>
      </c>
      <c r="J22" s="38"/>
      <c r="K22" s="38"/>
      <c r="L22" s="38">
        <f>K22+J22</f>
        <v>0</v>
      </c>
      <c r="M22" s="38">
        <f>I22+L22</f>
        <v>93000</v>
      </c>
      <c r="N22" s="13"/>
      <c r="O22" s="55"/>
    </row>
    <row r="23" spans="1:15" s="21" customFormat="1" ht="126" customHeight="1" x14ac:dyDescent="0.35">
      <c r="A23" s="45" t="s">
        <v>92</v>
      </c>
      <c r="B23" s="46" t="s">
        <v>93</v>
      </c>
      <c r="C23" s="14" t="s">
        <v>90</v>
      </c>
      <c r="D23" s="15" t="s">
        <v>390</v>
      </c>
      <c r="E23" s="16" t="s">
        <v>179</v>
      </c>
      <c r="F23" s="13"/>
      <c r="G23" s="13"/>
      <c r="H23" s="13"/>
      <c r="I23" s="38">
        <f>I24</f>
        <v>900000</v>
      </c>
      <c r="J23" s="38">
        <f t="shared" ref="J23:M23" si="9">J24</f>
        <v>0</v>
      </c>
      <c r="K23" s="38">
        <f>K24</f>
        <v>0</v>
      </c>
      <c r="L23" s="38">
        <f t="shared" si="9"/>
        <v>0</v>
      </c>
      <c r="M23" s="38">
        <f t="shared" si="9"/>
        <v>900000</v>
      </c>
      <c r="N23" s="13"/>
      <c r="O23" s="55"/>
    </row>
    <row r="24" spans="1:15" ht="72" hidden="1" customHeight="1" x14ac:dyDescent="0.35">
      <c r="A24" s="56"/>
      <c r="B24" s="52"/>
      <c r="C24" s="57"/>
      <c r="D24" s="58"/>
      <c r="E24" s="51" t="s">
        <v>378</v>
      </c>
      <c r="F24" s="52" t="s">
        <v>188</v>
      </c>
      <c r="G24" s="53"/>
      <c r="H24" s="52"/>
      <c r="I24" s="54">
        <v>900000</v>
      </c>
      <c r="J24" s="54"/>
      <c r="K24" s="54"/>
      <c r="L24" s="54">
        <f>K24+J24</f>
        <v>0</v>
      </c>
      <c r="M24" s="54">
        <f>I24+L24</f>
        <v>900000</v>
      </c>
      <c r="N24" s="37"/>
      <c r="O24" s="55"/>
    </row>
    <row r="25" spans="1:15" s="21" customFormat="1" ht="66" customHeight="1" x14ac:dyDescent="0.35">
      <c r="A25" s="45" t="s">
        <v>94</v>
      </c>
      <c r="B25" s="46" t="s">
        <v>95</v>
      </c>
      <c r="C25" s="14" t="s">
        <v>96</v>
      </c>
      <c r="D25" s="15" t="s">
        <v>97</v>
      </c>
      <c r="E25" s="13"/>
      <c r="F25" s="13"/>
      <c r="G25" s="13"/>
      <c r="H25" s="13"/>
      <c r="I25" s="38">
        <f>I26+I27+I29</f>
        <v>6050000</v>
      </c>
      <c r="J25" s="38">
        <f t="shared" ref="J25:L25" si="10">J26+J27+J29</f>
        <v>0</v>
      </c>
      <c r="K25" s="38">
        <f t="shared" si="10"/>
        <v>0</v>
      </c>
      <c r="L25" s="38">
        <f t="shared" si="10"/>
        <v>0</v>
      </c>
      <c r="M25" s="38">
        <f>M26+M27+M29</f>
        <v>6050000</v>
      </c>
      <c r="N25" s="13"/>
      <c r="O25" s="55"/>
    </row>
    <row r="26" spans="1:15" s="21" customFormat="1" ht="56.1" customHeight="1" x14ac:dyDescent="0.35">
      <c r="A26" s="45"/>
      <c r="B26" s="46"/>
      <c r="C26" s="14"/>
      <c r="D26" s="15"/>
      <c r="E26" s="16" t="s">
        <v>180</v>
      </c>
      <c r="F26" s="13"/>
      <c r="G26" s="13"/>
      <c r="H26" s="13"/>
      <c r="I26" s="19">
        <v>2800000</v>
      </c>
      <c r="J26" s="19"/>
      <c r="K26" s="19"/>
      <c r="L26" s="19">
        <f>K26+J26</f>
        <v>0</v>
      </c>
      <c r="M26" s="19">
        <f>I26+L26</f>
        <v>2800000</v>
      </c>
      <c r="N26" s="13"/>
      <c r="O26" s="55"/>
    </row>
    <row r="27" spans="1:15" s="26" customFormat="1" ht="47.45" customHeight="1" x14ac:dyDescent="0.35">
      <c r="A27" s="47"/>
      <c r="B27" s="48"/>
      <c r="C27" s="23"/>
      <c r="D27" s="16"/>
      <c r="E27" s="16" t="s">
        <v>181</v>
      </c>
      <c r="F27" s="22"/>
      <c r="G27" s="22"/>
      <c r="H27" s="22"/>
      <c r="I27" s="19">
        <f>I28</f>
        <v>3000000</v>
      </c>
      <c r="J27" s="19">
        <f t="shared" ref="J27:L27" si="11">J28</f>
        <v>0</v>
      </c>
      <c r="K27" s="19">
        <f>K28</f>
        <v>0</v>
      </c>
      <c r="L27" s="19">
        <f t="shared" si="11"/>
        <v>0</v>
      </c>
      <c r="M27" s="19">
        <f t="shared" ref="M27" si="12">M28</f>
        <v>3000000</v>
      </c>
      <c r="N27" s="22"/>
      <c r="O27" s="55"/>
    </row>
    <row r="28" spans="1:15" ht="49.5" customHeight="1" x14ac:dyDescent="0.35">
      <c r="A28" s="56"/>
      <c r="B28" s="52"/>
      <c r="C28" s="57"/>
      <c r="D28" s="58"/>
      <c r="E28" s="51" t="s">
        <v>190</v>
      </c>
      <c r="F28" s="52" t="s">
        <v>188</v>
      </c>
      <c r="G28" s="53"/>
      <c r="H28" s="37"/>
      <c r="I28" s="54">
        <v>3000000</v>
      </c>
      <c r="J28" s="54"/>
      <c r="K28" s="54"/>
      <c r="L28" s="54"/>
      <c r="M28" s="54">
        <f>K28+I28</f>
        <v>3000000</v>
      </c>
      <c r="N28" s="37"/>
      <c r="O28" s="55"/>
    </row>
    <row r="29" spans="1:15" s="21" customFormat="1" ht="35.25" customHeight="1" x14ac:dyDescent="0.35">
      <c r="A29" s="45"/>
      <c r="B29" s="46"/>
      <c r="C29" s="14"/>
      <c r="D29" s="15"/>
      <c r="E29" s="16" t="s">
        <v>179</v>
      </c>
      <c r="F29" s="13"/>
      <c r="G29" s="13"/>
      <c r="H29" s="13"/>
      <c r="I29" s="19">
        <f>I30+I31</f>
        <v>250000</v>
      </c>
      <c r="J29" s="19">
        <f t="shared" ref="J29:L29" si="13">J30+J31</f>
        <v>0</v>
      </c>
      <c r="K29" s="19">
        <f>K30+K31</f>
        <v>0</v>
      </c>
      <c r="L29" s="19">
        <f t="shared" si="13"/>
        <v>0</v>
      </c>
      <c r="M29" s="19">
        <f t="shared" ref="M29" si="14">M30+M31</f>
        <v>250000</v>
      </c>
      <c r="N29" s="13"/>
      <c r="O29" s="55"/>
    </row>
    <row r="30" spans="1:15" ht="60.6" hidden="1" customHeight="1" x14ac:dyDescent="0.35">
      <c r="A30" s="56"/>
      <c r="B30" s="52"/>
      <c r="C30" s="57"/>
      <c r="D30" s="58"/>
      <c r="E30" s="51" t="s">
        <v>191</v>
      </c>
      <c r="F30" s="52" t="s">
        <v>188</v>
      </c>
      <c r="G30" s="53"/>
      <c r="H30" s="37"/>
      <c r="I30" s="54">
        <v>200000</v>
      </c>
      <c r="J30" s="54"/>
      <c r="K30" s="54"/>
      <c r="L30" s="54">
        <f t="shared" ref="L30:L31" si="15">K30+J30</f>
        <v>0</v>
      </c>
      <c r="M30" s="54">
        <f t="shared" ref="M30:M31" si="16">I30+L30</f>
        <v>200000</v>
      </c>
      <c r="N30" s="37"/>
      <c r="O30" s="55"/>
    </row>
    <row r="31" spans="1:15" ht="62.45" hidden="1" customHeight="1" x14ac:dyDescent="0.35">
      <c r="A31" s="56"/>
      <c r="B31" s="52"/>
      <c r="C31" s="57"/>
      <c r="D31" s="58"/>
      <c r="E31" s="51" t="s">
        <v>189</v>
      </c>
      <c r="F31" s="52" t="s">
        <v>188</v>
      </c>
      <c r="G31" s="53"/>
      <c r="H31" s="37"/>
      <c r="I31" s="54">
        <v>50000</v>
      </c>
      <c r="J31" s="54"/>
      <c r="K31" s="54"/>
      <c r="L31" s="54">
        <f t="shared" si="15"/>
        <v>0</v>
      </c>
      <c r="M31" s="54">
        <f t="shared" si="16"/>
        <v>50000</v>
      </c>
      <c r="N31" s="37"/>
      <c r="O31" s="55"/>
    </row>
    <row r="32" spans="1:15" s="21" customFormat="1" ht="53.1" customHeight="1" x14ac:dyDescent="0.35">
      <c r="A32" s="45" t="s">
        <v>98</v>
      </c>
      <c r="B32" s="46" t="s">
        <v>99</v>
      </c>
      <c r="C32" s="14" t="s">
        <v>100</v>
      </c>
      <c r="D32" s="15" t="s">
        <v>101</v>
      </c>
      <c r="E32" s="58" t="s">
        <v>257</v>
      </c>
      <c r="F32" s="13"/>
      <c r="G32" s="13"/>
      <c r="H32" s="13"/>
      <c r="I32" s="38">
        <v>22572000</v>
      </c>
      <c r="J32" s="38"/>
      <c r="K32" s="38"/>
      <c r="L32" s="38">
        <f>K32+J32</f>
        <v>0</v>
      </c>
      <c r="M32" s="38">
        <f>I32+L32</f>
        <v>22572000</v>
      </c>
      <c r="N32" s="13"/>
      <c r="O32" s="55"/>
    </row>
    <row r="33" spans="1:15" s="21" customFormat="1" ht="83.1" customHeight="1" x14ac:dyDescent="0.35">
      <c r="A33" s="45" t="s">
        <v>11</v>
      </c>
      <c r="B33" s="13" t="s">
        <v>12</v>
      </c>
      <c r="C33" s="14" t="s">
        <v>14</v>
      </c>
      <c r="D33" s="15" t="s">
        <v>13</v>
      </c>
      <c r="E33" s="58" t="s">
        <v>39</v>
      </c>
      <c r="F33" s="13" t="s">
        <v>40</v>
      </c>
      <c r="G33" s="59">
        <v>4174146.72</v>
      </c>
      <c r="H33" s="13">
        <v>48.2</v>
      </c>
      <c r="I33" s="38">
        <v>2159600</v>
      </c>
      <c r="J33" s="38"/>
      <c r="K33" s="38"/>
      <c r="L33" s="38">
        <f>K33+J33</f>
        <v>0</v>
      </c>
      <c r="M33" s="38">
        <f>I33+L33</f>
        <v>2159600</v>
      </c>
      <c r="N33" s="18">
        <v>100</v>
      </c>
      <c r="O33" s="55"/>
    </row>
    <row r="34" spans="1:15" ht="54.95" hidden="1" customHeight="1" x14ac:dyDescent="0.35">
      <c r="A34" s="13" t="s">
        <v>102</v>
      </c>
      <c r="B34" s="37"/>
      <c r="C34" s="57"/>
      <c r="D34" s="15" t="s">
        <v>104</v>
      </c>
      <c r="E34" s="58"/>
      <c r="F34" s="37"/>
      <c r="G34" s="54"/>
      <c r="H34" s="37"/>
      <c r="I34" s="38">
        <f>I35</f>
        <v>32116212.550000001</v>
      </c>
      <c r="J34" s="38">
        <f t="shared" ref="J34:L34" si="17">J35</f>
        <v>0</v>
      </c>
      <c r="K34" s="38">
        <f t="shared" si="17"/>
        <v>0</v>
      </c>
      <c r="L34" s="38">
        <f t="shared" si="17"/>
        <v>0</v>
      </c>
      <c r="M34" s="38">
        <f>M35</f>
        <v>32116212.550000001</v>
      </c>
      <c r="N34" s="13"/>
      <c r="O34" s="55"/>
    </row>
    <row r="35" spans="1:15" s="44" customFormat="1" ht="45" customHeight="1" x14ac:dyDescent="0.4">
      <c r="A35" s="60" t="s">
        <v>103</v>
      </c>
      <c r="B35" s="41"/>
      <c r="C35" s="61"/>
      <c r="D35" s="62" t="s">
        <v>104</v>
      </c>
      <c r="E35" s="63"/>
      <c r="F35" s="41"/>
      <c r="G35" s="64"/>
      <c r="H35" s="41"/>
      <c r="I35" s="42">
        <f>I37+I77+I130+I134+I139+I142+I147+I143</f>
        <v>32116212.550000001</v>
      </c>
      <c r="J35" s="42">
        <f>J37+J77+J130+J134+J139+J142+J147+J143</f>
        <v>0</v>
      </c>
      <c r="K35" s="42">
        <f>K37+K77+K130+K134+K139+K142+K147+K143</f>
        <v>0</v>
      </c>
      <c r="L35" s="42">
        <f>L37+L77+L130+L134+L139+L142+L147+L143</f>
        <v>0</v>
      </c>
      <c r="M35" s="42">
        <f>M37+M77+M130+M134+M139+M142+M147+M143</f>
        <v>32116212.550000001</v>
      </c>
      <c r="N35" s="60"/>
      <c r="O35" s="65"/>
    </row>
    <row r="36" spans="1:15" ht="42" customHeight="1" x14ac:dyDescent="0.35">
      <c r="A36" s="22"/>
      <c r="B36" s="37"/>
      <c r="C36" s="57"/>
      <c r="D36" s="16" t="s">
        <v>105</v>
      </c>
      <c r="E36" s="58"/>
      <c r="F36" s="37"/>
      <c r="G36" s="54"/>
      <c r="H36" s="37"/>
      <c r="I36" s="19">
        <f>I38+I78+I144</f>
        <v>1078086.55</v>
      </c>
      <c r="J36" s="19">
        <f>J38+J78+J144</f>
        <v>0</v>
      </c>
      <c r="K36" s="19">
        <f>K38+K78+K144</f>
        <v>0</v>
      </c>
      <c r="L36" s="19">
        <f>L38+L78+L144</f>
        <v>0</v>
      </c>
      <c r="M36" s="19">
        <f>M38+M78+M144</f>
        <v>1078086.55</v>
      </c>
      <c r="N36" s="13"/>
      <c r="O36" s="55"/>
    </row>
    <row r="37" spans="1:15" s="21" customFormat="1" ht="36.6" customHeight="1" x14ac:dyDescent="0.35">
      <c r="A37" s="45" t="s">
        <v>111</v>
      </c>
      <c r="B37" s="13">
        <v>1010</v>
      </c>
      <c r="C37" s="13" t="s">
        <v>106</v>
      </c>
      <c r="D37" s="15" t="s">
        <v>107</v>
      </c>
      <c r="E37" s="15"/>
      <c r="F37" s="13"/>
      <c r="G37" s="59"/>
      <c r="H37" s="13"/>
      <c r="I37" s="38">
        <f>I39+I41</f>
        <v>6251179</v>
      </c>
      <c r="J37" s="38">
        <f t="shared" ref="J37:L37" si="18">J39+J41</f>
        <v>0</v>
      </c>
      <c r="K37" s="38">
        <f t="shared" si="18"/>
        <v>0</v>
      </c>
      <c r="L37" s="38">
        <f t="shared" si="18"/>
        <v>0</v>
      </c>
      <c r="M37" s="38">
        <f>M39+M41</f>
        <v>6251179</v>
      </c>
      <c r="N37" s="13"/>
      <c r="O37" s="55"/>
    </row>
    <row r="38" spans="1:15" ht="38.25" customHeight="1" x14ac:dyDescent="0.35">
      <c r="A38" s="22"/>
      <c r="B38" s="37"/>
      <c r="C38" s="57"/>
      <c r="D38" s="6" t="s">
        <v>105</v>
      </c>
      <c r="E38" s="58"/>
      <c r="F38" s="37"/>
      <c r="G38" s="54"/>
      <c r="H38" s="37"/>
      <c r="I38" s="7">
        <f>I40</f>
        <v>88136</v>
      </c>
      <c r="J38" s="7"/>
      <c r="K38" s="7">
        <f t="shared" ref="K38:M38" si="19">K40</f>
        <v>0</v>
      </c>
      <c r="L38" s="7"/>
      <c r="M38" s="7">
        <f t="shared" si="19"/>
        <v>88136</v>
      </c>
      <c r="N38" s="13"/>
      <c r="O38" s="20"/>
    </row>
    <row r="39" spans="1:15" s="21" customFormat="1" ht="42" customHeight="1" x14ac:dyDescent="0.35">
      <c r="A39" s="22"/>
      <c r="B39" s="13"/>
      <c r="C39" s="14"/>
      <c r="D39" s="16"/>
      <c r="E39" s="16" t="s">
        <v>180</v>
      </c>
      <c r="F39" s="13"/>
      <c r="G39" s="38"/>
      <c r="H39" s="13"/>
      <c r="I39" s="19">
        <f>853136+449043</f>
        <v>1302179</v>
      </c>
      <c r="J39" s="19"/>
      <c r="K39" s="19"/>
      <c r="L39" s="19">
        <f>K39+J39</f>
        <v>0</v>
      </c>
      <c r="M39" s="19">
        <f>I39+L39</f>
        <v>1302179</v>
      </c>
      <c r="N39" s="13"/>
      <c r="O39" s="20"/>
    </row>
    <row r="40" spans="1:15" s="21" customFormat="1" ht="31.5" customHeight="1" x14ac:dyDescent="0.35">
      <c r="A40" s="22"/>
      <c r="B40" s="13"/>
      <c r="C40" s="14"/>
      <c r="D40" s="6"/>
      <c r="E40" s="6" t="s">
        <v>105</v>
      </c>
      <c r="F40" s="13"/>
      <c r="G40" s="38"/>
      <c r="H40" s="13"/>
      <c r="I40" s="7">
        <v>88136</v>
      </c>
      <c r="J40" s="7"/>
      <c r="K40" s="7"/>
      <c r="L40" s="7">
        <f>K40+J40</f>
        <v>0</v>
      </c>
      <c r="M40" s="7">
        <f>I40+L40</f>
        <v>88136</v>
      </c>
      <c r="N40" s="13"/>
      <c r="O40" s="20"/>
    </row>
    <row r="41" spans="1:15" s="21" customFormat="1" ht="39.6" customHeight="1" x14ac:dyDescent="0.35">
      <c r="A41" s="22"/>
      <c r="B41" s="13"/>
      <c r="C41" s="14"/>
      <c r="D41" s="16"/>
      <c r="E41" s="16" t="s">
        <v>179</v>
      </c>
      <c r="F41" s="13"/>
      <c r="G41" s="38"/>
      <c r="H41" s="13"/>
      <c r="I41" s="19">
        <f>SUM(I42:I76)</f>
        <v>4949000</v>
      </c>
      <c r="J41" s="19">
        <f>SUM(J42:J76)</f>
        <v>0</v>
      </c>
      <c r="K41" s="19">
        <f>SUM(K42:K76)</f>
        <v>0</v>
      </c>
      <c r="L41" s="19">
        <f>SUM(L42:L76)</f>
        <v>0</v>
      </c>
      <c r="M41" s="19">
        <f>SUM(M42:M76)</f>
        <v>4949000</v>
      </c>
      <c r="N41" s="13"/>
      <c r="O41" s="20"/>
    </row>
    <row r="42" spans="1:15" ht="81.599999999999994" hidden="1" customHeight="1" x14ac:dyDescent="0.35">
      <c r="A42" s="22"/>
      <c r="B42" s="37"/>
      <c r="C42" s="57"/>
      <c r="D42" s="6"/>
      <c r="E42" s="51" t="s">
        <v>258</v>
      </c>
      <c r="F42" s="52">
        <v>2020</v>
      </c>
      <c r="G42" s="53"/>
      <c r="H42" s="37"/>
      <c r="I42" s="54">
        <v>100000</v>
      </c>
      <c r="J42" s="54"/>
      <c r="K42" s="54"/>
      <c r="L42" s="54">
        <f t="shared" ref="L42:L76" si="20">K42+J42</f>
        <v>0</v>
      </c>
      <c r="M42" s="54">
        <f t="shared" ref="M42:M76" si="21">I42+L42</f>
        <v>100000</v>
      </c>
      <c r="N42" s="37"/>
      <c r="O42" s="20"/>
    </row>
    <row r="43" spans="1:15" ht="110.45" hidden="1" customHeight="1" x14ac:dyDescent="0.35">
      <c r="A43" s="22"/>
      <c r="B43" s="37"/>
      <c r="C43" s="57"/>
      <c r="D43" s="6"/>
      <c r="E43" s="51" t="s">
        <v>516</v>
      </c>
      <c r="F43" s="52" t="s">
        <v>188</v>
      </c>
      <c r="G43" s="53"/>
      <c r="H43" s="37"/>
      <c r="I43" s="54">
        <v>210000</v>
      </c>
      <c r="J43" s="54"/>
      <c r="K43" s="54"/>
      <c r="L43" s="54">
        <f t="shared" si="20"/>
        <v>0</v>
      </c>
      <c r="M43" s="54">
        <f t="shared" si="21"/>
        <v>210000</v>
      </c>
      <c r="N43" s="37"/>
      <c r="O43" s="20"/>
    </row>
    <row r="44" spans="1:15" ht="80.45" hidden="1" customHeight="1" x14ac:dyDescent="0.35">
      <c r="A44" s="22"/>
      <c r="B44" s="37"/>
      <c r="C44" s="57"/>
      <c r="D44" s="6"/>
      <c r="E44" s="51" t="s">
        <v>259</v>
      </c>
      <c r="F44" s="52">
        <v>2020</v>
      </c>
      <c r="G44" s="53"/>
      <c r="H44" s="37"/>
      <c r="I44" s="54">
        <v>100000</v>
      </c>
      <c r="J44" s="54"/>
      <c r="K44" s="54"/>
      <c r="L44" s="54">
        <f t="shared" si="20"/>
        <v>0</v>
      </c>
      <c r="M44" s="54">
        <f t="shared" si="21"/>
        <v>100000</v>
      </c>
      <c r="N44" s="37"/>
      <c r="O44" s="20"/>
    </row>
    <row r="45" spans="1:15" ht="87.6" hidden="1" customHeight="1" x14ac:dyDescent="0.35">
      <c r="A45" s="22"/>
      <c r="B45" s="37"/>
      <c r="C45" s="57"/>
      <c r="D45" s="6"/>
      <c r="E45" s="51" t="s">
        <v>601</v>
      </c>
      <c r="F45" s="52">
        <v>2020</v>
      </c>
      <c r="G45" s="53"/>
      <c r="H45" s="37"/>
      <c r="I45" s="54">
        <v>100000</v>
      </c>
      <c r="J45" s="54"/>
      <c r="K45" s="54"/>
      <c r="L45" s="54">
        <f t="shared" si="20"/>
        <v>0</v>
      </c>
      <c r="M45" s="54">
        <f t="shared" si="21"/>
        <v>100000</v>
      </c>
      <c r="N45" s="37"/>
      <c r="O45" s="20"/>
    </row>
    <row r="46" spans="1:15" ht="84" hidden="1" customHeight="1" x14ac:dyDescent="0.35">
      <c r="A46" s="22"/>
      <c r="B46" s="37"/>
      <c r="C46" s="57"/>
      <c r="D46" s="6"/>
      <c r="E46" s="51" t="s">
        <v>260</v>
      </c>
      <c r="F46" s="52">
        <v>2020</v>
      </c>
      <c r="G46" s="53"/>
      <c r="H46" s="37"/>
      <c r="I46" s="54">
        <v>100000</v>
      </c>
      <c r="J46" s="54"/>
      <c r="K46" s="54"/>
      <c r="L46" s="54">
        <f t="shared" si="20"/>
        <v>0</v>
      </c>
      <c r="M46" s="54">
        <f t="shared" si="21"/>
        <v>100000</v>
      </c>
      <c r="N46" s="37"/>
      <c r="O46" s="20"/>
    </row>
    <row r="47" spans="1:15" ht="96.6" hidden="1" customHeight="1" x14ac:dyDescent="0.35">
      <c r="A47" s="22"/>
      <c r="B47" s="37"/>
      <c r="C47" s="57"/>
      <c r="D47" s="6"/>
      <c r="E47" s="51" t="s">
        <v>261</v>
      </c>
      <c r="F47" s="52">
        <v>2020</v>
      </c>
      <c r="G47" s="53"/>
      <c r="H47" s="37"/>
      <c r="I47" s="54">
        <v>80000</v>
      </c>
      <c r="J47" s="54"/>
      <c r="K47" s="54"/>
      <c r="L47" s="54">
        <f t="shared" si="20"/>
        <v>0</v>
      </c>
      <c r="M47" s="54">
        <f t="shared" si="21"/>
        <v>80000</v>
      </c>
      <c r="N47" s="37"/>
      <c r="O47" s="20"/>
    </row>
    <row r="48" spans="1:15" ht="96.6" hidden="1" customHeight="1" x14ac:dyDescent="0.35">
      <c r="A48" s="22"/>
      <c r="B48" s="37"/>
      <c r="C48" s="57"/>
      <c r="D48" s="6"/>
      <c r="E48" s="51" t="s">
        <v>515</v>
      </c>
      <c r="F48" s="52" t="s">
        <v>188</v>
      </c>
      <c r="G48" s="53"/>
      <c r="H48" s="37"/>
      <c r="I48" s="54">
        <v>250000</v>
      </c>
      <c r="J48" s="54"/>
      <c r="K48" s="54"/>
      <c r="L48" s="54">
        <f t="shared" si="20"/>
        <v>0</v>
      </c>
      <c r="M48" s="54">
        <f t="shared" si="21"/>
        <v>250000</v>
      </c>
      <c r="N48" s="37"/>
      <c r="O48" s="20"/>
    </row>
    <row r="49" spans="1:15" ht="153.6" hidden="1" customHeight="1" x14ac:dyDescent="0.35">
      <c r="A49" s="22"/>
      <c r="B49" s="37"/>
      <c r="C49" s="57"/>
      <c r="D49" s="13"/>
      <c r="E49" s="51" t="s">
        <v>262</v>
      </c>
      <c r="F49" s="52">
        <v>2020</v>
      </c>
      <c r="G49" s="53"/>
      <c r="H49" s="37"/>
      <c r="I49" s="54">
        <v>350000</v>
      </c>
      <c r="J49" s="54"/>
      <c r="K49" s="54"/>
      <c r="L49" s="54">
        <f t="shared" si="20"/>
        <v>0</v>
      </c>
      <c r="M49" s="54">
        <f t="shared" si="21"/>
        <v>350000</v>
      </c>
      <c r="N49" s="37"/>
      <c r="O49" s="20"/>
    </row>
    <row r="50" spans="1:15" ht="98.45" hidden="1" customHeight="1" x14ac:dyDescent="0.35">
      <c r="A50" s="22"/>
      <c r="B50" s="37"/>
      <c r="C50" s="57"/>
      <c r="D50" s="6"/>
      <c r="E50" s="51" t="s">
        <v>391</v>
      </c>
      <c r="F50" s="52">
        <v>2020</v>
      </c>
      <c r="G50" s="53"/>
      <c r="H50" s="37"/>
      <c r="I50" s="54">
        <v>100000</v>
      </c>
      <c r="J50" s="54"/>
      <c r="K50" s="54"/>
      <c r="L50" s="54">
        <f t="shared" si="20"/>
        <v>0</v>
      </c>
      <c r="M50" s="54">
        <f t="shared" si="21"/>
        <v>100000</v>
      </c>
      <c r="N50" s="37"/>
      <c r="O50" s="20"/>
    </row>
    <row r="51" spans="1:15" ht="84" hidden="1" customHeight="1" x14ac:dyDescent="0.35">
      <c r="A51" s="22"/>
      <c r="B51" s="37"/>
      <c r="C51" s="57"/>
      <c r="D51" s="6"/>
      <c r="E51" s="51" t="s">
        <v>263</v>
      </c>
      <c r="F51" s="52">
        <v>2020</v>
      </c>
      <c r="G51" s="53"/>
      <c r="H51" s="37"/>
      <c r="I51" s="54">
        <v>100000</v>
      </c>
      <c r="J51" s="54"/>
      <c r="K51" s="54"/>
      <c r="L51" s="54">
        <f t="shared" si="20"/>
        <v>0</v>
      </c>
      <c r="M51" s="54">
        <f t="shared" si="21"/>
        <v>100000</v>
      </c>
      <c r="N51" s="37"/>
      <c r="O51" s="20"/>
    </row>
    <row r="52" spans="1:15" ht="101.1" hidden="1" customHeight="1" x14ac:dyDescent="0.35">
      <c r="A52" s="22"/>
      <c r="B52" s="37"/>
      <c r="C52" s="57"/>
      <c r="D52" s="6"/>
      <c r="E52" s="51" t="s">
        <v>264</v>
      </c>
      <c r="F52" s="52">
        <v>2020</v>
      </c>
      <c r="G52" s="53"/>
      <c r="H52" s="37"/>
      <c r="I52" s="54">
        <v>90000</v>
      </c>
      <c r="J52" s="54"/>
      <c r="K52" s="54"/>
      <c r="L52" s="54">
        <f t="shared" si="20"/>
        <v>0</v>
      </c>
      <c r="M52" s="54">
        <f t="shared" si="21"/>
        <v>90000</v>
      </c>
      <c r="N52" s="37"/>
      <c r="O52" s="20"/>
    </row>
    <row r="53" spans="1:15" ht="140.1" hidden="1" customHeight="1" x14ac:dyDescent="0.35">
      <c r="A53" s="22"/>
      <c r="B53" s="37"/>
      <c r="C53" s="57"/>
      <c r="D53" s="13"/>
      <c r="E53" s="51" t="s">
        <v>602</v>
      </c>
      <c r="F53" s="52">
        <v>2020</v>
      </c>
      <c r="G53" s="53" t="s">
        <v>223</v>
      </c>
      <c r="H53" s="37"/>
      <c r="I53" s="54">
        <v>350000</v>
      </c>
      <c r="J53" s="54"/>
      <c r="K53" s="54"/>
      <c r="L53" s="54">
        <f t="shared" si="20"/>
        <v>0</v>
      </c>
      <c r="M53" s="54">
        <f t="shared" si="21"/>
        <v>350000</v>
      </c>
      <c r="N53" s="37"/>
      <c r="O53" s="20"/>
    </row>
    <row r="54" spans="1:15" ht="104.45" hidden="1" customHeight="1" x14ac:dyDescent="0.35">
      <c r="A54" s="22"/>
      <c r="B54" s="37"/>
      <c r="C54" s="57"/>
      <c r="D54" s="6"/>
      <c r="E54" s="51" t="s">
        <v>265</v>
      </c>
      <c r="F54" s="52">
        <v>2020</v>
      </c>
      <c r="G54" s="53"/>
      <c r="H54" s="37"/>
      <c r="I54" s="54">
        <v>100000</v>
      </c>
      <c r="J54" s="54"/>
      <c r="K54" s="54"/>
      <c r="L54" s="54">
        <f t="shared" si="20"/>
        <v>0</v>
      </c>
      <c r="M54" s="54">
        <f t="shared" si="21"/>
        <v>100000</v>
      </c>
      <c r="N54" s="37"/>
      <c r="O54" s="20"/>
    </row>
    <row r="55" spans="1:15" ht="90.6" hidden="1" customHeight="1" x14ac:dyDescent="0.35">
      <c r="A55" s="22"/>
      <c r="B55" s="37"/>
      <c r="C55" s="57"/>
      <c r="D55" s="6"/>
      <c r="E55" s="51" t="s">
        <v>320</v>
      </c>
      <c r="F55" s="52">
        <v>2020</v>
      </c>
      <c r="G55" s="53"/>
      <c r="H55" s="37"/>
      <c r="I55" s="54">
        <v>100000</v>
      </c>
      <c r="J55" s="54"/>
      <c r="K55" s="54"/>
      <c r="L55" s="54">
        <f t="shared" si="20"/>
        <v>0</v>
      </c>
      <c r="M55" s="54">
        <f t="shared" si="21"/>
        <v>100000</v>
      </c>
      <c r="N55" s="37"/>
      <c r="O55" s="20"/>
    </row>
    <row r="56" spans="1:15" ht="81" hidden="1" customHeight="1" x14ac:dyDescent="0.35">
      <c r="A56" s="22"/>
      <c r="B56" s="37"/>
      <c r="C56" s="57"/>
      <c r="D56" s="6"/>
      <c r="E56" s="51" t="s">
        <v>266</v>
      </c>
      <c r="F56" s="52">
        <v>2020</v>
      </c>
      <c r="G56" s="53"/>
      <c r="H56" s="37"/>
      <c r="I56" s="54">
        <v>100000</v>
      </c>
      <c r="J56" s="54"/>
      <c r="K56" s="54"/>
      <c r="L56" s="54">
        <f t="shared" si="20"/>
        <v>0</v>
      </c>
      <c r="M56" s="54">
        <f t="shared" si="21"/>
        <v>100000</v>
      </c>
      <c r="N56" s="37"/>
      <c r="O56" s="20"/>
    </row>
    <row r="57" spans="1:15" ht="105" hidden="1" customHeight="1" x14ac:dyDescent="0.35">
      <c r="A57" s="22"/>
      <c r="B57" s="37"/>
      <c r="C57" s="57"/>
      <c r="D57" s="6"/>
      <c r="E57" s="51" t="s">
        <v>267</v>
      </c>
      <c r="F57" s="52">
        <v>2020</v>
      </c>
      <c r="G57" s="53"/>
      <c r="H57" s="37"/>
      <c r="I57" s="54">
        <v>100000</v>
      </c>
      <c r="J57" s="54"/>
      <c r="K57" s="54"/>
      <c r="L57" s="54">
        <f t="shared" si="20"/>
        <v>0</v>
      </c>
      <c r="M57" s="54">
        <f t="shared" si="21"/>
        <v>100000</v>
      </c>
      <c r="N57" s="37"/>
      <c r="O57" s="20"/>
    </row>
    <row r="58" spans="1:15" ht="85.5" hidden="1" customHeight="1" x14ac:dyDescent="0.35">
      <c r="A58" s="22"/>
      <c r="B58" s="37"/>
      <c r="C58" s="57"/>
      <c r="D58" s="6"/>
      <c r="E58" s="51" t="s">
        <v>268</v>
      </c>
      <c r="F58" s="52">
        <v>2020</v>
      </c>
      <c r="G58" s="53"/>
      <c r="H58" s="37"/>
      <c r="I58" s="54">
        <v>65000</v>
      </c>
      <c r="J58" s="54"/>
      <c r="K58" s="54"/>
      <c r="L58" s="54">
        <f t="shared" si="20"/>
        <v>0</v>
      </c>
      <c r="M58" s="54">
        <f t="shared" si="21"/>
        <v>65000</v>
      </c>
      <c r="N58" s="37"/>
      <c r="O58" s="20"/>
    </row>
    <row r="59" spans="1:15" ht="100.5" hidden="1" customHeight="1" x14ac:dyDescent="0.35">
      <c r="A59" s="22"/>
      <c r="B59" s="37"/>
      <c r="C59" s="57"/>
      <c r="D59" s="6"/>
      <c r="E59" s="51" t="s">
        <v>269</v>
      </c>
      <c r="F59" s="52">
        <v>2020</v>
      </c>
      <c r="G59" s="53"/>
      <c r="H59" s="37"/>
      <c r="I59" s="54">
        <v>500000</v>
      </c>
      <c r="J59" s="54"/>
      <c r="K59" s="54"/>
      <c r="L59" s="54">
        <f t="shared" si="20"/>
        <v>0</v>
      </c>
      <c r="M59" s="54">
        <f t="shared" si="21"/>
        <v>500000</v>
      </c>
      <c r="N59" s="37"/>
      <c r="O59" s="20"/>
    </row>
    <row r="60" spans="1:15" ht="83.1" hidden="1" customHeight="1" x14ac:dyDescent="0.35">
      <c r="A60" s="22"/>
      <c r="B60" s="37"/>
      <c r="C60" s="57"/>
      <c r="D60" s="6"/>
      <c r="E60" s="51" t="s">
        <v>274</v>
      </c>
      <c r="F60" s="52">
        <v>2020</v>
      </c>
      <c r="G60" s="53"/>
      <c r="H60" s="37"/>
      <c r="I60" s="54">
        <v>100000</v>
      </c>
      <c r="J60" s="54"/>
      <c r="K60" s="54"/>
      <c r="L60" s="54">
        <f t="shared" si="20"/>
        <v>0</v>
      </c>
      <c r="M60" s="54">
        <f t="shared" si="21"/>
        <v>100000</v>
      </c>
      <c r="N60" s="37"/>
      <c r="O60" s="20"/>
    </row>
    <row r="61" spans="1:15" ht="87.6" hidden="1" customHeight="1" x14ac:dyDescent="0.35">
      <c r="A61" s="22"/>
      <c r="B61" s="37"/>
      <c r="C61" s="57"/>
      <c r="D61" s="6"/>
      <c r="E61" s="51" t="s">
        <v>275</v>
      </c>
      <c r="F61" s="52">
        <v>2020</v>
      </c>
      <c r="G61" s="53"/>
      <c r="H61" s="37"/>
      <c r="I61" s="54">
        <v>100000</v>
      </c>
      <c r="J61" s="54"/>
      <c r="K61" s="54"/>
      <c r="L61" s="54">
        <f t="shared" si="20"/>
        <v>0</v>
      </c>
      <c r="M61" s="54">
        <f t="shared" si="21"/>
        <v>100000</v>
      </c>
      <c r="N61" s="37"/>
      <c r="O61" s="20"/>
    </row>
    <row r="62" spans="1:15" ht="85.5" hidden="1" customHeight="1" x14ac:dyDescent="0.35">
      <c r="A62" s="22"/>
      <c r="B62" s="37"/>
      <c r="C62" s="57"/>
      <c r="D62" s="6"/>
      <c r="E62" s="51" t="s">
        <v>276</v>
      </c>
      <c r="F62" s="52">
        <v>2020</v>
      </c>
      <c r="G62" s="53"/>
      <c r="H62" s="37"/>
      <c r="I62" s="54">
        <v>100000</v>
      </c>
      <c r="J62" s="54"/>
      <c r="K62" s="54"/>
      <c r="L62" s="54">
        <f t="shared" si="20"/>
        <v>0</v>
      </c>
      <c r="M62" s="54">
        <f t="shared" si="21"/>
        <v>100000</v>
      </c>
      <c r="N62" s="37"/>
      <c r="O62" s="20"/>
    </row>
    <row r="63" spans="1:15" ht="104.1" hidden="1" customHeight="1" x14ac:dyDescent="0.35">
      <c r="A63" s="22"/>
      <c r="B63" s="37"/>
      <c r="C63" s="57"/>
      <c r="D63" s="6"/>
      <c r="E63" s="51" t="s">
        <v>277</v>
      </c>
      <c r="F63" s="52">
        <v>2020</v>
      </c>
      <c r="G63" s="53"/>
      <c r="H63" s="37"/>
      <c r="I63" s="54">
        <v>100000</v>
      </c>
      <c r="J63" s="54"/>
      <c r="K63" s="54"/>
      <c r="L63" s="54">
        <f t="shared" si="20"/>
        <v>0</v>
      </c>
      <c r="M63" s="54">
        <f t="shared" si="21"/>
        <v>100000</v>
      </c>
      <c r="N63" s="37"/>
      <c r="O63" s="20"/>
    </row>
    <row r="64" spans="1:15" ht="98.1" hidden="1" customHeight="1" x14ac:dyDescent="0.35">
      <c r="A64" s="22"/>
      <c r="B64" s="37"/>
      <c r="C64" s="57"/>
      <c r="D64" s="6"/>
      <c r="E64" s="51" t="s">
        <v>278</v>
      </c>
      <c r="F64" s="52">
        <v>2020</v>
      </c>
      <c r="G64" s="53"/>
      <c r="H64" s="37"/>
      <c r="I64" s="54">
        <v>35000</v>
      </c>
      <c r="J64" s="54"/>
      <c r="K64" s="54"/>
      <c r="L64" s="54">
        <f t="shared" si="20"/>
        <v>0</v>
      </c>
      <c r="M64" s="54">
        <f t="shared" si="21"/>
        <v>35000</v>
      </c>
      <c r="N64" s="37"/>
      <c r="O64" s="20"/>
    </row>
    <row r="65" spans="1:15" ht="102.95" hidden="1" customHeight="1" x14ac:dyDescent="0.35">
      <c r="A65" s="22"/>
      <c r="B65" s="37"/>
      <c r="C65" s="57"/>
      <c r="D65" s="6"/>
      <c r="E65" s="51" t="s">
        <v>279</v>
      </c>
      <c r="F65" s="52">
        <v>2020</v>
      </c>
      <c r="G65" s="53"/>
      <c r="H65" s="37"/>
      <c r="I65" s="54">
        <v>65000</v>
      </c>
      <c r="J65" s="54"/>
      <c r="K65" s="54"/>
      <c r="L65" s="54">
        <f t="shared" si="20"/>
        <v>0</v>
      </c>
      <c r="M65" s="54">
        <f t="shared" si="21"/>
        <v>65000</v>
      </c>
      <c r="N65" s="37"/>
      <c r="O65" s="20"/>
    </row>
    <row r="66" spans="1:15" ht="86.1" hidden="1" customHeight="1" x14ac:dyDescent="0.35">
      <c r="A66" s="22"/>
      <c r="B66" s="37"/>
      <c r="C66" s="57"/>
      <c r="D66" s="6"/>
      <c r="E66" s="51" t="s">
        <v>280</v>
      </c>
      <c r="F66" s="52">
        <v>2020</v>
      </c>
      <c r="G66" s="53"/>
      <c r="H66" s="37"/>
      <c r="I66" s="54">
        <v>100000</v>
      </c>
      <c r="J66" s="54"/>
      <c r="K66" s="54"/>
      <c r="L66" s="54">
        <f t="shared" si="20"/>
        <v>0</v>
      </c>
      <c r="M66" s="54">
        <f t="shared" si="21"/>
        <v>100000</v>
      </c>
      <c r="N66" s="37"/>
      <c r="O66" s="20"/>
    </row>
    <row r="67" spans="1:15" ht="85.5" hidden="1" customHeight="1" x14ac:dyDescent="0.35">
      <c r="A67" s="22"/>
      <c r="B67" s="37"/>
      <c r="C67" s="57"/>
      <c r="D67" s="6"/>
      <c r="E67" s="51" t="s">
        <v>281</v>
      </c>
      <c r="F67" s="52">
        <v>2020</v>
      </c>
      <c r="G67" s="53"/>
      <c r="H67" s="37"/>
      <c r="I67" s="54">
        <v>100000</v>
      </c>
      <c r="J67" s="54"/>
      <c r="K67" s="54"/>
      <c r="L67" s="54">
        <f t="shared" si="20"/>
        <v>0</v>
      </c>
      <c r="M67" s="54">
        <f t="shared" si="21"/>
        <v>100000</v>
      </c>
      <c r="N67" s="37"/>
      <c r="O67" s="20"/>
    </row>
    <row r="68" spans="1:15" ht="106.5" hidden="1" customHeight="1" x14ac:dyDescent="0.35">
      <c r="A68" s="22"/>
      <c r="B68" s="37"/>
      <c r="C68" s="57"/>
      <c r="D68" s="6"/>
      <c r="E68" s="51" t="s">
        <v>551</v>
      </c>
      <c r="F68" s="52" t="s">
        <v>188</v>
      </c>
      <c r="G68" s="53"/>
      <c r="H68" s="37"/>
      <c r="I68" s="54">
        <v>300000</v>
      </c>
      <c r="J68" s="54"/>
      <c r="K68" s="54"/>
      <c r="L68" s="54">
        <f t="shared" si="20"/>
        <v>0</v>
      </c>
      <c r="M68" s="54">
        <f t="shared" si="21"/>
        <v>300000</v>
      </c>
      <c r="N68" s="37"/>
      <c r="O68" s="20"/>
    </row>
    <row r="69" spans="1:15" ht="81" hidden="1" customHeight="1" x14ac:dyDescent="0.35">
      <c r="A69" s="22"/>
      <c r="B69" s="37"/>
      <c r="C69" s="57"/>
      <c r="D69" s="6"/>
      <c r="E69" s="51" t="s">
        <v>282</v>
      </c>
      <c r="F69" s="52">
        <v>2020</v>
      </c>
      <c r="G69" s="53"/>
      <c r="H69" s="37"/>
      <c r="I69" s="54">
        <v>100000</v>
      </c>
      <c r="J69" s="54"/>
      <c r="K69" s="54"/>
      <c r="L69" s="54">
        <f t="shared" si="20"/>
        <v>0</v>
      </c>
      <c r="M69" s="54">
        <f t="shared" si="21"/>
        <v>100000</v>
      </c>
      <c r="N69" s="37"/>
      <c r="O69" s="20"/>
    </row>
    <row r="70" spans="1:15" ht="80.099999999999994" hidden="1" customHeight="1" x14ac:dyDescent="0.35">
      <c r="A70" s="22"/>
      <c r="B70" s="37"/>
      <c r="C70" s="57"/>
      <c r="D70" s="6"/>
      <c r="E70" s="51" t="s">
        <v>321</v>
      </c>
      <c r="F70" s="52">
        <v>2020</v>
      </c>
      <c r="G70" s="53"/>
      <c r="H70" s="37"/>
      <c r="I70" s="54">
        <f>100000+150000</f>
        <v>250000</v>
      </c>
      <c r="J70" s="54"/>
      <c r="K70" s="54"/>
      <c r="L70" s="54">
        <f t="shared" si="20"/>
        <v>0</v>
      </c>
      <c r="M70" s="54">
        <f t="shared" si="21"/>
        <v>250000</v>
      </c>
      <c r="N70" s="37"/>
      <c r="O70" s="20"/>
    </row>
    <row r="71" spans="1:15" ht="87.95" hidden="1" customHeight="1" x14ac:dyDescent="0.35">
      <c r="A71" s="22"/>
      <c r="B71" s="37"/>
      <c r="C71" s="57"/>
      <c r="D71" s="6"/>
      <c r="E71" s="51" t="s">
        <v>283</v>
      </c>
      <c r="F71" s="52">
        <v>2020</v>
      </c>
      <c r="G71" s="53"/>
      <c r="H71" s="37"/>
      <c r="I71" s="54">
        <v>100000</v>
      </c>
      <c r="J71" s="54"/>
      <c r="K71" s="54"/>
      <c r="L71" s="54">
        <f t="shared" si="20"/>
        <v>0</v>
      </c>
      <c r="M71" s="54">
        <f t="shared" si="21"/>
        <v>100000</v>
      </c>
      <c r="N71" s="37"/>
      <c r="O71" s="20"/>
    </row>
    <row r="72" spans="1:15" ht="98.1" hidden="1" customHeight="1" x14ac:dyDescent="0.35">
      <c r="A72" s="22"/>
      <c r="B72" s="37"/>
      <c r="C72" s="57"/>
      <c r="D72" s="6"/>
      <c r="E72" s="51" t="s">
        <v>473</v>
      </c>
      <c r="F72" s="52" t="s">
        <v>188</v>
      </c>
      <c r="G72" s="53"/>
      <c r="H72" s="37"/>
      <c r="I72" s="54">
        <v>204000</v>
      </c>
      <c r="J72" s="54"/>
      <c r="K72" s="54"/>
      <c r="L72" s="54">
        <f t="shared" si="20"/>
        <v>0</v>
      </c>
      <c r="M72" s="54">
        <f t="shared" si="21"/>
        <v>204000</v>
      </c>
      <c r="N72" s="37"/>
      <c r="O72" s="20"/>
    </row>
    <row r="73" spans="1:15" ht="104.45" hidden="1" customHeight="1" x14ac:dyDescent="0.35">
      <c r="A73" s="22"/>
      <c r="B73" s="37"/>
      <c r="C73" s="57"/>
      <c r="D73" s="6"/>
      <c r="E73" s="51" t="s">
        <v>322</v>
      </c>
      <c r="F73" s="52">
        <v>2020</v>
      </c>
      <c r="G73" s="53"/>
      <c r="H73" s="37"/>
      <c r="I73" s="54">
        <v>100000</v>
      </c>
      <c r="J73" s="54"/>
      <c r="K73" s="54"/>
      <c r="L73" s="54">
        <f t="shared" si="20"/>
        <v>0</v>
      </c>
      <c r="M73" s="54">
        <f t="shared" si="21"/>
        <v>100000</v>
      </c>
      <c r="N73" s="37"/>
      <c r="O73" s="20"/>
    </row>
    <row r="74" spans="1:15" ht="106.5" hidden="1" customHeight="1" x14ac:dyDescent="0.35">
      <c r="A74" s="22"/>
      <c r="B74" s="37"/>
      <c r="C74" s="57"/>
      <c r="D74" s="6"/>
      <c r="E74" s="51" t="s">
        <v>284</v>
      </c>
      <c r="F74" s="52">
        <v>2020</v>
      </c>
      <c r="G74" s="53"/>
      <c r="H74" s="37"/>
      <c r="I74" s="54">
        <v>100000</v>
      </c>
      <c r="J74" s="54"/>
      <c r="K74" s="54"/>
      <c r="L74" s="54">
        <f t="shared" si="20"/>
        <v>0</v>
      </c>
      <c r="M74" s="54">
        <f t="shared" si="21"/>
        <v>100000</v>
      </c>
      <c r="N74" s="37"/>
      <c r="O74" s="20"/>
    </row>
    <row r="75" spans="1:15" ht="81.95" hidden="1" customHeight="1" x14ac:dyDescent="0.35">
      <c r="A75" s="22"/>
      <c r="B75" s="37"/>
      <c r="C75" s="57"/>
      <c r="D75" s="6"/>
      <c r="E75" s="51" t="s">
        <v>285</v>
      </c>
      <c r="F75" s="52">
        <v>2020</v>
      </c>
      <c r="G75" s="53"/>
      <c r="H75" s="37"/>
      <c r="I75" s="54">
        <v>100000</v>
      </c>
      <c r="J75" s="54"/>
      <c r="K75" s="54"/>
      <c r="L75" s="54">
        <f t="shared" si="20"/>
        <v>0</v>
      </c>
      <c r="M75" s="54">
        <f t="shared" si="21"/>
        <v>100000</v>
      </c>
      <c r="N75" s="37"/>
      <c r="O75" s="20"/>
    </row>
    <row r="76" spans="1:15" ht="95.1" hidden="1" customHeight="1" x14ac:dyDescent="0.35">
      <c r="A76" s="22"/>
      <c r="B76" s="37"/>
      <c r="C76" s="57"/>
      <c r="D76" s="6"/>
      <c r="E76" s="51" t="s">
        <v>286</v>
      </c>
      <c r="F76" s="52">
        <v>2020</v>
      </c>
      <c r="G76" s="53"/>
      <c r="H76" s="37"/>
      <c r="I76" s="54">
        <v>100000</v>
      </c>
      <c r="J76" s="54"/>
      <c r="K76" s="54"/>
      <c r="L76" s="54">
        <f t="shared" si="20"/>
        <v>0</v>
      </c>
      <c r="M76" s="54">
        <f t="shared" si="21"/>
        <v>100000</v>
      </c>
      <c r="N76" s="37"/>
      <c r="O76" s="20"/>
    </row>
    <row r="77" spans="1:15" s="21" customFormat="1" ht="102" customHeight="1" x14ac:dyDescent="0.35">
      <c r="A77" s="45" t="s">
        <v>112</v>
      </c>
      <c r="B77" s="13">
        <v>1020</v>
      </c>
      <c r="C77" s="14" t="s">
        <v>108</v>
      </c>
      <c r="D77" s="15" t="s">
        <v>109</v>
      </c>
      <c r="E77" s="15"/>
      <c r="F77" s="13"/>
      <c r="G77" s="38"/>
      <c r="H77" s="13"/>
      <c r="I77" s="38">
        <f>I79+I81</f>
        <v>21092252.640000001</v>
      </c>
      <c r="J77" s="38">
        <f t="shared" ref="J77:M77" si="22">J79+J81</f>
        <v>0</v>
      </c>
      <c r="K77" s="38">
        <f t="shared" si="22"/>
        <v>0</v>
      </c>
      <c r="L77" s="38">
        <f t="shared" si="22"/>
        <v>0</v>
      </c>
      <c r="M77" s="38">
        <f t="shared" si="22"/>
        <v>21092252.640000001</v>
      </c>
      <c r="N77" s="13"/>
      <c r="O77" s="20"/>
    </row>
    <row r="78" spans="1:15" ht="45.95" customHeight="1" x14ac:dyDescent="0.35">
      <c r="A78" s="22"/>
      <c r="B78" s="37"/>
      <c r="C78" s="57"/>
      <c r="D78" s="6" t="s">
        <v>105</v>
      </c>
      <c r="E78" s="58"/>
      <c r="F78" s="37"/>
      <c r="G78" s="54"/>
      <c r="H78" s="37"/>
      <c r="I78" s="7">
        <f>I80</f>
        <v>739872</v>
      </c>
      <c r="J78" s="7">
        <f t="shared" ref="J78:M78" si="23">J80</f>
        <v>0</v>
      </c>
      <c r="K78" s="7">
        <f t="shared" si="23"/>
        <v>0</v>
      </c>
      <c r="L78" s="7">
        <f t="shared" si="23"/>
        <v>0</v>
      </c>
      <c r="M78" s="7">
        <f t="shared" si="23"/>
        <v>739872</v>
      </c>
      <c r="N78" s="13"/>
      <c r="O78" s="20"/>
    </row>
    <row r="79" spans="1:15" s="21" customFormat="1" ht="47.1" customHeight="1" x14ac:dyDescent="0.35">
      <c r="A79" s="22"/>
      <c r="B79" s="13"/>
      <c r="C79" s="14"/>
      <c r="D79" s="16"/>
      <c r="E79" s="16" t="s">
        <v>180</v>
      </c>
      <c r="F79" s="13"/>
      <c r="G79" s="38"/>
      <c r="H79" s="13"/>
      <c r="I79" s="19">
        <f>2771872+383683.64</f>
        <v>3155555.64</v>
      </c>
      <c r="J79" s="19"/>
      <c r="K79" s="19"/>
      <c r="L79" s="19">
        <f>K79+J79</f>
        <v>0</v>
      </c>
      <c r="M79" s="19">
        <f>I79+L79</f>
        <v>3155555.64</v>
      </c>
      <c r="N79" s="13"/>
      <c r="O79" s="20"/>
    </row>
    <row r="80" spans="1:15" s="21" customFormat="1" ht="30" customHeight="1" x14ac:dyDescent="0.35">
      <c r="A80" s="22"/>
      <c r="B80" s="13"/>
      <c r="C80" s="14"/>
      <c r="D80" s="16"/>
      <c r="E80" s="6" t="s">
        <v>105</v>
      </c>
      <c r="F80" s="13"/>
      <c r="G80" s="38"/>
      <c r="H80" s="13"/>
      <c r="I80" s="7">
        <v>739872</v>
      </c>
      <c r="J80" s="7"/>
      <c r="K80" s="7"/>
      <c r="L80" s="7">
        <f>J80+K80</f>
        <v>0</v>
      </c>
      <c r="M80" s="7">
        <f>I80+L80</f>
        <v>739872</v>
      </c>
      <c r="N80" s="13"/>
      <c r="O80" s="20"/>
    </row>
    <row r="81" spans="1:15" s="21" customFormat="1" ht="31.5" customHeight="1" x14ac:dyDescent="0.35">
      <c r="A81" s="22"/>
      <c r="B81" s="13"/>
      <c r="C81" s="14"/>
      <c r="D81" s="16"/>
      <c r="E81" s="16" t="s">
        <v>179</v>
      </c>
      <c r="F81" s="13"/>
      <c r="G81" s="38"/>
      <c r="H81" s="13"/>
      <c r="I81" s="19">
        <f>SUM(I82:I129)</f>
        <v>17936697</v>
      </c>
      <c r="J81" s="19">
        <f>SUM(J82:J129)</f>
        <v>0</v>
      </c>
      <c r="K81" s="19">
        <f>SUM(K82:K129)</f>
        <v>0</v>
      </c>
      <c r="L81" s="19">
        <f>SUM(L82:L129)</f>
        <v>0</v>
      </c>
      <c r="M81" s="19">
        <f>SUM(M82:M129)</f>
        <v>17936697</v>
      </c>
      <c r="N81" s="13"/>
      <c r="O81" s="20"/>
    </row>
    <row r="82" spans="1:15" ht="112.5" hidden="1" customHeight="1" x14ac:dyDescent="0.35">
      <c r="A82" s="22"/>
      <c r="B82" s="37"/>
      <c r="C82" s="57"/>
      <c r="D82" s="6"/>
      <c r="E82" s="51" t="s">
        <v>323</v>
      </c>
      <c r="F82" s="37">
        <v>2020</v>
      </c>
      <c r="G82" s="53"/>
      <c r="H82" s="37"/>
      <c r="I82" s="54">
        <v>200000</v>
      </c>
      <c r="J82" s="54"/>
      <c r="K82" s="54"/>
      <c r="L82" s="54">
        <f t="shared" ref="L82:L129" si="24">K82+J82</f>
        <v>0</v>
      </c>
      <c r="M82" s="54">
        <f t="shared" ref="M82:M129" si="25">I82+L82</f>
        <v>200000</v>
      </c>
      <c r="N82" s="37"/>
      <c r="O82" s="20"/>
    </row>
    <row r="83" spans="1:15" ht="84.6" hidden="1" customHeight="1" x14ac:dyDescent="0.35">
      <c r="A83" s="22"/>
      <c r="B83" s="37"/>
      <c r="C83" s="57"/>
      <c r="D83" s="13"/>
      <c r="E83" s="51" t="s">
        <v>324</v>
      </c>
      <c r="F83" s="37" t="s">
        <v>232</v>
      </c>
      <c r="G83" s="53">
        <v>952286</v>
      </c>
      <c r="H83" s="37">
        <v>5.3</v>
      </c>
      <c r="I83" s="54">
        <v>901482</v>
      </c>
      <c r="J83" s="54"/>
      <c r="K83" s="54"/>
      <c r="L83" s="54">
        <f t="shared" si="24"/>
        <v>0</v>
      </c>
      <c r="M83" s="54">
        <f t="shared" si="25"/>
        <v>901482</v>
      </c>
      <c r="N83" s="37">
        <v>100</v>
      </c>
      <c r="O83" s="20"/>
    </row>
    <row r="84" spans="1:15" ht="99.6" hidden="1" customHeight="1" x14ac:dyDescent="0.35">
      <c r="A84" s="22"/>
      <c r="B84" s="37"/>
      <c r="C84" s="57"/>
      <c r="D84" s="13"/>
      <c r="E84" s="51" t="s">
        <v>325</v>
      </c>
      <c r="F84" s="37">
        <v>2020</v>
      </c>
      <c r="G84" s="53"/>
      <c r="H84" s="37"/>
      <c r="I84" s="54">
        <v>1000000</v>
      </c>
      <c r="J84" s="54"/>
      <c r="K84" s="54"/>
      <c r="L84" s="54">
        <f t="shared" si="24"/>
        <v>0</v>
      </c>
      <c r="M84" s="54">
        <f t="shared" si="25"/>
        <v>1000000</v>
      </c>
      <c r="N84" s="37"/>
      <c r="O84" s="20"/>
    </row>
    <row r="85" spans="1:15" ht="103.5" hidden="1" customHeight="1" x14ac:dyDescent="0.35">
      <c r="A85" s="22"/>
      <c r="B85" s="37"/>
      <c r="C85" s="57"/>
      <c r="D85" s="6"/>
      <c r="E85" s="51" t="s">
        <v>287</v>
      </c>
      <c r="F85" s="37">
        <v>2020</v>
      </c>
      <c r="G85" s="53"/>
      <c r="H85" s="37"/>
      <c r="I85" s="54">
        <v>150000</v>
      </c>
      <c r="J85" s="54"/>
      <c r="K85" s="54"/>
      <c r="L85" s="54">
        <f t="shared" si="24"/>
        <v>0</v>
      </c>
      <c r="M85" s="54">
        <f t="shared" si="25"/>
        <v>150000</v>
      </c>
      <c r="N85" s="37"/>
      <c r="O85" s="20"/>
    </row>
    <row r="86" spans="1:15" ht="155.1" hidden="1" customHeight="1" x14ac:dyDescent="0.35">
      <c r="A86" s="22"/>
      <c r="B86" s="37"/>
      <c r="C86" s="57"/>
      <c r="D86" s="13"/>
      <c r="E86" s="51" t="s">
        <v>288</v>
      </c>
      <c r="F86" s="37">
        <v>2020</v>
      </c>
      <c r="G86" s="53"/>
      <c r="H86" s="37"/>
      <c r="I86" s="54">
        <f>700000-200214</f>
        <v>499786</v>
      </c>
      <c r="J86" s="54"/>
      <c r="K86" s="54"/>
      <c r="L86" s="54">
        <f t="shared" si="24"/>
        <v>0</v>
      </c>
      <c r="M86" s="54">
        <f t="shared" si="25"/>
        <v>499786</v>
      </c>
      <c r="N86" s="37"/>
      <c r="O86" s="20"/>
    </row>
    <row r="87" spans="1:15" ht="114.95" hidden="1" customHeight="1" x14ac:dyDescent="0.35">
      <c r="A87" s="22"/>
      <c r="B87" s="37"/>
      <c r="C87" s="57"/>
      <c r="D87" s="6"/>
      <c r="E87" s="51" t="s">
        <v>233</v>
      </c>
      <c r="F87" s="37">
        <v>2020</v>
      </c>
      <c r="G87" s="53"/>
      <c r="H87" s="37"/>
      <c r="I87" s="54">
        <v>200000</v>
      </c>
      <c r="J87" s="54"/>
      <c r="K87" s="54"/>
      <c r="L87" s="54">
        <f t="shared" si="24"/>
        <v>0</v>
      </c>
      <c r="M87" s="54">
        <f t="shared" si="25"/>
        <v>200000</v>
      </c>
      <c r="N87" s="37"/>
      <c r="O87" s="20"/>
    </row>
    <row r="88" spans="1:15" ht="90" hidden="1" customHeight="1" x14ac:dyDescent="0.35">
      <c r="A88" s="22"/>
      <c r="B88" s="37"/>
      <c r="C88" s="57"/>
      <c r="D88" s="6"/>
      <c r="E88" s="51" t="s">
        <v>524</v>
      </c>
      <c r="F88" s="37">
        <v>2020</v>
      </c>
      <c r="G88" s="53"/>
      <c r="H88" s="37"/>
      <c r="I88" s="54">
        <v>200000</v>
      </c>
      <c r="J88" s="54"/>
      <c r="K88" s="54"/>
      <c r="L88" s="54">
        <f t="shared" ref="L88" si="26">K88+J88</f>
        <v>0</v>
      </c>
      <c r="M88" s="54">
        <f t="shared" ref="M88" si="27">I88+L88</f>
        <v>200000</v>
      </c>
      <c r="N88" s="37"/>
      <c r="O88" s="20"/>
    </row>
    <row r="89" spans="1:15" ht="90" hidden="1" customHeight="1" x14ac:dyDescent="0.35">
      <c r="A89" s="22"/>
      <c r="B89" s="37"/>
      <c r="C89" s="57"/>
      <c r="D89" s="6"/>
      <c r="E89" s="51" t="s">
        <v>514</v>
      </c>
      <c r="F89" s="37">
        <v>2020</v>
      </c>
      <c r="G89" s="53"/>
      <c r="H89" s="37"/>
      <c r="I89" s="54">
        <v>600000</v>
      </c>
      <c r="J89" s="54"/>
      <c r="K89" s="54"/>
      <c r="L89" s="54">
        <f t="shared" si="24"/>
        <v>0</v>
      </c>
      <c r="M89" s="54">
        <f t="shared" si="25"/>
        <v>600000</v>
      </c>
      <c r="N89" s="37"/>
      <c r="O89" s="20"/>
    </row>
    <row r="90" spans="1:15" ht="104.1" hidden="1" customHeight="1" x14ac:dyDescent="0.35">
      <c r="A90" s="22"/>
      <c r="B90" s="37"/>
      <c r="C90" s="57"/>
      <c r="D90" s="6"/>
      <c r="E90" s="51" t="s">
        <v>289</v>
      </c>
      <c r="F90" s="37">
        <v>2020</v>
      </c>
      <c r="G90" s="53"/>
      <c r="H90" s="37"/>
      <c r="I90" s="54">
        <v>200000</v>
      </c>
      <c r="J90" s="54"/>
      <c r="K90" s="54"/>
      <c r="L90" s="54">
        <f t="shared" si="24"/>
        <v>0</v>
      </c>
      <c r="M90" s="54">
        <f t="shared" si="25"/>
        <v>200000</v>
      </c>
      <c r="N90" s="37"/>
      <c r="O90" s="20"/>
    </row>
    <row r="91" spans="1:15" ht="93.95" hidden="1" customHeight="1" x14ac:dyDescent="0.35">
      <c r="A91" s="22"/>
      <c r="B91" s="37"/>
      <c r="C91" s="57"/>
      <c r="D91" s="6"/>
      <c r="E91" s="51" t="s">
        <v>290</v>
      </c>
      <c r="F91" s="37">
        <v>2020</v>
      </c>
      <c r="G91" s="53"/>
      <c r="H91" s="37"/>
      <c r="I91" s="54">
        <v>137000</v>
      </c>
      <c r="J91" s="54"/>
      <c r="K91" s="54"/>
      <c r="L91" s="54">
        <f t="shared" si="24"/>
        <v>0</v>
      </c>
      <c r="M91" s="54">
        <f t="shared" si="25"/>
        <v>137000</v>
      </c>
      <c r="N91" s="37"/>
      <c r="O91" s="20"/>
    </row>
    <row r="92" spans="1:15" ht="99" hidden="1" customHeight="1" x14ac:dyDescent="0.35">
      <c r="A92" s="22"/>
      <c r="B92" s="37"/>
      <c r="C92" s="57"/>
      <c r="D92" s="6"/>
      <c r="E92" s="51" t="s">
        <v>234</v>
      </c>
      <c r="F92" s="37">
        <v>2020</v>
      </c>
      <c r="G92" s="53"/>
      <c r="H92" s="37"/>
      <c r="I92" s="54">
        <v>200000</v>
      </c>
      <c r="J92" s="54"/>
      <c r="K92" s="54"/>
      <c r="L92" s="54">
        <f t="shared" si="24"/>
        <v>0</v>
      </c>
      <c r="M92" s="54">
        <f t="shared" si="25"/>
        <v>200000</v>
      </c>
      <c r="N92" s="37"/>
      <c r="O92" s="20"/>
    </row>
    <row r="93" spans="1:15" ht="107.1" hidden="1" customHeight="1" x14ac:dyDescent="0.35">
      <c r="A93" s="22"/>
      <c r="B93" s="37"/>
      <c r="C93" s="57"/>
      <c r="D93" s="6"/>
      <c r="E93" s="51" t="s">
        <v>291</v>
      </c>
      <c r="F93" s="37">
        <v>2020</v>
      </c>
      <c r="G93" s="53"/>
      <c r="H93" s="37"/>
      <c r="I93" s="54">
        <v>200000</v>
      </c>
      <c r="J93" s="54"/>
      <c r="K93" s="54"/>
      <c r="L93" s="54">
        <f t="shared" si="24"/>
        <v>0</v>
      </c>
      <c r="M93" s="54">
        <f t="shared" si="25"/>
        <v>200000</v>
      </c>
      <c r="N93" s="37"/>
      <c r="O93" s="20"/>
    </row>
    <row r="94" spans="1:15" ht="93" hidden="1" x14ac:dyDescent="0.35">
      <c r="A94" s="22"/>
      <c r="B94" s="37"/>
      <c r="C94" s="57"/>
      <c r="D94" s="6"/>
      <c r="E94" s="51" t="s">
        <v>468</v>
      </c>
      <c r="F94" s="37">
        <v>2020</v>
      </c>
      <c r="G94" s="53"/>
      <c r="H94" s="37"/>
      <c r="I94" s="54">
        <v>167400</v>
      </c>
      <c r="J94" s="54"/>
      <c r="K94" s="54"/>
      <c r="L94" s="54">
        <f t="shared" si="24"/>
        <v>0</v>
      </c>
      <c r="M94" s="54">
        <f t="shared" si="25"/>
        <v>167400</v>
      </c>
      <c r="N94" s="37"/>
      <c r="O94" s="20"/>
    </row>
    <row r="95" spans="1:15" ht="110.1" hidden="1" customHeight="1" x14ac:dyDescent="0.35">
      <c r="A95" s="22"/>
      <c r="B95" s="37"/>
      <c r="C95" s="57"/>
      <c r="D95" s="6"/>
      <c r="E95" s="51" t="s">
        <v>469</v>
      </c>
      <c r="F95" s="37">
        <v>2020</v>
      </c>
      <c r="G95" s="53"/>
      <c r="H95" s="37"/>
      <c r="I95" s="54">
        <v>285000</v>
      </c>
      <c r="J95" s="54"/>
      <c r="K95" s="54"/>
      <c r="L95" s="54">
        <f t="shared" si="24"/>
        <v>0</v>
      </c>
      <c r="M95" s="54">
        <f t="shared" si="25"/>
        <v>285000</v>
      </c>
      <c r="N95" s="37"/>
      <c r="O95" s="20"/>
    </row>
    <row r="96" spans="1:15" ht="108" hidden="1" customHeight="1" x14ac:dyDescent="0.35">
      <c r="A96" s="22"/>
      <c r="B96" s="37"/>
      <c r="C96" s="57"/>
      <c r="D96" s="6"/>
      <c r="E96" s="51" t="s">
        <v>235</v>
      </c>
      <c r="F96" s="37">
        <v>2020</v>
      </c>
      <c r="G96" s="53"/>
      <c r="H96" s="37"/>
      <c r="I96" s="54">
        <v>150000</v>
      </c>
      <c r="J96" s="54"/>
      <c r="K96" s="54"/>
      <c r="L96" s="54">
        <f t="shared" si="24"/>
        <v>0</v>
      </c>
      <c r="M96" s="54">
        <f t="shared" si="25"/>
        <v>150000</v>
      </c>
      <c r="N96" s="37"/>
      <c r="O96" s="20"/>
    </row>
    <row r="97" spans="1:15" ht="90.6" hidden="1" customHeight="1" x14ac:dyDescent="0.35">
      <c r="A97" s="22"/>
      <c r="B97" s="37"/>
      <c r="C97" s="57"/>
      <c r="D97" s="6"/>
      <c r="E97" s="51" t="s">
        <v>236</v>
      </c>
      <c r="F97" s="37">
        <v>2020</v>
      </c>
      <c r="G97" s="53"/>
      <c r="H97" s="37"/>
      <c r="I97" s="54">
        <v>70000</v>
      </c>
      <c r="J97" s="54"/>
      <c r="K97" s="54"/>
      <c r="L97" s="54">
        <f t="shared" si="24"/>
        <v>0</v>
      </c>
      <c r="M97" s="54">
        <f t="shared" si="25"/>
        <v>70000</v>
      </c>
      <c r="N97" s="37"/>
      <c r="O97" s="20"/>
    </row>
    <row r="98" spans="1:15" ht="111" hidden="1" customHeight="1" x14ac:dyDescent="0.35">
      <c r="A98" s="22"/>
      <c r="B98" s="37"/>
      <c r="C98" s="57"/>
      <c r="D98" s="6"/>
      <c r="E98" s="51" t="s">
        <v>237</v>
      </c>
      <c r="F98" s="37">
        <v>2020</v>
      </c>
      <c r="G98" s="53"/>
      <c r="H98" s="37"/>
      <c r="I98" s="54">
        <v>130000</v>
      </c>
      <c r="J98" s="54"/>
      <c r="K98" s="54"/>
      <c r="L98" s="54">
        <f t="shared" si="24"/>
        <v>0</v>
      </c>
      <c r="M98" s="54">
        <f t="shared" si="25"/>
        <v>130000</v>
      </c>
      <c r="N98" s="37"/>
      <c r="O98" s="20"/>
    </row>
    <row r="99" spans="1:15" ht="155.44999999999999" hidden="1" customHeight="1" x14ac:dyDescent="0.35">
      <c r="A99" s="22"/>
      <c r="B99" s="37"/>
      <c r="C99" s="57"/>
      <c r="D99" s="13"/>
      <c r="E99" s="51" t="s">
        <v>510</v>
      </c>
      <c r="F99" s="37">
        <v>2020</v>
      </c>
      <c r="G99" s="53"/>
      <c r="H99" s="37"/>
      <c r="I99" s="54">
        <v>1241000</v>
      </c>
      <c r="J99" s="54"/>
      <c r="K99" s="54"/>
      <c r="L99" s="54">
        <f t="shared" si="24"/>
        <v>0</v>
      </c>
      <c r="M99" s="54">
        <f t="shared" si="25"/>
        <v>1241000</v>
      </c>
      <c r="N99" s="37"/>
      <c r="O99" s="20"/>
    </row>
    <row r="100" spans="1:15" ht="126.95" hidden="1" customHeight="1" x14ac:dyDescent="0.35">
      <c r="A100" s="22"/>
      <c r="B100" s="37"/>
      <c r="C100" s="57"/>
      <c r="D100" s="13"/>
      <c r="E100" s="51" t="s">
        <v>511</v>
      </c>
      <c r="F100" s="37">
        <v>2020</v>
      </c>
      <c r="G100" s="53"/>
      <c r="H100" s="37"/>
      <c r="I100" s="54">
        <v>359000</v>
      </c>
      <c r="J100" s="54"/>
      <c r="K100" s="54"/>
      <c r="L100" s="54">
        <f t="shared" si="24"/>
        <v>0</v>
      </c>
      <c r="M100" s="54">
        <f t="shared" si="25"/>
        <v>359000</v>
      </c>
      <c r="N100" s="37"/>
      <c r="O100" s="20"/>
    </row>
    <row r="101" spans="1:15" ht="90" hidden="1" customHeight="1" x14ac:dyDescent="0.35">
      <c r="A101" s="22"/>
      <c r="B101" s="37"/>
      <c r="C101" s="57"/>
      <c r="D101" s="6"/>
      <c r="E101" s="51" t="s">
        <v>238</v>
      </c>
      <c r="F101" s="37">
        <v>2020</v>
      </c>
      <c r="G101" s="53"/>
      <c r="H101" s="37"/>
      <c r="I101" s="54">
        <v>200000</v>
      </c>
      <c r="J101" s="54"/>
      <c r="K101" s="54"/>
      <c r="L101" s="54">
        <f t="shared" si="24"/>
        <v>0</v>
      </c>
      <c r="M101" s="54">
        <f t="shared" si="25"/>
        <v>200000</v>
      </c>
      <c r="N101" s="37"/>
      <c r="O101" s="20"/>
    </row>
    <row r="102" spans="1:15" ht="137.44999999999999" hidden="1" customHeight="1" x14ac:dyDescent="0.35">
      <c r="A102" s="22"/>
      <c r="B102" s="37"/>
      <c r="C102" s="57"/>
      <c r="D102" s="13"/>
      <c r="E102" s="51" t="s">
        <v>292</v>
      </c>
      <c r="F102" s="37">
        <v>2020</v>
      </c>
      <c r="G102" s="53"/>
      <c r="H102" s="37"/>
      <c r="I102" s="54">
        <v>915000</v>
      </c>
      <c r="J102" s="54"/>
      <c r="K102" s="54"/>
      <c r="L102" s="54">
        <f t="shared" si="24"/>
        <v>0</v>
      </c>
      <c r="M102" s="54">
        <f t="shared" si="25"/>
        <v>915000</v>
      </c>
      <c r="N102" s="37"/>
      <c r="O102" s="20"/>
    </row>
    <row r="103" spans="1:15" ht="90.95" hidden="1" customHeight="1" x14ac:dyDescent="0.35">
      <c r="A103" s="22"/>
      <c r="B103" s="37"/>
      <c r="C103" s="57"/>
      <c r="D103" s="6"/>
      <c r="E103" s="51" t="s">
        <v>239</v>
      </c>
      <c r="F103" s="37">
        <v>2020</v>
      </c>
      <c r="G103" s="53"/>
      <c r="H103" s="37"/>
      <c r="I103" s="54">
        <v>200000</v>
      </c>
      <c r="J103" s="54"/>
      <c r="K103" s="54"/>
      <c r="L103" s="54">
        <f t="shared" si="24"/>
        <v>0</v>
      </c>
      <c r="M103" s="54">
        <f t="shared" si="25"/>
        <v>200000</v>
      </c>
      <c r="N103" s="37"/>
      <c r="O103" s="20"/>
    </row>
    <row r="104" spans="1:15" ht="120.6" hidden="1" customHeight="1" x14ac:dyDescent="0.35">
      <c r="A104" s="22"/>
      <c r="B104" s="37"/>
      <c r="C104" s="57"/>
      <c r="D104" s="13"/>
      <c r="E104" s="51" t="s">
        <v>326</v>
      </c>
      <c r="F104" s="37" t="s">
        <v>232</v>
      </c>
      <c r="G104" s="53">
        <v>638165</v>
      </c>
      <c r="H104" s="37">
        <v>7.8</v>
      </c>
      <c r="I104" s="54">
        <v>588165</v>
      </c>
      <c r="J104" s="54"/>
      <c r="K104" s="54"/>
      <c r="L104" s="54">
        <f t="shared" si="24"/>
        <v>0</v>
      </c>
      <c r="M104" s="54">
        <f t="shared" si="25"/>
        <v>588165</v>
      </c>
      <c r="N104" s="37">
        <v>100</v>
      </c>
      <c r="O104" s="20"/>
    </row>
    <row r="105" spans="1:15" ht="98.1" hidden="1" customHeight="1" x14ac:dyDescent="0.35">
      <c r="A105" s="22"/>
      <c r="B105" s="37"/>
      <c r="C105" s="57"/>
      <c r="D105" s="6"/>
      <c r="E105" s="51" t="s">
        <v>293</v>
      </c>
      <c r="F105" s="37">
        <v>2020</v>
      </c>
      <c r="G105" s="53"/>
      <c r="H105" s="37"/>
      <c r="I105" s="54">
        <v>200000</v>
      </c>
      <c r="J105" s="54"/>
      <c r="K105" s="54"/>
      <c r="L105" s="54">
        <f t="shared" si="24"/>
        <v>0</v>
      </c>
      <c r="M105" s="54">
        <f t="shared" si="25"/>
        <v>200000</v>
      </c>
      <c r="N105" s="37"/>
      <c r="O105" s="20"/>
    </row>
    <row r="106" spans="1:15" ht="90.95" hidden="1" customHeight="1" x14ac:dyDescent="0.35">
      <c r="A106" s="22"/>
      <c r="B106" s="37"/>
      <c r="C106" s="57"/>
      <c r="D106" s="6"/>
      <c r="E106" s="51" t="s">
        <v>294</v>
      </c>
      <c r="F106" s="37">
        <v>2020</v>
      </c>
      <c r="G106" s="53"/>
      <c r="H106" s="37"/>
      <c r="I106" s="54">
        <v>200000</v>
      </c>
      <c r="J106" s="54"/>
      <c r="K106" s="54"/>
      <c r="L106" s="54">
        <f t="shared" si="24"/>
        <v>0</v>
      </c>
      <c r="M106" s="54">
        <f t="shared" si="25"/>
        <v>200000</v>
      </c>
      <c r="N106" s="37"/>
      <c r="O106" s="20"/>
    </row>
    <row r="107" spans="1:15" ht="46.5" hidden="1" x14ac:dyDescent="0.35">
      <c r="A107" s="22"/>
      <c r="B107" s="37"/>
      <c r="C107" s="57"/>
      <c r="D107" s="6"/>
      <c r="E107" s="51" t="s">
        <v>377</v>
      </c>
      <c r="F107" s="37">
        <v>2020</v>
      </c>
      <c r="G107" s="53"/>
      <c r="H107" s="37"/>
      <c r="I107" s="54">
        <f>166000+200000</f>
        <v>366000</v>
      </c>
      <c r="J107" s="54"/>
      <c r="K107" s="54"/>
      <c r="L107" s="54">
        <f t="shared" si="24"/>
        <v>0</v>
      </c>
      <c r="M107" s="54">
        <f t="shared" si="25"/>
        <v>366000</v>
      </c>
      <c r="N107" s="37"/>
      <c r="O107" s="20"/>
    </row>
    <row r="108" spans="1:15" ht="140.1" hidden="1" customHeight="1" x14ac:dyDescent="0.35">
      <c r="A108" s="22"/>
      <c r="B108" s="37"/>
      <c r="C108" s="57"/>
      <c r="D108" s="6"/>
      <c r="E108" s="51" t="s">
        <v>513</v>
      </c>
      <c r="F108" s="37">
        <v>2020</v>
      </c>
      <c r="G108" s="53"/>
      <c r="H108" s="37"/>
      <c r="I108" s="54">
        <v>100214</v>
      </c>
      <c r="J108" s="54"/>
      <c r="K108" s="54"/>
      <c r="L108" s="54">
        <f t="shared" si="24"/>
        <v>0</v>
      </c>
      <c r="M108" s="54">
        <f t="shared" si="25"/>
        <v>100214</v>
      </c>
      <c r="N108" s="37"/>
      <c r="O108" s="20"/>
    </row>
    <row r="109" spans="1:15" ht="80.099999999999994" hidden="1" customHeight="1" x14ac:dyDescent="0.35">
      <c r="A109" s="22"/>
      <c r="B109" s="37"/>
      <c r="C109" s="57"/>
      <c r="D109" s="6"/>
      <c r="E109" s="51" t="s">
        <v>541</v>
      </c>
      <c r="F109" s="37">
        <v>2020</v>
      </c>
      <c r="G109" s="53"/>
      <c r="H109" s="37"/>
      <c r="I109" s="54">
        <v>700000</v>
      </c>
      <c r="J109" s="54"/>
      <c r="K109" s="54"/>
      <c r="L109" s="54">
        <f t="shared" ref="L109" si="28">K109+J109</f>
        <v>0</v>
      </c>
      <c r="M109" s="54">
        <f t="shared" ref="M109" si="29">I109+L109</f>
        <v>700000</v>
      </c>
      <c r="N109" s="37"/>
      <c r="O109" s="20"/>
    </row>
    <row r="110" spans="1:15" ht="87" hidden="1" customHeight="1" x14ac:dyDescent="0.35">
      <c r="A110" s="22"/>
      <c r="B110" s="37"/>
      <c r="C110" s="57"/>
      <c r="D110" s="13"/>
      <c r="E110" s="51" t="s">
        <v>327</v>
      </c>
      <c r="F110" s="37" t="s">
        <v>50</v>
      </c>
      <c r="G110" s="53">
        <v>3799984</v>
      </c>
      <c r="H110" s="37">
        <v>50</v>
      </c>
      <c r="I110" s="54">
        <v>1899400</v>
      </c>
      <c r="J110" s="54"/>
      <c r="K110" s="54"/>
      <c r="L110" s="54">
        <f t="shared" si="24"/>
        <v>0</v>
      </c>
      <c r="M110" s="54">
        <f t="shared" si="25"/>
        <v>1899400</v>
      </c>
      <c r="N110" s="37">
        <v>100</v>
      </c>
      <c r="O110" s="20"/>
    </row>
    <row r="111" spans="1:15" ht="137.1" hidden="1" customHeight="1" x14ac:dyDescent="0.35">
      <c r="A111" s="22"/>
      <c r="B111" s="37"/>
      <c r="C111" s="57"/>
      <c r="D111" s="13"/>
      <c r="E111" s="51" t="s">
        <v>512</v>
      </c>
      <c r="F111" s="37">
        <v>2020</v>
      </c>
      <c r="G111" s="53"/>
      <c r="H111" s="37"/>
      <c r="I111" s="54">
        <v>100000</v>
      </c>
      <c r="J111" s="54"/>
      <c r="K111" s="54"/>
      <c r="L111" s="54">
        <f t="shared" si="24"/>
        <v>0</v>
      </c>
      <c r="M111" s="54">
        <f t="shared" si="25"/>
        <v>100000</v>
      </c>
      <c r="N111" s="37"/>
      <c r="O111" s="20"/>
    </row>
    <row r="112" spans="1:15" ht="89.1" hidden="1" customHeight="1" x14ac:dyDescent="0.35">
      <c r="A112" s="22"/>
      <c r="B112" s="37"/>
      <c r="C112" s="57"/>
      <c r="D112" s="6"/>
      <c r="E112" s="51" t="s">
        <v>240</v>
      </c>
      <c r="F112" s="37">
        <v>2020</v>
      </c>
      <c r="G112" s="53"/>
      <c r="H112" s="37"/>
      <c r="I112" s="54">
        <v>100000</v>
      </c>
      <c r="J112" s="54"/>
      <c r="K112" s="54"/>
      <c r="L112" s="54">
        <f t="shared" si="24"/>
        <v>0</v>
      </c>
      <c r="M112" s="54">
        <f t="shared" si="25"/>
        <v>100000</v>
      </c>
      <c r="N112" s="37"/>
      <c r="O112" s="20"/>
    </row>
    <row r="113" spans="1:15" ht="89.1" hidden="1" customHeight="1" x14ac:dyDescent="0.35">
      <c r="A113" s="22"/>
      <c r="B113" s="37"/>
      <c r="C113" s="57"/>
      <c r="D113" s="6"/>
      <c r="E113" s="51" t="s">
        <v>328</v>
      </c>
      <c r="F113" s="37">
        <v>2020</v>
      </c>
      <c r="G113" s="53"/>
      <c r="H113" s="37"/>
      <c r="I113" s="54">
        <v>200000</v>
      </c>
      <c r="J113" s="54"/>
      <c r="K113" s="54"/>
      <c r="L113" s="54">
        <f t="shared" si="24"/>
        <v>0</v>
      </c>
      <c r="M113" s="54">
        <f t="shared" si="25"/>
        <v>200000</v>
      </c>
      <c r="N113" s="37"/>
      <c r="O113" s="20"/>
    </row>
    <row r="114" spans="1:15" ht="100.5" hidden="1" customHeight="1" x14ac:dyDescent="0.35">
      <c r="A114" s="22"/>
      <c r="B114" s="37"/>
      <c r="C114" s="57"/>
      <c r="D114" s="6"/>
      <c r="E114" s="51" t="s">
        <v>470</v>
      </c>
      <c r="F114" s="37">
        <v>2020</v>
      </c>
      <c r="G114" s="53"/>
      <c r="H114" s="37"/>
      <c r="I114" s="54">
        <v>323000</v>
      </c>
      <c r="J114" s="54"/>
      <c r="K114" s="54"/>
      <c r="L114" s="54">
        <f>K114+J114</f>
        <v>0</v>
      </c>
      <c r="M114" s="54">
        <f>I114+L114</f>
        <v>323000</v>
      </c>
      <c r="N114" s="37"/>
      <c r="O114" s="20"/>
    </row>
    <row r="115" spans="1:15" ht="112.5" hidden="1" customHeight="1" x14ac:dyDescent="0.35">
      <c r="A115" s="22"/>
      <c r="B115" s="37"/>
      <c r="C115" s="57"/>
      <c r="D115" s="13"/>
      <c r="E115" s="51" t="s">
        <v>329</v>
      </c>
      <c r="F115" s="37" t="s">
        <v>241</v>
      </c>
      <c r="G115" s="53">
        <v>749640</v>
      </c>
      <c r="H115" s="37">
        <v>5.3</v>
      </c>
      <c r="I115" s="54">
        <v>710250</v>
      </c>
      <c r="J115" s="54"/>
      <c r="K115" s="54"/>
      <c r="L115" s="54">
        <f t="shared" si="24"/>
        <v>0</v>
      </c>
      <c r="M115" s="54">
        <f t="shared" si="25"/>
        <v>710250</v>
      </c>
      <c r="N115" s="37">
        <v>100</v>
      </c>
      <c r="O115" s="20"/>
    </row>
    <row r="116" spans="1:15" ht="86.1" hidden="1" customHeight="1" x14ac:dyDescent="0.35">
      <c r="A116" s="22"/>
      <c r="B116" s="37"/>
      <c r="C116" s="57"/>
      <c r="D116" s="6"/>
      <c r="E116" s="51" t="s">
        <v>242</v>
      </c>
      <c r="F116" s="37">
        <v>2020</v>
      </c>
      <c r="G116" s="53"/>
      <c r="H116" s="37"/>
      <c r="I116" s="54">
        <v>200000</v>
      </c>
      <c r="J116" s="54"/>
      <c r="K116" s="54"/>
      <c r="L116" s="54">
        <f t="shared" si="24"/>
        <v>0</v>
      </c>
      <c r="M116" s="54">
        <f t="shared" si="25"/>
        <v>200000</v>
      </c>
      <c r="N116" s="37"/>
      <c r="O116" s="20"/>
    </row>
    <row r="117" spans="1:15" ht="87.95" hidden="1" customHeight="1" x14ac:dyDescent="0.35">
      <c r="A117" s="22"/>
      <c r="B117" s="37"/>
      <c r="C117" s="57"/>
      <c r="D117" s="13"/>
      <c r="E117" s="51" t="s">
        <v>243</v>
      </c>
      <c r="F117" s="37">
        <v>2020</v>
      </c>
      <c r="G117" s="53"/>
      <c r="H117" s="37"/>
      <c r="I117" s="54">
        <f>409000-209000</f>
        <v>200000</v>
      </c>
      <c r="J117" s="54"/>
      <c r="K117" s="54"/>
      <c r="L117" s="54">
        <f t="shared" si="24"/>
        <v>0</v>
      </c>
      <c r="M117" s="54">
        <f t="shared" si="25"/>
        <v>200000</v>
      </c>
      <c r="N117" s="37"/>
      <c r="O117" s="20"/>
    </row>
    <row r="118" spans="1:15" ht="99" hidden="1" customHeight="1" x14ac:dyDescent="0.35">
      <c r="A118" s="22"/>
      <c r="B118" s="37"/>
      <c r="C118" s="57"/>
      <c r="D118" s="13"/>
      <c r="E118" s="51" t="s">
        <v>540</v>
      </c>
      <c r="F118" s="37">
        <v>2020</v>
      </c>
      <c r="G118" s="53"/>
      <c r="H118" s="37"/>
      <c r="I118" s="54">
        <v>209000</v>
      </c>
      <c r="J118" s="54"/>
      <c r="K118" s="54"/>
      <c r="L118" s="54">
        <f t="shared" ref="L118" si="30">K118+J118</f>
        <v>0</v>
      </c>
      <c r="M118" s="54">
        <f t="shared" ref="M118" si="31">I118+L118</f>
        <v>209000</v>
      </c>
      <c r="N118" s="37"/>
      <c r="O118" s="20"/>
    </row>
    <row r="119" spans="1:15" ht="96.95" hidden="1" customHeight="1" x14ac:dyDescent="0.35">
      <c r="A119" s="22"/>
      <c r="B119" s="37"/>
      <c r="C119" s="57"/>
      <c r="D119" s="6"/>
      <c r="E119" s="51" t="s">
        <v>362</v>
      </c>
      <c r="F119" s="37">
        <v>2020</v>
      </c>
      <c r="G119" s="53"/>
      <c r="H119" s="37"/>
      <c r="I119" s="54">
        <v>200000</v>
      </c>
      <c r="J119" s="54"/>
      <c r="K119" s="54"/>
      <c r="L119" s="54">
        <f t="shared" si="24"/>
        <v>0</v>
      </c>
      <c r="M119" s="54">
        <f t="shared" si="25"/>
        <v>200000</v>
      </c>
      <c r="N119" s="37"/>
      <c r="O119" s="20"/>
    </row>
    <row r="120" spans="1:15" ht="46.5" hidden="1" x14ac:dyDescent="0.35">
      <c r="A120" s="22"/>
      <c r="B120" s="37"/>
      <c r="C120" s="57"/>
      <c r="D120" s="6"/>
      <c r="E120" s="51" t="s">
        <v>531</v>
      </c>
      <c r="F120" s="37">
        <v>2020</v>
      </c>
      <c r="G120" s="53"/>
      <c r="H120" s="37"/>
      <c r="I120" s="54">
        <v>950000</v>
      </c>
      <c r="J120" s="54"/>
      <c r="K120" s="54"/>
      <c r="L120" s="54">
        <f t="shared" ref="L120" si="32">K120+J120</f>
        <v>0</v>
      </c>
      <c r="M120" s="54">
        <f t="shared" ref="M120" si="33">I120+L120</f>
        <v>950000</v>
      </c>
      <c r="N120" s="37"/>
      <c r="O120" s="20"/>
    </row>
    <row r="121" spans="1:15" ht="309.95" hidden="1" customHeight="1" x14ac:dyDescent="0.35">
      <c r="A121" s="22"/>
      <c r="B121" s="37"/>
      <c r="C121" s="57"/>
      <c r="D121" s="13"/>
      <c r="E121" s="51" t="s">
        <v>523</v>
      </c>
      <c r="F121" s="37"/>
      <c r="G121" s="53"/>
      <c r="H121" s="37"/>
      <c r="I121" s="54">
        <v>700000</v>
      </c>
      <c r="J121" s="54"/>
      <c r="K121" s="54"/>
      <c r="L121" s="54">
        <f t="shared" si="24"/>
        <v>0</v>
      </c>
      <c r="M121" s="54">
        <f t="shared" si="25"/>
        <v>700000</v>
      </c>
      <c r="N121" s="37"/>
      <c r="O121" s="20"/>
    </row>
    <row r="122" spans="1:15" ht="213" hidden="1" customHeight="1" x14ac:dyDescent="0.35">
      <c r="A122" s="22"/>
      <c r="B122" s="37"/>
      <c r="C122" s="57"/>
      <c r="D122" s="13"/>
      <c r="E122" s="51" t="s">
        <v>552</v>
      </c>
      <c r="F122" s="37">
        <v>2020</v>
      </c>
      <c r="G122" s="53"/>
      <c r="H122" s="37"/>
      <c r="I122" s="54">
        <v>435000</v>
      </c>
      <c r="J122" s="54"/>
      <c r="K122" s="54"/>
      <c r="L122" s="54">
        <f t="shared" si="24"/>
        <v>0</v>
      </c>
      <c r="M122" s="54">
        <f t="shared" si="25"/>
        <v>435000</v>
      </c>
      <c r="N122" s="37"/>
      <c r="O122" s="20"/>
    </row>
    <row r="123" spans="1:15" ht="96" hidden="1" customHeight="1" x14ac:dyDescent="0.35">
      <c r="A123" s="22"/>
      <c r="B123" s="37"/>
      <c r="C123" s="57"/>
      <c r="D123" s="6"/>
      <c r="E123" s="51" t="s">
        <v>244</v>
      </c>
      <c r="F123" s="37">
        <v>2020</v>
      </c>
      <c r="G123" s="53"/>
      <c r="H123" s="37"/>
      <c r="I123" s="54">
        <v>200000</v>
      </c>
      <c r="J123" s="54"/>
      <c r="K123" s="54"/>
      <c r="L123" s="54">
        <f t="shared" si="24"/>
        <v>0</v>
      </c>
      <c r="M123" s="54">
        <f t="shared" si="25"/>
        <v>200000</v>
      </c>
      <c r="N123" s="37"/>
      <c r="O123" s="20"/>
    </row>
    <row r="124" spans="1:15" ht="116.45" hidden="1" customHeight="1" x14ac:dyDescent="0.35">
      <c r="A124" s="22"/>
      <c r="B124" s="37"/>
      <c r="C124" s="57"/>
      <c r="D124" s="6"/>
      <c r="E124" s="51" t="s">
        <v>330</v>
      </c>
      <c r="F124" s="37">
        <v>2020</v>
      </c>
      <c r="G124" s="53"/>
      <c r="H124" s="37"/>
      <c r="I124" s="54">
        <v>200000</v>
      </c>
      <c r="J124" s="54"/>
      <c r="K124" s="54"/>
      <c r="L124" s="54">
        <f t="shared" si="24"/>
        <v>0</v>
      </c>
      <c r="M124" s="54">
        <f t="shared" si="25"/>
        <v>200000</v>
      </c>
      <c r="N124" s="37"/>
      <c r="O124" s="20"/>
    </row>
    <row r="125" spans="1:15" ht="121.5" hidden="1" customHeight="1" x14ac:dyDescent="0.35">
      <c r="A125" s="22"/>
      <c r="B125" s="37"/>
      <c r="C125" s="57"/>
      <c r="D125" s="6"/>
      <c r="E125" s="51" t="s">
        <v>331</v>
      </c>
      <c r="F125" s="37">
        <v>2020</v>
      </c>
      <c r="G125" s="53"/>
      <c r="H125" s="37"/>
      <c r="I125" s="54">
        <v>200000</v>
      </c>
      <c r="J125" s="54"/>
      <c r="K125" s="54"/>
      <c r="L125" s="54">
        <f t="shared" si="24"/>
        <v>0</v>
      </c>
      <c r="M125" s="54">
        <f t="shared" si="25"/>
        <v>200000</v>
      </c>
      <c r="N125" s="37"/>
      <c r="O125" s="20"/>
    </row>
    <row r="126" spans="1:15" ht="93" hidden="1" x14ac:dyDescent="0.35">
      <c r="A126" s="22"/>
      <c r="B126" s="37"/>
      <c r="C126" s="57"/>
      <c r="D126" s="6"/>
      <c r="E126" s="51" t="s">
        <v>295</v>
      </c>
      <c r="F126" s="37">
        <v>2020</v>
      </c>
      <c r="G126" s="53"/>
      <c r="H126" s="37"/>
      <c r="I126" s="54">
        <v>200000</v>
      </c>
      <c r="J126" s="54"/>
      <c r="K126" s="54"/>
      <c r="L126" s="54">
        <f t="shared" si="24"/>
        <v>0</v>
      </c>
      <c r="M126" s="54">
        <f t="shared" si="25"/>
        <v>200000</v>
      </c>
      <c r="N126" s="37"/>
      <c r="O126" s="20"/>
    </row>
    <row r="127" spans="1:15" ht="137.1" hidden="1" customHeight="1" x14ac:dyDescent="0.35">
      <c r="A127" s="22"/>
      <c r="B127" s="37"/>
      <c r="C127" s="57"/>
      <c r="D127" s="6"/>
      <c r="E127" s="51" t="s">
        <v>332</v>
      </c>
      <c r="F127" s="37">
        <v>2020</v>
      </c>
      <c r="G127" s="53"/>
      <c r="H127" s="37"/>
      <c r="I127" s="54">
        <v>200000</v>
      </c>
      <c r="J127" s="54"/>
      <c r="K127" s="54"/>
      <c r="L127" s="54">
        <f t="shared" si="24"/>
        <v>0</v>
      </c>
      <c r="M127" s="54">
        <f t="shared" si="25"/>
        <v>200000</v>
      </c>
      <c r="N127" s="37"/>
      <c r="O127" s="20"/>
    </row>
    <row r="128" spans="1:15" ht="121.5" hidden="1" customHeight="1" x14ac:dyDescent="0.35">
      <c r="A128" s="22"/>
      <c r="B128" s="37"/>
      <c r="C128" s="57"/>
      <c r="D128" s="6"/>
      <c r="E128" s="51" t="s">
        <v>333</v>
      </c>
      <c r="F128" s="37">
        <v>2020</v>
      </c>
      <c r="G128" s="53"/>
      <c r="H128" s="37"/>
      <c r="I128" s="54">
        <v>150000</v>
      </c>
      <c r="J128" s="54"/>
      <c r="K128" s="54"/>
      <c r="L128" s="54">
        <f t="shared" si="24"/>
        <v>0</v>
      </c>
      <c r="M128" s="54">
        <f t="shared" si="25"/>
        <v>150000</v>
      </c>
      <c r="N128" s="37"/>
      <c r="O128" s="20"/>
    </row>
    <row r="129" spans="1:15" ht="105" hidden="1" customHeight="1" x14ac:dyDescent="0.35">
      <c r="A129" s="22"/>
      <c r="B129" s="37"/>
      <c r="C129" s="57"/>
      <c r="D129" s="6"/>
      <c r="E129" s="51" t="s">
        <v>296</v>
      </c>
      <c r="F129" s="37">
        <v>2020</v>
      </c>
      <c r="G129" s="53"/>
      <c r="H129" s="37"/>
      <c r="I129" s="54">
        <v>200000</v>
      </c>
      <c r="J129" s="54"/>
      <c r="K129" s="54"/>
      <c r="L129" s="54">
        <f t="shared" si="24"/>
        <v>0</v>
      </c>
      <c r="M129" s="54">
        <f t="shared" si="25"/>
        <v>200000</v>
      </c>
      <c r="N129" s="37"/>
      <c r="O129" s="20"/>
    </row>
    <row r="130" spans="1:15" s="21" customFormat="1" ht="123" customHeight="1" x14ac:dyDescent="0.35">
      <c r="A130" s="45" t="s">
        <v>113</v>
      </c>
      <c r="B130" s="13">
        <v>1030</v>
      </c>
      <c r="C130" s="14" t="s">
        <v>110</v>
      </c>
      <c r="D130" s="15" t="s">
        <v>114</v>
      </c>
      <c r="E130" s="16"/>
      <c r="F130" s="13"/>
      <c r="G130" s="38"/>
      <c r="H130" s="13"/>
      <c r="I130" s="38">
        <f>I131+I132</f>
        <v>172000</v>
      </c>
      <c r="J130" s="38">
        <f t="shared" ref="J130:M130" si="34">J131+J132</f>
        <v>0</v>
      </c>
      <c r="K130" s="38">
        <f>K131+K132</f>
        <v>0</v>
      </c>
      <c r="L130" s="38">
        <f t="shared" si="34"/>
        <v>0</v>
      </c>
      <c r="M130" s="38">
        <f t="shared" si="34"/>
        <v>172000</v>
      </c>
      <c r="N130" s="13"/>
      <c r="O130" s="20"/>
    </row>
    <row r="131" spans="1:15" s="21" customFormat="1" ht="48.95" customHeight="1" x14ac:dyDescent="0.35">
      <c r="A131" s="45"/>
      <c r="B131" s="13"/>
      <c r="C131" s="14"/>
      <c r="D131" s="15"/>
      <c r="E131" s="16" t="s">
        <v>180</v>
      </c>
      <c r="F131" s="13"/>
      <c r="G131" s="38"/>
      <c r="H131" s="13"/>
      <c r="I131" s="19">
        <v>22000</v>
      </c>
      <c r="J131" s="19"/>
      <c r="K131" s="19"/>
      <c r="L131" s="19">
        <f>K131+J131</f>
        <v>0</v>
      </c>
      <c r="M131" s="19">
        <f>I131+L131</f>
        <v>22000</v>
      </c>
      <c r="N131" s="13"/>
      <c r="O131" s="20"/>
    </row>
    <row r="132" spans="1:15" s="21" customFormat="1" ht="45.95" customHeight="1" x14ac:dyDescent="0.35">
      <c r="A132" s="45"/>
      <c r="B132" s="13"/>
      <c r="C132" s="14"/>
      <c r="D132" s="15"/>
      <c r="E132" s="16" t="s">
        <v>179</v>
      </c>
      <c r="F132" s="13"/>
      <c r="G132" s="38"/>
      <c r="H132" s="13"/>
      <c r="I132" s="19">
        <f>I133</f>
        <v>150000</v>
      </c>
      <c r="J132" s="19">
        <f t="shared" ref="J132:M132" si="35">J133</f>
        <v>0</v>
      </c>
      <c r="K132" s="19">
        <f>K133</f>
        <v>0</v>
      </c>
      <c r="L132" s="19">
        <f t="shared" si="35"/>
        <v>0</v>
      </c>
      <c r="M132" s="19">
        <f t="shared" si="35"/>
        <v>150000</v>
      </c>
      <c r="N132" s="13"/>
      <c r="O132" s="20"/>
    </row>
    <row r="133" spans="1:15" ht="87" hidden="1" customHeight="1" x14ac:dyDescent="0.35">
      <c r="A133" s="56"/>
      <c r="B133" s="37"/>
      <c r="C133" s="57"/>
      <c r="D133" s="58"/>
      <c r="E133" s="51" t="s">
        <v>245</v>
      </c>
      <c r="F133" s="37">
        <v>2020</v>
      </c>
      <c r="G133" s="37"/>
      <c r="H133" s="37"/>
      <c r="I133" s="54">
        <v>150000</v>
      </c>
      <c r="J133" s="54"/>
      <c r="K133" s="7"/>
      <c r="L133" s="54">
        <f t="shared" ref="L133" si="36">K133+J133</f>
        <v>0</v>
      </c>
      <c r="M133" s="54">
        <f t="shared" ref="M133" si="37">I133+L133</f>
        <v>150000</v>
      </c>
      <c r="N133" s="13"/>
      <c r="O133" s="20"/>
    </row>
    <row r="134" spans="1:15" s="21" customFormat="1" ht="81.95" customHeight="1" x14ac:dyDescent="0.35">
      <c r="A134" s="45" t="s">
        <v>115</v>
      </c>
      <c r="B134" s="13">
        <v>1090</v>
      </c>
      <c r="C134" s="14" t="s">
        <v>116</v>
      </c>
      <c r="D134" s="15" t="s">
        <v>117</v>
      </c>
      <c r="E134" s="16" t="s">
        <v>179</v>
      </c>
      <c r="F134" s="13"/>
      <c r="G134" s="38"/>
      <c r="H134" s="13"/>
      <c r="I134" s="38">
        <f>I135</f>
        <v>300000</v>
      </c>
      <c r="J134" s="38">
        <f t="shared" ref="J134:M134" si="38">J135</f>
        <v>0</v>
      </c>
      <c r="K134" s="38">
        <f>K135</f>
        <v>0</v>
      </c>
      <c r="L134" s="38">
        <f t="shared" si="38"/>
        <v>0</v>
      </c>
      <c r="M134" s="38">
        <f t="shared" si="38"/>
        <v>300000</v>
      </c>
      <c r="N134" s="13"/>
      <c r="O134" s="20"/>
    </row>
    <row r="135" spans="1:15" s="21" customFormat="1" ht="28.5" hidden="1" customHeight="1" x14ac:dyDescent="0.35">
      <c r="A135" s="45"/>
      <c r="B135" s="13"/>
      <c r="C135" s="14"/>
      <c r="D135" s="15"/>
      <c r="E135" s="16" t="s">
        <v>179</v>
      </c>
      <c r="F135" s="13"/>
      <c r="G135" s="38"/>
      <c r="H135" s="13"/>
      <c r="I135" s="19">
        <f>I136+I137+I138</f>
        <v>300000</v>
      </c>
      <c r="J135" s="19">
        <f t="shared" ref="J135:M135" si="39">J136+J137+J138</f>
        <v>0</v>
      </c>
      <c r="K135" s="19">
        <f>K136+K137+K138</f>
        <v>0</v>
      </c>
      <c r="L135" s="19">
        <f t="shared" si="39"/>
        <v>0</v>
      </c>
      <c r="M135" s="19">
        <f t="shared" si="39"/>
        <v>300000</v>
      </c>
      <c r="N135" s="13"/>
      <c r="O135" s="20"/>
    </row>
    <row r="136" spans="1:15" ht="72" hidden="1" customHeight="1" x14ac:dyDescent="0.35">
      <c r="A136" s="56"/>
      <c r="B136" s="37"/>
      <c r="C136" s="57"/>
      <c r="D136" s="58"/>
      <c r="E136" s="58" t="s">
        <v>336</v>
      </c>
      <c r="F136" s="37">
        <v>2020</v>
      </c>
      <c r="G136" s="37"/>
      <c r="H136" s="37"/>
      <c r="I136" s="54">
        <v>100000</v>
      </c>
      <c r="J136" s="54"/>
      <c r="K136" s="7"/>
      <c r="L136" s="54">
        <f t="shared" ref="L136:L138" si="40">K136+J136</f>
        <v>0</v>
      </c>
      <c r="M136" s="54">
        <f t="shared" ref="M136:M138" si="41">I136+L136</f>
        <v>100000</v>
      </c>
      <c r="N136" s="13"/>
      <c r="O136" s="20"/>
    </row>
    <row r="137" spans="1:15" ht="105" hidden="1" customHeight="1" x14ac:dyDescent="0.35">
      <c r="A137" s="56"/>
      <c r="B137" s="37"/>
      <c r="C137" s="57"/>
      <c r="D137" s="58"/>
      <c r="E137" s="58" t="s">
        <v>334</v>
      </c>
      <c r="F137" s="37">
        <v>2020</v>
      </c>
      <c r="G137" s="37"/>
      <c r="H137" s="37"/>
      <c r="I137" s="54">
        <v>100000</v>
      </c>
      <c r="J137" s="54"/>
      <c r="K137" s="7"/>
      <c r="L137" s="54">
        <f t="shared" si="40"/>
        <v>0</v>
      </c>
      <c r="M137" s="54">
        <f t="shared" si="41"/>
        <v>100000</v>
      </c>
      <c r="N137" s="13"/>
      <c r="O137" s="20"/>
    </row>
    <row r="138" spans="1:15" ht="66.95" hidden="1" customHeight="1" x14ac:dyDescent="0.35">
      <c r="A138" s="56"/>
      <c r="B138" s="37"/>
      <c r="C138" s="57"/>
      <c r="D138" s="58"/>
      <c r="E138" s="66" t="s">
        <v>246</v>
      </c>
      <c r="F138" s="37">
        <v>2020</v>
      </c>
      <c r="G138" s="37"/>
      <c r="H138" s="37"/>
      <c r="I138" s="54">
        <v>100000</v>
      </c>
      <c r="J138" s="54"/>
      <c r="K138" s="7"/>
      <c r="L138" s="54">
        <f t="shared" si="40"/>
        <v>0</v>
      </c>
      <c r="M138" s="54">
        <f t="shared" si="41"/>
        <v>100000</v>
      </c>
      <c r="N138" s="13"/>
      <c r="O138" s="20"/>
    </row>
    <row r="139" spans="1:15" s="21" customFormat="1" ht="44.1" customHeight="1" x14ac:dyDescent="0.35">
      <c r="A139" s="45" t="s">
        <v>118</v>
      </c>
      <c r="B139" s="13">
        <v>1161</v>
      </c>
      <c r="C139" s="14" t="s">
        <v>119</v>
      </c>
      <c r="D139" s="15" t="s">
        <v>120</v>
      </c>
      <c r="E139" s="16" t="s">
        <v>179</v>
      </c>
      <c r="F139" s="13"/>
      <c r="G139" s="38"/>
      <c r="H139" s="13"/>
      <c r="I139" s="38">
        <f>I140</f>
        <v>300000</v>
      </c>
      <c r="J139" s="38">
        <f t="shared" ref="J139:M140" si="42">J140</f>
        <v>0</v>
      </c>
      <c r="K139" s="38">
        <f>K140</f>
        <v>0</v>
      </c>
      <c r="L139" s="38">
        <f t="shared" si="42"/>
        <v>0</v>
      </c>
      <c r="M139" s="38">
        <f t="shared" si="42"/>
        <v>300000</v>
      </c>
      <c r="N139" s="13"/>
      <c r="O139" s="20"/>
    </row>
    <row r="140" spans="1:15" s="21" customFormat="1" hidden="1" x14ac:dyDescent="0.35">
      <c r="A140" s="45"/>
      <c r="B140" s="13"/>
      <c r="C140" s="14"/>
      <c r="D140" s="15"/>
      <c r="E140" s="16" t="s">
        <v>179</v>
      </c>
      <c r="F140" s="13"/>
      <c r="G140" s="38"/>
      <c r="H140" s="13"/>
      <c r="I140" s="19">
        <f>I141</f>
        <v>300000</v>
      </c>
      <c r="J140" s="19">
        <f t="shared" si="42"/>
        <v>0</v>
      </c>
      <c r="K140" s="19">
        <f>K141</f>
        <v>0</v>
      </c>
      <c r="L140" s="19">
        <f t="shared" si="42"/>
        <v>0</v>
      </c>
      <c r="M140" s="19">
        <f t="shared" si="42"/>
        <v>300000</v>
      </c>
      <c r="N140" s="13"/>
      <c r="O140" s="20"/>
    </row>
    <row r="141" spans="1:15" s="9" customFormat="1" ht="86.1" hidden="1" customHeight="1" x14ac:dyDescent="0.35">
      <c r="A141" s="49"/>
      <c r="B141" s="5"/>
      <c r="C141" s="10"/>
      <c r="D141" s="6"/>
      <c r="E141" s="58" t="s">
        <v>489</v>
      </c>
      <c r="F141" s="37">
        <v>2020</v>
      </c>
      <c r="G141" s="7"/>
      <c r="H141" s="5"/>
      <c r="I141" s="54">
        <f>100000+200000</f>
        <v>300000</v>
      </c>
      <c r="J141" s="54"/>
      <c r="K141" s="54"/>
      <c r="L141" s="54">
        <f>J141+K141</f>
        <v>0</v>
      </c>
      <c r="M141" s="54">
        <f>I141+L141</f>
        <v>300000</v>
      </c>
      <c r="N141" s="22"/>
      <c r="O141" s="20"/>
    </row>
    <row r="142" spans="1:15" s="21" customFormat="1" ht="84" customHeight="1" x14ac:dyDescent="0.35">
      <c r="A142" s="45" t="s">
        <v>121</v>
      </c>
      <c r="B142" s="13">
        <v>5031</v>
      </c>
      <c r="C142" s="14" t="s">
        <v>90</v>
      </c>
      <c r="D142" s="15" t="s">
        <v>91</v>
      </c>
      <c r="E142" s="16" t="s">
        <v>180</v>
      </c>
      <c r="F142" s="13"/>
      <c r="G142" s="38"/>
      <c r="H142" s="13"/>
      <c r="I142" s="38">
        <f>550000+200000</f>
        <v>750000</v>
      </c>
      <c r="J142" s="38"/>
      <c r="K142" s="38"/>
      <c r="L142" s="38">
        <f>J142+K142</f>
        <v>0</v>
      </c>
      <c r="M142" s="38">
        <f>I142+L142</f>
        <v>750000</v>
      </c>
      <c r="N142" s="13"/>
      <c r="O142" s="20"/>
    </row>
    <row r="143" spans="1:15" s="21" customFormat="1" ht="99.95" customHeight="1" x14ac:dyDescent="0.35">
      <c r="A143" s="45" t="s">
        <v>504</v>
      </c>
      <c r="B143" s="13">
        <v>7363</v>
      </c>
      <c r="C143" s="14" t="s">
        <v>100</v>
      </c>
      <c r="D143" s="15" t="s">
        <v>249</v>
      </c>
      <c r="E143" s="16" t="s">
        <v>179</v>
      </c>
      <c r="F143" s="13"/>
      <c r="G143" s="38"/>
      <c r="H143" s="13"/>
      <c r="I143" s="38">
        <f>I145</f>
        <v>257580.91</v>
      </c>
      <c r="J143" s="38">
        <f t="shared" ref="J143:M143" si="43">J145</f>
        <v>0</v>
      </c>
      <c r="K143" s="38">
        <f>K145</f>
        <v>0</v>
      </c>
      <c r="L143" s="38">
        <f t="shared" si="43"/>
        <v>0</v>
      </c>
      <c r="M143" s="38">
        <f t="shared" si="43"/>
        <v>257580.91</v>
      </c>
      <c r="N143" s="13"/>
      <c r="O143" s="20"/>
    </row>
    <row r="144" spans="1:15" s="21" customFormat="1" ht="44.1" customHeight="1" x14ac:dyDescent="0.35">
      <c r="A144" s="45"/>
      <c r="B144" s="13"/>
      <c r="C144" s="14"/>
      <c r="D144" s="6" t="s">
        <v>105</v>
      </c>
      <c r="E144" s="16"/>
      <c r="F144" s="13"/>
      <c r="G144" s="38"/>
      <c r="H144" s="13"/>
      <c r="I144" s="7">
        <f>I146</f>
        <v>250078.55</v>
      </c>
      <c r="J144" s="7">
        <f t="shared" ref="J144:M144" si="44">J146</f>
        <v>0</v>
      </c>
      <c r="K144" s="7">
        <f t="shared" si="44"/>
        <v>0</v>
      </c>
      <c r="L144" s="7">
        <f t="shared" si="44"/>
        <v>0</v>
      </c>
      <c r="M144" s="7">
        <f t="shared" si="44"/>
        <v>250078.55</v>
      </c>
      <c r="N144" s="13"/>
      <c r="O144" s="20"/>
    </row>
    <row r="145" spans="1:15" s="21" customFormat="1" ht="98.1" hidden="1" customHeight="1" x14ac:dyDescent="0.35">
      <c r="A145" s="45"/>
      <c r="B145" s="13"/>
      <c r="C145" s="14"/>
      <c r="D145" s="15"/>
      <c r="E145" s="6" t="s">
        <v>505</v>
      </c>
      <c r="F145" s="37" t="s">
        <v>40</v>
      </c>
      <c r="G145" s="53">
        <v>1462600</v>
      </c>
      <c r="H145" s="37">
        <v>82</v>
      </c>
      <c r="I145" s="54">
        <v>257580.91</v>
      </c>
      <c r="J145" s="54"/>
      <c r="K145" s="54"/>
      <c r="L145" s="54">
        <f>K145+J145</f>
        <v>0</v>
      </c>
      <c r="M145" s="54">
        <f>I145+L145</f>
        <v>257580.91</v>
      </c>
      <c r="N145" s="37">
        <v>100</v>
      </c>
      <c r="O145" s="20"/>
    </row>
    <row r="146" spans="1:15" s="21" customFormat="1" ht="26.45" hidden="1" customHeight="1" x14ac:dyDescent="0.35">
      <c r="A146" s="45"/>
      <c r="B146" s="13"/>
      <c r="C146" s="14"/>
      <c r="D146" s="15"/>
      <c r="E146" s="6" t="s">
        <v>105</v>
      </c>
      <c r="F146" s="13"/>
      <c r="G146" s="38"/>
      <c r="H146" s="13"/>
      <c r="I146" s="7">
        <v>250078.55</v>
      </c>
      <c r="J146" s="38"/>
      <c r="K146" s="7"/>
      <c r="L146" s="7">
        <f>J146+K146</f>
        <v>0</v>
      </c>
      <c r="M146" s="7">
        <f>I146+L146</f>
        <v>250078.55</v>
      </c>
      <c r="N146" s="13"/>
      <c r="O146" s="20"/>
    </row>
    <row r="147" spans="1:15" s="21" customFormat="1" ht="33.6" customHeight="1" x14ac:dyDescent="0.35">
      <c r="A147" s="45" t="s">
        <v>122</v>
      </c>
      <c r="B147" s="13">
        <v>7640</v>
      </c>
      <c r="C147" s="14" t="s">
        <v>123</v>
      </c>
      <c r="D147" s="15" t="s">
        <v>6</v>
      </c>
      <c r="E147" s="15"/>
      <c r="F147" s="13"/>
      <c r="G147" s="38"/>
      <c r="H147" s="13"/>
      <c r="I147" s="38">
        <f>I148+I149</f>
        <v>2993200</v>
      </c>
      <c r="J147" s="38">
        <f t="shared" ref="J147:M147" si="45">J148+J149</f>
        <v>0</v>
      </c>
      <c r="K147" s="38">
        <f t="shared" si="45"/>
        <v>0</v>
      </c>
      <c r="L147" s="38">
        <f t="shared" si="45"/>
        <v>0</v>
      </c>
      <c r="M147" s="38">
        <f t="shared" si="45"/>
        <v>2993200</v>
      </c>
      <c r="N147" s="13"/>
      <c r="O147" s="20"/>
    </row>
    <row r="148" spans="1:15" s="21" customFormat="1" ht="41.1" customHeight="1" x14ac:dyDescent="0.35">
      <c r="A148" s="22"/>
      <c r="B148" s="13"/>
      <c r="C148" s="14"/>
      <c r="D148" s="16"/>
      <c r="E148" s="16" t="s">
        <v>180</v>
      </c>
      <c r="F148" s="13"/>
      <c r="G148" s="38"/>
      <c r="H148" s="13"/>
      <c r="I148" s="19">
        <v>143200</v>
      </c>
      <c r="J148" s="19"/>
      <c r="K148" s="19"/>
      <c r="L148" s="19">
        <f>J148+K148</f>
        <v>0</v>
      </c>
      <c r="M148" s="19">
        <f>I148+L148</f>
        <v>143200</v>
      </c>
      <c r="N148" s="13"/>
      <c r="O148" s="20"/>
    </row>
    <row r="149" spans="1:15" s="21" customFormat="1" ht="36" customHeight="1" x14ac:dyDescent="0.35">
      <c r="A149" s="45"/>
      <c r="B149" s="13"/>
      <c r="C149" s="14"/>
      <c r="D149" s="15"/>
      <c r="E149" s="16" t="s">
        <v>179</v>
      </c>
      <c r="F149" s="13"/>
      <c r="G149" s="38"/>
      <c r="H149" s="13"/>
      <c r="I149" s="19">
        <f>I150+I151+I152</f>
        <v>2850000</v>
      </c>
      <c r="J149" s="19">
        <f t="shared" ref="J149:M149" si="46">J150+J151+J152</f>
        <v>0</v>
      </c>
      <c r="K149" s="19">
        <f>K150+K151+K152</f>
        <v>0</v>
      </c>
      <c r="L149" s="19">
        <f t="shared" si="46"/>
        <v>0</v>
      </c>
      <c r="M149" s="19">
        <f t="shared" si="46"/>
        <v>2850000</v>
      </c>
      <c r="N149" s="13"/>
      <c r="O149" s="20"/>
    </row>
    <row r="150" spans="1:15" ht="105.95" hidden="1" customHeight="1" x14ac:dyDescent="0.35">
      <c r="A150" s="56"/>
      <c r="B150" s="37"/>
      <c r="C150" s="57"/>
      <c r="D150" s="58"/>
      <c r="E150" s="66" t="s">
        <v>335</v>
      </c>
      <c r="F150" s="37">
        <v>2020</v>
      </c>
      <c r="G150" s="54"/>
      <c r="H150" s="37"/>
      <c r="I150" s="54">
        <v>1250000</v>
      </c>
      <c r="J150" s="54"/>
      <c r="K150" s="54"/>
      <c r="L150" s="54">
        <f t="shared" ref="L150:L152" si="47">K150+J150</f>
        <v>0</v>
      </c>
      <c r="M150" s="54">
        <f t="shared" ref="M150:M152" si="48">I150+L150</f>
        <v>1250000</v>
      </c>
      <c r="N150" s="13"/>
      <c r="O150" s="20"/>
    </row>
    <row r="151" spans="1:15" ht="121.5" hidden="1" customHeight="1" x14ac:dyDescent="0.35">
      <c r="A151" s="56"/>
      <c r="B151" s="37"/>
      <c r="C151" s="57"/>
      <c r="D151" s="58"/>
      <c r="E151" s="58" t="s">
        <v>255</v>
      </c>
      <c r="F151" s="37">
        <v>2020</v>
      </c>
      <c r="G151" s="54"/>
      <c r="H151" s="37"/>
      <c r="I151" s="54">
        <v>800000</v>
      </c>
      <c r="J151" s="54"/>
      <c r="K151" s="54"/>
      <c r="L151" s="54">
        <f t="shared" si="47"/>
        <v>0</v>
      </c>
      <c r="M151" s="54">
        <f t="shared" si="48"/>
        <v>800000</v>
      </c>
      <c r="N151" s="13"/>
      <c r="O151" s="20"/>
    </row>
    <row r="152" spans="1:15" ht="126.95" hidden="1" customHeight="1" x14ac:dyDescent="0.35">
      <c r="A152" s="56"/>
      <c r="B152" s="37"/>
      <c r="C152" s="57"/>
      <c r="D152" s="58"/>
      <c r="E152" s="58" t="s">
        <v>597</v>
      </c>
      <c r="F152" s="37">
        <v>2020</v>
      </c>
      <c r="G152" s="54"/>
      <c r="H152" s="37"/>
      <c r="I152" s="54">
        <v>800000</v>
      </c>
      <c r="J152" s="54"/>
      <c r="K152" s="54"/>
      <c r="L152" s="54">
        <f t="shared" si="47"/>
        <v>0</v>
      </c>
      <c r="M152" s="54">
        <f t="shared" si="48"/>
        <v>800000</v>
      </c>
      <c r="N152" s="13"/>
      <c r="O152" s="20"/>
    </row>
    <row r="153" spans="1:15" ht="50.1" hidden="1" customHeight="1" x14ac:dyDescent="0.35">
      <c r="A153" s="67" t="s">
        <v>124</v>
      </c>
      <c r="B153" s="37"/>
      <c r="C153" s="37"/>
      <c r="D153" s="15" t="s">
        <v>126</v>
      </c>
      <c r="E153" s="37"/>
      <c r="F153" s="37"/>
      <c r="G153" s="37"/>
      <c r="H153" s="37"/>
      <c r="I153" s="38">
        <f>I154</f>
        <v>72291074</v>
      </c>
      <c r="J153" s="38">
        <f t="shared" ref="J153:M153" si="49">J154</f>
        <v>0</v>
      </c>
      <c r="K153" s="38">
        <f t="shared" si="49"/>
        <v>0</v>
      </c>
      <c r="L153" s="38">
        <f t="shared" si="49"/>
        <v>0</v>
      </c>
      <c r="M153" s="38">
        <f t="shared" si="49"/>
        <v>72291074</v>
      </c>
      <c r="N153" s="37"/>
      <c r="O153" s="20"/>
    </row>
    <row r="154" spans="1:15" s="44" customFormat="1" ht="53.1" customHeight="1" x14ac:dyDescent="0.4">
      <c r="A154" s="68" t="s">
        <v>125</v>
      </c>
      <c r="B154" s="41"/>
      <c r="C154" s="61"/>
      <c r="D154" s="62" t="s">
        <v>126</v>
      </c>
      <c r="E154" s="63"/>
      <c r="F154" s="41"/>
      <c r="G154" s="64"/>
      <c r="H154" s="41"/>
      <c r="I154" s="42">
        <f>I155+I156+I157+I158+I159</f>
        <v>72291074</v>
      </c>
      <c r="J154" s="42">
        <f t="shared" ref="J154:K154" si="50">J155+J156+J157+J158+J159</f>
        <v>0</v>
      </c>
      <c r="K154" s="42">
        <f t="shared" si="50"/>
        <v>0</v>
      </c>
      <c r="L154" s="42">
        <f>L155+L156+L157+L158+L159</f>
        <v>0</v>
      </c>
      <c r="M154" s="42">
        <f>M155+M156+M157+M158+M159</f>
        <v>72291074</v>
      </c>
      <c r="N154" s="60"/>
      <c r="O154" s="69"/>
    </row>
    <row r="155" spans="1:15" ht="64.5" customHeight="1" x14ac:dyDescent="0.35">
      <c r="A155" s="45" t="s">
        <v>127</v>
      </c>
      <c r="B155" s="13">
        <v>2010</v>
      </c>
      <c r="C155" s="14" t="s">
        <v>128</v>
      </c>
      <c r="D155" s="15" t="s">
        <v>129</v>
      </c>
      <c r="E155" s="16" t="s">
        <v>182</v>
      </c>
      <c r="F155" s="37"/>
      <c r="G155" s="54"/>
      <c r="H155" s="37"/>
      <c r="I155" s="38">
        <f>27530000+2706500</f>
        <v>30236500</v>
      </c>
      <c r="J155" s="38">
        <v>-3000000</v>
      </c>
      <c r="K155" s="38"/>
      <c r="L155" s="38">
        <f>J155+K155</f>
        <v>-3000000</v>
      </c>
      <c r="M155" s="38">
        <f>I155+L155</f>
        <v>27236500</v>
      </c>
      <c r="N155" s="13"/>
      <c r="O155" s="20"/>
    </row>
    <row r="156" spans="1:15" ht="68.45" customHeight="1" x14ac:dyDescent="0.35">
      <c r="A156" s="45" t="s">
        <v>130</v>
      </c>
      <c r="B156" s="13">
        <v>2030</v>
      </c>
      <c r="C156" s="14" t="s">
        <v>131</v>
      </c>
      <c r="D156" s="15" t="s">
        <v>132</v>
      </c>
      <c r="E156" s="16" t="s">
        <v>182</v>
      </c>
      <c r="F156" s="37"/>
      <c r="G156" s="54"/>
      <c r="H156" s="37"/>
      <c r="I156" s="38">
        <v>15040600</v>
      </c>
      <c r="J156" s="38"/>
      <c r="K156" s="38"/>
      <c r="L156" s="38">
        <f t="shared" ref="L156:L158" si="51">J156+K156</f>
        <v>0</v>
      </c>
      <c r="M156" s="38">
        <f t="shared" ref="M156:M158" si="52">I156+L156</f>
        <v>15040600</v>
      </c>
      <c r="N156" s="13"/>
      <c r="O156" s="20"/>
    </row>
    <row r="157" spans="1:15" ht="66.599999999999994" customHeight="1" x14ac:dyDescent="0.35">
      <c r="A157" s="45" t="s">
        <v>133</v>
      </c>
      <c r="B157" s="13">
        <v>21000</v>
      </c>
      <c r="C157" s="14" t="s">
        <v>134</v>
      </c>
      <c r="D157" s="15" t="s">
        <v>135</v>
      </c>
      <c r="E157" s="16" t="s">
        <v>182</v>
      </c>
      <c r="F157" s="37"/>
      <c r="G157" s="54"/>
      <c r="H157" s="37"/>
      <c r="I157" s="38">
        <v>1130000</v>
      </c>
      <c r="J157" s="38"/>
      <c r="K157" s="38"/>
      <c r="L157" s="38">
        <f t="shared" si="51"/>
        <v>0</v>
      </c>
      <c r="M157" s="38">
        <f t="shared" si="52"/>
        <v>1130000</v>
      </c>
      <c r="N157" s="13"/>
      <c r="O157" s="20"/>
    </row>
    <row r="158" spans="1:15" ht="60.6" customHeight="1" x14ac:dyDescent="0.35">
      <c r="A158" s="45" t="s">
        <v>136</v>
      </c>
      <c r="B158" s="13">
        <v>7640</v>
      </c>
      <c r="C158" s="14" t="s">
        <v>123</v>
      </c>
      <c r="D158" s="15" t="s">
        <v>6</v>
      </c>
      <c r="E158" s="16" t="s">
        <v>182</v>
      </c>
      <c r="F158" s="37"/>
      <c r="G158" s="54"/>
      <c r="H158" s="37"/>
      <c r="I158" s="38">
        <f>25774304+109670</f>
        <v>25883974</v>
      </c>
      <c r="J158" s="38"/>
      <c r="K158" s="38"/>
      <c r="L158" s="38">
        <f t="shared" si="51"/>
        <v>0</v>
      </c>
      <c r="M158" s="38">
        <f t="shared" si="52"/>
        <v>25883974</v>
      </c>
      <c r="N158" s="13"/>
      <c r="O158" s="20"/>
    </row>
    <row r="159" spans="1:15" ht="116.1" customHeight="1" x14ac:dyDescent="0.35">
      <c r="A159" s="45" t="s">
        <v>600</v>
      </c>
      <c r="B159" s="13">
        <v>7361</v>
      </c>
      <c r="C159" s="14" t="s">
        <v>100</v>
      </c>
      <c r="D159" s="15" t="s">
        <v>599</v>
      </c>
      <c r="E159" s="58" t="s">
        <v>605</v>
      </c>
      <c r="F159" s="37" t="s">
        <v>50</v>
      </c>
      <c r="G159" s="53">
        <v>9862532</v>
      </c>
      <c r="H159" s="70">
        <v>3.2</v>
      </c>
      <c r="I159" s="38"/>
      <c r="J159" s="38">
        <v>3000000</v>
      </c>
      <c r="K159" s="38"/>
      <c r="L159" s="38">
        <f>J159+K159</f>
        <v>3000000</v>
      </c>
      <c r="M159" s="38">
        <f>L159+I159</f>
        <v>3000000</v>
      </c>
      <c r="N159" s="70">
        <v>30</v>
      </c>
      <c r="O159" s="20"/>
    </row>
    <row r="160" spans="1:15" ht="71.45" hidden="1" customHeight="1" x14ac:dyDescent="0.35">
      <c r="A160" s="67" t="s">
        <v>137</v>
      </c>
      <c r="B160" s="37"/>
      <c r="C160" s="57"/>
      <c r="D160" s="71" t="s">
        <v>139</v>
      </c>
      <c r="E160" s="58"/>
      <c r="F160" s="37"/>
      <c r="G160" s="54"/>
      <c r="H160" s="37"/>
      <c r="I160" s="38">
        <f>I161</f>
        <v>1118540</v>
      </c>
      <c r="J160" s="38">
        <f t="shared" ref="J160:M160" si="53">J161</f>
        <v>0</v>
      </c>
      <c r="K160" s="38">
        <f t="shared" si="53"/>
        <v>0</v>
      </c>
      <c r="L160" s="38">
        <f t="shared" si="53"/>
        <v>0</v>
      </c>
      <c r="M160" s="38">
        <f t="shared" si="53"/>
        <v>1118540</v>
      </c>
      <c r="N160" s="13"/>
      <c r="O160" s="20"/>
    </row>
    <row r="161" spans="1:15" s="44" customFormat="1" ht="69.599999999999994" customHeight="1" x14ac:dyDescent="0.4">
      <c r="A161" s="68" t="s">
        <v>138</v>
      </c>
      <c r="B161" s="41"/>
      <c r="C161" s="61"/>
      <c r="D161" s="72" t="s">
        <v>139</v>
      </c>
      <c r="E161" s="63"/>
      <c r="F161" s="41"/>
      <c r="G161" s="64"/>
      <c r="H161" s="41"/>
      <c r="I161" s="42">
        <f>I163+I167+I162</f>
        <v>1118540</v>
      </c>
      <c r="J161" s="42">
        <f t="shared" ref="J161:M161" si="54">J163+J167+J162</f>
        <v>0</v>
      </c>
      <c r="K161" s="42">
        <f>K163+K167+K162</f>
        <v>0</v>
      </c>
      <c r="L161" s="42">
        <f t="shared" si="54"/>
        <v>0</v>
      </c>
      <c r="M161" s="42">
        <f t="shared" si="54"/>
        <v>1118540</v>
      </c>
      <c r="N161" s="60"/>
      <c r="O161" s="69"/>
    </row>
    <row r="162" spans="1:15" s="21" customFormat="1" ht="123" customHeight="1" x14ac:dyDescent="0.35">
      <c r="A162" s="67" t="s">
        <v>542</v>
      </c>
      <c r="B162" s="13">
        <v>3104</v>
      </c>
      <c r="C162" s="14" t="s">
        <v>544</v>
      </c>
      <c r="D162" s="15" t="s">
        <v>543</v>
      </c>
      <c r="E162" s="16" t="s">
        <v>180</v>
      </c>
      <c r="F162" s="13"/>
      <c r="G162" s="38"/>
      <c r="H162" s="13"/>
      <c r="I162" s="38">
        <v>342900</v>
      </c>
      <c r="J162" s="38"/>
      <c r="K162" s="38"/>
      <c r="L162" s="38">
        <f>K162+J162</f>
        <v>0</v>
      </c>
      <c r="M162" s="38">
        <f>I162+L162</f>
        <v>342900</v>
      </c>
      <c r="N162" s="13"/>
      <c r="O162" s="20"/>
    </row>
    <row r="163" spans="1:15" s="21" customFormat="1" ht="81.95" customHeight="1" x14ac:dyDescent="0.35">
      <c r="A163" s="67" t="s">
        <v>140</v>
      </c>
      <c r="B163" s="13">
        <v>3241</v>
      </c>
      <c r="C163" s="14" t="s">
        <v>141</v>
      </c>
      <c r="D163" s="15" t="s">
        <v>142</v>
      </c>
      <c r="E163" s="15"/>
      <c r="F163" s="13"/>
      <c r="G163" s="38"/>
      <c r="H163" s="13"/>
      <c r="I163" s="38">
        <f>I164+I165</f>
        <v>740000</v>
      </c>
      <c r="J163" s="38">
        <f t="shared" ref="J163:M163" si="55">J164+J165</f>
        <v>0</v>
      </c>
      <c r="K163" s="38">
        <f t="shared" si="55"/>
        <v>0</v>
      </c>
      <c r="L163" s="38">
        <f t="shared" si="55"/>
        <v>0</v>
      </c>
      <c r="M163" s="38">
        <f t="shared" si="55"/>
        <v>740000</v>
      </c>
      <c r="N163" s="13"/>
      <c r="O163" s="20"/>
    </row>
    <row r="164" spans="1:15" s="21" customFormat="1" ht="57.6" customHeight="1" x14ac:dyDescent="0.35">
      <c r="A164" s="22"/>
      <c r="B164" s="13"/>
      <c r="C164" s="14"/>
      <c r="D164" s="16"/>
      <c r="E164" s="16" t="s">
        <v>180</v>
      </c>
      <c r="F164" s="13"/>
      <c r="G164" s="38"/>
      <c r="H164" s="13"/>
      <c r="I164" s="19">
        <f>500000+40000</f>
        <v>540000</v>
      </c>
      <c r="J164" s="19"/>
      <c r="K164" s="19"/>
      <c r="L164" s="19">
        <f>J164+K164</f>
        <v>0</v>
      </c>
      <c r="M164" s="19">
        <f>I164+L164</f>
        <v>540000</v>
      </c>
      <c r="N164" s="13"/>
      <c r="O164" s="20"/>
    </row>
    <row r="165" spans="1:15" s="21" customFormat="1" ht="47.1" customHeight="1" x14ac:dyDescent="0.35">
      <c r="A165" s="45"/>
      <c r="B165" s="13"/>
      <c r="C165" s="14"/>
      <c r="D165" s="15"/>
      <c r="E165" s="16" t="s">
        <v>179</v>
      </c>
      <c r="F165" s="13"/>
      <c r="G165" s="38"/>
      <c r="H165" s="13"/>
      <c r="I165" s="19">
        <f>I166</f>
        <v>200000</v>
      </c>
      <c r="J165" s="19">
        <f t="shared" ref="J165:M165" si="56">J166</f>
        <v>0</v>
      </c>
      <c r="K165" s="19">
        <f t="shared" si="56"/>
        <v>0</v>
      </c>
      <c r="L165" s="19">
        <f t="shared" si="56"/>
        <v>0</v>
      </c>
      <c r="M165" s="19">
        <f t="shared" si="56"/>
        <v>200000</v>
      </c>
      <c r="N165" s="13"/>
      <c r="O165" s="20"/>
    </row>
    <row r="166" spans="1:15" ht="66.599999999999994" hidden="1" customHeight="1" x14ac:dyDescent="0.35">
      <c r="A166" s="56"/>
      <c r="B166" s="37"/>
      <c r="C166" s="57"/>
      <c r="D166" s="58"/>
      <c r="E166" s="58" t="s">
        <v>252</v>
      </c>
      <c r="F166" s="37">
        <v>2020</v>
      </c>
      <c r="G166" s="53"/>
      <c r="H166" s="37"/>
      <c r="I166" s="54">
        <v>200000</v>
      </c>
      <c r="J166" s="54"/>
      <c r="K166" s="54"/>
      <c r="L166" s="54">
        <f>J166+K166</f>
        <v>0</v>
      </c>
      <c r="M166" s="54">
        <f>I166+L166</f>
        <v>200000</v>
      </c>
      <c r="N166" s="37"/>
      <c r="O166" s="20"/>
    </row>
    <row r="167" spans="1:15" s="21" customFormat="1" ht="69.599999999999994" customHeight="1" x14ac:dyDescent="0.35">
      <c r="A167" s="67" t="s">
        <v>143</v>
      </c>
      <c r="B167" s="13">
        <v>3242</v>
      </c>
      <c r="C167" s="14" t="s">
        <v>141</v>
      </c>
      <c r="D167" s="15" t="s">
        <v>144</v>
      </c>
      <c r="E167" s="16" t="s">
        <v>183</v>
      </c>
      <c r="F167" s="13"/>
      <c r="G167" s="38"/>
      <c r="H167" s="13"/>
      <c r="I167" s="38">
        <v>35640</v>
      </c>
      <c r="J167" s="38"/>
      <c r="K167" s="38"/>
      <c r="L167" s="38">
        <f>J167+K167</f>
        <v>0</v>
      </c>
      <c r="M167" s="38">
        <f>I167+L167</f>
        <v>35640</v>
      </c>
      <c r="N167" s="13"/>
      <c r="O167" s="20"/>
    </row>
    <row r="168" spans="1:15" ht="63.6" hidden="1" customHeight="1" x14ac:dyDescent="0.35">
      <c r="A168" s="46" t="s">
        <v>145</v>
      </c>
      <c r="B168" s="73"/>
      <c r="C168" s="73"/>
      <c r="D168" s="71" t="s">
        <v>146</v>
      </c>
      <c r="E168" s="58"/>
      <c r="F168" s="37"/>
      <c r="G168" s="54"/>
      <c r="H168" s="37"/>
      <c r="I168" s="38">
        <f t="shared" ref="I168:M169" si="57">I169</f>
        <v>20000</v>
      </c>
      <c r="J168" s="38">
        <f t="shared" si="57"/>
        <v>0</v>
      </c>
      <c r="K168" s="38">
        <f t="shared" si="57"/>
        <v>0</v>
      </c>
      <c r="L168" s="38">
        <f t="shared" si="57"/>
        <v>0</v>
      </c>
      <c r="M168" s="38">
        <f t="shared" si="57"/>
        <v>20000</v>
      </c>
      <c r="N168" s="37"/>
      <c r="O168" s="20"/>
    </row>
    <row r="169" spans="1:15" s="44" customFormat="1" ht="48.95" customHeight="1" x14ac:dyDescent="0.4">
      <c r="A169" s="74" t="s">
        <v>147</v>
      </c>
      <c r="B169" s="75"/>
      <c r="C169" s="75"/>
      <c r="D169" s="72" t="s">
        <v>146</v>
      </c>
      <c r="E169" s="63"/>
      <c r="F169" s="41"/>
      <c r="G169" s="64"/>
      <c r="H169" s="41"/>
      <c r="I169" s="42">
        <f t="shared" si="57"/>
        <v>20000</v>
      </c>
      <c r="J169" s="42">
        <f t="shared" si="57"/>
        <v>0</v>
      </c>
      <c r="K169" s="42">
        <f>K170</f>
        <v>0</v>
      </c>
      <c r="L169" s="42">
        <f t="shared" si="57"/>
        <v>0</v>
      </c>
      <c r="M169" s="42">
        <f t="shared" si="57"/>
        <v>20000</v>
      </c>
      <c r="N169" s="41"/>
      <c r="O169" s="69"/>
    </row>
    <row r="170" spans="1:15" s="21" customFormat="1" ht="129" customHeight="1" x14ac:dyDescent="0.35">
      <c r="A170" s="67" t="s">
        <v>148</v>
      </c>
      <c r="B170" s="13">
        <v>3111</v>
      </c>
      <c r="C170" s="14" t="s">
        <v>149</v>
      </c>
      <c r="D170" s="15" t="s">
        <v>150</v>
      </c>
      <c r="E170" s="16" t="s">
        <v>180</v>
      </c>
      <c r="F170" s="13"/>
      <c r="G170" s="38"/>
      <c r="H170" s="13"/>
      <c r="I170" s="38">
        <v>20000</v>
      </c>
      <c r="J170" s="38"/>
      <c r="K170" s="38"/>
      <c r="L170" s="38">
        <f>J170+K170</f>
        <v>0</v>
      </c>
      <c r="M170" s="38">
        <f>I170+L170</f>
        <v>20000</v>
      </c>
      <c r="N170" s="13"/>
      <c r="O170" s="55"/>
    </row>
    <row r="171" spans="1:15" ht="51.95" hidden="1" customHeight="1" x14ac:dyDescent="0.35">
      <c r="A171" s="67" t="s">
        <v>151</v>
      </c>
      <c r="B171" s="76"/>
      <c r="C171" s="76"/>
      <c r="D171" s="71" t="s">
        <v>152</v>
      </c>
      <c r="E171" s="58"/>
      <c r="F171" s="37"/>
      <c r="G171" s="54"/>
      <c r="H171" s="37"/>
      <c r="I171" s="38">
        <f>I172</f>
        <v>1275995</v>
      </c>
      <c r="J171" s="38">
        <f t="shared" ref="J171:M171" si="58">J172</f>
        <v>0</v>
      </c>
      <c r="K171" s="38">
        <f t="shared" si="58"/>
        <v>0</v>
      </c>
      <c r="L171" s="38">
        <f t="shared" si="58"/>
        <v>0</v>
      </c>
      <c r="M171" s="38">
        <f t="shared" si="58"/>
        <v>1275995</v>
      </c>
      <c r="N171" s="37"/>
      <c r="O171" s="55"/>
    </row>
    <row r="172" spans="1:15" s="44" customFormat="1" ht="48" customHeight="1" x14ac:dyDescent="0.4">
      <c r="A172" s="68" t="s">
        <v>153</v>
      </c>
      <c r="B172" s="77"/>
      <c r="C172" s="77"/>
      <c r="D172" s="72" t="s">
        <v>152</v>
      </c>
      <c r="E172" s="63"/>
      <c r="F172" s="41"/>
      <c r="G172" s="64"/>
      <c r="H172" s="41"/>
      <c r="I172" s="42">
        <f>I173+I174+I176+I175</f>
        <v>1275995</v>
      </c>
      <c r="J172" s="42">
        <f t="shared" ref="J172:M172" si="59">J173+J174+J176+J175</f>
        <v>0</v>
      </c>
      <c r="K172" s="42">
        <f>K173+K174+K176+K175</f>
        <v>0</v>
      </c>
      <c r="L172" s="42">
        <f t="shared" si="59"/>
        <v>0</v>
      </c>
      <c r="M172" s="42">
        <f t="shared" si="59"/>
        <v>1275995</v>
      </c>
      <c r="N172" s="41"/>
      <c r="O172" s="65"/>
    </row>
    <row r="173" spans="1:15" s="21" customFormat="1" ht="48.95" customHeight="1" x14ac:dyDescent="0.35">
      <c r="A173" s="67" t="s">
        <v>154</v>
      </c>
      <c r="B173" s="13">
        <v>1100</v>
      </c>
      <c r="C173" s="14" t="s">
        <v>116</v>
      </c>
      <c r="D173" s="15" t="s">
        <v>155</v>
      </c>
      <c r="E173" s="16" t="s">
        <v>180</v>
      </c>
      <c r="F173" s="13"/>
      <c r="G173" s="38"/>
      <c r="H173" s="13"/>
      <c r="I173" s="38">
        <f>500000+42000</f>
        <v>542000</v>
      </c>
      <c r="J173" s="38"/>
      <c r="K173" s="38"/>
      <c r="L173" s="38">
        <f>J173+K173</f>
        <v>0</v>
      </c>
      <c r="M173" s="38">
        <f>I173+L173</f>
        <v>542000</v>
      </c>
      <c r="N173" s="13"/>
      <c r="O173" s="55"/>
    </row>
    <row r="174" spans="1:15" s="21" customFormat="1" ht="51" customHeight="1" x14ac:dyDescent="0.35">
      <c r="A174" s="67" t="s">
        <v>156</v>
      </c>
      <c r="B174" s="13">
        <v>4030</v>
      </c>
      <c r="C174" s="14" t="s">
        <v>157</v>
      </c>
      <c r="D174" s="15" t="s">
        <v>158</v>
      </c>
      <c r="E174" s="16" t="s">
        <v>180</v>
      </c>
      <c r="F174" s="13"/>
      <c r="G174" s="38"/>
      <c r="H174" s="13"/>
      <c r="I174" s="38">
        <f>100000+216795</f>
        <v>316795</v>
      </c>
      <c r="J174" s="38"/>
      <c r="K174" s="38"/>
      <c r="L174" s="38">
        <f>J174+K174</f>
        <v>0</v>
      </c>
      <c r="M174" s="38">
        <f>I174+L174</f>
        <v>316795</v>
      </c>
      <c r="N174" s="13"/>
      <c r="O174" s="55"/>
    </row>
    <row r="175" spans="1:15" s="21" customFormat="1" ht="83.1" customHeight="1" x14ac:dyDescent="0.35">
      <c r="A175" s="67" t="s">
        <v>545</v>
      </c>
      <c r="B175" s="13">
        <v>4060</v>
      </c>
      <c r="C175" s="14" t="s">
        <v>83</v>
      </c>
      <c r="D175" s="15" t="s">
        <v>546</v>
      </c>
      <c r="E175" s="16" t="s">
        <v>180</v>
      </c>
      <c r="F175" s="13"/>
      <c r="G175" s="38"/>
      <c r="H175" s="13"/>
      <c r="I175" s="38">
        <v>21200</v>
      </c>
      <c r="J175" s="38"/>
      <c r="K175" s="38"/>
      <c r="L175" s="38">
        <f>J175+K175</f>
        <v>0</v>
      </c>
      <c r="M175" s="38">
        <f>I175+L175</f>
        <v>21200</v>
      </c>
      <c r="N175" s="13"/>
      <c r="O175" s="55"/>
    </row>
    <row r="176" spans="1:15" s="21" customFormat="1" ht="48.95" customHeight="1" x14ac:dyDescent="0.35">
      <c r="A176" s="67" t="s">
        <v>159</v>
      </c>
      <c r="B176" s="13">
        <v>7640</v>
      </c>
      <c r="C176" s="14" t="s">
        <v>123</v>
      </c>
      <c r="D176" s="78" t="s">
        <v>6</v>
      </c>
      <c r="E176" s="16" t="s">
        <v>179</v>
      </c>
      <c r="F176" s="13"/>
      <c r="G176" s="38"/>
      <c r="H176" s="13"/>
      <c r="I176" s="19">
        <f>I177</f>
        <v>396000</v>
      </c>
      <c r="J176" s="19">
        <f t="shared" ref="J176:M176" si="60">J177</f>
        <v>0</v>
      </c>
      <c r="K176" s="19">
        <f t="shared" si="60"/>
        <v>0</v>
      </c>
      <c r="L176" s="19">
        <f t="shared" si="60"/>
        <v>0</v>
      </c>
      <c r="M176" s="19">
        <f t="shared" si="60"/>
        <v>396000</v>
      </c>
      <c r="N176" s="13"/>
      <c r="O176" s="55"/>
    </row>
    <row r="177" spans="1:15" ht="80.45" hidden="1" customHeight="1" x14ac:dyDescent="0.35">
      <c r="A177" s="79"/>
      <c r="B177" s="37"/>
      <c r="C177" s="57"/>
      <c r="D177" s="80"/>
      <c r="E177" s="58" t="s">
        <v>184</v>
      </c>
      <c r="F177" s="37">
        <v>2020</v>
      </c>
      <c r="G177" s="53">
        <v>396000</v>
      </c>
      <c r="H177" s="37"/>
      <c r="I177" s="54">
        <v>396000</v>
      </c>
      <c r="J177" s="54"/>
      <c r="K177" s="54"/>
      <c r="L177" s="54">
        <f>J177+K177</f>
        <v>0</v>
      </c>
      <c r="M177" s="54">
        <f>I177+L177</f>
        <v>396000</v>
      </c>
      <c r="N177" s="37">
        <v>100</v>
      </c>
      <c r="O177" s="55"/>
    </row>
    <row r="178" spans="1:15" ht="53.1" hidden="1" customHeight="1" x14ac:dyDescent="0.35">
      <c r="A178" s="13">
        <v>1200000</v>
      </c>
      <c r="B178" s="37"/>
      <c r="C178" s="37"/>
      <c r="D178" s="15" t="s">
        <v>15</v>
      </c>
      <c r="E178" s="37"/>
      <c r="F178" s="37"/>
      <c r="G178" s="37"/>
      <c r="H178" s="37"/>
      <c r="I178" s="38">
        <f>I179</f>
        <v>137225893.41999999</v>
      </c>
      <c r="J178" s="38">
        <f t="shared" ref="J178:M178" si="61">J179</f>
        <v>6113</v>
      </c>
      <c r="K178" s="38">
        <f t="shared" si="61"/>
        <v>0</v>
      </c>
      <c r="L178" s="38">
        <f t="shared" si="61"/>
        <v>6113</v>
      </c>
      <c r="M178" s="38">
        <f t="shared" si="61"/>
        <v>137232006.41999999</v>
      </c>
      <c r="N178" s="37"/>
      <c r="O178" s="55"/>
    </row>
    <row r="179" spans="1:15" s="44" customFormat="1" ht="61.5" customHeight="1" x14ac:dyDescent="0.4">
      <c r="A179" s="60">
        <v>1210000</v>
      </c>
      <c r="B179" s="41"/>
      <c r="C179" s="41"/>
      <c r="D179" s="62" t="s">
        <v>15</v>
      </c>
      <c r="E179" s="41"/>
      <c r="F179" s="41"/>
      <c r="G179" s="41"/>
      <c r="H179" s="41"/>
      <c r="I179" s="42">
        <f>I364+I383+I392+I181+I227+I231+I274+I361+I396+I420+I421+I401+I394</f>
        <v>137225893.41999999</v>
      </c>
      <c r="J179" s="42">
        <f>J364+J383+J392+J181+J227+J231+J274+J361+J396+J420+J421+J401+J394</f>
        <v>6113</v>
      </c>
      <c r="K179" s="42">
        <f>K364+K383+K392+K181+K227+K231+K274+K361+K396+K420+K421+K401+K394</f>
        <v>0</v>
      </c>
      <c r="L179" s="42">
        <f>L364+L383+L392+L181+L227+L231+L274+L361+L396+L420+L421+L401+L394</f>
        <v>6113</v>
      </c>
      <c r="M179" s="42">
        <f>M364+M383+M392+M181+M227+M231+M274+M361+M396+M420+M421+M401+M394</f>
        <v>137232006.41999999</v>
      </c>
      <c r="N179" s="41"/>
      <c r="O179" s="65"/>
    </row>
    <row r="180" spans="1:15" s="9" customFormat="1" ht="50.1" customHeight="1" x14ac:dyDescent="0.35">
      <c r="A180" s="5"/>
      <c r="B180" s="5"/>
      <c r="C180" s="5"/>
      <c r="D180" s="6" t="s">
        <v>105</v>
      </c>
      <c r="E180" s="5"/>
      <c r="F180" s="5"/>
      <c r="G180" s="5"/>
      <c r="H180" s="5"/>
      <c r="I180" s="7">
        <f>I402</f>
        <v>937420.38</v>
      </c>
      <c r="J180" s="7">
        <f t="shared" ref="J180:M180" si="62">J402</f>
        <v>0</v>
      </c>
      <c r="K180" s="7">
        <f t="shared" si="62"/>
        <v>0</v>
      </c>
      <c r="L180" s="7">
        <f t="shared" si="62"/>
        <v>0</v>
      </c>
      <c r="M180" s="7">
        <f t="shared" si="62"/>
        <v>937420.38</v>
      </c>
      <c r="N180" s="5"/>
      <c r="O180" s="8"/>
    </row>
    <row r="181" spans="1:15" s="21" customFormat="1" ht="69.599999999999994" customHeight="1" x14ac:dyDescent="0.35">
      <c r="A181" s="13">
        <v>1216011</v>
      </c>
      <c r="B181" s="13">
        <v>6011</v>
      </c>
      <c r="C181" s="14" t="s">
        <v>160</v>
      </c>
      <c r="D181" s="78" t="s">
        <v>161</v>
      </c>
      <c r="E181" s="13"/>
      <c r="F181" s="13"/>
      <c r="G181" s="13"/>
      <c r="H181" s="13"/>
      <c r="I181" s="38">
        <f>I182+I218</f>
        <v>10429562.93</v>
      </c>
      <c r="J181" s="38">
        <f>J182+J218</f>
        <v>0</v>
      </c>
      <c r="K181" s="38">
        <f>K182+K218</f>
        <v>0</v>
      </c>
      <c r="L181" s="38">
        <f>L182+L218</f>
        <v>0</v>
      </c>
      <c r="M181" s="38">
        <f>M182+M218</f>
        <v>10429562.93</v>
      </c>
      <c r="N181" s="13"/>
      <c r="O181" s="55"/>
    </row>
    <row r="182" spans="1:15" s="21" customFormat="1" ht="50.1" customHeight="1" x14ac:dyDescent="0.35">
      <c r="A182" s="13"/>
      <c r="B182" s="13"/>
      <c r="C182" s="14"/>
      <c r="D182" s="78"/>
      <c r="E182" s="16" t="s">
        <v>183</v>
      </c>
      <c r="F182" s="13"/>
      <c r="G182" s="13"/>
      <c r="H182" s="13"/>
      <c r="I182" s="19">
        <f>SUM(I183:I217)</f>
        <v>8117778.6899999995</v>
      </c>
      <c r="J182" s="19">
        <f>SUM(J183:J217)</f>
        <v>0</v>
      </c>
      <c r="K182" s="19">
        <f>SUM(K183:K217)</f>
        <v>0</v>
      </c>
      <c r="L182" s="19">
        <f>SUM(L183:L217)</f>
        <v>0</v>
      </c>
      <c r="M182" s="19">
        <f>SUM(M183:M217)</f>
        <v>8117778.6899999995</v>
      </c>
      <c r="N182" s="13"/>
      <c r="O182" s="55"/>
    </row>
    <row r="183" spans="1:15" s="9" customFormat="1" ht="67.5" hidden="1" customHeight="1" x14ac:dyDescent="0.35">
      <c r="A183" s="5"/>
      <c r="B183" s="5"/>
      <c r="C183" s="10"/>
      <c r="D183" s="78"/>
      <c r="E183" s="58" t="s">
        <v>340</v>
      </c>
      <c r="F183" s="37" t="s">
        <v>50</v>
      </c>
      <c r="G183" s="53">
        <v>40000</v>
      </c>
      <c r="H183" s="70">
        <v>6.8765250000000018</v>
      </c>
      <c r="I183" s="81">
        <v>37249.39</v>
      </c>
      <c r="J183" s="81"/>
      <c r="K183" s="81"/>
      <c r="L183" s="54">
        <f>J183+K183</f>
        <v>0</v>
      </c>
      <c r="M183" s="54">
        <f>I183+L183</f>
        <v>37249.39</v>
      </c>
      <c r="N183" s="53">
        <v>100</v>
      </c>
      <c r="O183" s="55"/>
    </row>
    <row r="184" spans="1:15" s="9" customFormat="1" ht="93.6" hidden="1" customHeight="1" x14ac:dyDescent="0.35">
      <c r="A184" s="5"/>
      <c r="B184" s="5"/>
      <c r="C184" s="10"/>
      <c r="D184" s="78"/>
      <c r="E184" s="58" t="s">
        <v>528</v>
      </c>
      <c r="F184" s="37">
        <v>2020</v>
      </c>
      <c r="G184" s="53"/>
      <c r="H184" s="70"/>
      <c r="I184" s="81">
        <v>25200</v>
      </c>
      <c r="J184" s="81"/>
      <c r="K184" s="81"/>
      <c r="L184" s="54">
        <f>J184+K184</f>
        <v>0</v>
      </c>
      <c r="M184" s="54">
        <f>I184+L184</f>
        <v>25200</v>
      </c>
      <c r="N184" s="53"/>
      <c r="O184" s="55"/>
    </row>
    <row r="185" spans="1:15" s="9" customFormat="1" ht="89.1" hidden="1" customHeight="1" x14ac:dyDescent="0.35">
      <c r="A185" s="5"/>
      <c r="B185" s="5"/>
      <c r="C185" s="10"/>
      <c r="D185" s="78"/>
      <c r="E185" s="58" t="s">
        <v>527</v>
      </c>
      <c r="F185" s="37">
        <v>2020</v>
      </c>
      <c r="G185" s="53"/>
      <c r="H185" s="70"/>
      <c r="I185" s="81">
        <v>34000</v>
      </c>
      <c r="J185" s="81"/>
      <c r="K185" s="81"/>
      <c r="L185" s="54">
        <f>J185+K185</f>
        <v>0</v>
      </c>
      <c r="M185" s="54">
        <f>I185+L185</f>
        <v>34000</v>
      </c>
      <c r="N185" s="53"/>
      <c r="O185" s="55"/>
    </row>
    <row r="186" spans="1:15" s="9" customFormat="1" ht="65.099999999999994" hidden="1" customHeight="1" x14ac:dyDescent="0.35">
      <c r="A186" s="5"/>
      <c r="B186" s="5"/>
      <c r="C186" s="10"/>
      <c r="D186" s="78"/>
      <c r="E186" s="58" t="s">
        <v>337</v>
      </c>
      <c r="F186" s="37" t="s">
        <v>50</v>
      </c>
      <c r="G186" s="53">
        <v>973582</v>
      </c>
      <c r="H186" s="70">
        <v>43.903441107169193</v>
      </c>
      <c r="I186" s="81">
        <v>546146</v>
      </c>
      <c r="J186" s="81"/>
      <c r="K186" s="81"/>
      <c r="L186" s="54">
        <f t="shared" ref="L186:L217" si="63">J186+K186</f>
        <v>0</v>
      </c>
      <c r="M186" s="54">
        <f t="shared" ref="M186:M217" si="64">I186+L186</f>
        <v>546146</v>
      </c>
      <c r="N186" s="53">
        <v>100</v>
      </c>
      <c r="O186" s="55"/>
    </row>
    <row r="187" spans="1:15" s="9" customFormat="1" ht="65.099999999999994" hidden="1" customHeight="1" x14ac:dyDescent="0.35">
      <c r="A187" s="5"/>
      <c r="B187" s="5"/>
      <c r="C187" s="10"/>
      <c r="D187" s="78"/>
      <c r="E187" s="58" t="s">
        <v>530</v>
      </c>
      <c r="F187" s="37">
        <v>2020</v>
      </c>
      <c r="G187" s="53"/>
      <c r="H187" s="70"/>
      <c r="I187" s="81">
        <v>114000</v>
      </c>
      <c r="J187" s="81"/>
      <c r="K187" s="81"/>
      <c r="L187" s="54">
        <f t="shared" ref="L187" si="65">J187+K187</f>
        <v>0</v>
      </c>
      <c r="M187" s="54">
        <f t="shared" ref="M187" si="66">I187+L187</f>
        <v>114000</v>
      </c>
      <c r="N187" s="53"/>
      <c r="O187" s="55"/>
    </row>
    <row r="188" spans="1:15" s="9" customFormat="1" ht="86.1" hidden="1" customHeight="1" x14ac:dyDescent="0.35">
      <c r="A188" s="5"/>
      <c r="B188" s="5"/>
      <c r="C188" s="10"/>
      <c r="D188" s="78"/>
      <c r="E188" s="58" t="s">
        <v>338</v>
      </c>
      <c r="F188" s="37" t="s">
        <v>50</v>
      </c>
      <c r="G188" s="53">
        <v>468732</v>
      </c>
      <c r="H188" s="70">
        <v>36.582667707773311</v>
      </c>
      <c r="I188" s="81">
        <v>297257.33</v>
      </c>
      <c r="J188" s="81"/>
      <c r="K188" s="81"/>
      <c r="L188" s="54">
        <f t="shared" si="63"/>
        <v>0</v>
      </c>
      <c r="M188" s="54">
        <f t="shared" si="64"/>
        <v>297257.33</v>
      </c>
      <c r="N188" s="53">
        <v>100</v>
      </c>
      <c r="O188" s="55"/>
    </row>
    <row r="189" spans="1:15" s="9" customFormat="1" ht="69.95" hidden="1" customHeight="1" x14ac:dyDescent="0.35">
      <c r="A189" s="5"/>
      <c r="B189" s="5"/>
      <c r="C189" s="10"/>
      <c r="D189" s="78"/>
      <c r="E189" s="58" t="s">
        <v>339</v>
      </c>
      <c r="F189" s="37" t="s">
        <v>50</v>
      </c>
      <c r="G189" s="53">
        <v>59996</v>
      </c>
      <c r="H189" s="70">
        <v>7.1668611240749414</v>
      </c>
      <c r="I189" s="81">
        <v>55696.17</v>
      </c>
      <c r="J189" s="81"/>
      <c r="K189" s="81"/>
      <c r="L189" s="54">
        <f t="shared" si="63"/>
        <v>0</v>
      </c>
      <c r="M189" s="54">
        <f t="shared" si="64"/>
        <v>55696.17</v>
      </c>
      <c r="N189" s="53">
        <v>100</v>
      </c>
      <c r="O189" s="55"/>
    </row>
    <row r="190" spans="1:15" s="9" customFormat="1" ht="90" hidden="1" customHeight="1" x14ac:dyDescent="0.35">
      <c r="A190" s="5"/>
      <c r="B190" s="5"/>
      <c r="C190" s="10"/>
      <c r="D190" s="78"/>
      <c r="E190" s="58" t="s">
        <v>553</v>
      </c>
      <c r="F190" s="37">
        <v>2020</v>
      </c>
      <c r="G190" s="53"/>
      <c r="H190" s="70"/>
      <c r="I190" s="81">
        <v>37000</v>
      </c>
      <c r="J190" s="81"/>
      <c r="K190" s="81"/>
      <c r="L190" s="54">
        <f t="shared" ref="L190" si="67">J190+K190</f>
        <v>0</v>
      </c>
      <c r="M190" s="54">
        <f t="shared" ref="M190" si="68">I190+L190</f>
        <v>37000</v>
      </c>
      <c r="N190" s="53"/>
      <c r="O190" s="55"/>
    </row>
    <row r="191" spans="1:15" s="9" customFormat="1" ht="89.1" hidden="1" customHeight="1" x14ac:dyDescent="0.35">
      <c r="A191" s="5"/>
      <c r="B191" s="5"/>
      <c r="C191" s="10"/>
      <c r="D191" s="78"/>
      <c r="E191" s="58" t="s">
        <v>566</v>
      </c>
      <c r="F191" s="37">
        <v>2020</v>
      </c>
      <c r="G191" s="53"/>
      <c r="H191" s="70"/>
      <c r="I191" s="81">
        <v>10000</v>
      </c>
      <c r="J191" s="81"/>
      <c r="K191" s="81"/>
      <c r="L191" s="54">
        <f t="shared" ref="L191" si="69">J191+K191</f>
        <v>0</v>
      </c>
      <c r="M191" s="54">
        <f t="shared" ref="M191" si="70">I191+L191</f>
        <v>10000</v>
      </c>
      <c r="N191" s="53"/>
      <c r="O191" s="55"/>
    </row>
    <row r="192" spans="1:15" s="9" customFormat="1" ht="78.599999999999994" hidden="1" customHeight="1" x14ac:dyDescent="0.35">
      <c r="A192" s="5"/>
      <c r="B192" s="5"/>
      <c r="C192" s="10"/>
      <c r="D192" s="78"/>
      <c r="E192" s="58" t="s">
        <v>458</v>
      </c>
      <c r="F192" s="37">
        <v>2020</v>
      </c>
      <c r="G192" s="53"/>
      <c r="H192" s="70"/>
      <c r="I192" s="81">
        <v>23945</v>
      </c>
      <c r="J192" s="81"/>
      <c r="K192" s="81"/>
      <c r="L192" s="54">
        <f t="shared" ref="L192:L197" si="71">J192+K192</f>
        <v>0</v>
      </c>
      <c r="M192" s="54">
        <f t="shared" ref="M192:M197" si="72">I192+L192</f>
        <v>23945</v>
      </c>
      <c r="N192" s="53"/>
      <c r="O192" s="8"/>
    </row>
    <row r="193" spans="1:15" s="9" customFormat="1" ht="68.099999999999994" hidden="1" customHeight="1" x14ac:dyDescent="0.35">
      <c r="A193" s="5"/>
      <c r="B193" s="5"/>
      <c r="C193" s="10"/>
      <c r="D193" s="78"/>
      <c r="E193" s="58" t="s">
        <v>459</v>
      </c>
      <c r="F193" s="37" t="s">
        <v>50</v>
      </c>
      <c r="G193" s="53">
        <v>49933</v>
      </c>
      <c r="H193" s="70">
        <v>20.08491378447119</v>
      </c>
      <c r="I193" s="81">
        <v>39904</v>
      </c>
      <c r="J193" s="81"/>
      <c r="K193" s="81"/>
      <c r="L193" s="54">
        <f t="shared" si="71"/>
        <v>0</v>
      </c>
      <c r="M193" s="54">
        <f t="shared" si="72"/>
        <v>39904</v>
      </c>
      <c r="N193" s="53">
        <v>100</v>
      </c>
      <c r="O193" s="8"/>
    </row>
    <row r="194" spans="1:15" s="9" customFormat="1" ht="93.6" hidden="1" customHeight="1" x14ac:dyDescent="0.35">
      <c r="A194" s="5"/>
      <c r="B194" s="5"/>
      <c r="C194" s="10"/>
      <c r="D194" s="78"/>
      <c r="E194" s="58" t="s">
        <v>347</v>
      </c>
      <c r="F194" s="37" t="s">
        <v>50</v>
      </c>
      <c r="G194" s="53">
        <v>1490932</v>
      </c>
      <c r="H194" s="70">
        <v>73.123795049002908</v>
      </c>
      <c r="I194" s="81">
        <v>400705.94</v>
      </c>
      <c r="J194" s="81"/>
      <c r="K194" s="81"/>
      <c r="L194" s="54">
        <f t="shared" si="71"/>
        <v>0</v>
      </c>
      <c r="M194" s="54">
        <f t="shared" si="72"/>
        <v>400705.94</v>
      </c>
      <c r="N194" s="53">
        <v>100</v>
      </c>
      <c r="O194" s="8"/>
    </row>
    <row r="195" spans="1:15" s="9" customFormat="1" ht="84.6" hidden="1" customHeight="1" x14ac:dyDescent="0.35">
      <c r="A195" s="5"/>
      <c r="B195" s="5"/>
      <c r="C195" s="10"/>
      <c r="D195" s="78"/>
      <c r="E195" s="58" t="s">
        <v>368</v>
      </c>
      <c r="F195" s="37" t="s">
        <v>50</v>
      </c>
      <c r="G195" s="53">
        <v>1427095</v>
      </c>
      <c r="H195" s="70">
        <v>73.383500748023081</v>
      </c>
      <c r="I195" s="81">
        <v>379842.73</v>
      </c>
      <c r="J195" s="81"/>
      <c r="K195" s="81"/>
      <c r="L195" s="54">
        <f t="shared" si="71"/>
        <v>0</v>
      </c>
      <c r="M195" s="54">
        <f t="shared" si="72"/>
        <v>379842.73</v>
      </c>
      <c r="N195" s="53">
        <v>100</v>
      </c>
      <c r="O195" s="8"/>
    </row>
    <row r="196" spans="1:15" s="9" customFormat="1" ht="68.099999999999994" hidden="1" customHeight="1" x14ac:dyDescent="0.35">
      <c r="A196" s="5"/>
      <c r="B196" s="5"/>
      <c r="C196" s="10"/>
      <c r="D196" s="78"/>
      <c r="E196" s="58" t="s">
        <v>345</v>
      </c>
      <c r="F196" s="37" t="s">
        <v>50</v>
      </c>
      <c r="G196" s="53">
        <v>510270</v>
      </c>
      <c r="H196" s="70">
        <v>83.422470456816981</v>
      </c>
      <c r="I196" s="81">
        <v>84590.16</v>
      </c>
      <c r="J196" s="81"/>
      <c r="K196" s="81"/>
      <c r="L196" s="54">
        <f t="shared" si="71"/>
        <v>0</v>
      </c>
      <c r="M196" s="54">
        <f t="shared" si="72"/>
        <v>84590.16</v>
      </c>
      <c r="N196" s="53">
        <v>100</v>
      </c>
      <c r="O196" s="8"/>
    </row>
    <row r="197" spans="1:15" s="9" customFormat="1" ht="63.95" hidden="1" customHeight="1" x14ac:dyDescent="0.35">
      <c r="A197" s="5"/>
      <c r="B197" s="5"/>
      <c r="C197" s="10"/>
      <c r="D197" s="78"/>
      <c r="E197" s="58" t="s">
        <v>349</v>
      </c>
      <c r="F197" s="37" t="s">
        <v>50</v>
      </c>
      <c r="G197" s="53">
        <v>635959</v>
      </c>
      <c r="H197" s="70">
        <v>75.080322788104269</v>
      </c>
      <c r="I197" s="81">
        <v>158478.93</v>
      </c>
      <c r="J197" s="81"/>
      <c r="K197" s="81"/>
      <c r="L197" s="54">
        <f t="shared" si="71"/>
        <v>0</v>
      </c>
      <c r="M197" s="54">
        <f t="shared" si="72"/>
        <v>158478.93</v>
      </c>
      <c r="N197" s="53">
        <v>100</v>
      </c>
      <c r="O197" s="8"/>
    </row>
    <row r="198" spans="1:15" s="9" customFormat="1" ht="105" hidden="1" customHeight="1" x14ac:dyDescent="0.35">
      <c r="A198" s="5"/>
      <c r="B198" s="5"/>
      <c r="C198" s="10"/>
      <c r="D198" s="78"/>
      <c r="E198" s="58" t="s">
        <v>344</v>
      </c>
      <c r="F198" s="37" t="s">
        <v>50</v>
      </c>
      <c r="G198" s="53">
        <v>1486792</v>
      </c>
      <c r="H198" s="70">
        <v>99.636801919838149</v>
      </c>
      <c r="I198" s="81">
        <v>5400</v>
      </c>
      <c r="J198" s="81"/>
      <c r="K198" s="81"/>
      <c r="L198" s="54">
        <f t="shared" si="63"/>
        <v>0</v>
      </c>
      <c r="M198" s="54">
        <f t="shared" si="64"/>
        <v>5400</v>
      </c>
      <c r="N198" s="53">
        <v>100</v>
      </c>
      <c r="O198" s="8"/>
    </row>
    <row r="199" spans="1:15" s="9" customFormat="1" ht="60.6" hidden="1" customHeight="1" x14ac:dyDescent="0.35">
      <c r="A199" s="5"/>
      <c r="B199" s="5"/>
      <c r="C199" s="10"/>
      <c r="D199" s="78"/>
      <c r="E199" s="58" t="s">
        <v>346</v>
      </c>
      <c r="F199" s="37" t="s">
        <v>50</v>
      </c>
      <c r="G199" s="53">
        <v>493558</v>
      </c>
      <c r="H199" s="70">
        <v>7.1030598227563875</v>
      </c>
      <c r="I199" s="81">
        <v>458500.28</v>
      </c>
      <c r="J199" s="81"/>
      <c r="K199" s="81"/>
      <c r="L199" s="54">
        <f t="shared" si="63"/>
        <v>0</v>
      </c>
      <c r="M199" s="54">
        <f t="shared" si="64"/>
        <v>458500.28</v>
      </c>
      <c r="N199" s="53">
        <v>100</v>
      </c>
      <c r="O199" s="8"/>
    </row>
    <row r="200" spans="1:15" s="9" customFormat="1" ht="78.599999999999994" hidden="1" customHeight="1" x14ac:dyDescent="0.35">
      <c r="A200" s="5"/>
      <c r="B200" s="5"/>
      <c r="C200" s="10"/>
      <c r="D200" s="78"/>
      <c r="E200" s="58" t="s">
        <v>563</v>
      </c>
      <c r="F200" s="37">
        <v>2020</v>
      </c>
      <c r="G200" s="53"/>
      <c r="H200" s="70"/>
      <c r="I200" s="81">
        <v>130000</v>
      </c>
      <c r="J200" s="81"/>
      <c r="K200" s="81"/>
      <c r="L200" s="54">
        <f t="shared" ref="L200" si="73">J200+K200</f>
        <v>0</v>
      </c>
      <c r="M200" s="54">
        <f t="shared" ref="M200" si="74">I200+L200</f>
        <v>130000</v>
      </c>
      <c r="N200" s="53"/>
      <c r="O200" s="8"/>
    </row>
    <row r="201" spans="1:15" s="9" customFormat="1" ht="78.599999999999994" hidden="1" customHeight="1" x14ac:dyDescent="0.35">
      <c r="A201" s="5"/>
      <c r="B201" s="5"/>
      <c r="C201" s="10"/>
      <c r="D201" s="78"/>
      <c r="E201" s="58" t="s">
        <v>564</v>
      </c>
      <c r="F201" s="37">
        <v>2020</v>
      </c>
      <c r="G201" s="53"/>
      <c r="H201" s="70"/>
      <c r="I201" s="81">
        <v>151000</v>
      </c>
      <c r="J201" s="81"/>
      <c r="K201" s="81"/>
      <c r="L201" s="54">
        <f t="shared" ref="L201" si="75">J201+K201</f>
        <v>0</v>
      </c>
      <c r="M201" s="54">
        <f t="shared" ref="M201" si="76">I201+L201</f>
        <v>151000</v>
      </c>
      <c r="N201" s="53"/>
      <c r="O201" s="8"/>
    </row>
    <row r="202" spans="1:15" s="9" customFormat="1" ht="63.95" hidden="1" customHeight="1" x14ac:dyDescent="0.35">
      <c r="A202" s="5"/>
      <c r="B202" s="5"/>
      <c r="C202" s="10"/>
      <c r="D202" s="78"/>
      <c r="E202" s="58" t="s">
        <v>351</v>
      </c>
      <c r="F202" s="37" t="s">
        <v>50</v>
      </c>
      <c r="G202" s="53">
        <v>129878</v>
      </c>
      <c r="H202" s="70">
        <v>0.90345555059363358</v>
      </c>
      <c r="I202" s="81">
        <v>128704.61</v>
      </c>
      <c r="J202" s="81"/>
      <c r="K202" s="81"/>
      <c r="L202" s="54">
        <f>J202+K202</f>
        <v>0</v>
      </c>
      <c r="M202" s="54">
        <f>I202+L202</f>
        <v>128704.61</v>
      </c>
      <c r="N202" s="53">
        <v>100</v>
      </c>
      <c r="O202" s="8"/>
    </row>
    <row r="203" spans="1:15" s="9" customFormat="1" ht="66.599999999999994" hidden="1" customHeight="1" x14ac:dyDescent="0.35">
      <c r="A203" s="5"/>
      <c r="B203" s="5"/>
      <c r="C203" s="10"/>
      <c r="D203" s="78"/>
      <c r="E203" s="58" t="s">
        <v>342</v>
      </c>
      <c r="F203" s="37" t="s">
        <v>50</v>
      </c>
      <c r="G203" s="53">
        <v>21484</v>
      </c>
      <c r="H203" s="70">
        <v>4.0531558369018752</v>
      </c>
      <c r="I203" s="81">
        <v>20613.22</v>
      </c>
      <c r="J203" s="81"/>
      <c r="K203" s="81"/>
      <c r="L203" s="54">
        <f>J203+K203</f>
        <v>0</v>
      </c>
      <c r="M203" s="54">
        <f>I203+L203</f>
        <v>20613.22</v>
      </c>
      <c r="N203" s="53">
        <v>100</v>
      </c>
      <c r="O203" s="55"/>
    </row>
    <row r="204" spans="1:15" s="9" customFormat="1" ht="86.45" hidden="1" customHeight="1" x14ac:dyDescent="0.35">
      <c r="A204" s="5"/>
      <c r="B204" s="5"/>
      <c r="C204" s="10"/>
      <c r="D204" s="78"/>
      <c r="E204" s="58" t="s">
        <v>539</v>
      </c>
      <c r="F204" s="37">
        <v>2020</v>
      </c>
      <c r="G204" s="53"/>
      <c r="H204" s="70"/>
      <c r="I204" s="81">
        <v>10000</v>
      </c>
      <c r="J204" s="81"/>
      <c r="K204" s="81"/>
      <c r="L204" s="54">
        <f>J204+K204</f>
        <v>0</v>
      </c>
      <c r="M204" s="54">
        <f>I204+L204</f>
        <v>10000</v>
      </c>
      <c r="N204" s="53"/>
      <c r="O204" s="55"/>
    </row>
    <row r="205" spans="1:15" s="9" customFormat="1" ht="86.1" hidden="1" customHeight="1" x14ac:dyDescent="0.35">
      <c r="A205" s="5"/>
      <c r="B205" s="5"/>
      <c r="C205" s="10"/>
      <c r="D205" s="78"/>
      <c r="E205" s="58" t="s">
        <v>370</v>
      </c>
      <c r="F205" s="37" t="s">
        <v>50</v>
      </c>
      <c r="G205" s="53">
        <v>985049</v>
      </c>
      <c r="H205" s="70">
        <v>21.351477946782342</v>
      </c>
      <c r="I205" s="81">
        <v>774726.48</v>
      </c>
      <c r="J205" s="81"/>
      <c r="K205" s="81"/>
      <c r="L205" s="54">
        <f>J205+K205</f>
        <v>0</v>
      </c>
      <c r="M205" s="54">
        <f>I205+L205</f>
        <v>774726.48</v>
      </c>
      <c r="N205" s="53">
        <v>100</v>
      </c>
      <c r="O205" s="8"/>
    </row>
    <row r="206" spans="1:15" s="9" customFormat="1" ht="83.1" hidden="1" customHeight="1" x14ac:dyDescent="0.35">
      <c r="A206" s="5"/>
      <c r="B206" s="5"/>
      <c r="C206" s="10"/>
      <c r="D206" s="78"/>
      <c r="E206" s="58" t="s">
        <v>369</v>
      </c>
      <c r="F206" s="37" t="s">
        <v>50</v>
      </c>
      <c r="G206" s="53">
        <v>195169</v>
      </c>
      <c r="H206" s="70">
        <v>1.920489421988129</v>
      </c>
      <c r="I206" s="81">
        <v>191420.79999999999</v>
      </c>
      <c r="J206" s="81"/>
      <c r="K206" s="81"/>
      <c r="L206" s="54">
        <f t="shared" si="63"/>
        <v>0</v>
      </c>
      <c r="M206" s="54">
        <f t="shared" si="64"/>
        <v>191420.79999999999</v>
      </c>
      <c r="N206" s="53">
        <v>100</v>
      </c>
      <c r="O206" s="8"/>
    </row>
    <row r="207" spans="1:15" s="9" customFormat="1" ht="81" hidden="1" customHeight="1" x14ac:dyDescent="0.35">
      <c r="A207" s="5"/>
      <c r="B207" s="5"/>
      <c r="C207" s="10"/>
      <c r="D207" s="78"/>
      <c r="E207" s="58" t="s">
        <v>385</v>
      </c>
      <c r="F207" s="37" t="s">
        <v>50</v>
      </c>
      <c r="G207" s="53">
        <v>406081</v>
      </c>
      <c r="H207" s="70">
        <v>65.5</v>
      </c>
      <c r="I207" s="81">
        <v>98000</v>
      </c>
      <c r="J207" s="81"/>
      <c r="K207" s="81"/>
      <c r="L207" s="54">
        <f>J207+K207</f>
        <v>0</v>
      </c>
      <c r="M207" s="54">
        <f>I207+L207</f>
        <v>98000</v>
      </c>
      <c r="N207" s="82">
        <v>89.7</v>
      </c>
      <c r="O207" s="8"/>
    </row>
    <row r="208" spans="1:15" s="9" customFormat="1" ht="79.5" hidden="1" customHeight="1" x14ac:dyDescent="0.35">
      <c r="A208" s="5"/>
      <c r="B208" s="5"/>
      <c r="C208" s="10"/>
      <c r="D208" s="78"/>
      <c r="E208" s="58" t="s">
        <v>343</v>
      </c>
      <c r="F208" s="37" t="s">
        <v>50</v>
      </c>
      <c r="G208" s="53">
        <v>155111</v>
      </c>
      <c r="H208" s="70">
        <v>6.749315006672636</v>
      </c>
      <c r="I208" s="81">
        <v>144642.07</v>
      </c>
      <c r="J208" s="81"/>
      <c r="K208" s="81"/>
      <c r="L208" s="54">
        <f>J208+K208</f>
        <v>0</v>
      </c>
      <c r="M208" s="54">
        <f>I208+L208</f>
        <v>144642.07</v>
      </c>
      <c r="N208" s="53">
        <v>100</v>
      </c>
      <c r="O208" s="8"/>
    </row>
    <row r="209" spans="1:15" s="9" customFormat="1" ht="78" hidden="1" customHeight="1" x14ac:dyDescent="0.35">
      <c r="A209" s="5"/>
      <c r="B209" s="5"/>
      <c r="C209" s="10"/>
      <c r="D209" s="78"/>
      <c r="E209" s="58" t="s">
        <v>341</v>
      </c>
      <c r="F209" s="37" t="s">
        <v>50</v>
      </c>
      <c r="G209" s="53">
        <v>210007</v>
      </c>
      <c r="H209" s="70">
        <v>1.8121205483626674</v>
      </c>
      <c r="I209" s="81">
        <v>206201.42</v>
      </c>
      <c r="J209" s="81"/>
      <c r="K209" s="81"/>
      <c r="L209" s="54">
        <f>J209+K209</f>
        <v>0</v>
      </c>
      <c r="M209" s="54">
        <f>I209+L209</f>
        <v>206201.42</v>
      </c>
      <c r="N209" s="53">
        <v>100</v>
      </c>
      <c r="O209" s="55"/>
    </row>
    <row r="210" spans="1:15" s="9" customFormat="1" ht="84" hidden="1" customHeight="1" x14ac:dyDescent="0.35">
      <c r="A210" s="5"/>
      <c r="B210" s="5"/>
      <c r="C210" s="10"/>
      <c r="D210" s="78"/>
      <c r="E210" s="58" t="s">
        <v>529</v>
      </c>
      <c r="F210" s="37">
        <v>2020</v>
      </c>
      <c r="G210" s="53"/>
      <c r="H210" s="70"/>
      <c r="I210" s="81">
        <v>66500</v>
      </c>
      <c r="J210" s="81"/>
      <c r="K210" s="81"/>
      <c r="L210" s="54">
        <f>J210+K210</f>
        <v>0</v>
      </c>
      <c r="M210" s="54">
        <f>I210+L210</f>
        <v>66500</v>
      </c>
      <c r="N210" s="82"/>
      <c r="O210" s="8"/>
    </row>
    <row r="211" spans="1:15" s="9" customFormat="1" ht="85.5" hidden="1" customHeight="1" x14ac:dyDescent="0.35">
      <c r="A211" s="5"/>
      <c r="B211" s="5"/>
      <c r="C211" s="10"/>
      <c r="D211" s="78"/>
      <c r="E211" s="58" t="s">
        <v>348</v>
      </c>
      <c r="F211" s="37" t="s">
        <v>50</v>
      </c>
      <c r="G211" s="53">
        <v>182059</v>
      </c>
      <c r="H211" s="70">
        <v>11.734289433645131</v>
      </c>
      <c r="I211" s="81">
        <v>160695.67000000001</v>
      </c>
      <c r="J211" s="81"/>
      <c r="K211" s="81"/>
      <c r="L211" s="54">
        <f t="shared" si="63"/>
        <v>0</v>
      </c>
      <c r="M211" s="54">
        <f t="shared" si="64"/>
        <v>160695.67000000001</v>
      </c>
      <c r="N211" s="53">
        <v>100</v>
      </c>
      <c r="O211" s="8"/>
    </row>
    <row r="212" spans="1:15" s="9" customFormat="1" ht="86.1" hidden="1" customHeight="1" x14ac:dyDescent="0.35">
      <c r="A212" s="5"/>
      <c r="B212" s="5"/>
      <c r="C212" s="10"/>
      <c r="D212" s="78"/>
      <c r="E212" s="58" t="s">
        <v>471</v>
      </c>
      <c r="F212" s="37">
        <v>2020</v>
      </c>
      <c r="G212" s="53"/>
      <c r="H212" s="70"/>
      <c r="I212" s="81">
        <v>206000</v>
      </c>
      <c r="J212" s="81"/>
      <c r="K212" s="81"/>
      <c r="L212" s="54">
        <f t="shared" si="63"/>
        <v>0</v>
      </c>
      <c r="M212" s="54">
        <f t="shared" si="64"/>
        <v>206000</v>
      </c>
      <c r="N212" s="53"/>
      <c r="O212" s="8"/>
    </row>
    <row r="213" spans="1:15" s="9" customFormat="1" ht="81" hidden="1" customHeight="1" x14ac:dyDescent="0.35">
      <c r="A213" s="5"/>
      <c r="B213" s="5"/>
      <c r="C213" s="10"/>
      <c r="D213" s="78"/>
      <c r="E213" s="58" t="s">
        <v>472</v>
      </c>
      <c r="F213" s="37">
        <v>2020</v>
      </c>
      <c r="G213" s="53"/>
      <c r="H213" s="70"/>
      <c r="I213" s="81">
        <v>270900</v>
      </c>
      <c r="J213" s="81"/>
      <c r="K213" s="81"/>
      <c r="L213" s="54">
        <f t="shared" si="63"/>
        <v>0</v>
      </c>
      <c r="M213" s="54">
        <f t="shared" si="64"/>
        <v>270900</v>
      </c>
      <c r="N213" s="53"/>
      <c r="O213" s="8"/>
    </row>
    <row r="214" spans="1:15" s="9" customFormat="1" ht="80.45" hidden="1" customHeight="1" x14ac:dyDescent="0.35">
      <c r="A214" s="5"/>
      <c r="B214" s="5"/>
      <c r="C214" s="10"/>
      <c r="D214" s="78"/>
      <c r="E214" s="58" t="s">
        <v>350</v>
      </c>
      <c r="F214" s="37" t="s">
        <v>50</v>
      </c>
      <c r="G214" s="53">
        <v>286442</v>
      </c>
      <c r="H214" s="70">
        <v>10.241846516921404</v>
      </c>
      <c r="I214" s="81">
        <v>257105.05</v>
      </c>
      <c r="J214" s="81"/>
      <c r="K214" s="81"/>
      <c r="L214" s="54">
        <f>J214+K214</f>
        <v>0</v>
      </c>
      <c r="M214" s="54">
        <f>I214+L214</f>
        <v>257105.05</v>
      </c>
      <c r="N214" s="53">
        <v>100</v>
      </c>
      <c r="O214" s="8"/>
    </row>
    <row r="215" spans="1:15" s="9" customFormat="1" ht="79.5" hidden="1" customHeight="1" x14ac:dyDescent="0.35">
      <c r="A215" s="5"/>
      <c r="B215" s="5"/>
      <c r="C215" s="10"/>
      <c r="D215" s="78"/>
      <c r="E215" s="58" t="s">
        <v>461</v>
      </c>
      <c r="F215" s="37">
        <v>2020</v>
      </c>
      <c r="G215" s="53"/>
      <c r="H215" s="70"/>
      <c r="I215" s="81">
        <v>40000</v>
      </c>
      <c r="J215" s="81"/>
      <c r="K215" s="81"/>
      <c r="L215" s="54">
        <f t="shared" si="63"/>
        <v>0</v>
      </c>
      <c r="M215" s="54">
        <f t="shared" si="64"/>
        <v>40000</v>
      </c>
      <c r="N215" s="53"/>
      <c r="O215" s="8"/>
    </row>
    <row r="216" spans="1:15" s="9" customFormat="1" ht="28.5" hidden="1" customHeight="1" x14ac:dyDescent="0.35">
      <c r="A216" s="5"/>
      <c r="B216" s="5"/>
      <c r="C216" s="10"/>
      <c r="D216" s="83"/>
      <c r="E216" s="58" t="s">
        <v>196</v>
      </c>
      <c r="F216" s="37">
        <v>2020</v>
      </c>
      <c r="G216" s="5"/>
      <c r="H216" s="5"/>
      <c r="I216" s="54">
        <f>2152119.75-98000</f>
        <v>2054119.75</v>
      </c>
      <c r="J216" s="54"/>
      <c r="K216" s="54"/>
      <c r="L216" s="54">
        <f t="shared" si="63"/>
        <v>0</v>
      </c>
      <c r="M216" s="54">
        <f t="shared" si="64"/>
        <v>2054119.75</v>
      </c>
      <c r="N216" s="5"/>
      <c r="O216" s="8"/>
    </row>
    <row r="217" spans="1:15" s="9" customFormat="1" ht="50.45" hidden="1" customHeight="1" x14ac:dyDescent="0.35">
      <c r="A217" s="5"/>
      <c r="B217" s="5"/>
      <c r="C217" s="10"/>
      <c r="D217" s="83"/>
      <c r="E217" s="58" t="s">
        <v>197</v>
      </c>
      <c r="F217" s="37">
        <v>2020</v>
      </c>
      <c r="G217" s="5"/>
      <c r="H217" s="5"/>
      <c r="I217" s="54">
        <f>1000000-500766.31</f>
        <v>499233.69</v>
      </c>
      <c r="J217" s="54"/>
      <c r="K217" s="54"/>
      <c r="L217" s="54">
        <f t="shared" si="63"/>
        <v>0</v>
      </c>
      <c r="M217" s="54">
        <f t="shared" si="64"/>
        <v>499233.69</v>
      </c>
      <c r="N217" s="5"/>
      <c r="O217" s="8"/>
    </row>
    <row r="218" spans="1:15" s="21" customFormat="1" ht="55.5" customHeight="1" x14ac:dyDescent="0.35">
      <c r="A218" s="13"/>
      <c r="B218" s="13"/>
      <c r="C218" s="14"/>
      <c r="D218" s="78"/>
      <c r="E218" s="16" t="s">
        <v>182</v>
      </c>
      <c r="F218" s="13"/>
      <c r="G218" s="13"/>
      <c r="H218" s="13"/>
      <c r="I218" s="19">
        <f>SUM(I219:I226)</f>
        <v>2311784.2400000002</v>
      </c>
      <c r="J218" s="19">
        <f t="shared" ref="J218:M218" si="77">SUM(J219:J226)</f>
        <v>0</v>
      </c>
      <c r="K218" s="19">
        <f t="shared" si="77"/>
        <v>0</v>
      </c>
      <c r="L218" s="19">
        <f t="shared" si="77"/>
        <v>0</v>
      </c>
      <c r="M218" s="19">
        <f t="shared" si="77"/>
        <v>2311784.2400000002</v>
      </c>
      <c r="N218" s="13"/>
      <c r="O218" s="8"/>
    </row>
    <row r="219" spans="1:15" s="9" customFormat="1" ht="72" hidden="1" customHeight="1" x14ac:dyDescent="0.35">
      <c r="A219" s="5"/>
      <c r="B219" s="5"/>
      <c r="C219" s="10"/>
      <c r="D219" s="78"/>
      <c r="E219" s="58" t="s">
        <v>300</v>
      </c>
      <c r="F219" s="37" t="s">
        <v>49</v>
      </c>
      <c r="G219" s="53">
        <v>286976</v>
      </c>
      <c r="H219" s="70">
        <v>31</v>
      </c>
      <c r="I219" s="54">
        <v>197274</v>
      </c>
      <c r="J219" s="54"/>
      <c r="K219" s="54"/>
      <c r="L219" s="54">
        <f>J219+K219</f>
        <v>0</v>
      </c>
      <c r="M219" s="54">
        <f>I219+L219</f>
        <v>197274</v>
      </c>
      <c r="N219" s="53">
        <v>100</v>
      </c>
      <c r="O219" s="8"/>
    </row>
    <row r="220" spans="1:15" s="9" customFormat="1" ht="81" hidden="1" customHeight="1" x14ac:dyDescent="0.35">
      <c r="A220" s="5"/>
      <c r="B220" s="5"/>
      <c r="C220" s="10"/>
      <c r="D220" s="78"/>
      <c r="E220" s="58" t="s">
        <v>199</v>
      </c>
      <c r="F220" s="37" t="s">
        <v>200</v>
      </c>
      <c r="G220" s="53">
        <v>317195</v>
      </c>
      <c r="H220" s="70">
        <v>30</v>
      </c>
      <c r="I220" s="54">
        <v>221518.7</v>
      </c>
      <c r="J220" s="54"/>
      <c r="K220" s="54"/>
      <c r="L220" s="54">
        <f>J220+K220</f>
        <v>0</v>
      </c>
      <c r="M220" s="54">
        <f>I220+L220</f>
        <v>221518.7</v>
      </c>
      <c r="N220" s="53">
        <v>100</v>
      </c>
      <c r="O220" s="8"/>
    </row>
    <row r="221" spans="1:15" s="9" customFormat="1" ht="74.099999999999994" hidden="1" customHeight="1" x14ac:dyDescent="0.35">
      <c r="A221" s="5"/>
      <c r="B221" s="5"/>
      <c r="C221" s="10"/>
      <c r="D221" s="78"/>
      <c r="E221" s="58" t="s">
        <v>204</v>
      </c>
      <c r="F221" s="37" t="s">
        <v>205</v>
      </c>
      <c r="G221" s="53">
        <v>580757</v>
      </c>
      <c r="H221" s="70">
        <v>59</v>
      </c>
      <c r="I221" s="54">
        <v>239144.92</v>
      </c>
      <c r="J221" s="54"/>
      <c r="K221" s="54"/>
      <c r="L221" s="54">
        <f>J221+K221</f>
        <v>0</v>
      </c>
      <c r="M221" s="54">
        <f>I221+L221</f>
        <v>239144.92</v>
      </c>
      <c r="N221" s="53">
        <v>100</v>
      </c>
      <c r="O221" s="8"/>
    </row>
    <row r="222" spans="1:15" s="9" customFormat="1" ht="67.5" hidden="1" customHeight="1" x14ac:dyDescent="0.35">
      <c r="A222" s="5"/>
      <c r="B222" s="5"/>
      <c r="C222" s="10"/>
      <c r="D222" s="78"/>
      <c r="E222" s="58" t="s">
        <v>198</v>
      </c>
      <c r="F222" s="37" t="s">
        <v>50</v>
      </c>
      <c r="G222" s="53">
        <v>580844</v>
      </c>
      <c r="H222" s="70">
        <v>32</v>
      </c>
      <c r="I222" s="54">
        <v>396522.45</v>
      </c>
      <c r="J222" s="54"/>
      <c r="K222" s="54"/>
      <c r="L222" s="54">
        <f t="shared" ref="L222:L226" si="78">J222+K222</f>
        <v>0</v>
      </c>
      <c r="M222" s="54">
        <f t="shared" ref="M222:M226" si="79">I222+L222</f>
        <v>396522.45</v>
      </c>
      <c r="N222" s="53">
        <v>100</v>
      </c>
      <c r="O222" s="8"/>
    </row>
    <row r="223" spans="1:15" s="9" customFormat="1" ht="85.5" hidden="1" customHeight="1" x14ac:dyDescent="0.35">
      <c r="A223" s="5"/>
      <c r="B223" s="5"/>
      <c r="C223" s="10"/>
      <c r="D223" s="78"/>
      <c r="E223" s="58" t="s">
        <v>297</v>
      </c>
      <c r="F223" s="37" t="s">
        <v>53</v>
      </c>
      <c r="G223" s="53">
        <v>343000</v>
      </c>
      <c r="H223" s="70">
        <v>30</v>
      </c>
      <c r="I223" s="54">
        <v>239551.96</v>
      </c>
      <c r="J223" s="54"/>
      <c r="K223" s="54"/>
      <c r="L223" s="54">
        <f t="shared" si="78"/>
        <v>0</v>
      </c>
      <c r="M223" s="54">
        <f t="shared" si="79"/>
        <v>239551.96</v>
      </c>
      <c r="N223" s="53">
        <v>100</v>
      </c>
      <c r="O223" s="8"/>
    </row>
    <row r="224" spans="1:15" s="9" customFormat="1" ht="85.5" hidden="1" customHeight="1" x14ac:dyDescent="0.35">
      <c r="A224" s="5"/>
      <c r="B224" s="5"/>
      <c r="C224" s="10"/>
      <c r="D224" s="78"/>
      <c r="E224" s="58" t="s">
        <v>298</v>
      </c>
      <c r="F224" s="37" t="s">
        <v>203</v>
      </c>
      <c r="G224" s="53">
        <v>398376</v>
      </c>
      <c r="H224" s="70">
        <v>32</v>
      </c>
      <c r="I224" s="54">
        <v>272802.8</v>
      </c>
      <c r="J224" s="54"/>
      <c r="K224" s="54"/>
      <c r="L224" s="54">
        <f t="shared" si="78"/>
        <v>0</v>
      </c>
      <c r="M224" s="54">
        <f t="shared" si="79"/>
        <v>272802.8</v>
      </c>
      <c r="N224" s="53">
        <v>100</v>
      </c>
      <c r="O224" s="8"/>
    </row>
    <row r="225" spans="1:15" s="9" customFormat="1" ht="72.599999999999994" hidden="1" customHeight="1" x14ac:dyDescent="0.35">
      <c r="A225" s="5"/>
      <c r="B225" s="5"/>
      <c r="C225" s="10"/>
      <c r="D225" s="78"/>
      <c r="E225" s="84" t="s">
        <v>201</v>
      </c>
      <c r="F225" s="37" t="s">
        <v>202</v>
      </c>
      <c r="G225" s="53">
        <v>228840.65</v>
      </c>
      <c r="H225" s="70">
        <v>30</v>
      </c>
      <c r="I225" s="54">
        <v>159798.42000000001</v>
      </c>
      <c r="J225" s="54"/>
      <c r="K225" s="54"/>
      <c r="L225" s="54">
        <f>J225+K225</f>
        <v>0</v>
      </c>
      <c r="M225" s="54">
        <f>I225+L225</f>
        <v>159798.42000000001</v>
      </c>
      <c r="N225" s="53">
        <v>100</v>
      </c>
      <c r="O225" s="8"/>
    </row>
    <row r="226" spans="1:15" s="9" customFormat="1" ht="65.099999999999994" hidden="1" customHeight="1" x14ac:dyDescent="0.35">
      <c r="A226" s="5"/>
      <c r="B226" s="5"/>
      <c r="C226" s="10"/>
      <c r="D226" s="83"/>
      <c r="E226" s="58" t="s">
        <v>206</v>
      </c>
      <c r="F226" s="37">
        <v>2020</v>
      </c>
      <c r="G226" s="5"/>
      <c r="H226" s="5"/>
      <c r="I226" s="54">
        <f>1273386.75-688215.76</f>
        <v>585170.99</v>
      </c>
      <c r="J226" s="54"/>
      <c r="K226" s="54"/>
      <c r="L226" s="54">
        <f t="shared" si="78"/>
        <v>0</v>
      </c>
      <c r="M226" s="54">
        <f t="shared" si="79"/>
        <v>585170.99</v>
      </c>
      <c r="N226" s="5"/>
      <c r="O226" s="8"/>
    </row>
    <row r="227" spans="1:15" s="21" customFormat="1" ht="71.45" customHeight="1" x14ac:dyDescent="0.35">
      <c r="A227" s="13">
        <v>1216013</v>
      </c>
      <c r="B227" s="13">
        <v>6013</v>
      </c>
      <c r="C227" s="14" t="s">
        <v>162</v>
      </c>
      <c r="D227" s="15" t="s">
        <v>163</v>
      </c>
      <c r="E227" s="13"/>
      <c r="F227" s="13"/>
      <c r="G227" s="13"/>
      <c r="H227" s="13"/>
      <c r="I227" s="38">
        <f>I228+I230</f>
        <v>1721000</v>
      </c>
      <c r="J227" s="38">
        <f t="shared" ref="J227:M227" si="80">J228+J230</f>
        <v>0</v>
      </c>
      <c r="K227" s="38">
        <f t="shared" si="80"/>
        <v>0</v>
      </c>
      <c r="L227" s="38">
        <f t="shared" si="80"/>
        <v>0</v>
      </c>
      <c r="M227" s="38">
        <f t="shared" si="80"/>
        <v>1721000</v>
      </c>
      <c r="N227" s="13"/>
      <c r="O227" s="8"/>
    </row>
    <row r="228" spans="1:15" s="21" customFormat="1" ht="39.75" customHeight="1" x14ac:dyDescent="0.35">
      <c r="A228" s="13"/>
      <c r="B228" s="13"/>
      <c r="C228" s="14"/>
      <c r="D228" s="78"/>
      <c r="E228" s="16" t="s">
        <v>179</v>
      </c>
      <c r="F228" s="13"/>
      <c r="G228" s="13"/>
      <c r="H228" s="13"/>
      <c r="I228" s="19">
        <f>I229</f>
        <v>21000</v>
      </c>
      <c r="J228" s="19">
        <f t="shared" ref="J228:M228" si="81">J229</f>
        <v>0</v>
      </c>
      <c r="K228" s="19">
        <f t="shared" si="81"/>
        <v>0</v>
      </c>
      <c r="L228" s="19">
        <f t="shared" si="81"/>
        <v>0</v>
      </c>
      <c r="M228" s="19">
        <f t="shared" si="81"/>
        <v>21000</v>
      </c>
      <c r="N228" s="13"/>
      <c r="O228" s="8"/>
    </row>
    <row r="229" spans="1:15" ht="75" hidden="1" customHeight="1" x14ac:dyDescent="0.35">
      <c r="A229" s="37"/>
      <c r="B229" s="37"/>
      <c r="C229" s="57"/>
      <c r="D229" s="80"/>
      <c r="E229" s="58" t="s">
        <v>299</v>
      </c>
      <c r="F229" s="37" t="s">
        <v>50</v>
      </c>
      <c r="G229" s="53">
        <v>4203383</v>
      </c>
      <c r="H229" s="37">
        <v>3.1</v>
      </c>
      <c r="I229" s="54">
        <f>20000+1000</f>
        <v>21000</v>
      </c>
      <c r="J229" s="54"/>
      <c r="K229" s="54"/>
      <c r="L229" s="54">
        <f t="shared" ref="L229" si="82">J229+K229</f>
        <v>0</v>
      </c>
      <c r="M229" s="54">
        <f t="shared" ref="M229" si="83">I229+L229</f>
        <v>21000</v>
      </c>
      <c r="N229" s="37">
        <v>3.5</v>
      </c>
      <c r="O229" s="8"/>
    </row>
    <row r="230" spans="1:15" s="21" customFormat="1" ht="67.5" customHeight="1" x14ac:dyDescent="0.35">
      <c r="A230" s="13"/>
      <c r="B230" s="13"/>
      <c r="C230" s="14"/>
      <c r="D230" s="78"/>
      <c r="E230" s="16" t="s">
        <v>182</v>
      </c>
      <c r="F230" s="13"/>
      <c r="G230" s="13"/>
      <c r="H230" s="13"/>
      <c r="I230" s="19">
        <v>1700000</v>
      </c>
      <c r="J230" s="19"/>
      <c r="K230" s="19"/>
      <c r="L230" s="19">
        <f>J230+K230</f>
        <v>0</v>
      </c>
      <c r="M230" s="19">
        <f>I230+L230</f>
        <v>1700000</v>
      </c>
      <c r="N230" s="13"/>
      <c r="O230" s="8"/>
    </row>
    <row r="231" spans="1:15" s="21" customFormat="1" ht="64.5" customHeight="1" x14ac:dyDescent="0.35">
      <c r="A231" s="13">
        <v>1216015</v>
      </c>
      <c r="B231" s="13">
        <v>6015</v>
      </c>
      <c r="C231" s="14" t="s">
        <v>162</v>
      </c>
      <c r="D231" s="15" t="s">
        <v>164</v>
      </c>
      <c r="E231" s="13"/>
      <c r="F231" s="13"/>
      <c r="G231" s="13"/>
      <c r="H231" s="13"/>
      <c r="I231" s="38">
        <f>I232+I258</f>
        <v>13358448.83</v>
      </c>
      <c r="J231" s="38">
        <f>J232+J258</f>
        <v>0</v>
      </c>
      <c r="K231" s="38">
        <f>K232+K258</f>
        <v>0</v>
      </c>
      <c r="L231" s="38">
        <f>L232+L258</f>
        <v>0</v>
      </c>
      <c r="M231" s="38">
        <f>M232+M258</f>
        <v>13358448.83</v>
      </c>
      <c r="N231" s="13"/>
      <c r="O231" s="8"/>
    </row>
    <row r="232" spans="1:15" s="21" customFormat="1" ht="45.95" customHeight="1" x14ac:dyDescent="0.35">
      <c r="A232" s="13"/>
      <c r="B232" s="13"/>
      <c r="C232" s="14"/>
      <c r="D232" s="78"/>
      <c r="E232" s="16" t="s">
        <v>183</v>
      </c>
      <c r="F232" s="13"/>
      <c r="G232" s="13"/>
      <c r="H232" s="13"/>
      <c r="I232" s="19">
        <f>SUM(I233:I257)</f>
        <v>4711349.5299999993</v>
      </c>
      <c r="J232" s="19">
        <f>SUM(J233:J257)</f>
        <v>0</v>
      </c>
      <c r="K232" s="19">
        <f>SUM(K233:K257)</f>
        <v>0</v>
      </c>
      <c r="L232" s="19">
        <f>SUM(L233:L257)</f>
        <v>0</v>
      </c>
      <c r="M232" s="19">
        <f>SUM(M233:M257)</f>
        <v>4711349.5299999993</v>
      </c>
      <c r="N232" s="13"/>
      <c r="O232" s="8"/>
    </row>
    <row r="233" spans="1:15" s="9" customFormat="1" ht="68.099999999999994" hidden="1" customHeight="1" x14ac:dyDescent="0.35">
      <c r="A233" s="5"/>
      <c r="B233" s="5"/>
      <c r="C233" s="10"/>
      <c r="D233" s="78"/>
      <c r="E233" s="58" t="s">
        <v>386</v>
      </c>
      <c r="F233" s="37" t="s">
        <v>50</v>
      </c>
      <c r="G233" s="53">
        <v>380000</v>
      </c>
      <c r="H233" s="85"/>
      <c r="I233" s="81">
        <v>380000</v>
      </c>
      <c r="J233" s="81"/>
      <c r="K233" s="81"/>
      <c r="L233" s="54">
        <f>J233+K233</f>
        <v>0</v>
      </c>
      <c r="M233" s="54">
        <f>I233+L233</f>
        <v>380000</v>
      </c>
      <c r="N233" s="53">
        <v>100</v>
      </c>
      <c r="O233" s="8"/>
    </row>
    <row r="234" spans="1:15" s="9" customFormat="1" ht="81" hidden="1" customHeight="1" x14ac:dyDescent="0.35">
      <c r="A234" s="5"/>
      <c r="B234" s="5"/>
      <c r="C234" s="10"/>
      <c r="D234" s="78"/>
      <c r="E234" s="58" t="s">
        <v>360</v>
      </c>
      <c r="F234" s="37" t="s">
        <v>50</v>
      </c>
      <c r="G234" s="53">
        <v>32698</v>
      </c>
      <c r="H234" s="85">
        <v>13.496849960242219</v>
      </c>
      <c r="I234" s="81">
        <v>28284.799999999999</v>
      </c>
      <c r="J234" s="81"/>
      <c r="K234" s="81"/>
      <c r="L234" s="54">
        <f>J234+K234</f>
        <v>0</v>
      </c>
      <c r="M234" s="54">
        <f>I234+L234</f>
        <v>28284.799999999999</v>
      </c>
      <c r="N234" s="53">
        <v>100</v>
      </c>
      <c r="O234" s="8"/>
    </row>
    <row r="235" spans="1:15" s="9" customFormat="1" ht="65.099999999999994" hidden="1" customHeight="1" x14ac:dyDescent="0.35">
      <c r="A235" s="5"/>
      <c r="B235" s="5"/>
      <c r="C235" s="10"/>
      <c r="D235" s="78"/>
      <c r="E235" s="58" t="s">
        <v>475</v>
      </c>
      <c r="F235" s="37">
        <v>2020</v>
      </c>
      <c r="G235" s="53"/>
      <c r="H235" s="85"/>
      <c r="I235" s="81">
        <v>500000</v>
      </c>
      <c r="J235" s="81"/>
      <c r="K235" s="81"/>
      <c r="L235" s="54">
        <f>J235+K235</f>
        <v>0</v>
      </c>
      <c r="M235" s="54">
        <f>I235+L235</f>
        <v>500000</v>
      </c>
      <c r="N235" s="53"/>
      <c r="O235" s="8"/>
    </row>
    <row r="236" spans="1:15" s="9" customFormat="1" ht="97.5" hidden="1" customHeight="1" x14ac:dyDescent="0.35">
      <c r="A236" s="5"/>
      <c r="B236" s="5"/>
      <c r="C236" s="10"/>
      <c r="D236" s="78"/>
      <c r="E236" s="58" t="s">
        <v>353</v>
      </c>
      <c r="F236" s="37" t="s">
        <v>50</v>
      </c>
      <c r="G236" s="53">
        <v>976698</v>
      </c>
      <c r="H236" s="70"/>
      <c r="I236" s="81">
        <f>635802.18+340895.82</f>
        <v>976698</v>
      </c>
      <c r="J236" s="81"/>
      <c r="K236" s="81"/>
      <c r="L236" s="54">
        <f t="shared" ref="L236:L257" si="84">J236+K236</f>
        <v>0</v>
      </c>
      <c r="M236" s="54">
        <f t="shared" ref="M236:M257" si="85">I236+L236</f>
        <v>976698</v>
      </c>
      <c r="N236" s="53">
        <v>100</v>
      </c>
      <c r="O236" s="8"/>
    </row>
    <row r="237" spans="1:15" s="9" customFormat="1" ht="97.5" hidden="1" customHeight="1" x14ac:dyDescent="0.35">
      <c r="A237" s="5"/>
      <c r="B237" s="5"/>
      <c r="C237" s="10"/>
      <c r="D237" s="78"/>
      <c r="E237" s="58" t="s">
        <v>517</v>
      </c>
      <c r="F237" s="37">
        <v>2020</v>
      </c>
      <c r="G237" s="53"/>
      <c r="H237" s="70"/>
      <c r="I237" s="81">
        <v>9000</v>
      </c>
      <c r="J237" s="81"/>
      <c r="K237" s="81"/>
      <c r="L237" s="54">
        <f t="shared" ref="L237" si="86">J237+K237</f>
        <v>0</v>
      </c>
      <c r="M237" s="54">
        <f t="shared" ref="M237" si="87">I237+L237</f>
        <v>9000</v>
      </c>
      <c r="N237" s="53"/>
      <c r="O237" s="8"/>
    </row>
    <row r="238" spans="1:15" s="9" customFormat="1" ht="97.5" hidden="1" customHeight="1" x14ac:dyDescent="0.35">
      <c r="A238" s="5"/>
      <c r="B238" s="5"/>
      <c r="C238" s="10"/>
      <c r="D238" s="78"/>
      <c r="E238" s="58" t="s">
        <v>519</v>
      </c>
      <c r="F238" s="37">
        <v>2020</v>
      </c>
      <c r="G238" s="53"/>
      <c r="H238" s="70"/>
      <c r="I238" s="81">
        <v>9000</v>
      </c>
      <c r="J238" s="81"/>
      <c r="K238" s="81"/>
      <c r="L238" s="54">
        <f t="shared" ref="L238" si="88">J238+K238</f>
        <v>0</v>
      </c>
      <c r="M238" s="54">
        <f t="shared" ref="M238" si="89">I238+L238</f>
        <v>9000</v>
      </c>
      <c r="N238" s="53"/>
      <c r="O238" s="8"/>
    </row>
    <row r="239" spans="1:15" s="9" customFormat="1" ht="97.5" hidden="1" customHeight="1" x14ac:dyDescent="0.35">
      <c r="A239" s="5"/>
      <c r="B239" s="5"/>
      <c r="C239" s="10"/>
      <c r="D239" s="78"/>
      <c r="E239" s="58" t="s">
        <v>518</v>
      </c>
      <c r="F239" s="37">
        <v>2020</v>
      </c>
      <c r="G239" s="53"/>
      <c r="H239" s="70"/>
      <c r="I239" s="81">
        <v>9000</v>
      </c>
      <c r="J239" s="81"/>
      <c r="K239" s="81"/>
      <c r="L239" s="54">
        <f t="shared" ref="L239" si="90">J239+K239</f>
        <v>0</v>
      </c>
      <c r="M239" s="54">
        <f t="shared" ref="M239" si="91">I239+L239</f>
        <v>9000</v>
      </c>
      <c r="N239" s="53"/>
      <c r="O239" s="8"/>
    </row>
    <row r="240" spans="1:15" s="9" customFormat="1" ht="83.1" hidden="1" customHeight="1" x14ac:dyDescent="0.35">
      <c r="A240" s="5"/>
      <c r="B240" s="5"/>
      <c r="C240" s="10"/>
      <c r="D240" s="78"/>
      <c r="E240" s="58" t="s">
        <v>354</v>
      </c>
      <c r="F240" s="37" t="s">
        <v>50</v>
      </c>
      <c r="G240" s="53">
        <v>395435</v>
      </c>
      <c r="H240" s="70">
        <v>7.1684170596937529</v>
      </c>
      <c r="I240" s="81">
        <v>367088.57</v>
      </c>
      <c r="J240" s="81"/>
      <c r="K240" s="81"/>
      <c r="L240" s="54">
        <f t="shared" si="84"/>
        <v>0</v>
      </c>
      <c r="M240" s="54">
        <f t="shared" si="85"/>
        <v>367088.57</v>
      </c>
      <c r="N240" s="53">
        <v>100</v>
      </c>
      <c r="O240" s="8"/>
    </row>
    <row r="241" spans="1:15" s="9" customFormat="1" ht="78.599999999999994" hidden="1" customHeight="1" x14ac:dyDescent="0.35">
      <c r="A241" s="5"/>
      <c r="B241" s="5"/>
      <c r="C241" s="10"/>
      <c r="D241" s="78"/>
      <c r="E241" s="58" t="s">
        <v>355</v>
      </c>
      <c r="F241" s="37" t="s">
        <v>50</v>
      </c>
      <c r="G241" s="53">
        <v>61087</v>
      </c>
      <c r="H241" s="85">
        <v>10.30901828539624</v>
      </c>
      <c r="I241" s="81">
        <v>54789.53</v>
      </c>
      <c r="J241" s="81"/>
      <c r="K241" s="81"/>
      <c r="L241" s="54">
        <f t="shared" si="84"/>
        <v>0</v>
      </c>
      <c r="M241" s="54">
        <f t="shared" si="85"/>
        <v>54789.53</v>
      </c>
      <c r="N241" s="53">
        <v>100</v>
      </c>
      <c r="O241" s="8"/>
    </row>
    <row r="242" spans="1:15" s="9" customFormat="1" ht="90" hidden="1" customHeight="1" x14ac:dyDescent="0.35">
      <c r="A242" s="5"/>
      <c r="B242" s="5"/>
      <c r="C242" s="10"/>
      <c r="D242" s="78"/>
      <c r="E242" s="58" t="s">
        <v>356</v>
      </c>
      <c r="F242" s="37" t="s">
        <v>50</v>
      </c>
      <c r="G242" s="53">
        <v>389633</v>
      </c>
      <c r="H242" s="85">
        <v>14.594012827455586</v>
      </c>
      <c r="I242" s="81">
        <v>332769.90999999997</v>
      </c>
      <c r="J242" s="81"/>
      <c r="K242" s="81"/>
      <c r="L242" s="54">
        <f t="shared" si="84"/>
        <v>0</v>
      </c>
      <c r="M242" s="54">
        <f t="shared" si="85"/>
        <v>332769.90999999997</v>
      </c>
      <c r="N242" s="53">
        <v>100</v>
      </c>
      <c r="O242" s="8"/>
    </row>
    <row r="243" spans="1:15" s="9" customFormat="1" ht="93.6" hidden="1" customHeight="1" x14ac:dyDescent="0.35">
      <c r="A243" s="5"/>
      <c r="B243" s="5"/>
      <c r="C243" s="10"/>
      <c r="D243" s="78"/>
      <c r="E243" s="58" t="s">
        <v>559</v>
      </c>
      <c r="F243" s="37">
        <v>2020</v>
      </c>
      <c r="G243" s="53"/>
      <c r="H243" s="85"/>
      <c r="I243" s="81">
        <v>25000</v>
      </c>
      <c r="J243" s="81"/>
      <c r="K243" s="81"/>
      <c r="L243" s="54">
        <f t="shared" ref="L243" si="92">J243+K243</f>
        <v>0</v>
      </c>
      <c r="M243" s="54">
        <f t="shared" ref="M243" si="93">I243+L243</f>
        <v>25000</v>
      </c>
      <c r="N243" s="53"/>
      <c r="O243" s="8"/>
    </row>
    <row r="244" spans="1:15" s="9" customFormat="1" ht="93.6" hidden="1" customHeight="1" x14ac:dyDescent="0.35">
      <c r="A244" s="5"/>
      <c r="B244" s="5"/>
      <c r="C244" s="10"/>
      <c r="D244" s="78"/>
      <c r="E244" s="58" t="s">
        <v>560</v>
      </c>
      <c r="F244" s="37">
        <v>2020</v>
      </c>
      <c r="G244" s="53"/>
      <c r="H244" s="85"/>
      <c r="I244" s="81">
        <v>25000</v>
      </c>
      <c r="J244" s="81"/>
      <c r="K244" s="81"/>
      <c r="L244" s="54">
        <f t="shared" ref="L244" si="94">J244+K244</f>
        <v>0</v>
      </c>
      <c r="M244" s="54">
        <f t="shared" ref="M244" si="95">I244+L244</f>
        <v>25000</v>
      </c>
      <c r="N244" s="53"/>
      <c r="O244" s="8"/>
    </row>
    <row r="245" spans="1:15" s="9" customFormat="1" ht="93.6" hidden="1" customHeight="1" x14ac:dyDescent="0.35">
      <c r="A245" s="5"/>
      <c r="B245" s="5"/>
      <c r="C245" s="10"/>
      <c r="D245" s="78"/>
      <c r="E245" s="58" t="s">
        <v>561</v>
      </c>
      <c r="F245" s="37">
        <v>2020</v>
      </c>
      <c r="G245" s="53"/>
      <c r="H245" s="85"/>
      <c r="I245" s="81">
        <v>25000</v>
      </c>
      <c r="J245" s="81"/>
      <c r="K245" s="81"/>
      <c r="L245" s="54">
        <f t="shared" ref="L245:L246" si="96">J245+K245</f>
        <v>0</v>
      </c>
      <c r="M245" s="54">
        <f t="shared" ref="M245:M246" si="97">I245+L245</f>
        <v>25000</v>
      </c>
      <c r="N245" s="53"/>
      <c r="O245" s="8"/>
    </row>
    <row r="246" spans="1:15" s="9" customFormat="1" ht="93.6" hidden="1" customHeight="1" x14ac:dyDescent="0.35">
      <c r="A246" s="5"/>
      <c r="B246" s="5"/>
      <c r="C246" s="10"/>
      <c r="D246" s="78"/>
      <c r="E246" s="58" t="s">
        <v>562</v>
      </c>
      <c r="F246" s="37">
        <v>2020</v>
      </c>
      <c r="G246" s="53"/>
      <c r="H246" s="85"/>
      <c r="I246" s="81">
        <v>25000</v>
      </c>
      <c r="J246" s="81"/>
      <c r="K246" s="81"/>
      <c r="L246" s="54">
        <f t="shared" si="96"/>
        <v>0</v>
      </c>
      <c r="M246" s="54">
        <f t="shared" si="97"/>
        <v>25000</v>
      </c>
      <c r="N246" s="53"/>
      <c r="O246" s="8"/>
    </row>
    <row r="247" spans="1:15" s="9" customFormat="1" ht="84.6" hidden="1" customHeight="1" x14ac:dyDescent="0.35">
      <c r="A247" s="5"/>
      <c r="B247" s="5"/>
      <c r="C247" s="10"/>
      <c r="D247" s="78"/>
      <c r="E247" s="58" t="s">
        <v>357</v>
      </c>
      <c r="F247" s="37" t="s">
        <v>50</v>
      </c>
      <c r="G247" s="53">
        <v>631355</v>
      </c>
      <c r="H247" s="85">
        <v>14.095611819024159</v>
      </c>
      <c r="I247" s="81">
        <v>542361.65</v>
      </c>
      <c r="J247" s="81"/>
      <c r="K247" s="81"/>
      <c r="L247" s="54">
        <f t="shared" si="84"/>
        <v>0</v>
      </c>
      <c r="M247" s="54">
        <f t="shared" si="85"/>
        <v>542361.65</v>
      </c>
      <c r="N247" s="53">
        <v>100</v>
      </c>
      <c r="O247" s="8"/>
    </row>
    <row r="248" spans="1:15" s="9" customFormat="1" ht="65.45" hidden="1" customHeight="1" x14ac:dyDescent="0.35">
      <c r="A248" s="5"/>
      <c r="B248" s="5"/>
      <c r="C248" s="10"/>
      <c r="D248" s="78"/>
      <c r="E248" s="58" t="s">
        <v>352</v>
      </c>
      <c r="F248" s="37" t="s">
        <v>50</v>
      </c>
      <c r="G248" s="53">
        <v>30217</v>
      </c>
      <c r="H248" s="70">
        <v>11.807922692524075</v>
      </c>
      <c r="I248" s="81">
        <v>26649</v>
      </c>
      <c r="J248" s="81"/>
      <c r="K248" s="81"/>
      <c r="L248" s="54">
        <f>J248+K248</f>
        <v>0</v>
      </c>
      <c r="M248" s="54">
        <f>I248+L248</f>
        <v>26649</v>
      </c>
      <c r="N248" s="53">
        <v>100</v>
      </c>
      <c r="O248" s="8"/>
    </row>
    <row r="249" spans="1:15" s="9" customFormat="1" ht="81.599999999999994" hidden="1" customHeight="1" x14ac:dyDescent="0.35">
      <c r="A249" s="5"/>
      <c r="B249" s="5"/>
      <c r="C249" s="10"/>
      <c r="D249" s="78"/>
      <c r="E249" s="58" t="s">
        <v>460</v>
      </c>
      <c r="F249" s="37">
        <v>2020</v>
      </c>
      <c r="G249" s="53"/>
      <c r="H249" s="85"/>
      <c r="I249" s="81">
        <v>17000</v>
      </c>
      <c r="J249" s="81"/>
      <c r="K249" s="81"/>
      <c r="L249" s="54">
        <f>J249+K249</f>
        <v>0</v>
      </c>
      <c r="M249" s="54">
        <f>I249+L249</f>
        <v>17000</v>
      </c>
      <c r="N249" s="53"/>
      <c r="O249" s="8"/>
    </row>
    <row r="250" spans="1:15" s="9" customFormat="1" ht="78.599999999999994" hidden="1" customHeight="1" x14ac:dyDescent="0.35">
      <c r="A250" s="5"/>
      <c r="B250" s="5"/>
      <c r="C250" s="10"/>
      <c r="D250" s="78"/>
      <c r="E250" s="58" t="s">
        <v>358</v>
      </c>
      <c r="F250" s="37" t="s">
        <v>50</v>
      </c>
      <c r="G250" s="53">
        <v>471311</v>
      </c>
      <c r="H250" s="85">
        <v>4.1099443891612957</v>
      </c>
      <c r="I250" s="81">
        <v>451940.38</v>
      </c>
      <c r="J250" s="81"/>
      <c r="K250" s="81"/>
      <c r="L250" s="54">
        <f t="shared" si="84"/>
        <v>0</v>
      </c>
      <c r="M250" s="54">
        <f t="shared" si="85"/>
        <v>451940.38</v>
      </c>
      <c r="N250" s="53">
        <v>100</v>
      </c>
      <c r="O250" s="8"/>
    </row>
    <row r="251" spans="1:15" s="9" customFormat="1" ht="97.5" hidden="1" customHeight="1" x14ac:dyDescent="0.35">
      <c r="A251" s="5"/>
      <c r="B251" s="5"/>
      <c r="C251" s="10"/>
      <c r="D251" s="78"/>
      <c r="E251" s="58" t="s">
        <v>359</v>
      </c>
      <c r="F251" s="37" t="s">
        <v>50</v>
      </c>
      <c r="G251" s="53">
        <v>1151915</v>
      </c>
      <c r="H251" s="85">
        <v>31.699154017440527</v>
      </c>
      <c r="I251" s="81">
        <v>786767.69</v>
      </c>
      <c r="J251" s="81"/>
      <c r="K251" s="81"/>
      <c r="L251" s="54">
        <f t="shared" si="84"/>
        <v>0</v>
      </c>
      <c r="M251" s="54">
        <f t="shared" si="85"/>
        <v>786767.69</v>
      </c>
      <c r="N251" s="53">
        <v>100</v>
      </c>
      <c r="O251" s="8"/>
    </row>
    <row r="252" spans="1:15" s="9" customFormat="1" ht="96.6" hidden="1" customHeight="1" x14ac:dyDescent="0.35">
      <c r="A252" s="5"/>
      <c r="B252" s="5"/>
      <c r="C252" s="10"/>
      <c r="D252" s="78"/>
      <c r="E252" s="58" t="s">
        <v>532</v>
      </c>
      <c r="F252" s="37">
        <v>2020</v>
      </c>
      <c r="G252" s="53"/>
      <c r="H252" s="85"/>
      <c r="I252" s="81">
        <v>24000</v>
      </c>
      <c r="J252" s="81"/>
      <c r="K252" s="81"/>
      <c r="L252" s="54">
        <f t="shared" ref="L252" si="98">J252+K252</f>
        <v>0</v>
      </c>
      <c r="M252" s="54">
        <f t="shared" ref="M252" si="99">I252+L252</f>
        <v>24000</v>
      </c>
      <c r="N252" s="53"/>
      <c r="O252" s="8"/>
    </row>
    <row r="253" spans="1:15" s="9" customFormat="1" ht="93.6" hidden="1" customHeight="1" x14ac:dyDescent="0.35">
      <c r="A253" s="5"/>
      <c r="B253" s="5"/>
      <c r="C253" s="10"/>
      <c r="D253" s="78"/>
      <c r="E253" s="58" t="s">
        <v>533</v>
      </c>
      <c r="F253" s="37">
        <v>2020</v>
      </c>
      <c r="G253" s="53"/>
      <c r="H253" s="85"/>
      <c r="I253" s="81">
        <v>24000</v>
      </c>
      <c r="J253" s="81"/>
      <c r="K253" s="81"/>
      <c r="L253" s="54">
        <f t="shared" ref="L253" si="100">J253+K253</f>
        <v>0</v>
      </c>
      <c r="M253" s="54">
        <f t="shared" ref="M253" si="101">I253+L253</f>
        <v>24000</v>
      </c>
      <c r="N253" s="53"/>
      <c r="O253" s="8"/>
    </row>
    <row r="254" spans="1:15" s="9" customFormat="1" ht="68.099999999999994" hidden="1" customHeight="1" x14ac:dyDescent="0.35">
      <c r="A254" s="5"/>
      <c r="B254" s="5"/>
      <c r="C254" s="10"/>
      <c r="D254" s="78"/>
      <c r="E254" s="58" t="s">
        <v>520</v>
      </c>
      <c r="F254" s="37">
        <v>2020</v>
      </c>
      <c r="G254" s="53"/>
      <c r="H254" s="85"/>
      <c r="I254" s="81">
        <v>24000</v>
      </c>
      <c r="J254" s="81"/>
      <c r="K254" s="81"/>
      <c r="L254" s="54">
        <f t="shared" ref="L254" si="102">J254+K254</f>
        <v>0</v>
      </c>
      <c r="M254" s="54">
        <f t="shared" ref="M254" si="103">I254+L254</f>
        <v>24000</v>
      </c>
      <c r="N254" s="53"/>
      <c r="O254" s="8"/>
    </row>
    <row r="255" spans="1:15" s="9" customFormat="1" ht="66.599999999999994" hidden="1" customHeight="1" x14ac:dyDescent="0.35">
      <c r="A255" s="5"/>
      <c r="B255" s="5"/>
      <c r="C255" s="10"/>
      <c r="D255" s="78"/>
      <c r="E255" s="58" t="s">
        <v>521</v>
      </c>
      <c r="F255" s="37">
        <v>2020</v>
      </c>
      <c r="G255" s="53"/>
      <c r="H255" s="85"/>
      <c r="I255" s="81">
        <v>24000</v>
      </c>
      <c r="J255" s="81"/>
      <c r="K255" s="81"/>
      <c r="L255" s="54">
        <f t="shared" ref="L255" si="104">J255+K255</f>
        <v>0</v>
      </c>
      <c r="M255" s="54">
        <f t="shared" ref="M255" si="105">I255+L255</f>
        <v>24000</v>
      </c>
      <c r="N255" s="53"/>
      <c r="O255" s="8"/>
    </row>
    <row r="256" spans="1:15" s="9" customFormat="1" ht="46.5" hidden="1" x14ac:dyDescent="0.35">
      <c r="A256" s="5"/>
      <c r="B256" s="5"/>
      <c r="C256" s="10"/>
      <c r="D256" s="78"/>
      <c r="E256" s="58" t="s">
        <v>522</v>
      </c>
      <c r="F256" s="37">
        <v>2020</v>
      </c>
      <c r="G256" s="53"/>
      <c r="H256" s="85"/>
      <c r="I256" s="81">
        <v>24000</v>
      </c>
      <c r="J256" s="81"/>
      <c r="K256" s="81"/>
      <c r="L256" s="54">
        <f t="shared" ref="L256" si="106">J256+K256</f>
        <v>0</v>
      </c>
      <c r="M256" s="54">
        <f t="shared" ref="M256" si="107">I256+L256</f>
        <v>24000</v>
      </c>
      <c r="N256" s="53"/>
      <c r="O256" s="8"/>
    </row>
    <row r="257" spans="1:15" s="9" customFormat="1" ht="48.95" hidden="1" customHeight="1" x14ac:dyDescent="0.35">
      <c r="A257" s="5"/>
      <c r="B257" s="5"/>
      <c r="C257" s="10"/>
      <c r="D257" s="83"/>
      <c r="E257" s="58" t="s">
        <v>361</v>
      </c>
      <c r="F257" s="37">
        <v>2020</v>
      </c>
      <c r="G257" s="5"/>
      <c r="H257" s="5"/>
      <c r="I257" s="54">
        <f>7273555.29-720895.82-6552659.47</f>
        <v>0</v>
      </c>
      <c r="J257" s="54"/>
      <c r="K257" s="54"/>
      <c r="L257" s="54">
        <f t="shared" si="84"/>
        <v>0</v>
      </c>
      <c r="M257" s="54">
        <f t="shared" si="85"/>
        <v>0</v>
      </c>
      <c r="N257" s="86"/>
      <c r="O257" s="8"/>
    </row>
    <row r="258" spans="1:15" s="21" customFormat="1" ht="63.6" customHeight="1" x14ac:dyDescent="0.35">
      <c r="A258" s="13"/>
      <c r="B258" s="13"/>
      <c r="C258" s="14"/>
      <c r="D258" s="78"/>
      <c r="E258" s="16" t="s">
        <v>182</v>
      </c>
      <c r="F258" s="13"/>
      <c r="G258" s="13"/>
      <c r="H258" s="13"/>
      <c r="I258" s="19">
        <f>SUM(I259:I273)</f>
        <v>8647099.3000000007</v>
      </c>
      <c r="J258" s="19">
        <f>SUM(J259:J273)</f>
        <v>0</v>
      </c>
      <c r="K258" s="19">
        <f>SUM(K259:K273)</f>
        <v>0</v>
      </c>
      <c r="L258" s="19">
        <f>SUM(L259:L273)</f>
        <v>0</v>
      </c>
      <c r="M258" s="19">
        <f>SUM(M259:M273)</f>
        <v>8647099.3000000007</v>
      </c>
      <c r="N258" s="13"/>
      <c r="O258" s="8"/>
    </row>
    <row r="259" spans="1:15" s="9" customFormat="1" ht="95.1" hidden="1" customHeight="1" x14ac:dyDescent="0.35">
      <c r="A259" s="5"/>
      <c r="B259" s="5"/>
      <c r="C259" s="10"/>
      <c r="D259" s="78"/>
      <c r="E259" s="58" t="s">
        <v>195</v>
      </c>
      <c r="F259" s="37" t="s">
        <v>53</v>
      </c>
      <c r="G259" s="53">
        <v>559396</v>
      </c>
      <c r="H259" s="85">
        <v>56</v>
      </c>
      <c r="I259" s="81">
        <v>246462.33</v>
      </c>
      <c r="J259" s="81"/>
      <c r="K259" s="81"/>
      <c r="L259" s="54">
        <f>J259+K259</f>
        <v>0</v>
      </c>
      <c r="M259" s="54">
        <f>I259+L259</f>
        <v>246462.33</v>
      </c>
      <c r="N259" s="53">
        <v>100</v>
      </c>
      <c r="O259" s="8"/>
    </row>
    <row r="260" spans="1:15" s="9" customFormat="1" ht="87" hidden="1" customHeight="1" x14ac:dyDescent="0.35">
      <c r="A260" s="5"/>
      <c r="B260" s="5"/>
      <c r="C260" s="10"/>
      <c r="D260" s="78"/>
      <c r="E260" s="58" t="s">
        <v>194</v>
      </c>
      <c r="F260" s="37" t="s">
        <v>50</v>
      </c>
      <c r="G260" s="53">
        <v>312005</v>
      </c>
      <c r="H260" s="85">
        <v>54</v>
      </c>
      <c r="I260" s="81">
        <v>142746.97</v>
      </c>
      <c r="J260" s="81"/>
      <c r="K260" s="81"/>
      <c r="L260" s="54">
        <f>J260+K260</f>
        <v>0</v>
      </c>
      <c r="M260" s="54">
        <f>I260+L260</f>
        <v>142746.97</v>
      </c>
      <c r="N260" s="53">
        <v>100</v>
      </c>
      <c r="O260" s="8"/>
    </row>
    <row r="261" spans="1:15" s="9" customFormat="1" ht="83.1" hidden="1" customHeight="1" x14ac:dyDescent="0.35">
      <c r="A261" s="5"/>
      <c r="B261" s="5"/>
      <c r="C261" s="10"/>
      <c r="D261" s="78"/>
      <c r="E261" s="58" t="s">
        <v>192</v>
      </c>
      <c r="F261" s="37" t="s">
        <v>50</v>
      </c>
      <c r="G261" s="53">
        <v>135116</v>
      </c>
      <c r="H261" s="85">
        <v>36</v>
      </c>
      <c r="I261" s="81">
        <f>26181.79+60317.81</f>
        <v>86499.6</v>
      </c>
      <c r="J261" s="81"/>
      <c r="K261" s="81"/>
      <c r="L261" s="54">
        <f t="shared" ref="L261:L273" si="108">J261+K261</f>
        <v>0</v>
      </c>
      <c r="M261" s="54">
        <f t="shared" ref="M261:M273" si="109">I261+L261</f>
        <v>86499.6</v>
      </c>
      <c r="N261" s="53">
        <v>100</v>
      </c>
      <c r="O261" s="8"/>
    </row>
    <row r="262" spans="1:15" s="9" customFormat="1" ht="84.95" hidden="1" customHeight="1" x14ac:dyDescent="0.35">
      <c r="A262" s="5"/>
      <c r="B262" s="5"/>
      <c r="C262" s="10"/>
      <c r="D262" s="78"/>
      <c r="E262" s="58" t="s">
        <v>484</v>
      </c>
      <c r="F262" s="37">
        <v>2020</v>
      </c>
      <c r="G262" s="53"/>
      <c r="H262" s="85"/>
      <c r="I262" s="81">
        <v>688000</v>
      </c>
      <c r="J262" s="81"/>
      <c r="K262" s="81"/>
      <c r="L262" s="54">
        <f t="shared" si="108"/>
        <v>0</v>
      </c>
      <c r="M262" s="54">
        <f t="shared" si="109"/>
        <v>688000</v>
      </c>
      <c r="N262" s="53"/>
      <c r="O262" s="8"/>
    </row>
    <row r="263" spans="1:15" s="9" customFormat="1" ht="84.95" hidden="1" customHeight="1" x14ac:dyDescent="0.35">
      <c r="A263" s="5"/>
      <c r="B263" s="5"/>
      <c r="C263" s="10"/>
      <c r="D263" s="78"/>
      <c r="E263" s="58" t="s">
        <v>476</v>
      </c>
      <c r="F263" s="37">
        <v>2020</v>
      </c>
      <c r="G263" s="53"/>
      <c r="H263" s="85"/>
      <c r="I263" s="81">
        <v>680000</v>
      </c>
      <c r="J263" s="81"/>
      <c r="K263" s="81"/>
      <c r="L263" s="54">
        <f t="shared" si="108"/>
        <v>0</v>
      </c>
      <c r="M263" s="54">
        <f t="shared" si="109"/>
        <v>680000</v>
      </c>
      <c r="N263" s="53"/>
      <c r="O263" s="8"/>
    </row>
    <row r="264" spans="1:15" s="9" customFormat="1" ht="69.95" hidden="1" customHeight="1" x14ac:dyDescent="0.35">
      <c r="A264" s="5"/>
      <c r="B264" s="5"/>
      <c r="C264" s="10"/>
      <c r="D264" s="78"/>
      <c r="E264" s="58" t="s">
        <v>485</v>
      </c>
      <c r="F264" s="37">
        <v>2020</v>
      </c>
      <c r="G264" s="53"/>
      <c r="H264" s="85"/>
      <c r="I264" s="81">
        <v>688818.3</v>
      </c>
      <c r="J264" s="81"/>
      <c r="K264" s="81"/>
      <c r="L264" s="54">
        <f t="shared" si="108"/>
        <v>0</v>
      </c>
      <c r="M264" s="54">
        <f t="shared" si="109"/>
        <v>688818.3</v>
      </c>
      <c r="N264" s="53"/>
      <c r="O264" s="8"/>
    </row>
    <row r="265" spans="1:15" s="9" customFormat="1" ht="65.45" hidden="1" customHeight="1" x14ac:dyDescent="0.35">
      <c r="A265" s="5"/>
      <c r="B265" s="5"/>
      <c r="C265" s="10"/>
      <c r="D265" s="78"/>
      <c r="E265" s="58" t="s">
        <v>486</v>
      </c>
      <c r="F265" s="37">
        <v>2020</v>
      </c>
      <c r="G265" s="53"/>
      <c r="H265" s="85"/>
      <c r="I265" s="81">
        <v>720000</v>
      </c>
      <c r="J265" s="81"/>
      <c r="K265" s="81"/>
      <c r="L265" s="54">
        <f t="shared" si="108"/>
        <v>0</v>
      </c>
      <c r="M265" s="54">
        <f t="shared" si="109"/>
        <v>720000</v>
      </c>
      <c r="N265" s="53"/>
      <c r="O265" s="8"/>
    </row>
    <row r="266" spans="1:15" s="9" customFormat="1" ht="84.6" hidden="1" customHeight="1" x14ac:dyDescent="0.35">
      <c r="A266" s="5"/>
      <c r="B266" s="5"/>
      <c r="C266" s="10"/>
      <c r="D266" s="78"/>
      <c r="E266" s="58" t="s">
        <v>193</v>
      </c>
      <c r="F266" s="37" t="s">
        <v>50</v>
      </c>
      <c r="G266" s="53">
        <v>519721</v>
      </c>
      <c r="H266" s="85">
        <v>56</v>
      </c>
      <c r="I266" s="81">
        <v>229572.1</v>
      </c>
      <c r="J266" s="81"/>
      <c r="K266" s="81"/>
      <c r="L266" s="54">
        <f t="shared" si="108"/>
        <v>0</v>
      </c>
      <c r="M266" s="54">
        <f t="shared" si="109"/>
        <v>229572.1</v>
      </c>
      <c r="N266" s="53">
        <v>100</v>
      </c>
      <c r="O266" s="8"/>
    </row>
    <row r="267" spans="1:15" s="9" customFormat="1" ht="84" hidden="1" customHeight="1" x14ac:dyDescent="0.35">
      <c r="A267" s="5"/>
      <c r="B267" s="5"/>
      <c r="C267" s="10"/>
      <c r="D267" s="78"/>
      <c r="E267" s="58" t="s">
        <v>482</v>
      </c>
      <c r="F267" s="37">
        <v>2020</v>
      </c>
      <c r="G267" s="53"/>
      <c r="H267" s="85"/>
      <c r="I267" s="81">
        <v>740000</v>
      </c>
      <c r="J267" s="81"/>
      <c r="K267" s="81"/>
      <c r="L267" s="54">
        <f t="shared" si="108"/>
        <v>0</v>
      </c>
      <c r="M267" s="54">
        <f t="shared" si="109"/>
        <v>740000</v>
      </c>
      <c r="N267" s="53"/>
      <c r="O267" s="8"/>
    </row>
    <row r="268" spans="1:15" s="9" customFormat="1" ht="63.95" hidden="1" customHeight="1" x14ac:dyDescent="0.35">
      <c r="A268" s="5"/>
      <c r="B268" s="5"/>
      <c r="C268" s="10"/>
      <c r="D268" s="78"/>
      <c r="E268" s="58" t="s">
        <v>483</v>
      </c>
      <c r="F268" s="37">
        <v>2020</v>
      </c>
      <c r="G268" s="53"/>
      <c r="H268" s="85"/>
      <c r="I268" s="81">
        <v>740000</v>
      </c>
      <c r="J268" s="81"/>
      <c r="K268" s="81"/>
      <c r="L268" s="54">
        <f t="shared" si="108"/>
        <v>0</v>
      </c>
      <c r="M268" s="54">
        <f t="shared" si="109"/>
        <v>740000</v>
      </c>
      <c r="N268" s="53"/>
      <c r="O268" s="8"/>
    </row>
    <row r="269" spans="1:15" s="9" customFormat="1" ht="65.45" hidden="1" customHeight="1" x14ac:dyDescent="0.35">
      <c r="A269" s="5"/>
      <c r="B269" s="5"/>
      <c r="C269" s="10"/>
      <c r="D269" s="78"/>
      <c r="E269" s="58" t="s">
        <v>480</v>
      </c>
      <c r="F269" s="37">
        <v>2020</v>
      </c>
      <c r="G269" s="53"/>
      <c r="H269" s="85"/>
      <c r="I269" s="81">
        <v>730000</v>
      </c>
      <c r="J269" s="81"/>
      <c r="K269" s="81"/>
      <c r="L269" s="54">
        <f t="shared" si="108"/>
        <v>0</v>
      </c>
      <c r="M269" s="54">
        <f t="shared" si="109"/>
        <v>730000</v>
      </c>
      <c r="N269" s="53"/>
      <c r="O269" s="8"/>
    </row>
    <row r="270" spans="1:15" s="9" customFormat="1" ht="72.599999999999994" hidden="1" customHeight="1" x14ac:dyDescent="0.35">
      <c r="A270" s="5"/>
      <c r="B270" s="5"/>
      <c r="C270" s="10"/>
      <c r="D270" s="78"/>
      <c r="E270" s="58" t="s">
        <v>481</v>
      </c>
      <c r="F270" s="37">
        <v>2020</v>
      </c>
      <c r="G270" s="53"/>
      <c r="H270" s="85"/>
      <c r="I270" s="81">
        <v>735000</v>
      </c>
      <c r="J270" s="81"/>
      <c r="K270" s="81"/>
      <c r="L270" s="54">
        <f t="shared" si="108"/>
        <v>0</v>
      </c>
      <c r="M270" s="54">
        <f t="shared" si="109"/>
        <v>735000</v>
      </c>
      <c r="N270" s="53"/>
      <c r="O270" s="8"/>
    </row>
    <row r="271" spans="1:15" s="9" customFormat="1" ht="65.099999999999994" hidden="1" customHeight="1" x14ac:dyDescent="0.35">
      <c r="A271" s="5"/>
      <c r="B271" s="5"/>
      <c r="C271" s="10"/>
      <c r="D271" s="78"/>
      <c r="E271" s="58" t="s">
        <v>477</v>
      </c>
      <c r="F271" s="37">
        <v>2020</v>
      </c>
      <c r="G271" s="53"/>
      <c r="H271" s="85"/>
      <c r="I271" s="81">
        <v>740000</v>
      </c>
      <c r="J271" s="81"/>
      <c r="K271" s="81"/>
      <c r="L271" s="54">
        <f t="shared" si="108"/>
        <v>0</v>
      </c>
      <c r="M271" s="54">
        <f t="shared" si="109"/>
        <v>740000</v>
      </c>
      <c r="N271" s="53"/>
      <c r="O271" s="8"/>
    </row>
    <row r="272" spans="1:15" s="9" customFormat="1" ht="62.45" hidden="1" customHeight="1" x14ac:dyDescent="0.35">
      <c r="A272" s="5"/>
      <c r="B272" s="5"/>
      <c r="C272" s="10"/>
      <c r="D272" s="78"/>
      <c r="E272" s="58" t="s">
        <v>478</v>
      </c>
      <c r="F272" s="37">
        <v>2020</v>
      </c>
      <c r="G272" s="53"/>
      <c r="H272" s="85"/>
      <c r="I272" s="81">
        <v>740000</v>
      </c>
      <c r="J272" s="81"/>
      <c r="K272" s="81"/>
      <c r="L272" s="54">
        <f t="shared" si="108"/>
        <v>0</v>
      </c>
      <c r="M272" s="54">
        <f t="shared" si="109"/>
        <v>740000</v>
      </c>
      <c r="N272" s="53"/>
      <c r="O272" s="8"/>
    </row>
    <row r="273" spans="1:15" s="9" customFormat="1" ht="84" hidden="1" customHeight="1" x14ac:dyDescent="0.35">
      <c r="A273" s="5"/>
      <c r="B273" s="5"/>
      <c r="C273" s="10"/>
      <c r="D273" s="78"/>
      <c r="E273" s="58" t="s">
        <v>479</v>
      </c>
      <c r="F273" s="37">
        <v>2020</v>
      </c>
      <c r="G273" s="53"/>
      <c r="H273" s="85"/>
      <c r="I273" s="81">
        <v>740000</v>
      </c>
      <c r="J273" s="81"/>
      <c r="K273" s="81"/>
      <c r="L273" s="54">
        <f t="shared" si="108"/>
        <v>0</v>
      </c>
      <c r="M273" s="54">
        <f t="shared" si="109"/>
        <v>740000</v>
      </c>
      <c r="N273" s="53"/>
      <c r="O273" s="8"/>
    </row>
    <row r="274" spans="1:15" s="21" customFormat="1" ht="56.1" customHeight="1" x14ac:dyDescent="0.35">
      <c r="A274" s="13">
        <v>1216030</v>
      </c>
      <c r="B274" s="13">
        <v>6030</v>
      </c>
      <c r="C274" s="14" t="s">
        <v>162</v>
      </c>
      <c r="D274" s="15" t="s">
        <v>165</v>
      </c>
      <c r="E274" s="87"/>
      <c r="F274" s="87"/>
      <c r="G274" s="87"/>
      <c r="H274" s="87"/>
      <c r="I274" s="38">
        <f>I275+I277</f>
        <v>48924304.149999991</v>
      </c>
      <c r="J274" s="38">
        <f t="shared" ref="J274:M274" si="110">J275+J277</f>
        <v>0</v>
      </c>
      <c r="K274" s="38">
        <f t="shared" si="110"/>
        <v>0</v>
      </c>
      <c r="L274" s="38">
        <f t="shared" si="110"/>
        <v>0</v>
      </c>
      <c r="M274" s="38">
        <f t="shared" si="110"/>
        <v>48924304.149999991</v>
      </c>
      <c r="N274" s="13"/>
      <c r="O274" s="8"/>
    </row>
    <row r="275" spans="1:15" s="21" customFormat="1" ht="47.1" customHeight="1" x14ac:dyDescent="0.35">
      <c r="A275" s="13"/>
      <c r="B275" s="13"/>
      <c r="C275" s="14"/>
      <c r="D275" s="15"/>
      <c r="E275" s="16" t="s">
        <v>180</v>
      </c>
      <c r="F275" s="13"/>
      <c r="G275" s="13"/>
      <c r="H275" s="13"/>
      <c r="I275" s="19">
        <f>I276</f>
        <v>31500</v>
      </c>
      <c r="J275" s="19">
        <f t="shared" ref="J275:M275" si="111">J276</f>
        <v>0</v>
      </c>
      <c r="K275" s="19">
        <f t="shared" si="111"/>
        <v>0</v>
      </c>
      <c r="L275" s="19">
        <f t="shared" si="111"/>
        <v>0</v>
      </c>
      <c r="M275" s="19">
        <f t="shared" si="111"/>
        <v>31500</v>
      </c>
      <c r="N275" s="13"/>
      <c r="O275" s="8"/>
    </row>
    <row r="276" spans="1:15" ht="34.5" hidden="1" customHeight="1" x14ac:dyDescent="0.35">
      <c r="A276" s="37"/>
      <c r="B276" s="37"/>
      <c r="C276" s="57"/>
      <c r="D276" s="15"/>
      <c r="E276" s="58" t="s">
        <v>373</v>
      </c>
      <c r="F276" s="37">
        <v>2020</v>
      </c>
      <c r="G276" s="37"/>
      <c r="H276" s="37"/>
      <c r="I276" s="54">
        <v>31500</v>
      </c>
      <c r="J276" s="54"/>
      <c r="K276" s="54"/>
      <c r="L276" s="54">
        <f t="shared" ref="L276" si="112">J276+K276</f>
        <v>0</v>
      </c>
      <c r="M276" s="54">
        <f t="shared" ref="M276" si="113">I276+L276</f>
        <v>31500</v>
      </c>
      <c r="N276" s="37"/>
      <c r="O276" s="8"/>
    </row>
    <row r="277" spans="1:15" s="21" customFormat="1" ht="48" customHeight="1" x14ac:dyDescent="0.35">
      <c r="A277" s="13"/>
      <c r="B277" s="13"/>
      <c r="C277" s="14"/>
      <c r="D277" s="15"/>
      <c r="E277" s="16" t="s">
        <v>179</v>
      </c>
      <c r="F277" s="13"/>
      <c r="G277" s="13"/>
      <c r="H277" s="13"/>
      <c r="I277" s="19">
        <f>SUM(I278:I297)+I313+I342+I348</f>
        <v>48892804.149999991</v>
      </c>
      <c r="J277" s="19">
        <f>SUM(J278:J297)+J313+J342+J348</f>
        <v>0</v>
      </c>
      <c r="K277" s="19">
        <f>SUM(K278:K297)+K313+K342+K348</f>
        <v>0</v>
      </c>
      <c r="L277" s="19">
        <f>SUM(L278:L297)+L313+L342+L348</f>
        <v>0</v>
      </c>
      <c r="M277" s="19">
        <f>SUM(M278:M297)+M313+M342+M348</f>
        <v>48892804.149999991</v>
      </c>
      <c r="N277" s="13"/>
      <c r="O277" s="8"/>
    </row>
    <row r="278" spans="1:15" s="9" customFormat="1" ht="76.5" hidden="1" customHeight="1" x14ac:dyDescent="0.35">
      <c r="A278" s="5"/>
      <c r="B278" s="5"/>
      <c r="C278" s="10"/>
      <c r="D278" s="78"/>
      <c r="E278" s="58" t="s">
        <v>209</v>
      </c>
      <c r="F278" s="37" t="s">
        <v>50</v>
      </c>
      <c r="G278" s="53">
        <v>1019404</v>
      </c>
      <c r="H278" s="85">
        <v>81</v>
      </c>
      <c r="I278" s="81">
        <v>101784.03</v>
      </c>
      <c r="J278" s="81"/>
      <c r="K278" s="81"/>
      <c r="L278" s="54">
        <f t="shared" ref="L278:L296" si="114">J278+K278</f>
        <v>0</v>
      </c>
      <c r="M278" s="54">
        <f t="shared" ref="M278:M296" si="115">I278+L278</f>
        <v>101784.03</v>
      </c>
      <c r="N278" s="53">
        <v>100</v>
      </c>
      <c r="O278" s="8"/>
    </row>
    <row r="279" spans="1:15" s="9" customFormat="1" ht="68.099999999999994" hidden="1" customHeight="1" x14ac:dyDescent="0.35">
      <c r="A279" s="5"/>
      <c r="B279" s="5"/>
      <c r="C279" s="10"/>
      <c r="D279" s="78"/>
      <c r="E279" s="58" t="s">
        <v>567</v>
      </c>
      <c r="F279" s="37" t="s">
        <v>50</v>
      </c>
      <c r="G279" s="53">
        <v>3499657</v>
      </c>
      <c r="H279" s="85"/>
      <c r="I279" s="81">
        <v>1277597.6499999999</v>
      </c>
      <c r="J279" s="81"/>
      <c r="K279" s="81"/>
      <c r="L279" s="54">
        <f t="shared" si="114"/>
        <v>0</v>
      </c>
      <c r="M279" s="54">
        <f t="shared" si="115"/>
        <v>1277597.6499999999</v>
      </c>
      <c r="N279" s="82">
        <v>36</v>
      </c>
      <c r="O279" s="8"/>
    </row>
    <row r="280" spans="1:15" s="9" customFormat="1" ht="68.099999999999994" hidden="1" customHeight="1" x14ac:dyDescent="0.35">
      <c r="A280" s="5"/>
      <c r="B280" s="5"/>
      <c r="C280" s="10"/>
      <c r="D280" s="78"/>
      <c r="E280" s="58" t="s">
        <v>568</v>
      </c>
      <c r="F280" s="37">
        <v>2020</v>
      </c>
      <c r="G280" s="53"/>
      <c r="H280" s="85"/>
      <c r="I280" s="81">
        <v>110000</v>
      </c>
      <c r="J280" s="81"/>
      <c r="K280" s="81"/>
      <c r="L280" s="54">
        <f t="shared" ref="L280" si="116">J280+K280</f>
        <v>0</v>
      </c>
      <c r="M280" s="54">
        <f t="shared" ref="M280" si="117">I280+L280</f>
        <v>110000</v>
      </c>
      <c r="N280" s="82"/>
      <c r="O280" s="8"/>
    </row>
    <row r="281" spans="1:15" s="9" customFormat="1" ht="68.099999999999994" hidden="1" customHeight="1" x14ac:dyDescent="0.35">
      <c r="A281" s="5"/>
      <c r="B281" s="5"/>
      <c r="C281" s="10"/>
      <c r="D281" s="78"/>
      <c r="E281" s="58" t="s">
        <v>570</v>
      </c>
      <c r="F281" s="37">
        <v>2020</v>
      </c>
      <c r="G281" s="53"/>
      <c r="H281" s="85"/>
      <c r="I281" s="81">
        <v>163369.04</v>
      </c>
      <c r="J281" s="81"/>
      <c r="K281" s="81"/>
      <c r="L281" s="54">
        <f t="shared" ref="L281" si="118">J281+K281</f>
        <v>0</v>
      </c>
      <c r="M281" s="54">
        <f t="shared" ref="M281" si="119">I281+L281</f>
        <v>163369.04</v>
      </c>
      <c r="N281" s="82"/>
      <c r="O281" s="8"/>
    </row>
    <row r="282" spans="1:15" s="9" customFormat="1" ht="59.1" hidden="1" customHeight="1" x14ac:dyDescent="0.35">
      <c r="A282" s="5"/>
      <c r="B282" s="5"/>
      <c r="C282" s="10"/>
      <c r="D282" s="83"/>
      <c r="E282" s="58" t="s">
        <v>375</v>
      </c>
      <c r="F282" s="37">
        <v>2020</v>
      </c>
      <c r="G282" s="37"/>
      <c r="H282" s="88"/>
      <c r="I282" s="81">
        <v>1500000</v>
      </c>
      <c r="J282" s="81"/>
      <c r="K282" s="54"/>
      <c r="L282" s="54">
        <f t="shared" si="114"/>
        <v>0</v>
      </c>
      <c r="M282" s="54">
        <f t="shared" si="115"/>
        <v>1500000</v>
      </c>
      <c r="N282" s="82"/>
      <c r="O282" s="8"/>
    </row>
    <row r="283" spans="1:15" s="9" customFormat="1" ht="42" hidden="1" customHeight="1" x14ac:dyDescent="0.35">
      <c r="A283" s="5"/>
      <c r="B283" s="5"/>
      <c r="C283" s="10"/>
      <c r="D283" s="78"/>
      <c r="E283" s="58" t="s">
        <v>207</v>
      </c>
      <c r="F283" s="37" t="s">
        <v>50</v>
      </c>
      <c r="G283" s="53">
        <v>1494248</v>
      </c>
      <c r="H283" s="85">
        <v>54</v>
      </c>
      <c r="I283" s="81">
        <v>606263.61</v>
      </c>
      <c r="J283" s="81"/>
      <c r="K283" s="81"/>
      <c r="L283" s="54">
        <f t="shared" si="114"/>
        <v>0</v>
      </c>
      <c r="M283" s="54">
        <f t="shared" si="115"/>
        <v>606263.61</v>
      </c>
      <c r="N283" s="53">
        <v>100</v>
      </c>
      <c r="O283" s="8"/>
    </row>
    <row r="284" spans="1:15" s="9" customFormat="1" ht="43.5" hidden="1" customHeight="1" x14ac:dyDescent="0.35">
      <c r="A284" s="5"/>
      <c r="B284" s="5"/>
      <c r="C284" s="10"/>
      <c r="D284" s="78"/>
      <c r="E284" s="58" t="s">
        <v>376</v>
      </c>
      <c r="F284" s="37" t="s">
        <v>50</v>
      </c>
      <c r="G284" s="53"/>
      <c r="H284" s="85"/>
      <c r="I284" s="81">
        <f>4000000+57444.57</f>
        <v>4057444.57</v>
      </c>
      <c r="J284" s="81"/>
      <c r="K284" s="81"/>
      <c r="L284" s="54">
        <f t="shared" si="114"/>
        <v>0</v>
      </c>
      <c r="M284" s="54">
        <f t="shared" si="115"/>
        <v>4057444.57</v>
      </c>
      <c r="N284" s="53"/>
      <c r="O284" s="8"/>
    </row>
    <row r="285" spans="1:15" s="9" customFormat="1" ht="46.5" hidden="1" x14ac:dyDescent="0.35">
      <c r="A285" s="5"/>
      <c r="B285" s="5"/>
      <c r="C285" s="10"/>
      <c r="D285" s="78"/>
      <c r="E285" s="58" t="s">
        <v>367</v>
      </c>
      <c r="F285" s="37" t="s">
        <v>40</v>
      </c>
      <c r="G285" s="53">
        <v>5604313</v>
      </c>
      <c r="H285" s="85">
        <v>33</v>
      </c>
      <c r="I285" s="81">
        <v>879943.74</v>
      </c>
      <c r="J285" s="81"/>
      <c r="K285" s="81"/>
      <c r="L285" s="54">
        <f t="shared" si="114"/>
        <v>0</v>
      </c>
      <c r="M285" s="54">
        <f t="shared" si="115"/>
        <v>879943.74</v>
      </c>
      <c r="N285" s="82">
        <v>49</v>
      </c>
      <c r="O285" s="8"/>
    </row>
    <row r="286" spans="1:15" s="9" customFormat="1" ht="69" hidden="1" customHeight="1" x14ac:dyDescent="0.35">
      <c r="A286" s="5"/>
      <c r="B286" s="5"/>
      <c r="C286" s="10"/>
      <c r="D286" s="78"/>
      <c r="E286" s="58" t="s">
        <v>534</v>
      </c>
      <c r="F286" s="37">
        <v>2020</v>
      </c>
      <c r="G286" s="53"/>
      <c r="H286" s="85"/>
      <c r="I286" s="81">
        <v>75000</v>
      </c>
      <c r="J286" s="81"/>
      <c r="K286" s="81"/>
      <c r="L286" s="54">
        <f t="shared" ref="L286" si="120">J286+K286</f>
        <v>0</v>
      </c>
      <c r="M286" s="54">
        <f t="shared" ref="M286" si="121">I286+L286</f>
        <v>75000</v>
      </c>
      <c r="N286" s="82"/>
      <c r="O286" s="8"/>
    </row>
    <row r="287" spans="1:15" s="9" customFormat="1" ht="54" hidden="1" customHeight="1" x14ac:dyDescent="0.35">
      <c r="A287" s="5"/>
      <c r="B287" s="5"/>
      <c r="C287" s="10"/>
      <c r="D287" s="78"/>
      <c r="E287" s="58" t="s">
        <v>302</v>
      </c>
      <c r="F287" s="37" t="s">
        <v>50</v>
      </c>
      <c r="G287" s="53">
        <v>488984</v>
      </c>
      <c r="H287" s="85">
        <v>3.9</v>
      </c>
      <c r="I287" s="81">
        <v>470008.51</v>
      </c>
      <c r="J287" s="81"/>
      <c r="K287" s="81"/>
      <c r="L287" s="54">
        <f t="shared" si="114"/>
        <v>0</v>
      </c>
      <c r="M287" s="54">
        <f t="shared" si="115"/>
        <v>470008.51</v>
      </c>
      <c r="N287" s="53">
        <v>100</v>
      </c>
      <c r="O287" s="8"/>
    </row>
    <row r="288" spans="1:15" s="9" customFormat="1" ht="89.45" hidden="1" customHeight="1" x14ac:dyDescent="0.35">
      <c r="A288" s="5"/>
      <c r="B288" s="5"/>
      <c r="C288" s="10"/>
      <c r="D288" s="78"/>
      <c r="E288" s="58" t="s">
        <v>374</v>
      </c>
      <c r="F288" s="37" t="s">
        <v>50</v>
      </c>
      <c r="G288" s="53">
        <v>287958</v>
      </c>
      <c r="H288" s="85"/>
      <c r="I288" s="81">
        <v>20295</v>
      </c>
      <c r="J288" s="81"/>
      <c r="K288" s="81"/>
      <c r="L288" s="54">
        <f t="shared" si="114"/>
        <v>0</v>
      </c>
      <c r="M288" s="54">
        <f t="shared" si="115"/>
        <v>20295</v>
      </c>
      <c r="N288" s="82">
        <v>7</v>
      </c>
      <c r="O288" s="8"/>
    </row>
    <row r="289" spans="1:15" s="9" customFormat="1" ht="62.45" hidden="1" customHeight="1" x14ac:dyDescent="0.35">
      <c r="A289" s="5"/>
      <c r="B289" s="5"/>
      <c r="C289" s="10"/>
      <c r="D289" s="78"/>
      <c r="E289" s="58" t="s">
        <v>215</v>
      </c>
      <c r="F289" s="37" t="s">
        <v>50</v>
      </c>
      <c r="G289" s="53">
        <v>324741</v>
      </c>
      <c r="H289" s="85"/>
      <c r="I289" s="81">
        <v>34404.35</v>
      </c>
      <c r="J289" s="81"/>
      <c r="K289" s="81"/>
      <c r="L289" s="54">
        <f t="shared" si="114"/>
        <v>0</v>
      </c>
      <c r="M289" s="54">
        <f t="shared" si="115"/>
        <v>34404.35</v>
      </c>
      <c r="N289" s="82">
        <v>10.6</v>
      </c>
      <c r="O289" s="8"/>
    </row>
    <row r="290" spans="1:15" s="9" customFormat="1" ht="89.1" hidden="1" customHeight="1" x14ac:dyDescent="0.35">
      <c r="A290" s="5"/>
      <c r="B290" s="5"/>
      <c r="C290" s="10"/>
      <c r="D290" s="78"/>
      <c r="E290" s="58" t="s">
        <v>213</v>
      </c>
      <c r="F290" s="37" t="s">
        <v>50</v>
      </c>
      <c r="G290" s="53">
        <v>1936055</v>
      </c>
      <c r="H290" s="85">
        <v>43</v>
      </c>
      <c r="I290" s="81">
        <v>966426.57</v>
      </c>
      <c r="J290" s="81"/>
      <c r="K290" s="81"/>
      <c r="L290" s="54">
        <f t="shared" si="114"/>
        <v>0</v>
      </c>
      <c r="M290" s="54">
        <f t="shared" si="115"/>
        <v>966426.57</v>
      </c>
      <c r="N290" s="53">
        <v>100</v>
      </c>
      <c r="O290" s="8"/>
    </row>
    <row r="291" spans="1:15" s="9" customFormat="1" ht="71.099999999999994" hidden="1" customHeight="1" x14ac:dyDescent="0.35">
      <c r="A291" s="5"/>
      <c r="B291" s="5"/>
      <c r="C291" s="10"/>
      <c r="D291" s="78"/>
      <c r="E291" s="58" t="s">
        <v>584</v>
      </c>
      <c r="F291" s="37">
        <v>2020</v>
      </c>
      <c r="G291" s="53"/>
      <c r="H291" s="85"/>
      <c r="I291" s="81">
        <v>100000</v>
      </c>
      <c r="J291" s="81"/>
      <c r="K291" s="81"/>
      <c r="L291" s="54">
        <f t="shared" ref="L291" si="122">J291+K291</f>
        <v>0</v>
      </c>
      <c r="M291" s="54">
        <f t="shared" ref="M291" si="123">I291+L291</f>
        <v>100000</v>
      </c>
      <c r="N291" s="53"/>
      <c r="O291" s="8"/>
    </row>
    <row r="292" spans="1:15" s="9" customFormat="1" ht="45.95" hidden="1" customHeight="1" x14ac:dyDescent="0.35">
      <c r="A292" s="5"/>
      <c r="B292" s="5"/>
      <c r="C292" s="10"/>
      <c r="D292" s="83"/>
      <c r="E292" s="58" t="s">
        <v>303</v>
      </c>
      <c r="F292" s="37">
        <v>2020</v>
      </c>
      <c r="G292" s="37"/>
      <c r="H292" s="88"/>
      <c r="I292" s="81">
        <v>450000</v>
      </c>
      <c r="J292" s="81"/>
      <c r="K292" s="54"/>
      <c r="L292" s="54">
        <f t="shared" si="114"/>
        <v>0</v>
      </c>
      <c r="M292" s="54">
        <f t="shared" si="115"/>
        <v>450000</v>
      </c>
      <c r="N292" s="82"/>
      <c r="O292" s="8"/>
    </row>
    <row r="293" spans="1:15" s="9" customFormat="1" ht="48.95" hidden="1" customHeight="1" x14ac:dyDescent="0.35">
      <c r="A293" s="5"/>
      <c r="B293" s="5"/>
      <c r="C293" s="10"/>
      <c r="D293" s="83"/>
      <c r="E293" s="58" t="s">
        <v>383</v>
      </c>
      <c r="F293" s="37">
        <v>2020</v>
      </c>
      <c r="G293" s="37"/>
      <c r="H293" s="88"/>
      <c r="I293" s="81">
        <v>200000</v>
      </c>
      <c r="J293" s="81"/>
      <c r="K293" s="54"/>
      <c r="L293" s="54">
        <f t="shared" si="114"/>
        <v>0</v>
      </c>
      <c r="M293" s="54">
        <f t="shared" si="115"/>
        <v>200000</v>
      </c>
      <c r="N293" s="82"/>
      <c r="O293" s="8"/>
    </row>
    <row r="294" spans="1:15" s="9" customFormat="1" ht="54.95" hidden="1" customHeight="1" x14ac:dyDescent="0.35">
      <c r="A294" s="5"/>
      <c r="B294" s="5"/>
      <c r="C294" s="10"/>
      <c r="D294" s="83"/>
      <c r="E294" s="58" t="s">
        <v>304</v>
      </c>
      <c r="F294" s="37">
        <v>2020</v>
      </c>
      <c r="G294" s="37"/>
      <c r="H294" s="88"/>
      <c r="I294" s="81">
        <v>1600000</v>
      </c>
      <c r="J294" s="81"/>
      <c r="K294" s="54"/>
      <c r="L294" s="54">
        <f t="shared" si="114"/>
        <v>0</v>
      </c>
      <c r="M294" s="54">
        <f t="shared" si="115"/>
        <v>1600000</v>
      </c>
      <c r="N294" s="82"/>
      <c r="O294" s="8"/>
    </row>
    <row r="295" spans="1:15" s="9" customFormat="1" ht="66" hidden="1" customHeight="1" x14ac:dyDescent="0.35">
      <c r="A295" s="5"/>
      <c r="B295" s="5"/>
      <c r="C295" s="10"/>
      <c r="D295" s="83"/>
      <c r="E295" s="58" t="s">
        <v>273</v>
      </c>
      <c r="F295" s="37">
        <v>2020</v>
      </c>
      <c r="G295" s="37"/>
      <c r="H295" s="88"/>
      <c r="I295" s="81">
        <v>3000000</v>
      </c>
      <c r="J295" s="81"/>
      <c r="K295" s="54"/>
      <c r="L295" s="54">
        <f t="shared" si="114"/>
        <v>0</v>
      </c>
      <c r="M295" s="54">
        <f t="shared" si="115"/>
        <v>3000000</v>
      </c>
      <c r="N295" s="82"/>
      <c r="O295" s="8"/>
    </row>
    <row r="296" spans="1:15" s="9" customFormat="1" ht="68.099999999999994" hidden="1" customHeight="1" x14ac:dyDescent="0.35">
      <c r="A296" s="5"/>
      <c r="B296" s="5"/>
      <c r="C296" s="10"/>
      <c r="D296" s="83"/>
      <c r="E296" s="58" t="s">
        <v>231</v>
      </c>
      <c r="F296" s="37">
        <v>2020</v>
      </c>
      <c r="G296" s="37"/>
      <c r="H296" s="88"/>
      <c r="I296" s="81">
        <v>5550000</v>
      </c>
      <c r="J296" s="81"/>
      <c r="K296" s="54"/>
      <c r="L296" s="54">
        <f t="shared" si="114"/>
        <v>0</v>
      </c>
      <c r="M296" s="54">
        <f t="shared" si="115"/>
        <v>5550000</v>
      </c>
      <c r="N296" s="82"/>
      <c r="O296" s="8"/>
    </row>
    <row r="297" spans="1:15" s="9" customFormat="1" ht="80.45" hidden="1" customHeight="1" x14ac:dyDescent="0.35">
      <c r="A297" s="5"/>
      <c r="B297" s="5"/>
      <c r="C297" s="10"/>
      <c r="D297" s="78"/>
      <c r="E297" s="58" t="s">
        <v>382</v>
      </c>
      <c r="F297" s="37">
        <v>2020</v>
      </c>
      <c r="G297" s="37"/>
      <c r="H297" s="88"/>
      <c r="I297" s="54">
        <f>SUM(I298:I312)</f>
        <v>3910320.83</v>
      </c>
      <c r="J297" s="54">
        <f t="shared" ref="J297:M297" si="124">SUM(J298:J312)</f>
        <v>0</v>
      </c>
      <c r="K297" s="54">
        <f t="shared" si="124"/>
        <v>0</v>
      </c>
      <c r="L297" s="54">
        <f t="shared" si="124"/>
        <v>0</v>
      </c>
      <c r="M297" s="54">
        <f t="shared" si="124"/>
        <v>3910320.83</v>
      </c>
      <c r="N297" s="82"/>
      <c r="O297" s="8"/>
    </row>
    <row r="298" spans="1:15" s="9" customFormat="1" ht="78" hidden="1" customHeight="1" x14ac:dyDescent="0.35">
      <c r="A298" s="5"/>
      <c r="B298" s="5"/>
      <c r="C298" s="10"/>
      <c r="D298" s="78"/>
      <c r="E298" s="6" t="s">
        <v>219</v>
      </c>
      <c r="F298" s="5" t="s">
        <v>50</v>
      </c>
      <c r="G298" s="86">
        <v>1347514</v>
      </c>
      <c r="H298" s="89">
        <v>2.5</v>
      </c>
      <c r="I298" s="90">
        <v>1312709</v>
      </c>
      <c r="J298" s="90"/>
      <c r="K298" s="90"/>
      <c r="L298" s="90">
        <f>K298+J298</f>
        <v>0</v>
      </c>
      <c r="M298" s="7">
        <f>I298+L298</f>
        <v>1312709</v>
      </c>
      <c r="N298" s="91">
        <v>100</v>
      </c>
      <c r="O298" s="8"/>
    </row>
    <row r="299" spans="1:15" s="9" customFormat="1" ht="89.1" hidden="1" customHeight="1" x14ac:dyDescent="0.35">
      <c r="A299" s="5"/>
      <c r="B299" s="5"/>
      <c r="C299" s="10"/>
      <c r="D299" s="78"/>
      <c r="E299" s="6" t="s">
        <v>220</v>
      </c>
      <c r="F299" s="5" t="s">
        <v>50</v>
      </c>
      <c r="G299" s="86">
        <v>399635</v>
      </c>
      <c r="H299" s="89"/>
      <c r="I299" s="90">
        <v>399635</v>
      </c>
      <c r="J299" s="90"/>
      <c r="K299" s="90"/>
      <c r="L299" s="90">
        <f t="shared" ref="L299:L312" si="125">K299+J299</f>
        <v>0</v>
      </c>
      <c r="M299" s="7">
        <f t="shared" ref="M299:M312" si="126">I299+L299</f>
        <v>399635</v>
      </c>
      <c r="N299" s="86">
        <v>100</v>
      </c>
      <c r="O299" s="8"/>
    </row>
    <row r="300" spans="1:15" s="9" customFormat="1" ht="84.95" hidden="1" customHeight="1" x14ac:dyDescent="0.35">
      <c r="A300" s="5"/>
      <c r="B300" s="5"/>
      <c r="C300" s="10"/>
      <c r="D300" s="78"/>
      <c r="E300" s="6" t="s">
        <v>221</v>
      </c>
      <c r="F300" s="5" t="s">
        <v>50</v>
      </c>
      <c r="G300" s="86">
        <v>299612</v>
      </c>
      <c r="H300" s="89"/>
      <c r="I300" s="90">
        <v>299612</v>
      </c>
      <c r="J300" s="90"/>
      <c r="K300" s="90"/>
      <c r="L300" s="90">
        <f t="shared" si="125"/>
        <v>0</v>
      </c>
      <c r="M300" s="7">
        <f t="shared" si="126"/>
        <v>299612</v>
      </c>
      <c r="N300" s="86">
        <v>100</v>
      </c>
      <c r="O300" s="8"/>
    </row>
    <row r="301" spans="1:15" s="9" customFormat="1" ht="90.6" hidden="1" customHeight="1" x14ac:dyDescent="0.35">
      <c r="A301" s="5"/>
      <c r="B301" s="5"/>
      <c r="C301" s="10"/>
      <c r="D301" s="78"/>
      <c r="E301" s="6" t="s">
        <v>222</v>
      </c>
      <c r="F301" s="5" t="s">
        <v>50</v>
      </c>
      <c r="G301" s="86">
        <v>927760</v>
      </c>
      <c r="H301" s="89">
        <v>3.07</v>
      </c>
      <c r="I301" s="90">
        <v>898364.83</v>
      </c>
      <c r="J301" s="90"/>
      <c r="K301" s="90"/>
      <c r="L301" s="90">
        <f t="shared" si="125"/>
        <v>0</v>
      </c>
      <c r="M301" s="7">
        <f t="shared" si="126"/>
        <v>898364.83</v>
      </c>
      <c r="N301" s="86">
        <v>100</v>
      </c>
      <c r="O301" s="8"/>
    </row>
    <row r="302" spans="1:15" s="9" customFormat="1" ht="104.45" hidden="1" customHeight="1" x14ac:dyDescent="0.35">
      <c r="A302" s="5"/>
      <c r="B302" s="5"/>
      <c r="C302" s="10"/>
      <c r="D302" s="78"/>
      <c r="E302" s="6" t="s">
        <v>387</v>
      </c>
      <c r="F302" s="5">
        <v>2020</v>
      </c>
      <c r="G302" s="86"/>
      <c r="H302" s="89"/>
      <c r="I302" s="90">
        <v>250000</v>
      </c>
      <c r="J302" s="90"/>
      <c r="K302" s="90"/>
      <c r="L302" s="90">
        <f t="shared" si="125"/>
        <v>0</v>
      </c>
      <c r="M302" s="7">
        <f t="shared" si="126"/>
        <v>250000</v>
      </c>
      <c r="N302" s="86"/>
      <c r="O302" s="8"/>
    </row>
    <row r="303" spans="1:15" s="9" customFormat="1" ht="77.099999999999994" hidden="1" customHeight="1" x14ac:dyDescent="0.35">
      <c r="A303" s="5"/>
      <c r="B303" s="5"/>
      <c r="C303" s="10"/>
      <c r="D303" s="78"/>
      <c r="E303" s="6" t="s">
        <v>455</v>
      </c>
      <c r="F303" s="5">
        <v>2020</v>
      </c>
      <c r="G303" s="86"/>
      <c r="H303" s="89"/>
      <c r="I303" s="90">
        <v>250000</v>
      </c>
      <c r="J303" s="90"/>
      <c r="K303" s="90"/>
      <c r="L303" s="90">
        <f t="shared" si="125"/>
        <v>0</v>
      </c>
      <c r="M303" s="7">
        <f t="shared" si="126"/>
        <v>250000</v>
      </c>
      <c r="N303" s="86"/>
      <c r="O303" s="8"/>
    </row>
    <row r="304" spans="1:15" s="9" customFormat="1" ht="92.1" hidden="1" customHeight="1" x14ac:dyDescent="0.35">
      <c r="A304" s="5"/>
      <c r="B304" s="5"/>
      <c r="C304" s="10"/>
      <c r="D304" s="78"/>
      <c r="E304" s="6" t="s">
        <v>587</v>
      </c>
      <c r="F304" s="5">
        <v>2020</v>
      </c>
      <c r="G304" s="86"/>
      <c r="H304" s="89"/>
      <c r="I304" s="90">
        <v>50000</v>
      </c>
      <c r="J304" s="90"/>
      <c r="K304" s="90"/>
      <c r="L304" s="90">
        <f t="shared" ref="L304" si="127">K304+J304</f>
        <v>0</v>
      </c>
      <c r="M304" s="7">
        <f t="shared" ref="M304" si="128">I304+L304</f>
        <v>50000</v>
      </c>
      <c r="N304" s="86"/>
      <c r="O304" s="8"/>
    </row>
    <row r="305" spans="1:15" s="9" customFormat="1" ht="92.1" hidden="1" customHeight="1" x14ac:dyDescent="0.35">
      <c r="A305" s="5"/>
      <c r="B305" s="5"/>
      <c r="C305" s="10"/>
      <c r="D305" s="78"/>
      <c r="E305" s="6" t="s">
        <v>588</v>
      </c>
      <c r="F305" s="5">
        <v>2020</v>
      </c>
      <c r="G305" s="86"/>
      <c r="H305" s="89"/>
      <c r="I305" s="90">
        <v>50000</v>
      </c>
      <c r="J305" s="90"/>
      <c r="K305" s="90"/>
      <c r="L305" s="90">
        <f t="shared" ref="L305" si="129">K305+J305</f>
        <v>0</v>
      </c>
      <c r="M305" s="7">
        <f t="shared" ref="M305" si="130">I305+L305</f>
        <v>50000</v>
      </c>
      <c r="N305" s="86"/>
      <c r="O305" s="8"/>
    </row>
    <row r="306" spans="1:15" s="9" customFormat="1" ht="92.1" hidden="1" customHeight="1" x14ac:dyDescent="0.35">
      <c r="A306" s="5"/>
      <c r="B306" s="5"/>
      <c r="C306" s="10"/>
      <c r="D306" s="78"/>
      <c r="E306" s="6" t="s">
        <v>589</v>
      </c>
      <c r="F306" s="5">
        <v>2020</v>
      </c>
      <c r="G306" s="86"/>
      <c r="H306" s="89"/>
      <c r="I306" s="90">
        <v>50000</v>
      </c>
      <c r="J306" s="90"/>
      <c r="K306" s="90"/>
      <c r="L306" s="90">
        <f t="shared" ref="L306:L310" si="131">K306+J306</f>
        <v>0</v>
      </c>
      <c r="M306" s="7">
        <f t="shared" ref="M306:M310" si="132">I306+L306</f>
        <v>50000</v>
      </c>
      <c r="N306" s="86"/>
      <c r="O306" s="8"/>
    </row>
    <row r="307" spans="1:15" s="9" customFormat="1" ht="92.1" hidden="1" customHeight="1" x14ac:dyDescent="0.35">
      <c r="A307" s="5"/>
      <c r="B307" s="5"/>
      <c r="C307" s="10"/>
      <c r="D307" s="78"/>
      <c r="E307" s="6" t="s">
        <v>590</v>
      </c>
      <c r="F307" s="5">
        <v>2020</v>
      </c>
      <c r="G307" s="86"/>
      <c r="H307" s="89"/>
      <c r="I307" s="90">
        <v>50000</v>
      </c>
      <c r="J307" s="90"/>
      <c r="K307" s="90"/>
      <c r="L307" s="90">
        <f t="shared" si="131"/>
        <v>0</v>
      </c>
      <c r="M307" s="7">
        <f t="shared" si="132"/>
        <v>50000</v>
      </c>
      <c r="N307" s="86"/>
      <c r="O307" s="8"/>
    </row>
    <row r="308" spans="1:15" s="9" customFormat="1" ht="92.1" hidden="1" customHeight="1" x14ac:dyDescent="0.35">
      <c r="A308" s="5"/>
      <c r="B308" s="5"/>
      <c r="C308" s="10"/>
      <c r="D308" s="78"/>
      <c r="E308" s="6" t="s">
        <v>591</v>
      </c>
      <c r="F308" s="5">
        <v>2020</v>
      </c>
      <c r="G308" s="86"/>
      <c r="H308" s="89"/>
      <c r="I308" s="90">
        <v>50000</v>
      </c>
      <c r="J308" s="90"/>
      <c r="K308" s="90"/>
      <c r="L308" s="90">
        <f t="shared" si="131"/>
        <v>0</v>
      </c>
      <c r="M308" s="7">
        <f t="shared" si="132"/>
        <v>50000</v>
      </c>
      <c r="N308" s="86"/>
      <c r="O308" s="8"/>
    </row>
    <row r="309" spans="1:15" s="9" customFormat="1" ht="92.1" hidden="1" customHeight="1" x14ac:dyDescent="0.35">
      <c r="A309" s="5"/>
      <c r="B309" s="5"/>
      <c r="C309" s="10"/>
      <c r="D309" s="78"/>
      <c r="E309" s="6" t="s">
        <v>592</v>
      </c>
      <c r="F309" s="5">
        <v>2020</v>
      </c>
      <c r="G309" s="86"/>
      <c r="H309" s="89"/>
      <c r="I309" s="90">
        <v>50000</v>
      </c>
      <c r="J309" s="90"/>
      <c r="K309" s="90"/>
      <c r="L309" s="90">
        <f t="shared" si="131"/>
        <v>0</v>
      </c>
      <c r="M309" s="7">
        <f t="shared" si="132"/>
        <v>50000</v>
      </c>
      <c r="N309" s="86"/>
      <c r="O309" s="8"/>
    </row>
    <row r="310" spans="1:15" s="9" customFormat="1" ht="92.1" hidden="1" customHeight="1" x14ac:dyDescent="0.35">
      <c r="A310" s="5"/>
      <c r="B310" s="5"/>
      <c r="C310" s="10"/>
      <c r="D310" s="78"/>
      <c r="E310" s="6" t="s">
        <v>593</v>
      </c>
      <c r="F310" s="5">
        <v>2020</v>
      </c>
      <c r="G310" s="86"/>
      <c r="H310" s="89"/>
      <c r="I310" s="90">
        <v>50000</v>
      </c>
      <c r="J310" s="90"/>
      <c r="K310" s="90"/>
      <c r="L310" s="90">
        <f t="shared" si="131"/>
        <v>0</v>
      </c>
      <c r="M310" s="7">
        <f t="shared" si="132"/>
        <v>50000</v>
      </c>
      <c r="N310" s="86"/>
      <c r="O310" s="8"/>
    </row>
    <row r="311" spans="1:15" s="9" customFormat="1" ht="101.45" hidden="1" customHeight="1" x14ac:dyDescent="0.35">
      <c r="A311" s="5"/>
      <c r="B311" s="5"/>
      <c r="C311" s="10"/>
      <c r="D311" s="78"/>
      <c r="E311" s="6" t="s">
        <v>388</v>
      </c>
      <c r="F311" s="5">
        <v>2020</v>
      </c>
      <c r="G311" s="86"/>
      <c r="H311" s="89"/>
      <c r="I311" s="90">
        <f>250000-200000</f>
        <v>50000</v>
      </c>
      <c r="J311" s="90"/>
      <c r="K311" s="90"/>
      <c r="L311" s="90">
        <f t="shared" si="125"/>
        <v>0</v>
      </c>
      <c r="M311" s="7">
        <f t="shared" si="126"/>
        <v>50000</v>
      </c>
      <c r="N311" s="86"/>
      <c r="O311" s="8"/>
    </row>
    <row r="312" spans="1:15" s="9" customFormat="1" ht="89.45" hidden="1" customHeight="1" x14ac:dyDescent="0.35">
      <c r="A312" s="5"/>
      <c r="B312" s="5"/>
      <c r="C312" s="10"/>
      <c r="D312" s="78"/>
      <c r="E312" s="6" t="s">
        <v>389</v>
      </c>
      <c r="F312" s="5">
        <v>2020</v>
      </c>
      <c r="G312" s="86"/>
      <c r="H312" s="89"/>
      <c r="I312" s="90">
        <f>250000-150000</f>
        <v>100000</v>
      </c>
      <c r="J312" s="90"/>
      <c r="K312" s="90"/>
      <c r="L312" s="90">
        <f t="shared" si="125"/>
        <v>0</v>
      </c>
      <c r="M312" s="7">
        <f t="shared" si="126"/>
        <v>100000</v>
      </c>
      <c r="N312" s="86"/>
      <c r="O312" s="8"/>
    </row>
    <row r="313" spans="1:15" s="9" customFormat="1" ht="69" hidden="1" customHeight="1" x14ac:dyDescent="0.35">
      <c r="A313" s="5"/>
      <c r="B313" s="5"/>
      <c r="C313" s="10"/>
      <c r="D313" s="78"/>
      <c r="E313" s="58" t="s">
        <v>379</v>
      </c>
      <c r="F313" s="37"/>
      <c r="G313" s="37"/>
      <c r="H313" s="88"/>
      <c r="I313" s="81">
        <f>SUM(I314:I341)</f>
        <v>10950037.729999999</v>
      </c>
      <c r="J313" s="81">
        <f>SUM(J314:J341)</f>
        <v>0</v>
      </c>
      <c r="K313" s="81">
        <f>SUM(K314:K341)</f>
        <v>0</v>
      </c>
      <c r="L313" s="81">
        <f>SUM(L314:L341)</f>
        <v>0</v>
      </c>
      <c r="M313" s="81">
        <f>SUM(M314:M341)</f>
        <v>10950037.729999999</v>
      </c>
      <c r="N313" s="82"/>
      <c r="O313" s="8"/>
    </row>
    <row r="314" spans="1:15" s="9" customFormat="1" ht="77.099999999999994" hidden="1" customHeight="1" x14ac:dyDescent="0.35">
      <c r="A314" s="5"/>
      <c r="B314" s="5"/>
      <c r="C314" s="10"/>
      <c r="D314" s="78"/>
      <c r="E314" s="6" t="s">
        <v>301</v>
      </c>
      <c r="F314" s="5" t="s">
        <v>50</v>
      </c>
      <c r="G314" s="86">
        <v>887309</v>
      </c>
      <c r="H314" s="89">
        <v>3.3</v>
      </c>
      <c r="I314" s="90">
        <v>858417.4</v>
      </c>
      <c r="J314" s="90"/>
      <c r="K314" s="90"/>
      <c r="L314" s="90">
        <f t="shared" ref="L314:L347" si="133">K314+J314</f>
        <v>0</v>
      </c>
      <c r="M314" s="7">
        <f t="shared" ref="M314:M347" si="134">I314+L314</f>
        <v>858417.4</v>
      </c>
      <c r="N314" s="86">
        <v>100</v>
      </c>
      <c r="O314" s="8"/>
    </row>
    <row r="315" spans="1:15" s="9" customFormat="1" ht="83.1" hidden="1" customHeight="1" x14ac:dyDescent="0.35">
      <c r="A315" s="5"/>
      <c r="B315" s="5"/>
      <c r="C315" s="10"/>
      <c r="D315" s="78"/>
      <c r="E315" s="6" t="s">
        <v>214</v>
      </c>
      <c r="F315" s="5" t="s">
        <v>50</v>
      </c>
      <c r="G315" s="86">
        <v>1258475.95</v>
      </c>
      <c r="H315" s="89">
        <v>78.3</v>
      </c>
      <c r="I315" s="90">
        <v>272941.86</v>
      </c>
      <c r="J315" s="90"/>
      <c r="K315" s="90"/>
      <c r="L315" s="90">
        <f t="shared" si="133"/>
        <v>0</v>
      </c>
      <c r="M315" s="7">
        <f t="shared" si="134"/>
        <v>272941.86</v>
      </c>
      <c r="N315" s="86">
        <v>100</v>
      </c>
      <c r="O315" s="8"/>
    </row>
    <row r="316" spans="1:15" s="9" customFormat="1" ht="63.95" hidden="1" customHeight="1" x14ac:dyDescent="0.35">
      <c r="A316" s="5"/>
      <c r="B316" s="5"/>
      <c r="C316" s="10"/>
      <c r="D316" s="78"/>
      <c r="E316" s="6" t="s">
        <v>577</v>
      </c>
      <c r="F316" s="5">
        <v>2020</v>
      </c>
      <c r="G316" s="86"/>
      <c r="H316" s="89"/>
      <c r="I316" s="90">
        <v>200000</v>
      </c>
      <c r="J316" s="90"/>
      <c r="K316" s="90"/>
      <c r="L316" s="90">
        <f t="shared" ref="L316" si="135">K316+J316</f>
        <v>0</v>
      </c>
      <c r="M316" s="7">
        <f t="shared" ref="M316" si="136">I316+L316</f>
        <v>200000</v>
      </c>
      <c r="N316" s="86"/>
      <c r="O316" s="8"/>
    </row>
    <row r="317" spans="1:15" s="9" customFormat="1" ht="47.1" hidden="1" customHeight="1" x14ac:dyDescent="0.35">
      <c r="A317" s="5"/>
      <c r="B317" s="5"/>
      <c r="C317" s="10"/>
      <c r="D317" s="78"/>
      <c r="E317" s="6" t="s">
        <v>210</v>
      </c>
      <c r="F317" s="5" t="s">
        <v>50</v>
      </c>
      <c r="G317" s="86">
        <v>714778</v>
      </c>
      <c r="H317" s="89"/>
      <c r="I317" s="90">
        <v>714777.89</v>
      </c>
      <c r="J317" s="90"/>
      <c r="K317" s="90"/>
      <c r="L317" s="90">
        <f t="shared" si="133"/>
        <v>0</v>
      </c>
      <c r="M317" s="7">
        <f t="shared" si="134"/>
        <v>714777.89</v>
      </c>
      <c r="N317" s="86">
        <v>100</v>
      </c>
      <c r="O317" s="8"/>
    </row>
    <row r="318" spans="1:15" s="9" customFormat="1" ht="69" hidden="1" customHeight="1" x14ac:dyDescent="0.35">
      <c r="A318" s="5"/>
      <c r="B318" s="5"/>
      <c r="C318" s="10"/>
      <c r="D318" s="78"/>
      <c r="E318" s="6" t="s">
        <v>211</v>
      </c>
      <c r="F318" s="5" t="s">
        <v>50</v>
      </c>
      <c r="G318" s="86">
        <v>382967</v>
      </c>
      <c r="H318" s="89"/>
      <c r="I318" s="90">
        <v>382967.21</v>
      </c>
      <c r="J318" s="90"/>
      <c r="K318" s="90"/>
      <c r="L318" s="90">
        <f t="shared" si="133"/>
        <v>0</v>
      </c>
      <c r="M318" s="7">
        <f t="shared" si="134"/>
        <v>382967.21</v>
      </c>
      <c r="N318" s="86">
        <v>100</v>
      </c>
      <c r="O318" s="8"/>
    </row>
    <row r="319" spans="1:15" s="9" customFormat="1" ht="51" hidden="1" customHeight="1" x14ac:dyDescent="0.35">
      <c r="A319" s="5"/>
      <c r="B319" s="5"/>
      <c r="C319" s="10"/>
      <c r="D319" s="78"/>
      <c r="E319" s="6" t="s">
        <v>457</v>
      </c>
      <c r="F319" s="5" t="s">
        <v>50</v>
      </c>
      <c r="G319" s="86">
        <v>354227.53</v>
      </c>
      <c r="H319" s="89"/>
      <c r="I319" s="90">
        <v>354227.53</v>
      </c>
      <c r="J319" s="90"/>
      <c r="K319" s="90"/>
      <c r="L319" s="90">
        <f t="shared" si="133"/>
        <v>0</v>
      </c>
      <c r="M319" s="7">
        <f t="shared" si="134"/>
        <v>354227.53</v>
      </c>
      <c r="N319" s="86">
        <v>100</v>
      </c>
      <c r="O319" s="8"/>
    </row>
    <row r="320" spans="1:15" s="9" customFormat="1" ht="51" hidden="1" customHeight="1" x14ac:dyDescent="0.35">
      <c r="A320" s="5"/>
      <c r="B320" s="5"/>
      <c r="C320" s="10"/>
      <c r="D320" s="78"/>
      <c r="E320" s="6" t="s">
        <v>582</v>
      </c>
      <c r="F320" s="5">
        <v>2020</v>
      </c>
      <c r="G320" s="86"/>
      <c r="H320" s="89"/>
      <c r="I320" s="90">
        <v>200000</v>
      </c>
      <c r="J320" s="90"/>
      <c r="K320" s="90"/>
      <c r="L320" s="90">
        <f t="shared" ref="L320" si="137">K320+J320</f>
        <v>0</v>
      </c>
      <c r="M320" s="7">
        <f t="shared" ref="M320" si="138">I320+L320</f>
        <v>200000</v>
      </c>
      <c r="N320" s="86"/>
      <c r="O320" s="8"/>
    </row>
    <row r="321" spans="1:15" s="9" customFormat="1" ht="66" hidden="1" customHeight="1" x14ac:dyDescent="0.35">
      <c r="A321" s="5"/>
      <c r="B321" s="5"/>
      <c r="C321" s="10"/>
      <c r="D321" s="78"/>
      <c r="E321" s="6" t="s">
        <v>212</v>
      </c>
      <c r="F321" s="5" t="s">
        <v>50</v>
      </c>
      <c r="G321" s="86">
        <v>564564</v>
      </c>
      <c r="H321" s="89">
        <v>2.9</v>
      </c>
      <c r="I321" s="90">
        <v>548307.01</v>
      </c>
      <c r="J321" s="90"/>
      <c r="K321" s="90"/>
      <c r="L321" s="90">
        <f t="shared" si="133"/>
        <v>0</v>
      </c>
      <c r="M321" s="7">
        <f t="shared" si="134"/>
        <v>548307.01</v>
      </c>
      <c r="N321" s="86">
        <v>100</v>
      </c>
      <c r="O321" s="8"/>
    </row>
    <row r="322" spans="1:15" s="9" customFormat="1" ht="66" hidden="1" customHeight="1" x14ac:dyDescent="0.35">
      <c r="A322" s="5"/>
      <c r="B322" s="5"/>
      <c r="C322" s="10"/>
      <c r="D322" s="78"/>
      <c r="E322" s="6" t="s">
        <v>576</v>
      </c>
      <c r="F322" s="5">
        <v>2020</v>
      </c>
      <c r="G322" s="86"/>
      <c r="H322" s="89"/>
      <c r="I322" s="90">
        <v>200000</v>
      </c>
      <c r="J322" s="90"/>
      <c r="K322" s="90"/>
      <c r="L322" s="90">
        <f t="shared" ref="L322" si="139">K322+J322</f>
        <v>0</v>
      </c>
      <c r="M322" s="7">
        <f t="shared" ref="M322" si="140">I322+L322</f>
        <v>200000</v>
      </c>
      <c r="N322" s="86"/>
      <c r="O322" s="8"/>
    </row>
    <row r="323" spans="1:15" s="9" customFormat="1" ht="66" hidden="1" customHeight="1" x14ac:dyDescent="0.35">
      <c r="A323" s="5"/>
      <c r="B323" s="5"/>
      <c r="C323" s="10"/>
      <c r="D323" s="78"/>
      <c r="E323" s="6" t="s">
        <v>583</v>
      </c>
      <c r="F323" s="5">
        <v>2020</v>
      </c>
      <c r="G323" s="86"/>
      <c r="H323" s="89"/>
      <c r="I323" s="90">
        <v>150000</v>
      </c>
      <c r="J323" s="90"/>
      <c r="K323" s="90"/>
      <c r="L323" s="90">
        <f t="shared" ref="L323" si="141">K323+J323</f>
        <v>0</v>
      </c>
      <c r="M323" s="7">
        <f t="shared" ref="M323" si="142">I323+L323</f>
        <v>150000</v>
      </c>
      <c r="N323" s="86"/>
      <c r="O323" s="8"/>
    </row>
    <row r="324" spans="1:15" s="9" customFormat="1" ht="66" hidden="1" customHeight="1" x14ac:dyDescent="0.35">
      <c r="A324" s="5"/>
      <c r="B324" s="5"/>
      <c r="C324" s="10"/>
      <c r="D324" s="78"/>
      <c r="E324" s="6" t="s">
        <v>581</v>
      </c>
      <c r="F324" s="5">
        <v>2020</v>
      </c>
      <c r="G324" s="86"/>
      <c r="H324" s="89"/>
      <c r="I324" s="90">
        <v>200000</v>
      </c>
      <c r="J324" s="90"/>
      <c r="K324" s="90"/>
      <c r="L324" s="90">
        <f t="shared" ref="L324" si="143">K324+J324</f>
        <v>0</v>
      </c>
      <c r="M324" s="7">
        <f t="shared" ref="M324" si="144">I324+L324</f>
        <v>200000</v>
      </c>
      <c r="N324" s="86"/>
      <c r="O324" s="8"/>
    </row>
    <row r="325" spans="1:15" s="9" customFormat="1" ht="74.099999999999994" hidden="1" customHeight="1" x14ac:dyDescent="0.35">
      <c r="A325" s="5"/>
      <c r="B325" s="5"/>
      <c r="C325" s="10"/>
      <c r="D325" s="83"/>
      <c r="E325" s="92" t="s">
        <v>305</v>
      </c>
      <c r="F325" s="5">
        <v>2020</v>
      </c>
      <c r="G325" s="5"/>
      <c r="H325" s="93"/>
      <c r="I325" s="90">
        <f>1500000-1205000</f>
        <v>295000</v>
      </c>
      <c r="J325" s="90"/>
      <c r="K325" s="7"/>
      <c r="L325" s="90">
        <f t="shared" si="133"/>
        <v>0</v>
      </c>
      <c r="M325" s="7">
        <f t="shared" si="134"/>
        <v>295000</v>
      </c>
      <c r="N325" s="82"/>
      <c r="O325" s="8"/>
    </row>
    <row r="326" spans="1:15" s="9" customFormat="1" ht="42" hidden="1" customHeight="1" x14ac:dyDescent="0.35">
      <c r="A326" s="5"/>
      <c r="B326" s="5"/>
      <c r="C326" s="10"/>
      <c r="D326" s="83"/>
      <c r="E326" s="92" t="s">
        <v>585</v>
      </c>
      <c r="F326" s="5">
        <v>2020</v>
      </c>
      <c r="G326" s="5"/>
      <c r="H326" s="93"/>
      <c r="I326" s="90">
        <v>354000</v>
      </c>
      <c r="J326" s="90"/>
      <c r="K326" s="7"/>
      <c r="L326" s="90">
        <f t="shared" si="133"/>
        <v>0</v>
      </c>
      <c r="M326" s="7">
        <f t="shared" si="134"/>
        <v>354000</v>
      </c>
      <c r="N326" s="82"/>
      <c r="O326" s="8"/>
    </row>
    <row r="327" spans="1:15" s="9" customFormat="1" ht="65.099999999999994" hidden="1" customHeight="1" x14ac:dyDescent="0.35">
      <c r="A327" s="5"/>
      <c r="B327" s="5"/>
      <c r="C327" s="10"/>
      <c r="D327" s="83"/>
      <c r="E327" s="92" t="s">
        <v>225</v>
      </c>
      <c r="F327" s="5">
        <v>2020</v>
      </c>
      <c r="G327" s="5"/>
      <c r="H327" s="93"/>
      <c r="I327" s="90">
        <f>1500000-500000-250000-500000</f>
        <v>250000</v>
      </c>
      <c r="J327" s="7"/>
      <c r="K327" s="7"/>
      <c r="L327" s="90">
        <f t="shared" si="133"/>
        <v>0</v>
      </c>
      <c r="M327" s="7">
        <f t="shared" si="134"/>
        <v>250000</v>
      </c>
      <c r="N327" s="82"/>
      <c r="O327" s="8"/>
    </row>
    <row r="328" spans="1:15" s="9" customFormat="1" ht="89.1" hidden="1" customHeight="1" x14ac:dyDescent="0.35">
      <c r="A328" s="5"/>
      <c r="B328" s="5"/>
      <c r="C328" s="10"/>
      <c r="D328" s="83"/>
      <c r="E328" s="92" t="s">
        <v>226</v>
      </c>
      <c r="F328" s="5">
        <v>2020</v>
      </c>
      <c r="G328" s="5"/>
      <c r="H328" s="93"/>
      <c r="I328" s="90">
        <f>1900000-1850000</f>
        <v>50000</v>
      </c>
      <c r="J328" s="7"/>
      <c r="K328" s="7"/>
      <c r="L328" s="90">
        <f t="shared" si="133"/>
        <v>0</v>
      </c>
      <c r="M328" s="7">
        <f t="shared" si="134"/>
        <v>50000</v>
      </c>
      <c r="N328" s="82"/>
      <c r="O328" s="8"/>
    </row>
    <row r="329" spans="1:15" s="9" customFormat="1" ht="59.1" hidden="1" customHeight="1" x14ac:dyDescent="0.35">
      <c r="A329" s="5"/>
      <c r="B329" s="5"/>
      <c r="C329" s="10"/>
      <c r="D329" s="83"/>
      <c r="E329" s="92" t="s">
        <v>586</v>
      </c>
      <c r="F329" s="5">
        <v>2020</v>
      </c>
      <c r="G329" s="5"/>
      <c r="H329" s="93"/>
      <c r="I329" s="90">
        <v>215000</v>
      </c>
      <c r="J329" s="7"/>
      <c r="K329" s="7"/>
      <c r="L329" s="90">
        <f t="shared" ref="L329" si="145">K329+J329</f>
        <v>0</v>
      </c>
      <c r="M329" s="7">
        <f t="shared" ref="M329" si="146">I329+L329</f>
        <v>215000</v>
      </c>
      <c r="N329" s="82"/>
      <c r="O329" s="8"/>
    </row>
    <row r="330" spans="1:15" s="9" customFormat="1" ht="63" hidden="1" customHeight="1" x14ac:dyDescent="0.35">
      <c r="A330" s="5"/>
      <c r="B330" s="5"/>
      <c r="C330" s="10"/>
      <c r="D330" s="83"/>
      <c r="E330" s="92" t="s">
        <v>580</v>
      </c>
      <c r="F330" s="5">
        <v>2020</v>
      </c>
      <c r="G330" s="5"/>
      <c r="H330" s="93"/>
      <c r="I330" s="90">
        <v>200000</v>
      </c>
      <c r="J330" s="7"/>
      <c r="K330" s="7"/>
      <c r="L330" s="90">
        <f t="shared" ref="L330" si="147">K330+J330</f>
        <v>0</v>
      </c>
      <c r="M330" s="7">
        <f t="shared" ref="M330" si="148">I330+L330</f>
        <v>200000</v>
      </c>
      <c r="N330" s="82"/>
      <c r="O330" s="8"/>
    </row>
    <row r="331" spans="1:15" s="9" customFormat="1" ht="75.95" hidden="1" customHeight="1" x14ac:dyDescent="0.35">
      <c r="A331" s="5"/>
      <c r="B331" s="5"/>
      <c r="C331" s="10"/>
      <c r="D331" s="78"/>
      <c r="E331" s="6" t="s">
        <v>208</v>
      </c>
      <c r="F331" s="5" t="s">
        <v>50</v>
      </c>
      <c r="G331" s="86">
        <v>767807</v>
      </c>
      <c r="H331" s="89">
        <v>3.4</v>
      </c>
      <c r="I331" s="90">
        <v>741988.72</v>
      </c>
      <c r="J331" s="90"/>
      <c r="K331" s="90"/>
      <c r="L331" s="90">
        <f>K331+J331</f>
        <v>0</v>
      </c>
      <c r="M331" s="7">
        <f>I331+L331</f>
        <v>741988.72</v>
      </c>
      <c r="N331" s="86">
        <v>100</v>
      </c>
      <c r="O331" s="8"/>
    </row>
    <row r="332" spans="1:15" s="9" customFormat="1" ht="89.1" hidden="1" customHeight="1" x14ac:dyDescent="0.35">
      <c r="A332" s="5"/>
      <c r="B332" s="5"/>
      <c r="C332" s="10"/>
      <c r="D332" s="83"/>
      <c r="E332" s="92" t="s">
        <v>579</v>
      </c>
      <c r="F332" s="5">
        <v>2020</v>
      </c>
      <c r="G332" s="5"/>
      <c r="H332" s="93"/>
      <c r="I332" s="90">
        <v>200000</v>
      </c>
      <c r="J332" s="7"/>
      <c r="K332" s="7"/>
      <c r="L332" s="90">
        <f t="shared" ref="L332" si="149">K332+J332</f>
        <v>0</v>
      </c>
      <c r="M332" s="7">
        <f t="shared" ref="M332" si="150">I332+L332</f>
        <v>200000</v>
      </c>
      <c r="N332" s="82"/>
      <c r="O332" s="8"/>
    </row>
    <row r="333" spans="1:15" s="9" customFormat="1" ht="89.1" hidden="1" customHeight="1" x14ac:dyDescent="0.35">
      <c r="A333" s="5"/>
      <c r="B333" s="5"/>
      <c r="C333" s="10"/>
      <c r="D333" s="83"/>
      <c r="E333" s="92" t="s">
        <v>573</v>
      </c>
      <c r="F333" s="5">
        <v>2020</v>
      </c>
      <c r="G333" s="5"/>
      <c r="H333" s="93"/>
      <c r="I333" s="90">
        <v>200000</v>
      </c>
      <c r="J333" s="7"/>
      <c r="K333" s="7"/>
      <c r="L333" s="90">
        <f t="shared" ref="L333:L334" si="151">K333+J333</f>
        <v>0</v>
      </c>
      <c r="M333" s="7">
        <f t="shared" ref="M333:M334" si="152">I333+L333</f>
        <v>200000</v>
      </c>
      <c r="N333" s="82"/>
      <c r="O333" s="8"/>
    </row>
    <row r="334" spans="1:15" s="9" customFormat="1" ht="66" hidden="1" customHeight="1" x14ac:dyDescent="0.35">
      <c r="A334" s="5"/>
      <c r="B334" s="5"/>
      <c r="C334" s="10"/>
      <c r="D334" s="83"/>
      <c r="E334" s="92" t="s">
        <v>575</v>
      </c>
      <c r="F334" s="5">
        <v>2020</v>
      </c>
      <c r="G334" s="5"/>
      <c r="H334" s="93"/>
      <c r="I334" s="90">
        <v>200000</v>
      </c>
      <c r="J334" s="7"/>
      <c r="K334" s="7"/>
      <c r="L334" s="90">
        <f t="shared" si="151"/>
        <v>0</v>
      </c>
      <c r="M334" s="7">
        <f t="shared" si="152"/>
        <v>200000</v>
      </c>
      <c r="N334" s="82"/>
      <c r="O334" s="8"/>
    </row>
    <row r="335" spans="1:15" s="9" customFormat="1" ht="69" hidden="1" customHeight="1" x14ac:dyDescent="0.35">
      <c r="A335" s="5"/>
      <c r="B335" s="5"/>
      <c r="C335" s="10"/>
      <c r="D335" s="83"/>
      <c r="E335" s="92" t="s">
        <v>572</v>
      </c>
      <c r="F335" s="5">
        <v>2020</v>
      </c>
      <c r="G335" s="5"/>
      <c r="H335" s="93"/>
      <c r="I335" s="90">
        <v>230000</v>
      </c>
      <c r="J335" s="7"/>
      <c r="K335" s="7"/>
      <c r="L335" s="90">
        <f t="shared" ref="L335" si="153">K335+J335</f>
        <v>0</v>
      </c>
      <c r="M335" s="7">
        <f t="shared" ref="M335" si="154">I335+L335</f>
        <v>230000</v>
      </c>
      <c r="N335" s="82"/>
      <c r="O335" s="8"/>
    </row>
    <row r="336" spans="1:15" s="9" customFormat="1" ht="49.5" hidden="1" customHeight="1" x14ac:dyDescent="0.35">
      <c r="A336" s="5"/>
      <c r="B336" s="5"/>
      <c r="C336" s="10"/>
      <c r="D336" s="83"/>
      <c r="E336" s="92" t="s">
        <v>228</v>
      </c>
      <c r="F336" s="5">
        <v>2020</v>
      </c>
      <c r="G336" s="5"/>
      <c r="H336" s="93"/>
      <c r="I336" s="90">
        <v>1250000</v>
      </c>
      <c r="J336" s="7"/>
      <c r="K336" s="7"/>
      <c r="L336" s="90">
        <f t="shared" si="133"/>
        <v>0</v>
      </c>
      <c r="M336" s="7">
        <f t="shared" si="134"/>
        <v>1250000</v>
      </c>
      <c r="N336" s="82"/>
      <c r="O336" s="8"/>
    </row>
    <row r="337" spans="1:15" s="9" customFormat="1" ht="65.099999999999994" hidden="1" customHeight="1" x14ac:dyDescent="0.35">
      <c r="A337" s="5"/>
      <c r="B337" s="5"/>
      <c r="C337" s="10"/>
      <c r="D337" s="83"/>
      <c r="E337" s="92" t="s">
        <v>224</v>
      </c>
      <c r="F337" s="5">
        <v>2020</v>
      </c>
      <c r="G337" s="5"/>
      <c r="H337" s="93"/>
      <c r="I337" s="90">
        <v>900000</v>
      </c>
      <c r="J337" s="90"/>
      <c r="K337" s="7"/>
      <c r="L337" s="90">
        <f>K337+J337</f>
        <v>0</v>
      </c>
      <c r="M337" s="7">
        <f>I337+L337</f>
        <v>900000</v>
      </c>
      <c r="N337" s="82"/>
      <c r="O337" s="8"/>
    </row>
    <row r="338" spans="1:15" s="9" customFormat="1" ht="69.95" hidden="1" customHeight="1" x14ac:dyDescent="0.35">
      <c r="A338" s="5"/>
      <c r="B338" s="5"/>
      <c r="C338" s="10"/>
      <c r="D338" s="83"/>
      <c r="E338" s="92" t="s">
        <v>227</v>
      </c>
      <c r="F338" s="5">
        <v>2020</v>
      </c>
      <c r="G338" s="5"/>
      <c r="H338" s="93"/>
      <c r="I338" s="90">
        <v>1300000</v>
      </c>
      <c r="J338" s="7"/>
      <c r="K338" s="7"/>
      <c r="L338" s="90">
        <f>K338+J338</f>
        <v>0</v>
      </c>
      <c r="M338" s="7">
        <f>I338+L338</f>
        <v>1300000</v>
      </c>
      <c r="N338" s="82"/>
      <c r="O338" s="8"/>
    </row>
    <row r="339" spans="1:15" s="9" customFormat="1" ht="72.95" hidden="1" customHeight="1" x14ac:dyDescent="0.35">
      <c r="A339" s="5"/>
      <c r="B339" s="5"/>
      <c r="C339" s="10"/>
      <c r="D339" s="83"/>
      <c r="E339" s="92" t="s">
        <v>574</v>
      </c>
      <c r="F339" s="5">
        <v>2020</v>
      </c>
      <c r="G339" s="5"/>
      <c r="H339" s="93"/>
      <c r="I339" s="90">
        <v>200000</v>
      </c>
      <c r="J339" s="7"/>
      <c r="K339" s="7"/>
      <c r="L339" s="90">
        <f t="shared" ref="L339" si="155">K339+J339</f>
        <v>0</v>
      </c>
      <c r="M339" s="7">
        <f t="shared" ref="M339" si="156">I339+L339</f>
        <v>200000</v>
      </c>
      <c r="N339" s="82"/>
      <c r="O339" s="8"/>
    </row>
    <row r="340" spans="1:15" s="9" customFormat="1" ht="73.5" hidden="1" customHeight="1" x14ac:dyDescent="0.35">
      <c r="A340" s="5"/>
      <c r="B340" s="5"/>
      <c r="C340" s="10"/>
      <c r="D340" s="83"/>
      <c r="E340" s="92" t="s">
        <v>571</v>
      </c>
      <c r="F340" s="5">
        <v>2020</v>
      </c>
      <c r="G340" s="5"/>
      <c r="H340" s="93"/>
      <c r="I340" s="90">
        <v>82410.11</v>
      </c>
      <c r="J340" s="7"/>
      <c r="K340" s="7"/>
      <c r="L340" s="90">
        <f t="shared" ref="L340" si="157">K340+J340</f>
        <v>0</v>
      </c>
      <c r="M340" s="7">
        <f t="shared" ref="M340" si="158">I340+L340</f>
        <v>82410.11</v>
      </c>
      <c r="N340" s="82"/>
      <c r="O340" s="8"/>
    </row>
    <row r="341" spans="1:15" s="9" customFormat="1" ht="73.5" hidden="1" customHeight="1" x14ac:dyDescent="0.35">
      <c r="A341" s="5"/>
      <c r="B341" s="5"/>
      <c r="C341" s="10"/>
      <c r="D341" s="83"/>
      <c r="E341" s="92" t="s">
        <v>578</v>
      </c>
      <c r="F341" s="5">
        <v>2020</v>
      </c>
      <c r="G341" s="5"/>
      <c r="H341" s="93"/>
      <c r="I341" s="90">
        <v>200000</v>
      </c>
      <c r="J341" s="7"/>
      <c r="K341" s="7"/>
      <c r="L341" s="90">
        <f t="shared" ref="L341" si="159">K341+J341</f>
        <v>0</v>
      </c>
      <c r="M341" s="7">
        <f t="shared" ref="M341" si="160">I341+L341</f>
        <v>200000</v>
      </c>
      <c r="N341" s="82"/>
      <c r="O341" s="8"/>
    </row>
    <row r="342" spans="1:15" s="9" customFormat="1" ht="54.95" hidden="1" customHeight="1" x14ac:dyDescent="0.35">
      <c r="A342" s="5"/>
      <c r="B342" s="5"/>
      <c r="C342" s="10"/>
      <c r="D342" s="83"/>
      <c r="E342" s="66" t="s">
        <v>380</v>
      </c>
      <c r="F342" s="37"/>
      <c r="G342" s="37"/>
      <c r="H342" s="88"/>
      <c r="I342" s="81">
        <f>I343+I344+I345+I346+I347</f>
        <v>1552473.4100000001</v>
      </c>
      <c r="J342" s="81">
        <f t="shared" ref="J342:M342" si="161">J343+J344+J345+J346+J347</f>
        <v>0</v>
      </c>
      <c r="K342" s="81">
        <f t="shared" si="161"/>
        <v>0</v>
      </c>
      <c r="L342" s="81">
        <f t="shared" si="161"/>
        <v>0</v>
      </c>
      <c r="M342" s="81">
        <f t="shared" si="161"/>
        <v>1552473.4100000001</v>
      </c>
      <c r="N342" s="82"/>
      <c r="O342" s="8"/>
    </row>
    <row r="343" spans="1:15" s="9" customFormat="1" ht="89.1" hidden="1" customHeight="1" x14ac:dyDescent="0.35">
      <c r="A343" s="5"/>
      <c r="B343" s="5"/>
      <c r="C343" s="10"/>
      <c r="D343" s="83"/>
      <c r="E343" s="92" t="s">
        <v>306</v>
      </c>
      <c r="F343" s="5">
        <v>2020</v>
      </c>
      <c r="G343" s="37"/>
      <c r="H343" s="88"/>
      <c r="I343" s="90">
        <f>1000000-200000-500000</f>
        <v>300000</v>
      </c>
      <c r="J343" s="7"/>
      <c r="K343" s="7"/>
      <c r="L343" s="90">
        <f>K343+J343</f>
        <v>0</v>
      </c>
      <c r="M343" s="7">
        <f t="shared" si="134"/>
        <v>300000</v>
      </c>
      <c r="N343" s="82"/>
      <c r="O343" s="8"/>
    </row>
    <row r="344" spans="1:15" s="9" customFormat="1" ht="111" hidden="1" customHeight="1" x14ac:dyDescent="0.35">
      <c r="A344" s="5"/>
      <c r="B344" s="5"/>
      <c r="C344" s="10"/>
      <c r="D344" s="83"/>
      <c r="E344" s="92" t="s">
        <v>229</v>
      </c>
      <c r="F344" s="5">
        <v>2020</v>
      </c>
      <c r="G344" s="37"/>
      <c r="H344" s="88"/>
      <c r="I344" s="90">
        <f>500000-200000</f>
        <v>300000</v>
      </c>
      <c r="J344" s="7"/>
      <c r="K344" s="7"/>
      <c r="L344" s="90">
        <f t="shared" si="133"/>
        <v>0</v>
      </c>
      <c r="M344" s="7">
        <f t="shared" si="134"/>
        <v>300000</v>
      </c>
      <c r="N344" s="82"/>
      <c r="O344" s="8"/>
    </row>
    <row r="345" spans="1:15" s="9" customFormat="1" ht="77.099999999999994" hidden="1" customHeight="1" x14ac:dyDescent="0.35">
      <c r="A345" s="5"/>
      <c r="B345" s="5"/>
      <c r="C345" s="10"/>
      <c r="D345" s="83"/>
      <c r="E345" s="92" t="s">
        <v>307</v>
      </c>
      <c r="F345" s="5">
        <v>2020</v>
      </c>
      <c r="G345" s="37"/>
      <c r="H345" s="88"/>
      <c r="I345" s="90">
        <f>1200000-200000-700000</f>
        <v>300000</v>
      </c>
      <c r="J345" s="7"/>
      <c r="K345" s="7"/>
      <c r="L345" s="90">
        <f t="shared" si="133"/>
        <v>0</v>
      </c>
      <c r="M345" s="7">
        <f t="shared" si="134"/>
        <v>300000</v>
      </c>
      <c r="N345" s="82"/>
      <c r="O345" s="8"/>
    </row>
    <row r="346" spans="1:15" s="9" customFormat="1" ht="96.95" hidden="1" customHeight="1" x14ac:dyDescent="0.35">
      <c r="A346" s="5"/>
      <c r="B346" s="5"/>
      <c r="C346" s="10"/>
      <c r="D346" s="83"/>
      <c r="E346" s="92" t="s">
        <v>308</v>
      </c>
      <c r="F346" s="5">
        <v>2020</v>
      </c>
      <c r="G346" s="37"/>
      <c r="H346" s="88"/>
      <c r="I346" s="90">
        <f>800000-500000</f>
        <v>300000</v>
      </c>
      <c r="J346" s="7"/>
      <c r="K346" s="7"/>
      <c r="L346" s="90">
        <f t="shared" si="133"/>
        <v>0</v>
      </c>
      <c r="M346" s="7">
        <f t="shared" si="134"/>
        <v>300000</v>
      </c>
      <c r="N346" s="82"/>
      <c r="O346" s="8"/>
    </row>
    <row r="347" spans="1:15" s="9" customFormat="1" ht="67.5" hidden="1" customHeight="1" x14ac:dyDescent="0.35">
      <c r="A347" s="5"/>
      <c r="B347" s="5"/>
      <c r="C347" s="10"/>
      <c r="D347" s="83"/>
      <c r="E347" s="92" t="s">
        <v>230</v>
      </c>
      <c r="F347" s="5">
        <v>2020</v>
      </c>
      <c r="G347" s="37"/>
      <c r="H347" s="88"/>
      <c r="I347" s="90">
        <f>1500000-600000-547526.59</f>
        <v>352473.41000000003</v>
      </c>
      <c r="J347" s="7"/>
      <c r="K347" s="7"/>
      <c r="L347" s="90">
        <f t="shared" si="133"/>
        <v>0</v>
      </c>
      <c r="M347" s="7">
        <f t="shared" si="134"/>
        <v>352473.41000000003</v>
      </c>
      <c r="N347" s="82"/>
      <c r="O347" s="8"/>
    </row>
    <row r="348" spans="1:15" s="9" customFormat="1" ht="72.95" hidden="1" customHeight="1" x14ac:dyDescent="0.35">
      <c r="A348" s="5"/>
      <c r="B348" s="5"/>
      <c r="C348" s="10"/>
      <c r="D348" s="78"/>
      <c r="E348" s="58" t="s">
        <v>381</v>
      </c>
      <c r="F348" s="5"/>
      <c r="G348" s="37"/>
      <c r="H348" s="88"/>
      <c r="I348" s="81">
        <f>SUM(I349:I360)</f>
        <v>11317435.109999999</v>
      </c>
      <c r="J348" s="81">
        <f t="shared" ref="J348:M348" si="162">SUM(J349:J360)</f>
        <v>0</v>
      </c>
      <c r="K348" s="81">
        <f t="shared" si="162"/>
        <v>0</v>
      </c>
      <c r="L348" s="81">
        <f t="shared" si="162"/>
        <v>0</v>
      </c>
      <c r="M348" s="81">
        <f t="shared" si="162"/>
        <v>11317435.109999999</v>
      </c>
      <c r="N348" s="82"/>
      <c r="O348" s="8"/>
    </row>
    <row r="349" spans="1:15" s="9" customFormat="1" ht="110.1" hidden="1" customHeight="1" x14ac:dyDescent="0.35">
      <c r="A349" s="5"/>
      <c r="B349" s="5"/>
      <c r="C349" s="10"/>
      <c r="D349" s="78"/>
      <c r="E349" s="6" t="s">
        <v>216</v>
      </c>
      <c r="F349" s="5" t="s">
        <v>50</v>
      </c>
      <c r="G349" s="86">
        <v>454914</v>
      </c>
      <c r="H349" s="89"/>
      <c r="I349" s="90">
        <v>454914</v>
      </c>
      <c r="J349" s="90"/>
      <c r="K349" s="90"/>
      <c r="L349" s="90">
        <f t="shared" ref="L349:L360" si="163">K349+J349</f>
        <v>0</v>
      </c>
      <c r="M349" s="7">
        <f t="shared" ref="M349:M360" si="164">I349+L349</f>
        <v>454914</v>
      </c>
      <c r="N349" s="86">
        <v>100</v>
      </c>
      <c r="O349" s="8"/>
    </row>
    <row r="350" spans="1:15" s="9" customFormat="1" ht="105.95" hidden="1" customHeight="1" x14ac:dyDescent="0.35">
      <c r="A350" s="5"/>
      <c r="B350" s="5"/>
      <c r="C350" s="10"/>
      <c r="D350" s="78"/>
      <c r="E350" s="6" t="s">
        <v>217</v>
      </c>
      <c r="F350" s="5" t="s">
        <v>50</v>
      </c>
      <c r="G350" s="86">
        <v>750000</v>
      </c>
      <c r="H350" s="89">
        <v>6</v>
      </c>
      <c r="I350" s="90">
        <v>704361.04</v>
      </c>
      <c r="J350" s="90"/>
      <c r="K350" s="90"/>
      <c r="L350" s="90">
        <f t="shared" si="163"/>
        <v>0</v>
      </c>
      <c r="M350" s="7">
        <f t="shared" si="164"/>
        <v>704361.04</v>
      </c>
      <c r="N350" s="86">
        <v>100</v>
      </c>
      <c r="O350" s="8"/>
    </row>
    <row r="351" spans="1:15" s="9" customFormat="1" ht="104.1" hidden="1" customHeight="1" x14ac:dyDescent="0.35">
      <c r="A351" s="5"/>
      <c r="B351" s="5"/>
      <c r="C351" s="10"/>
      <c r="D351" s="78"/>
      <c r="E351" s="6" t="s">
        <v>218</v>
      </c>
      <c r="F351" s="5" t="s">
        <v>50</v>
      </c>
      <c r="G351" s="86">
        <v>718008</v>
      </c>
      <c r="H351" s="89">
        <v>6.4</v>
      </c>
      <c r="I351" s="90">
        <v>672369.04</v>
      </c>
      <c r="J351" s="90"/>
      <c r="K351" s="90"/>
      <c r="L351" s="90">
        <f t="shared" si="163"/>
        <v>0</v>
      </c>
      <c r="M351" s="7">
        <f t="shared" si="164"/>
        <v>672369.04</v>
      </c>
      <c r="N351" s="86">
        <v>100</v>
      </c>
      <c r="O351" s="8"/>
    </row>
    <row r="352" spans="1:15" s="9" customFormat="1" ht="90" hidden="1" customHeight="1" x14ac:dyDescent="0.35">
      <c r="A352" s="5"/>
      <c r="B352" s="5"/>
      <c r="C352" s="10"/>
      <c r="D352" s="83"/>
      <c r="E352" s="6" t="s">
        <v>309</v>
      </c>
      <c r="F352" s="5" t="s">
        <v>50</v>
      </c>
      <c r="G352" s="86">
        <v>1495560</v>
      </c>
      <c r="H352" s="93"/>
      <c r="I352" s="90">
        <v>1495560</v>
      </c>
      <c r="J352" s="7"/>
      <c r="K352" s="7"/>
      <c r="L352" s="90">
        <f t="shared" si="163"/>
        <v>0</v>
      </c>
      <c r="M352" s="7">
        <f t="shared" si="164"/>
        <v>1495560</v>
      </c>
      <c r="N352" s="86">
        <v>100</v>
      </c>
      <c r="O352" s="8"/>
    </row>
    <row r="353" spans="1:15" s="9" customFormat="1" ht="92.1" hidden="1" customHeight="1" x14ac:dyDescent="0.35">
      <c r="A353" s="5"/>
      <c r="B353" s="5"/>
      <c r="C353" s="10"/>
      <c r="D353" s="83"/>
      <c r="E353" s="6" t="s">
        <v>254</v>
      </c>
      <c r="F353" s="5" t="s">
        <v>50</v>
      </c>
      <c r="G353" s="86">
        <v>1477357</v>
      </c>
      <c r="H353" s="89">
        <v>4.3</v>
      </c>
      <c r="I353" s="90">
        <v>1413797</v>
      </c>
      <c r="J353" s="7"/>
      <c r="K353" s="7"/>
      <c r="L353" s="90">
        <f t="shared" si="163"/>
        <v>0</v>
      </c>
      <c r="M353" s="7">
        <f t="shared" si="164"/>
        <v>1413797</v>
      </c>
      <c r="N353" s="86">
        <v>100</v>
      </c>
      <c r="O353" s="8"/>
    </row>
    <row r="354" spans="1:15" s="9" customFormat="1" ht="105.95" hidden="1" customHeight="1" x14ac:dyDescent="0.35">
      <c r="A354" s="5"/>
      <c r="B354" s="5"/>
      <c r="C354" s="10"/>
      <c r="D354" s="83"/>
      <c r="E354" s="6" t="s">
        <v>310</v>
      </c>
      <c r="F354" s="5" t="s">
        <v>50</v>
      </c>
      <c r="G354" s="86">
        <v>748253</v>
      </c>
      <c r="H354" s="93"/>
      <c r="I354" s="90">
        <v>748253</v>
      </c>
      <c r="J354" s="7"/>
      <c r="K354" s="7"/>
      <c r="L354" s="90">
        <f t="shared" si="163"/>
        <v>0</v>
      </c>
      <c r="M354" s="7">
        <f t="shared" si="164"/>
        <v>748253</v>
      </c>
      <c r="N354" s="86">
        <v>100</v>
      </c>
      <c r="O354" s="8"/>
    </row>
    <row r="355" spans="1:15" s="9" customFormat="1" ht="87.95" hidden="1" customHeight="1" x14ac:dyDescent="0.35">
      <c r="A355" s="5"/>
      <c r="B355" s="5"/>
      <c r="C355" s="10"/>
      <c r="D355" s="83"/>
      <c r="E355" s="6" t="s">
        <v>311</v>
      </c>
      <c r="F355" s="5" t="s">
        <v>50</v>
      </c>
      <c r="G355" s="86">
        <v>749514</v>
      </c>
      <c r="H355" s="89">
        <v>5.3</v>
      </c>
      <c r="I355" s="90">
        <v>709704.89</v>
      </c>
      <c r="J355" s="7"/>
      <c r="K355" s="7"/>
      <c r="L355" s="90">
        <f t="shared" si="163"/>
        <v>0</v>
      </c>
      <c r="M355" s="7">
        <f t="shared" si="164"/>
        <v>709704.89</v>
      </c>
      <c r="N355" s="86">
        <v>100</v>
      </c>
      <c r="O355" s="8"/>
    </row>
    <row r="356" spans="1:15" s="9" customFormat="1" ht="87" hidden="1" customHeight="1" x14ac:dyDescent="0.35">
      <c r="A356" s="5"/>
      <c r="B356" s="5"/>
      <c r="C356" s="10"/>
      <c r="D356" s="83"/>
      <c r="E356" s="6" t="s">
        <v>312</v>
      </c>
      <c r="F356" s="5" t="s">
        <v>50</v>
      </c>
      <c r="G356" s="86">
        <v>744580</v>
      </c>
      <c r="H356" s="93"/>
      <c r="I356" s="90">
        <v>744580</v>
      </c>
      <c r="J356" s="7"/>
      <c r="K356" s="7"/>
      <c r="L356" s="90">
        <f t="shared" si="163"/>
        <v>0</v>
      </c>
      <c r="M356" s="7">
        <f t="shared" si="164"/>
        <v>744580</v>
      </c>
      <c r="N356" s="86">
        <v>100</v>
      </c>
      <c r="O356" s="8"/>
    </row>
    <row r="357" spans="1:15" s="9" customFormat="1" ht="98.1" hidden="1" customHeight="1" x14ac:dyDescent="0.35">
      <c r="A357" s="5"/>
      <c r="B357" s="5"/>
      <c r="C357" s="10"/>
      <c r="D357" s="83"/>
      <c r="E357" s="6" t="s">
        <v>313</v>
      </c>
      <c r="F357" s="5" t="s">
        <v>50</v>
      </c>
      <c r="G357" s="86">
        <v>721326</v>
      </c>
      <c r="H357" s="89">
        <v>6.9</v>
      </c>
      <c r="I357" s="90">
        <v>671447.14</v>
      </c>
      <c r="J357" s="7"/>
      <c r="K357" s="7"/>
      <c r="L357" s="90">
        <f t="shared" si="163"/>
        <v>0</v>
      </c>
      <c r="M357" s="7">
        <f t="shared" si="164"/>
        <v>671447.14</v>
      </c>
      <c r="N357" s="86">
        <v>100</v>
      </c>
      <c r="O357" s="8"/>
    </row>
    <row r="358" spans="1:15" s="9" customFormat="1" ht="69" hidden="1" customHeight="1" x14ac:dyDescent="0.35">
      <c r="A358" s="5"/>
      <c r="B358" s="5"/>
      <c r="C358" s="10"/>
      <c r="D358" s="83"/>
      <c r="E358" s="6" t="s">
        <v>314</v>
      </c>
      <c r="F358" s="5" t="s">
        <v>50</v>
      </c>
      <c r="G358" s="86">
        <v>1499478</v>
      </c>
      <c r="H358" s="93"/>
      <c r="I358" s="90">
        <v>1499478</v>
      </c>
      <c r="J358" s="7"/>
      <c r="K358" s="7"/>
      <c r="L358" s="90">
        <f t="shared" si="163"/>
        <v>0</v>
      </c>
      <c r="M358" s="7">
        <f t="shared" si="164"/>
        <v>1499478</v>
      </c>
      <c r="N358" s="86">
        <v>100</v>
      </c>
      <c r="O358" s="8"/>
    </row>
    <row r="359" spans="1:15" s="9" customFormat="1" ht="98.1" hidden="1" customHeight="1" x14ac:dyDescent="0.35">
      <c r="A359" s="5"/>
      <c r="B359" s="5"/>
      <c r="C359" s="10"/>
      <c r="D359" s="83"/>
      <c r="E359" s="6" t="s">
        <v>315</v>
      </c>
      <c r="F359" s="5" t="s">
        <v>50</v>
      </c>
      <c r="G359" s="86">
        <v>703082</v>
      </c>
      <c r="H359" s="93"/>
      <c r="I359" s="90">
        <v>703082</v>
      </c>
      <c r="J359" s="7"/>
      <c r="K359" s="7"/>
      <c r="L359" s="90">
        <f t="shared" si="163"/>
        <v>0</v>
      </c>
      <c r="M359" s="7">
        <f t="shared" si="164"/>
        <v>703082</v>
      </c>
      <c r="N359" s="86">
        <v>100</v>
      </c>
      <c r="O359" s="8"/>
    </row>
    <row r="360" spans="1:15" s="9" customFormat="1" ht="69.95" hidden="1" customHeight="1" x14ac:dyDescent="0.35">
      <c r="A360" s="5"/>
      <c r="B360" s="5"/>
      <c r="C360" s="10"/>
      <c r="D360" s="83"/>
      <c r="E360" s="6" t="s">
        <v>316</v>
      </c>
      <c r="F360" s="5" t="s">
        <v>50</v>
      </c>
      <c r="G360" s="86">
        <v>1499889</v>
      </c>
      <c r="H360" s="93"/>
      <c r="I360" s="90">
        <v>1499889</v>
      </c>
      <c r="J360" s="7"/>
      <c r="K360" s="7"/>
      <c r="L360" s="90">
        <f t="shared" si="163"/>
        <v>0</v>
      </c>
      <c r="M360" s="7">
        <f t="shared" si="164"/>
        <v>1499889</v>
      </c>
      <c r="N360" s="86">
        <v>100</v>
      </c>
      <c r="O360" s="8"/>
    </row>
    <row r="361" spans="1:15" s="21" customFormat="1" ht="71.45" customHeight="1" x14ac:dyDescent="0.35">
      <c r="A361" s="13">
        <v>1216090</v>
      </c>
      <c r="B361" s="13">
        <v>6090</v>
      </c>
      <c r="C361" s="14" t="s">
        <v>166</v>
      </c>
      <c r="D361" s="15" t="s">
        <v>167</v>
      </c>
      <c r="E361" s="16" t="s">
        <v>179</v>
      </c>
      <c r="F361" s="13"/>
      <c r="G361" s="13"/>
      <c r="H361" s="13"/>
      <c r="I361" s="38">
        <f>I362+I363</f>
        <v>9959364.2899999991</v>
      </c>
      <c r="J361" s="38">
        <f t="shared" ref="J361:M361" si="165">J362+J363</f>
        <v>0</v>
      </c>
      <c r="K361" s="38">
        <f t="shared" si="165"/>
        <v>0</v>
      </c>
      <c r="L361" s="38">
        <f t="shared" si="165"/>
        <v>0</v>
      </c>
      <c r="M361" s="38">
        <f t="shared" si="165"/>
        <v>9959364.2899999991</v>
      </c>
      <c r="N361" s="13"/>
      <c r="O361" s="8"/>
    </row>
    <row r="362" spans="1:15" ht="65.099999999999994" hidden="1" customHeight="1" x14ac:dyDescent="0.35">
      <c r="A362" s="37"/>
      <c r="B362" s="37"/>
      <c r="C362" s="57"/>
      <c r="D362" s="58"/>
      <c r="E362" s="58" t="s">
        <v>253</v>
      </c>
      <c r="F362" s="37"/>
      <c r="G362" s="37"/>
      <c r="H362" s="37"/>
      <c r="I362" s="54">
        <f>21793738-300000-11834373.71</f>
        <v>9659364.2899999991</v>
      </c>
      <c r="J362" s="54"/>
      <c r="K362" s="54"/>
      <c r="L362" s="54">
        <f>J362+K362</f>
        <v>0</v>
      </c>
      <c r="M362" s="54">
        <f>I362+L362</f>
        <v>9659364.2899999991</v>
      </c>
      <c r="N362" s="37"/>
      <c r="O362" s="8"/>
    </row>
    <row r="363" spans="1:15" ht="63.95" hidden="1" customHeight="1" x14ac:dyDescent="0.35">
      <c r="A363" s="37"/>
      <c r="B363" s="37"/>
      <c r="C363" s="57"/>
      <c r="D363" s="58"/>
      <c r="E363" s="58" t="s">
        <v>392</v>
      </c>
      <c r="F363" s="37">
        <v>2020</v>
      </c>
      <c r="G363" s="37"/>
      <c r="H363" s="37"/>
      <c r="I363" s="54">
        <v>300000</v>
      </c>
      <c r="J363" s="54"/>
      <c r="K363" s="54"/>
      <c r="L363" s="54">
        <f>J363+K363</f>
        <v>0</v>
      </c>
      <c r="M363" s="54">
        <f>I363+L363</f>
        <v>300000</v>
      </c>
      <c r="N363" s="37"/>
      <c r="O363" s="8"/>
    </row>
    <row r="364" spans="1:15" ht="54" customHeight="1" x14ac:dyDescent="0.35">
      <c r="A364" s="13">
        <v>1217310</v>
      </c>
      <c r="B364" s="13">
        <v>7310</v>
      </c>
      <c r="C364" s="14" t="s">
        <v>2</v>
      </c>
      <c r="D364" s="15" t="s">
        <v>1</v>
      </c>
      <c r="E364" s="37"/>
      <c r="F364" s="37"/>
      <c r="G364" s="37"/>
      <c r="H364" s="37"/>
      <c r="I364" s="38">
        <f>I365+I373+I376</f>
        <v>9936097.7599999998</v>
      </c>
      <c r="J364" s="38">
        <f>J365+J373+J376</f>
        <v>-1380000</v>
      </c>
      <c r="K364" s="38">
        <f>K365+K373+K376</f>
        <v>0</v>
      </c>
      <c r="L364" s="38">
        <f>L365+L373+L376</f>
        <v>-1380000</v>
      </c>
      <c r="M364" s="38">
        <f>M365+M373+M376</f>
        <v>8556097.7599999998</v>
      </c>
      <c r="N364" s="37"/>
      <c r="O364" s="8"/>
    </row>
    <row r="365" spans="1:15" s="9" customFormat="1" ht="53.1" customHeight="1" x14ac:dyDescent="0.35">
      <c r="A365" s="5"/>
      <c r="B365" s="5"/>
      <c r="C365" s="5"/>
      <c r="D365" s="5"/>
      <c r="E365" s="16" t="s">
        <v>26</v>
      </c>
      <c r="F365" s="5"/>
      <c r="G365" s="5"/>
      <c r="H365" s="5"/>
      <c r="I365" s="19">
        <f>SUM(I366:I372)</f>
        <v>4088215.76</v>
      </c>
      <c r="J365" s="19">
        <f>SUM(J366:J372)</f>
        <v>-1380000</v>
      </c>
      <c r="K365" s="19">
        <f>SUM(K366:K372)</f>
        <v>0</v>
      </c>
      <c r="L365" s="19">
        <f>SUM(L366:L372)</f>
        <v>-1380000</v>
      </c>
      <c r="M365" s="19">
        <f>SUM(M366:M372)</f>
        <v>2708215.76</v>
      </c>
      <c r="N365" s="5"/>
      <c r="O365" s="8"/>
    </row>
    <row r="366" spans="1:15" ht="77.099999999999994" customHeight="1" x14ac:dyDescent="0.35">
      <c r="A366" s="37"/>
      <c r="B366" s="37"/>
      <c r="C366" s="37"/>
      <c r="D366" s="37"/>
      <c r="E366" s="58" t="s">
        <v>565</v>
      </c>
      <c r="F366" s="37">
        <v>2020</v>
      </c>
      <c r="G366" s="53"/>
      <c r="H366" s="37"/>
      <c r="I366" s="54">
        <v>230000</v>
      </c>
      <c r="J366" s="54"/>
      <c r="K366" s="54"/>
      <c r="L366" s="54">
        <f t="shared" ref="L366" si="166">J366+K366</f>
        <v>0</v>
      </c>
      <c r="M366" s="54">
        <f t="shared" ref="M366" si="167">I366+L366</f>
        <v>230000</v>
      </c>
      <c r="N366" s="37"/>
      <c r="O366" s="8"/>
    </row>
    <row r="367" spans="1:15" ht="83.1" customHeight="1" x14ac:dyDescent="0.35">
      <c r="A367" s="37"/>
      <c r="B367" s="37"/>
      <c r="C367" s="37"/>
      <c r="D367" s="37"/>
      <c r="E367" s="58" t="s">
        <v>58</v>
      </c>
      <c r="F367" s="37">
        <v>2020</v>
      </c>
      <c r="G367" s="53"/>
      <c r="H367" s="37"/>
      <c r="I367" s="54">
        <v>240000</v>
      </c>
      <c r="J367" s="54"/>
      <c r="K367" s="54"/>
      <c r="L367" s="54">
        <f t="shared" ref="L367:L372" si="168">J367+K367</f>
        <v>0</v>
      </c>
      <c r="M367" s="54">
        <f t="shared" ref="M367:M372" si="169">I367+L367</f>
        <v>240000</v>
      </c>
      <c r="N367" s="37"/>
      <c r="O367" s="8"/>
    </row>
    <row r="368" spans="1:15" ht="57.95" customHeight="1" x14ac:dyDescent="0.35">
      <c r="A368" s="37"/>
      <c r="B368" s="37"/>
      <c r="C368" s="37"/>
      <c r="D368" s="78"/>
      <c r="E368" s="58" t="s">
        <v>74</v>
      </c>
      <c r="F368" s="37" t="s">
        <v>50</v>
      </c>
      <c r="G368" s="53"/>
      <c r="H368" s="37"/>
      <c r="I368" s="54">
        <v>798888.75</v>
      </c>
      <c r="J368" s="54"/>
      <c r="K368" s="54"/>
      <c r="L368" s="54">
        <f t="shared" si="168"/>
        <v>0</v>
      </c>
      <c r="M368" s="54">
        <f t="shared" si="169"/>
        <v>798888.75</v>
      </c>
      <c r="N368" s="37"/>
      <c r="O368" s="8"/>
    </row>
    <row r="369" spans="1:15" ht="122.1" customHeight="1" x14ac:dyDescent="0.35">
      <c r="A369" s="37"/>
      <c r="B369" s="37"/>
      <c r="C369" s="37"/>
      <c r="D369" s="78"/>
      <c r="E369" s="58" t="s">
        <v>366</v>
      </c>
      <c r="F369" s="37" t="s">
        <v>52</v>
      </c>
      <c r="G369" s="53">
        <v>26890141</v>
      </c>
      <c r="H369" s="37"/>
      <c r="I369" s="54">
        <v>439327.01</v>
      </c>
      <c r="J369" s="54"/>
      <c r="K369" s="54"/>
      <c r="L369" s="54">
        <f t="shared" si="168"/>
        <v>0</v>
      </c>
      <c r="M369" s="54">
        <f t="shared" si="169"/>
        <v>439327.01</v>
      </c>
      <c r="N369" s="37">
        <v>1.6</v>
      </c>
      <c r="O369" s="8"/>
    </row>
    <row r="370" spans="1:15" ht="108.95" customHeight="1" x14ac:dyDescent="0.35">
      <c r="A370" s="37"/>
      <c r="B370" s="37"/>
      <c r="C370" s="37"/>
      <c r="D370" s="37"/>
      <c r="E370" s="58" t="s">
        <v>54</v>
      </c>
      <c r="F370" s="37" t="s">
        <v>52</v>
      </c>
      <c r="G370" s="53"/>
      <c r="H370" s="37"/>
      <c r="I370" s="54">
        <v>250000</v>
      </c>
      <c r="J370" s="54"/>
      <c r="K370" s="54"/>
      <c r="L370" s="54">
        <f t="shared" si="168"/>
        <v>0</v>
      </c>
      <c r="M370" s="54">
        <f t="shared" si="169"/>
        <v>250000</v>
      </c>
      <c r="N370" s="37"/>
      <c r="O370" s="20"/>
    </row>
    <row r="371" spans="1:15" ht="90.6" hidden="1" customHeight="1" x14ac:dyDescent="0.35">
      <c r="A371" s="37"/>
      <c r="B371" s="37"/>
      <c r="C371" s="37"/>
      <c r="D371" s="37"/>
      <c r="E371" s="58" t="s">
        <v>68</v>
      </c>
      <c r="F371" s="37" t="s">
        <v>53</v>
      </c>
      <c r="G371" s="53">
        <v>14087743</v>
      </c>
      <c r="H371" s="37">
        <v>1.9</v>
      </c>
      <c r="I371" s="54">
        <v>1380000</v>
      </c>
      <c r="J371" s="54">
        <v>-1380000</v>
      </c>
      <c r="K371" s="54"/>
      <c r="L371" s="54">
        <f t="shared" si="168"/>
        <v>-1380000</v>
      </c>
      <c r="M371" s="54">
        <f t="shared" si="169"/>
        <v>0</v>
      </c>
      <c r="N371" s="70">
        <v>11.7</v>
      </c>
      <c r="O371" s="20"/>
    </row>
    <row r="372" spans="1:15" ht="99.95" customHeight="1" x14ac:dyDescent="0.35">
      <c r="A372" s="37"/>
      <c r="B372" s="37"/>
      <c r="C372" s="37"/>
      <c r="D372" s="37"/>
      <c r="E372" s="58" t="s">
        <v>372</v>
      </c>
      <c r="F372" s="37">
        <v>2020</v>
      </c>
      <c r="G372" s="53"/>
      <c r="H372" s="37"/>
      <c r="I372" s="54">
        <v>750000</v>
      </c>
      <c r="J372" s="54"/>
      <c r="K372" s="54"/>
      <c r="L372" s="54">
        <f t="shared" si="168"/>
        <v>0</v>
      </c>
      <c r="M372" s="54">
        <f t="shared" si="169"/>
        <v>750000</v>
      </c>
      <c r="N372" s="70"/>
      <c r="O372" s="20"/>
    </row>
    <row r="373" spans="1:15" s="9" customFormat="1" ht="51.95" customHeight="1" x14ac:dyDescent="0.35">
      <c r="A373" s="5"/>
      <c r="B373" s="5"/>
      <c r="C373" s="5"/>
      <c r="D373" s="5"/>
      <c r="E373" s="16" t="s">
        <v>28</v>
      </c>
      <c r="F373" s="5"/>
      <c r="G373" s="5"/>
      <c r="H373" s="5"/>
      <c r="I373" s="19">
        <f>I374+I375</f>
        <v>500000</v>
      </c>
      <c r="J373" s="19">
        <f t="shared" ref="J373:M373" si="170">J374+J375</f>
        <v>0</v>
      </c>
      <c r="K373" s="19">
        <f t="shared" si="170"/>
        <v>0</v>
      </c>
      <c r="L373" s="19">
        <f t="shared" si="170"/>
        <v>0</v>
      </c>
      <c r="M373" s="19">
        <f t="shared" si="170"/>
        <v>500000</v>
      </c>
      <c r="N373" s="7"/>
      <c r="O373" s="20"/>
    </row>
    <row r="374" spans="1:15" ht="78.95" customHeight="1" x14ac:dyDescent="0.35">
      <c r="A374" s="37"/>
      <c r="B374" s="37"/>
      <c r="C374" s="37"/>
      <c r="D374" s="37"/>
      <c r="E374" s="58" t="s">
        <v>24</v>
      </c>
      <c r="F374" s="37">
        <v>2020</v>
      </c>
      <c r="G374" s="53">
        <v>279601</v>
      </c>
      <c r="H374" s="37"/>
      <c r="I374" s="54">
        <v>279601</v>
      </c>
      <c r="J374" s="54"/>
      <c r="K374" s="54"/>
      <c r="L374" s="54">
        <f t="shared" ref="L374:L375" si="171">J374+K374</f>
        <v>0</v>
      </c>
      <c r="M374" s="54">
        <f t="shared" ref="M374:M375" si="172">I374+L374</f>
        <v>279601</v>
      </c>
      <c r="N374" s="70">
        <v>100</v>
      </c>
      <c r="O374" s="20"/>
    </row>
    <row r="375" spans="1:15" ht="63" customHeight="1" x14ac:dyDescent="0.35">
      <c r="A375" s="37"/>
      <c r="B375" s="37"/>
      <c r="C375" s="37"/>
      <c r="D375" s="37"/>
      <c r="E375" s="58" t="s">
        <v>474</v>
      </c>
      <c r="F375" s="37">
        <v>2020</v>
      </c>
      <c r="G375" s="53"/>
      <c r="H375" s="37"/>
      <c r="I375" s="54">
        <v>220399</v>
      </c>
      <c r="J375" s="54"/>
      <c r="K375" s="54"/>
      <c r="L375" s="54">
        <f t="shared" si="171"/>
        <v>0</v>
      </c>
      <c r="M375" s="54">
        <f t="shared" si="172"/>
        <v>220399</v>
      </c>
      <c r="N375" s="37"/>
      <c r="O375" s="20"/>
    </row>
    <row r="376" spans="1:15" s="9" customFormat="1" ht="51" customHeight="1" x14ac:dyDescent="0.35">
      <c r="A376" s="5"/>
      <c r="B376" s="5"/>
      <c r="C376" s="5"/>
      <c r="D376" s="5"/>
      <c r="E376" s="16" t="s">
        <v>29</v>
      </c>
      <c r="F376" s="5"/>
      <c r="G376" s="5"/>
      <c r="H376" s="5"/>
      <c r="I376" s="19">
        <f>SUM(I377:I382)</f>
        <v>5347882</v>
      </c>
      <c r="J376" s="19">
        <f>SUM(J377:J382)</f>
        <v>0</v>
      </c>
      <c r="K376" s="19">
        <f>SUM(K377:K382)</f>
        <v>0</v>
      </c>
      <c r="L376" s="19">
        <f>SUM(L377:L382)</f>
        <v>0</v>
      </c>
      <c r="M376" s="19">
        <f>SUM(M377:M382)</f>
        <v>5347882</v>
      </c>
      <c r="N376" s="5"/>
      <c r="O376" s="20"/>
    </row>
    <row r="377" spans="1:15" ht="51" customHeight="1" x14ac:dyDescent="0.35">
      <c r="A377" s="37"/>
      <c r="B377" s="37"/>
      <c r="C377" s="37"/>
      <c r="D377" s="78"/>
      <c r="E377" s="58" t="s">
        <v>65</v>
      </c>
      <c r="F377" s="37" t="s">
        <v>50</v>
      </c>
      <c r="G377" s="53">
        <v>2908994</v>
      </c>
      <c r="H377" s="37"/>
      <c r="I377" s="54">
        <f>1800000+1100000</f>
        <v>2900000</v>
      </c>
      <c r="J377" s="54"/>
      <c r="K377" s="54"/>
      <c r="L377" s="54">
        <f t="shared" ref="L377:L382" si="173">J377+K377</f>
        <v>0</v>
      </c>
      <c r="M377" s="54">
        <f t="shared" ref="M377:M382" si="174">I377+L377</f>
        <v>2900000</v>
      </c>
      <c r="N377" s="70">
        <v>100</v>
      </c>
      <c r="O377" s="20"/>
    </row>
    <row r="378" spans="1:15" ht="65.45" customHeight="1" x14ac:dyDescent="0.35">
      <c r="A378" s="37"/>
      <c r="B378" s="37"/>
      <c r="C378" s="37"/>
      <c r="D378" s="78"/>
      <c r="E378" s="58" t="s">
        <v>456</v>
      </c>
      <c r="F378" s="37" t="s">
        <v>67</v>
      </c>
      <c r="G378" s="53"/>
      <c r="H378" s="37"/>
      <c r="I378" s="54">
        <v>350000</v>
      </c>
      <c r="J378" s="54"/>
      <c r="K378" s="54"/>
      <c r="L378" s="54">
        <f t="shared" si="173"/>
        <v>0</v>
      </c>
      <c r="M378" s="54">
        <f t="shared" si="174"/>
        <v>350000</v>
      </c>
      <c r="N378" s="37"/>
      <c r="O378" s="20"/>
    </row>
    <row r="379" spans="1:15" ht="46.5" x14ac:dyDescent="0.35">
      <c r="A379" s="37"/>
      <c r="B379" s="37"/>
      <c r="C379" s="37"/>
      <c r="D379" s="37"/>
      <c r="E379" s="58" t="s">
        <v>487</v>
      </c>
      <c r="F379" s="37" t="s">
        <v>46</v>
      </c>
      <c r="G379" s="53">
        <v>12333420</v>
      </c>
      <c r="H379" s="37">
        <v>2.8</v>
      </c>
      <c r="I379" s="54">
        <f>1200000+8953612-10094730</f>
        <v>58882</v>
      </c>
      <c r="J379" s="54"/>
      <c r="K379" s="54"/>
      <c r="L379" s="54">
        <f t="shared" si="173"/>
        <v>0</v>
      </c>
      <c r="M379" s="54">
        <f t="shared" si="174"/>
        <v>58882</v>
      </c>
      <c r="N379" s="70">
        <v>3.3</v>
      </c>
      <c r="O379" s="20"/>
    </row>
    <row r="380" spans="1:15" ht="89.1" customHeight="1" x14ac:dyDescent="0.35">
      <c r="A380" s="37"/>
      <c r="B380" s="37"/>
      <c r="C380" s="37"/>
      <c r="D380" s="37"/>
      <c r="E380" s="58" t="s">
        <v>61</v>
      </c>
      <c r="F380" s="37" t="s">
        <v>46</v>
      </c>
      <c r="G380" s="53">
        <f>12627116</f>
        <v>12627116</v>
      </c>
      <c r="H380" s="37">
        <v>1.6</v>
      </c>
      <c r="I380" s="54">
        <f>20000+1000</f>
        <v>21000</v>
      </c>
      <c r="J380" s="54"/>
      <c r="K380" s="54"/>
      <c r="L380" s="54">
        <f t="shared" si="173"/>
        <v>0</v>
      </c>
      <c r="M380" s="54">
        <f t="shared" si="174"/>
        <v>21000</v>
      </c>
      <c r="N380" s="70">
        <v>1.8</v>
      </c>
      <c r="O380" s="20"/>
    </row>
    <row r="381" spans="1:15" ht="83.45" customHeight="1" x14ac:dyDescent="0.35">
      <c r="A381" s="37"/>
      <c r="B381" s="37"/>
      <c r="C381" s="37"/>
      <c r="D381" s="37"/>
      <c r="E381" s="58" t="s">
        <v>62</v>
      </c>
      <c r="F381" s="37" t="s">
        <v>66</v>
      </c>
      <c r="G381" s="53">
        <f>15888386</f>
        <v>15888386</v>
      </c>
      <c r="H381" s="37">
        <v>1.4</v>
      </c>
      <c r="I381" s="54">
        <f>20000+1000</f>
        <v>21000</v>
      </c>
      <c r="J381" s="54"/>
      <c r="K381" s="54"/>
      <c r="L381" s="54">
        <f t="shared" si="173"/>
        <v>0</v>
      </c>
      <c r="M381" s="54">
        <f t="shared" si="174"/>
        <v>21000</v>
      </c>
      <c r="N381" s="70">
        <v>1.6</v>
      </c>
      <c r="O381" s="20"/>
    </row>
    <row r="382" spans="1:15" ht="87" customHeight="1" x14ac:dyDescent="0.35">
      <c r="A382" s="37"/>
      <c r="B382" s="37"/>
      <c r="C382" s="37"/>
      <c r="D382" s="37"/>
      <c r="E382" s="58" t="s">
        <v>56</v>
      </c>
      <c r="F382" s="37" t="s">
        <v>40</v>
      </c>
      <c r="G382" s="53">
        <v>30447487</v>
      </c>
      <c r="H382" s="70">
        <v>88</v>
      </c>
      <c r="I382" s="54">
        <f>3000000-1000000-3000</f>
        <v>1997000</v>
      </c>
      <c r="J382" s="54"/>
      <c r="K382" s="54"/>
      <c r="L382" s="54">
        <f t="shared" si="173"/>
        <v>0</v>
      </c>
      <c r="M382" s="54">
        <f t="shared" si="174"/>
        <v>1997000</v>
      </c>
      <c r="N382" s="70">
        <v>95</v>
      </c>
      <c r="O382" s="20"/>
    </row>
    <row r="383" spans="1:15" ht="60.95" customHeight="1" x14ac:dyDescent="0.35">
      <c r="A383" s="13">
        <v>1217330</v>
      </c>
      <c r="B383" s="13">
        <v>7330</v>
      </c>
      <c r="C383" s="14" t="s">
        <v>2</v>
      </c>
      <c r="D383" s="94" t="s">
        <v>25</v>
      </c>
      <c r="E383" s="58"/>
      <c r="F383" s="37"/>
      <c r="G383" s="37"/>
      <c r="H383" s="37"/>
      <c r="I383" s="38">
        <f>I384+I388</f>
        <v>14190998.77</v>
      </c>
      <c r="J383" s="38">
        <f>J384+J388</f>
        <v>0</v>
      </c>
      <c r="K383" s="38">
        <f>K384+K388</f>
        <v>0</v>
      </c>
      <c r="L383" s="38">
        <f>L384+L388</f>
        <v>0</v>
      </c>
      <c r="M383" s="38">
        <f>M384+M388</f>
        <v>14190998.77</v>
      </c>
      <c r="N383" s="37"/>
      <c r="O383" s="20"/>
    </row>
    <row r="384" spans="1:15" s="9" customFormat="1" ht="59.1" customHeight="1" x14ac:dyDescent="0.35">
      <c r="A384" s="22"/>
      <c r="B384" s="22"/>
      <c r="C384" s="23"/>
      <c r="D384" s="95"/>
      <c r="E384" s="16" t="s">
        <v>26</v>
      </c>
      <c r="F384" s="5"/>
      <c r="G384" s="5"/>
      <c r="H384" s="5"/>
      <c r="I384" s="19">
        <f>SUM(I385:I387)</f>
        <v>1720998.77</v>
      </c>
      <c r="J384" s="19">
        <f>SUM(J385:J387)</f>
        <v>0</v>
      </c>
      <c r="K384" s="19">
        <f>SUM(K385:K387)</f>
        <v>0</v>
      </c>
      <c r="L384" s="19">
        <f>SUM(L385:L387)</f>
        <v>0</v>
      </c>
      <c r="M384" s="19">
        <f>SUM(M385:M387)</f>
        <v>1720998.77</v>
      </c>
      <c r="N384" s="5"/>
      <c r="O384" s="20"/>
    </row>
    <row r="385" spans="1:15" ht="45.95" customHeight="1" x14ac:dyDescent="0.35">
      <c r="A385" s="37"/>
      <c r="B385" s="37"/>
      <c r="C385" s="37"/>
      <c r="D385" s="37"/>
      <c r="E385" s="58" t="s">
        <v>69</v>
      </c>
      <c r="F385" s="37">
        <v>2020</v>
      </c>
      <c r="G385" s="37"/>
      <c r="H385" s="37"/>
      <c r="I385" s="54">
        <f>300000+170000</f>
        <v>470000</v>
      </c>
      <c r="J385" s="54"/>
      <c r="K385" s="54"/>
      <c r="L385" s="54">
        <f t="shared" ref="L385:L387" si="175">J385+K385</f>
        <v>0</v>
      </c>
      <c r="M385" s="54">
        <f t="shared" ref="M385:M387" si="176">I385+L385</f>
        <v>470000</v>
      </c>
      <c r="N385" s="37"/>
      <c r="O385" s="20"/>
    </row>
    <row r="386" spans="1:15" ht="54.95" customHeight="1" x14ac:dyDescent="0.35">
      <c r="A386" s="37"/>
      <c r="B386" s="37"/>
      <c r="C386" s="37"/>
      <c r="D386" s="78"/>
      <c r="E386" s="58" t="s">
        <v>75</v>
      </c>
      <c r="F386" s="37" t="s">
        <v>50</v>
      </c>
      <c r="G386" s="53">
        <v>739777</v>
      </c>
      <c r="H386" s="37">
        <v>34.4</v>
      </c>
      <c r="I386" s="54">
        <v>485438.6</v>
      </c>
      <c r="J386" s="54"/>
      <c r="K386" s="54"/>
      <c r="L386" s="54">
        <f t="shared" si="175"/>
        <v>0</v>
      </c>
      <c r="M386" s="54">
        <f t="shared" si="176"/>
        <v>485438.6</v>
      </c>
      <c r="N386" s="70">
        <v>100</v>
      </c>
      <c r="O386" s="20"/>
    </row>
    <row r="387" spans="1:15" ht="51" customHeight="1" x14ac:dyDescent="0.35">
      <c r="A387" s="37"/>
      <c r="B387" s="37"/>
      <c r="C387" s="37"/>
      <c r="D387" s="78"/>
      <c r="E387" s="58" t="s">
        <v>76</v>
      </c>
      <c r="F387" s="37" t="s">
        <v>40</v>
      </c>
      <c r="G387" s="53">
        <v>6157417</v>
      </c>
      <c r="H387" s="70">
        <v>11</v>
      </c>
      <c r="I387" s="54">
        <v>765560.17</v>
      </c>
      <c r="J387" s="54"/>
      <c r="K387" s="54"/>
      <c r="L387" s="54">
        <f t="shared" si="175"/>
        <v>0</v>
      </c>
      <c r="M387" s="54">
        <f t="shared" si="176"/>
        <v>765560.17</v>
      </c>
      <c r="N387" s="70">
        <v>22</v>
      </c>
      <c r="O387" s="20"/>
    </row>
    <row r="388" spans="1:15" s="9" customFormat="1" ht="50.1" customHeight="1" x14ac:dyDescent="0.35">
      <c r="A388" s="5"/>
      <c r="B388" s="5"/>
      <c r="C388" s="5"/>
      <c r="D388" s="5"/>
      <c r="E388" s="16" t="s">
        <v>27</v>
      </c>
      <c r="F388" s="5"/>
      <c r="G388" s="5"/>
      <c r="H388" s="5"/>
      <c r="I388" s="19">
        <f>SUM(I389:I391)</f>
        <v>12470000</v>
      </c>
      <c r="J388" s="19">
        <f t="shared" ref="J388:M388" si="177">SUM(J389:J391)</f>
        <v>0</v>
      </c>
      <c r="K388" s="19">
        <f t="shared" si="177"/>
        <v>0</v>
      </c>
      <c r="L388" s="19">
        <f t="shared" si="177"/>
        <v>0</v>
      </c>
      <c r="M388" s="19">
        <f t="shared" si="177"/>
        <v>12470000</v>
      </c>
      <c r="N388" s="5"/>
      <c r="O388" s="20"/>
    </row>
    <row r="389" spans="1:15" ht="44.45" customHeight="1" x14ac:dyDescent="0.35">
      <c r="A389" s="37"/>
      <c r="B389" s="37"/>
      <c r="C389" s="37"/>
      <c r="D389" s="37"/>
      <c r="E389" s="58" t="s">
        <v>45</v>
      </c>
      <c r="F389" s="37">
        <v>2020</v>
      </c>
      <c r="G389" s="37"/>
      <c r="H389" s="37"/>
      <c r="I389" s="54">
        <f>3177000+3000</f>
        <v>3180000</v>
      </c>
      <c r="J389" s="54"/>
      <c r="K389" s="54"/>
      <c r="L389" s="54">
        <f t="shared" ref="L389:L391" si="178">J389+K389</f>
        <v>0</v>
      </c>
      <c r="M389" s="54">
        <f t="shared" ref="M389:M391" si="179">I389+L389</f>
        <v>3180000</v>
      </c>
      <c r="N389" s="37"/>
      <c r="O389" s="20"/>
    </row>
    <row r="390" spans="1:15" ht="42.95" customHeight="1" x14ac:dyDescent="0.35">
      <c r="A390" s="37"/>
      <c r="B390" s="37"/>
      <c r="C390" s="37"/>
      <c r="D390" s="37"/>
      <c r="E390" s="58" t="s">
        <v>44</v>
      </c>
      <c r="F390" s="37">
        <v>2020</v>
      </c>
      <c r="G390" s="37"/>
      <c r="H390" s="37"/>
      <c r="I390" s="54">
        <f>5000000+4000000+700000-700000-4000000+4000000</f>
        <v>9000000</v>
      </c>
      <c r="J390" s="54"/>
      <c r="K390" s="54"/>
      <c r="L390" s="54">
        <f t="shared" si="178"/>
        <v>0</v>
      </c>
      <c r="M390" s="54">
        <f t="shared" si="179"/>
        <v>9000000</v>
      </c>
      <c r="N390" s="37"/>
      <c r="O390" s="20"/>
    </row>
    <row r="391" spans="1:15" ht="45" customHeight="1" x14ac:dyDescent="0.35">
      <c r="A391" s="37"/>
      <c r="B391" s="37"/>
      <c r="C391" s="37"/>
      <c r="D391" s="37"/>
      <c r="E391" s="58" t="s">
        <v>70</v>
      </c>
      <c r="F391" s="37" t="s">
        <v>67</v>
      </c>
      <c r="G391" s="37"/>
      <c r="H391" s="37"/>
      <c r="I391" s="54">
        <f>250000+40000</f>
        <v>290000</v>
      </c>
      <c r="J391" s="54"/>
      <c r="K391" s="54"/>
      <c r="L391" s="54">
        <f t="shared" si="178"/>
        <v>0</v>
      </c>
      <c r="M391" s="54">
        <f t="shared" si="179"/>
        <v>290000</v>
      </c>
      <c r="N391" s="37"/>
      <c r="O391" s="20"/>
    </row>
    <row r="392" spans="1:15" ht="51.95" customHeight="1" x14ac:dyDescent="0.35">
      <c r="A392" s="13">
        <v>1217340</v>
      </c>
      <c r="B392" s="13">
        <v>7340</v>
      </c>
      <c r="C392" s="14" t="s">
        <v>2</v>
      </c>
      <c r="D392" s="15" t="s">
        <v>5</v>
      </c>
      <c r="E392" s="58"/>
      <c r="F392" s="37"/>
      <c r="G392" s="37"/>
      <c r="H392" s="37"/>
      <c r="I392" s="38">
        <f>SUM(I393:I393)</f>
        <v>3000000</v>
      </c>
      <c r="J392" s="38">
        <f t="shared" ref="J392:M392" si="180">SUM(J393:J393)</f>
        <v>0</v>
      </c>
      <c r="K392" s="38">
        <f t="shared" si="180"/>
        <v>0</v>
      </c>
      <c r="L392" s="38">
        <f t="shared" si="180"/>
        <v>0</v>
      </c>
      <c r="M392" s="38">
        <f t="shared" si="180"/>
        <v>3000000</v>
      </c>
      <c r="N392" s="37"/>
      <c r="O392" s="20"/>
    </row>
    <row r="393" spans="1:15" ht="63" customHeight="1" x14ac:dyDescent="0.35">
      <c r="A393" s="37"/>
      <c r="B393" s="37"/>
      <c r="C393" s="37"/>
      <c r="D393" s="37"/>
      <c r="E393" s="58" t="s">
        <v>30</v>
      </c>
      <c r="F393" s="37" t="s">
        <v>46</v>
      </c>
      <c r="G393" s="96">
        <v>13234370</v>
      </c>
      <c r="H393" s="70">
        <v>3</v>
      </c>
      <c r="I393" s="54">
        <v>3000000</v>
      </c>
      <c r="J393" s="54"/>
      <c r="K393" s="54"/>
      <c r="L393" s="54">
        <f t="shared" ref="L393" si="181">J393+K393</f>
        <v>0</v>
      </c>
      <c r="M393" s="54">
        <f t="shared" ref="M393" si="182">I393+L393</f>
        <v>3000000</v>
      </c>
      <c r="N393" s="70">
        <v>24.5</v>
      </c>
      <c r="O393" s="20"/>
    </row>
    <row r="394" spans="1:15" ht="111" customHeight="1" x14ac:dyDescent="0.35">
      <c r="A394" s="13">
        <v>1217361</v>
      </c>
      <c r="B394" s="13">
        <v>7361</v>
      </c>
      <c r="C394" s="14" t="s">
        <v>100</v>
      </c>
      <c r="D394" s="15" t="s">
        <v>599</v>
      </c>
      <c r="E394" s="16" t="s">
        <v>26</v>
      </c>
      <c r="F394" s="37"/>
      <c r="G394" s="37"/>
      <c r="H394" s="37"/>
      <c r="I394" s="38">
        <f>I395</f>
        <v>0</v>
      </c>
      <c r="J394" s="38">
        <f t="shared" ref="J394:M394" si="183">J395</f>
        <v>1386113</v>
      </c>
      <c r="K394" s="38">
        <f t="shared" si="183"/>
        <v>0</v>
      </c>
      <c r="L394" s="38">
        <f t="shared" si="183"/>
        <v>1386113</v>
      </c>
      <c r="M394" s="38">
        <f t="shared" si="183"/>
        <v>1386113</v>
      </c>
      <c r="N394" s="37"/>
      <c r="O394" s="20"/>
    </row>
    <row r="395" spans="1:15" ht="90.6" customHeight="1" x14ac:dyDescent="0.35">
      <c r="A395" s="37"/>
      <c r="B395" s="37"/>
      <c r="C395" s="37"/>
      <c r="D395" s="37"/>
      <c r="E395" s="58" t="s">
        <v>68</v>
      </c>
      <c r="F395" s="37" t="s">
        <v>53</v>
      </c>
      <c r="G395" s="53">
        <v>14087743</v>
      </c>
      <c r="H395" s="37">
        <v>1.9</v>
      </c>
      <c r="I395" s="54"/>
      <c r="J395" s="54">
        <v>1386113</v>
      </c>
      <c r="K395" s="54"/>
      <c r="L395" s="54">
        <f t="shared" ref="L395" si="184">J395+K395</f>
        <v>1386113</v>
      </c>
      <c r="M395" s="54">
        <f t="shared" ref="M395" si="185">I395+L395</f>
        <v>1386113</v>
      </c>
      <c r="N395" s="70">
        <v>11.8</v>
      </c>
      <c r="O395" s="20"/>
    </row>
    <row r="396" spans="1:15" s="21" customFormat="1" ht="84" customHeight="1" x14ac:dyDescent="0.35">
      <c r="A396" s="13">
        <v>1217362</v>
      </c>
      <c r="B396" s="13">
        <v>7362</v>
      </c>
      <c r="C396" s="14" t="s">
        <v>100</v>
      </c>
      <c r="D396" s="15" t="s">
        <v>168</v>
      </c>
      <c r="E396" s="16"/>
      <c r="F396" s="13"/>
      <c r="G396" s="17"/>
      <c r="H396" s="18"/>
      <c r="I396" s="38">
        <f>I397+I399</f>
        <v>75600</v>
      </c>
      <c r="J396" s="38">
        <f t="shared" ref="J396:M396" si="186">J397+J399</f>
        <v>0</v>
      </c>
      <c r="K396" s="38">
        <f t="shared" si="186"/>
        <v>0</v>
      </c>
      <c r="L396" s="38">
        <f t="shared" si="186"/>
        <v>0</v>
      </c>
      <c r="M396" s="38">
        <f t="shared" si="186"/>
        <v>75600</v>
      </c>
      <c r="N396" s="18"/>
      <c r="O396" s="20"/>
    </row>
    <row r="397" spans="1:15" ht="42.95" customHeight="1" x14ac:dyDescent="0.35">
      <c r="A397" s="37"/>
      <c r="B397" s="37"/>
      <c r="C397" s="57"/>
      <c r="D397" s="58"/>
      <c r="E397" s="16" t="s">
        <v>26</v>
      </c>
      <c r="F397" s="37"/>
      <c r="G397" s="96"/>
      <c r="H397" s="70"/>
      <c r="I397" s="19">
        <f>I398</f>
        <v>72000</v>
      </c>
      <c r="J397" s="19">
        <f t="shared" ref="J397:M397" si="187">J398</f>
        <v>0</v>
      </c>
      <c r="K397" s="19">
        <f t="shared" si="187"/>
        <v>0</v>
      </c>
      <c r="L397" s="19">
        <f t="shared" si="187"/>
        <v>0</v>
      </c>
      <c r="M397" s="19">
        <f t="shared" si="187"/>
        <v>72000</v>
      </c>
      <c r="N397" s="70"/>
      <c r="O397" s="20"/>
    </row>
    <row r="398" spans="1:15" ht="63.95" customHeight="1" x14ac:dyDescent="0.35">
      <c r="A398" s="37"/>
      <c r="B398" s="37"/>
      <c r="C398" s="57"/>
      <c r="D398" s="58"/>
      <c r="E398" s="58" t="s">
        <v>318</v>
      </c>
      <c r="F398" s="37" t="s">
        <v>67</v>
      </c>
      <c r="G398" s="96">
        <v>1800000</v>
      </c>
      <c r="H398" s="70"/>
      <c r="I398" s="54">
        <v>72000</v>
      </c>
      <c r="J398" s="54"/>
      <c r="K398" s="54"/>
      <c r="L398" s="54">
        <f t="shared" ref="L398" si="188">J398+K398</f>
        <v>0</v>
      </c>
      <c r="M398" s="54">
        <f t="shared" ref="M398" si="189">I398+L398</f>
        <v>72000</v>
      </c>
      <c r="N398" s="70">
        <v>4</v>
      </c>
      <c r="O398" s="20"/>
    </row>
    <row r="399" spans="1:15" s="21" customFormat="1" ht="45" customHeight="1" x14ac:dyDescent="0.35">
      <c r="A399" s="13"/>
      <c r="B399" s="13"/>
      <c r="C399" s="14"/>
      <c r="D399" s="15"/>
      <c r="E399" s="16" t="s">
        <v>179</v>
      </c>
      <c r="F399" s="13"/>
      <c r="G399" s="17"/>
      <c r="H399" s="18"/>
      <c r="I399" s="19">
        <f>I400</f>
        <v>3600</v>
      </c>
      <c r="J399" s="19">
        <f t="shared" ref="J399:M399" si="190">J400</f>
        <v>0</v>
      </c>
      <c r="K399" s="19">
        <f t="shared" si="190"/>
        <v>0</v>
      </c>
      <c r="L399" s="19">
        <f t="shared" si="190"/>
        <v>0</v>
      </c>
      <c r="M399" s="19">
        <f t="shared" si="190"/>
        <v>3600</v>
      </c>
      <c r="N399" s="18"/>
      <c r="O399" s="20"/>
    </row>
    <row r="400" spans="1:15" ht="84" hidden="1" customHeight="1" x14ac:dyDescent="0.35">
      <c r="A400" s="37"/>
      <c r="B400" s="37"/>
      <c r="C400" s="57"/>
      <c r="D400" s="58"/>
      <c r="E400" s="58" t="s">
        <v>317</v>
      </c>
      <c r="F400" s="37" t="s">
        <v>67</v>
      </c>
      <c r="G400" s="96">
        <v>150000</v>
      </c>
      <c r="H400" s="70"/>
      <c r="I400" s="54">
        <v>3600</v>
      </c>
      <c r="J400" s="54"/>
      <c r="K400" s="54"/>
      <c r="L400" s="54">
        <f t="shared" ref="L400" si="191">J400+K400</f>
        <v>0</v>
      </c>
      <c r="M400" s="54">
        <f t="shared" ref="M400" si="192">I400+L400</f>
        <v>3600</v>
      </c>
      <c r="N400" s="70">
        <v>2.4</v>
      </c>
      <c r="O400" s="20"/>
    </row>
    <row r="401" spans="1:15" s="21" customFormat="1" ht="102.6" customHeight="1" x14ac:dyDescent="0.35">
      <c r="A401" s="13">
        <v>1217363</v>
      </c>
      <c r="B401" s="13">
        <v>7363</v>
      </c>
      <c r="C401" s="14" t="s">
        <v>100</v>
      </c>
      <c r="D401" s="15" t="s">
        <v>249</v>
      </c>
      <c r="E401" s="15"/>
      <c r="F401" s="13"/>
      <c r="G401" s="17"/>
      <c r="H401" s="18"/>
      <c r="I401" s="38">
        <f>I403+I412</f>
        <v>956186.69</v>
      </c>
      <c r="J401" s="38">
        <f t="shared" ref="J401:M401" si="193">J403+J412</f>
        <v>0</v>
      </c>
      <c r="K401" s="38">
        <f t="shared" si="193"/>
        <v>0</v>
      </c>
      <c r="L401" s="38">
        <f t="shared" si="193"/>
        <v>0</v>
      </c>
      <c r="M401" s="38">
        <f t="shared" si="193"/>
        <v>956186.69</v>
      </c>
      <c r="N401" s="18"/>
      <c r="O401" s="20"/>
    </row>
    <row r="402" spans="1:15" s="9" customFormat="1" ht="41.1" customHeight="1" x14ac:dyDescent="0.35">
      <c r="A402" s="5"/>
      <c r="B402" s="5"/>
      <c r="C402" s="10"/>
      <c r="D402" s="6" t="s">
        <v>105</v>
      </c>
      <c r="E402" s="6"/>
      <c r="F402" s="5"/>
      <c r="G402" s="11"/>
      <c r="H402" s="12"/>
      <c r="I402" s="7">
        <f>I404+I413</f>
        <v>937420.38</v>
      </c>
      <c r="J402" s="7">
        <f t="shared" ref="J402:M402" si="194">J404+J413</f>
        <v>0</v>
      </c>
      <c r="K402" s="7">
        <f t="shared" si="194"/>
        <v>0</v>
      </c>
      <c r="L402" s="7">
        <f t="shared" si="194"/>
        <v>0</v>
      </c>
      <c r="M402" s="7">
        <f t="shared" si="194"/>
        <v>937420.38</v>
      </c>
      <c r="N402" s="12"/>
      <c r="O402" s="8"/>
    </row>
    <row r="403" spans="1:15" s="21" customFormat="1" ht="42.95" customHeight="1" x14ac:dyDescent="0.35">
      <c r="A403" s="13"/>
      <c r="B403" s="13"/>
      <c r="C403" s="14"/>
      <c r="D403" s="15"/>
      <c r="E403" s="16" t="s">
        <v>183</v>
      </c>
      <c r="F403" s="13"/>
      <c r="G403" s="17"/>
      <c r="H403" s="18"/>
      <c r="I403" s="19">
        <f>I405+I406+I407+I408+I409+I410</f>
        <v>153402.93</v>
      </c>
      <c r="J403" s="19">
        <f t="shared" ref="J403:M403" si="195">J405+J406+J407+J408+J409+J410</f>
        <v>0</v>
      </c>
      <c r="K403" s="19">
        <f t="shared" si="195"/>
        <v>0</v>
      </c>
      <c r="L403" s="19">
        <f t="shared" si="195"/>
        <v>0</v>
      </c>
      <c r="M403" s="19">
        <f t="shared" si="195"/>
        <v>153402.93</v>
      </c>
      <c r="N403" s="18"/>
      <c r="O403" s="20"/>
    </row>
    <row r="404" spans="1:15" ht="36" customHeight="1" x14ac:dyDescent="0.35">
      <c r="A404" s="37"/>
      <c r="B404" s="37"/>
      <c r="C404" s="57"/>
      <c r="D404" s="58"/>
      <c r="E404" s="6" t="s">
        <v>105</v>
      </c>
      <c r="F404" s="37"/>
      <c r="G404" s="96"/>
      <c r="H404" s="70"/>
      <c r="I404" s="7">
        <f>I405+I406+I407+I408+I409+I411</f>
        <v>152636.62</v>
      </c>
      <c r="J404" s="7">
        <f t="shared" ref="J404:M404" si="196">J405+J406+J407+J408+J409+J411</f>
        <v>0</v>
      </c>
      <c r="K404" s="7">
        <f t="shared" si="196"/>
        <v>0</v>
      </c>
      <c r="L404" s="7">
        <f t="shared" si="196"/>
        <v>0</v>
      </c>
      <c r="M404" s="7">
        <f t="shared" si="196"/>
        <v>152636.62</v>
      </c>
      <c r="N404" s="70"/>
      <c r="O404" s="20"/>
    </row>
    <row r="405" spans="1:15" s="21" customFormat="1" ht="72.599999999999994" hidden="1" customHeight="1" x14ac:dyDescent="0.35">
      <c r="A405" s="13"/>
      <c r="B405" s="13"/>
      <c r="C405" s="14"/>
      <c r="D405" s="15"/>
      <c r="E405" s="58" t="s">
        <v>495</v>
      </c>
      <c r="F405" s="37" t="s">
        <v>50</v>
      </c>
      <c r="G405" s="96">
        <v>300000</v>
      </c>
      <c r="H405" s="70">
        <v>94.6</v>
      </c>
      <c r="I405" s="54">
        <v>16232.01</v>
      </c>
      <c r="J405" s="54"/>
      <c r="K405" s="54"/>
      <c r="L405" s="54">
        <f t="shared" ref="L405:L410" si="197">J405+K405</f>
        <v>0</v>
      </c>
      <c r="M405" s="54">
        <f t="shared" ref="M405:M410" si="198">I405+L405</f>
        <v>16232.01</v>
      </c>
      <c r="N405" s="97">
        <v>100</v>
      </c>
      <c r="O405" s="20"/>
    </row>
    <row r="406" spans="1:15" s="21" customFormat="1" ht="70.5" hidden="1" customHeight="1" x14ac:dyDescent="0.35">
      <c r="A406" s="13"/>
      <c r="B406" s="13"/>
      <c r="C406" s="14"/>
      <c r="D406" s="15"/>
      <c r="E406" s="58" t="s">
        <v>497</v>
      </c>
      <c r="F406" s="37" t="s">
        <v>50</v>
      </c>
      <c r="G406" s="96">
        <v>1450000</v>
      </c>
      <c r="H406" s="70">
        <v>97.8</v>
      </c>
      <c r="I406" s="54">
        <v>32027.54</v>
      </c>
      <c r="J406" s="54"/>
      <c r="K406" s="54"/>
      <c r="L406" s="54">
        <f t="shared" si="197"/>
        <v>0</v>
      </c>
      <c r="M406" s="54">
        <f t="shared" si="198"/>
        <v>32027.54</v>
      </c>
      <c r="N406" s="97">
        <v>100</v>
      </c>
      <c r="O406" s="20"/>
    </row>
    <row r="407" spans="1:15" s="21" customFormat="1" ht="63.95" hidden="1" customHeight="1" x14ac:dyDescent="0.35">
      <c r="A407" s="13"/>
      <c r="B407" s="13"/>
      <c r="C407" s="14"/>
      <c r="D407" s="15"/>
      <c r="E407" s="58" t="s">
        <v>498</v>
      </c>
      <c r="F407" s="37" t="s">
        <v>50</v>
      </c>
      <c r="G407" s="96">
        <v>180000</v>
      </c>
      <c r="H407" s="70">
        <v>85</v>
      </c>
      <c r="I407" s="54">
        <v>27003.66</v>
      </c>
      <c r="J407" s="54"/>
      <c r="K407" s="54"/>
      <c r="L407" s="54">
        <f t="shared" si="197"/>
        <v>0</v>
      </c>
      <c r="M407" s="54">
        <f t="shared" si="198"/>
        <v>27003.66</v>
      </c>
      <c r="N407" s="97">
        <v>100</v>
      </c>
      <c r="O407" s="20"/>
    </row>
    <row r="408" spans="1:15" s="21" customFormat="1" ht="75.599999999999994" hidden="1" customHeight="1" x14ac:dyDescent="0.35">
      <c r="A408" s="13"/>
      <c r="B408" s="13"/>
      <c r="C408" s="14"/>
      <c r="D408" s="15"/>
      <c r="E408" s="58" t="s">
        <v>499</v>
      </c>
      <c r="F408" s="37" t="s">
        <v>50</v>
      </c>
      <c r="G408" s="96">
        <v>374000</v>
      </c>
      <c r="H408" s="70">
        <v>94.2</v>
      </c>
      <c r="I408" s="54">
        <v>21615.88</v>
      </c>
      <c r="J408" s="54"/>
      <c r="K408" s="54"/>
      <c r="L408" s="54">
        <f t="shared" si="197"/>
        <v>0</v>
      </c>
      <c r="M408" s="54">
        <f t="shared" si="198"/>
        <v>21615.88</v>
      </c>
      <c r="N408" s="97">
        <v>100</v>
      </c>
      <c r="O408" s="20"/>
    </row>
    <row r="409" spans="1:15" s="21" customFormat="1" ht="84.6" hidden="1" customHeight="1" x14ac:dyDescent="0.35">
      <c r="A409" s="13"/>
      <c r="B409" s="13"/>
      <c r="C409" s="14"/>
      <c r="D409" s="15"/>
      <c r="E409" s="58" t="s">
        <v>500</v>
      </c>
      <c r="F409" s="37" t="s">
        <v>50</v>
      </c>
      <c r="G409" s="96">
        <v>250000</v>
      </c>
      <c r="H409" s="70">
        <v>87.5</v>
      </c>
      <c r="I409" s="54">
        <v>31157.67</v>
      </c>
      <c r="J409" s="54"/>
      <c r="K409" s="54"/>
      <c r="L409" s="54">
        <f t="shared" si="197"/>
        <v>0</v>
      </c>
      <c r="M409" s="54">
        <f t="shared" si="198"/>
        <v>31157.67</v>
      </c>
      <c r="N409" s="97">
        <v>100</v>
      </c>
      <c r="O409" s="20"/>
    </row>
    <row r="410" spans="1:15" s="21" customFormat="1" ht="81" hidden="1" customHeight="1" x14ac:dyDescent="0.35">
      <c r="A410" s="13"/>
      <c r="B410" s="13"/>
      <c r="C410" s="14"/>
      <c r="D410" s="15"/>
      <c r="E410" s="58" t="s">
        <v>501</v>
      </c>
      <c r="F410" s="37" t="s">
        <v>40</v>
      </c>
      <c r="G410" s="96">
        <v>182310</v>
      </c>
      <c r="H410" s="70">
        <v>86.1</v>
      </c>
      <c r="I410" s="54">
        <v>25366.17</v>
      </c>
      <c r="J410" s="54"/>
      <c r="K410" s="54"/>
      <c r="L410" s="54">
        <f t="shared" si="197"/>
        <v>0</v>
      </c>
      <c r="M410" s="54">
        <f t="shared" si="198"/>
        <v>25366.17</v>
      </c>
      <c r="N410" s="97">
        <v>100</v>
      </c>
      <c r="O410" s="20"/>
    </row>
    <row r="411" spans="1:15" s="26" customFormat="1" ht="24.6" hidden="1" customHeight="1" x14ac:dyDescent="0.35">
      <c r="A411" s="22"/>
      <c r="B411" s="22"/>
      <c r="C411" s="23"/>
      <c r="D411" s="16"/>
      <c r="E411" s="6" t="s">
        <v>105</v>
      </c>
      <c r="F411" s="5"/>
      <c r="G411" s="11"/>
      <c r="H411" s="12"/>
      <c r="I411" s="7">
        <v>24599.86</v>
      </c>
      <c r="J411" s="7"/>
      <c r="K411" s="7"/>
      <c r="L411" s="7">
        <f>J411+K411</f>
        <v>0</v>
      </c>
      <c r="M411" s="7">
        <f>I411+L411</f>
        <v>24599.86</v>
      </c>
      <c r="N411" s="12"/>
      <c r="O411" s="8"/>
    </row>
    <row r="412" spans="1:15" s="21" customFormat="1" ht="34.5" customHeight="1" x14ac:dyDescent="0.35">
      <c r="A412" s="13"/>
      <c r="B412" s="13"/>
      <c r="C412" s="14"/>
      <c r="D412" s="15"/>
      <c r="E412" s="16" t="s">
        <v>179</v>
      </c>
      <c r="F412" s="13"/>
      <c r="G412" s="17"/>
      <c r="H412" s="18"/>
      <c r="I412" s="19">
        <f>I414+I415+I416+I417+I418</f>
        <v>802783.76</v>
      </c>
      <c r="J412" s="19">
        <f t="shared" ref="J412:M412" si="199">J414+J415+J416+J417+J418</f>
        <v>0</v>
      </c>
      <c r="K412" s="19">
        <f t="shared" si="199"/>
        <v>0</v>
      </c>
      <c r="L412" s="19">
        <f t="shared" si="199"/>
        <v>0</v>
      </c>
      <c r="M412" s="19">
        <f t="shared" si="199"/>
        <v>802783.76</v>
      </c>
      <c r="N412" s="18"/>
      <c r="O412" s="20"/>
    </row>
    <row r="413" spans="1:15" ht="34.5" customHeight="1" x14ac:dyDescent="0.35">
      <c r="A413" s="37"/>
      <c r="B413" s="37"/>
      <c r="C413" s="57"/>
      <c r="D413" s="58"/>
      <c r="E413" s="6" t="s">
        <v>105</v>
      </c>
      <c r="F413" s="37"/>
      <c r="G413" s="96"/>
      <c r="H413" s="70"/>
      <c r="I413" s="7">
        <f>I414+I415+I416+I417+I419</f>
        <v>784783.76</v>
      </c>
      <c r="J413" s="7">
        <f t="shared" ref="J413:M413" si="200">J414+J415+J416+J417+J419</f>
        <v>0</v>
      </c>
      <c r="K413" s="7">
        <f t="shared" si="200"/>
        <v>0</v>
      </c>
      <c r="L413" s="7">
        <f t="shared" si="200"/>
        <v>0</v>
      </c>
      <c r="M413" s="7">
        <f t="shared" si="200"/>
        <v>784783.76</v>
      </c>
      <c r="N413" s="70"/>
      <c r="O413" s="20"/>
    </row>
    <row r="414" spans="1:15" s="21" customFormat="1" ht="69" hidden="1" customHeight="1" x14ac:dyDescent="0.35">
      <c r="A414" s="13"/>
      <c r="B414" s="13"/>
      <c r="C414" s="14"/>
      <c r="D414" s="15"/>
      <c r="E414" s="58" t="s">
        <v>493</v>
      </c>
      <c r="F414" s="37">
        <v>2020</v>
      </c>
      <c r="G414" s="96">
        <v>336000</v>
      </c>
      <c r="H414" s="70"/>
      <c r="I414" s="54">
        <v>336000</v>
      </c>
      <c r="J414" s="54"/>
      <c r="K414" s="54"/>
      <c r="L414" s="54">
        <f t="shared" ref="L414:L418" si="201">J414+K414</f>
        <v>0</v>
      </c>
      <c r="M414" s="54">
        <f t="shared" ref="M414:M418" si="202">I414+L414</f>
        <v>336000</v>
      </c>
      <c r="N414" s="97">
        <v>100</v>
      </c>
      <c r="O414" s="20"/>
    </row>
    <row r="415" spans="1:15" s="21" customFormat="1" ht="74.099999999999994" hidden="1" customHeight="1" x14ac:dyDescent="0.35">
      <c r="A415" s="13"/>
      <c r="B415" s="13"/>
      <c r="C415" s="14"/>
      <c r="D415" s="15"/>
      <c r="E415" s="58" t="s">
        <v>494</v>
      </c>
      <c r="F415" s="37">
        <v>2020</v>
      </c>
      <c r="G415" s="96">
        <v>300000</v>
      </c>
      <c r="H415" s="70"/>
      <c r="I415" s="54">
        <v>300000</v>
      </c>
      <c r="J415" s="54"/>
      <c r="K415" s="54"/>
      <c r="L415" s="54">
        <f t="shared" si="201"/>
        <v>0</v>
      </c>
      <c r="M415" s="54">
        <f t="shared" si="202"/>
        <v>300000</v>
      </c>
      <c r="N415" s="97">
        <v>100</v>
      </c>
      <c r="O415" s="20"/>
    </row>
    <row r="416" spans="1:15" s="21" customFormat="1" ht="46.5" hidden="1" x14ac:dyDescent="0.35">
      <c r="A416" s="13"/>
      <c r="B416" s="13"/>
      <c r="C416" s="14"/>
      <c r="D416" s="15"/>
      <c r="E416" s="58" t="s">
        <v>496</v>
      </c>
      <c r="F416" s="37" t="s">
        <v>50</v>
      </c>
      <c r="G416" s="96">
        <v>1403000</v>
      </c>
      <c r="H416" s="70">
        <v>93.2</v>
      </c>
      <c r="I416" s="54">
        <v>95919.71</v>
      </c>
      <c r="J416" s="54"/>
      <c r="K416" s="54"/>
      <c r="L416" s="54">
        <f t="shared" si="201"/>
        <v>0</v>
      </c>
      <c r="M416" s="54">
        <f t="shared" si="202"/>
        <v>95919.71</v>
      </c>
      <c r="N416" s="97">
        <v>100</v>
      </c>
      <c r="O416" s="20"/>
    </row>
    <row r="417" spans="1:15" s="21" customFormat="1" ht="66.599999999999994" hidden="1" customHeight="1" x14ac:dyDescent="0.35">
      <c r="A417" s="13"/>
      <c r="B417" s="13"/>
      <c r="C417" s="14"/>
      <c r="D417" s="15"/>
      <c r="E417" s="58" t="s">
        <v>503</v>
      </c>
      <c r="F417" s="37" t="s">
        <v>50</v>
      </c>
      <c r="G417" s="96">
        <v>618000</v>
      </c>
      <c r="H417" s="70">
        <v>96.8</v>
      </c>
      <c r="I417" s="54">
        <v>19692.8</v>
      </c>
      <c r="J417" s="54"/>
      <c r="K417" s="54"/>
      <c r="L417" s="54">
        <f t="shared" si="201"/>
        <v>0</v>
      </c>
      <c r="M417" s="54">
        <f t="shared" si="202"/>
        <v>19692.8</v>
      </c>
      <c r="N417" s="97">
        <v>100</v>
      </c>
      <c r="O417" s="20"/>
    </row>
    <row r="418" spans="1:15" s="21" customFormat="1" ht="70.5" hidden="1" customHeight="1" x14ac:dyDescent="0.35">
      <c r="A418" s="13"/>
      <c r="B418" s="13"/>
      <c r="C418" s="14"/>
      <c r="D418" s="15"/>
      <c r="E418" s="58" t="s">
        <v>502</v>
      </c>
      <c r="F418" s="37" t="s">
        <v>40</v>
      </c>
      <c r="G418" s="96">
        <v>618000</v>
      </c>
      <c r="H418" s="70">
        <v>91.7</v>
      </c>
      <c r="I418" s="54">
        <v>51171.25</v>
      </c>
      <c r="J418" s="54"/>
      <c r="K418" s="54"/>
      <c r="L418" s="54">
        <f t="shared" si="201"/>
        <v>0</v>
      </c>
      <c r="M418" s="54">
        <f t="shared" si="202"/>
        <v>51171.25</v>
      </c>
      <c r="N418" s="97">
        <v>100</v>
      </c>
      <c r="O418" s="20"/>
    </row>
    <row r="419" spans="1:15" s="26" customFormat="1" ht="42.75" hidden="1" customHeight="1" x14ac:dyDescent="0.35">
      <c r="A419" s="22"/>
      <c r="B419" s="22"/>
      <c r="C419" s="23"/>
      <c r="D419" s="16"/>
      <c r="E419" s="6" t="s">
        <v>105</v>
      </c>
      <c r="F419" s="22"/>
      <c r="G419" s="24"/>
      <c r="H419" s="25"/>
      <c r="I419" s="7">
        <v>33171.25</v>
      </c>
      <c r="J419" s="19"/>
      <c r="K419" s="7"/>
      <c r="L419" s="7">
        <f>J419+K419</f>
        <v>0</v>
      </c>
      <c r="M419" s="7">
        <f>I419+L419</f>
        <v>33171.25</v>
      </c>
      <c r="N419" s="25"/>
      <c r="O419" s="8"/>
    </row>
    <row r="420" spans="1:15" s="21" customFormat="1" ht="51.95" customHeight="1" x14ac:dyDescent="0.35">
      <c r="A420" s="13">
        <v>1217670</v>
      </c>
      <c r="B420" s="13">
        <v>7670</v>
      </c>
      <c r="C420" s="14" t="s">
        <v>100</v>
      </c>
      <c r="D420" s="15" t="s">
        <v>101</v>
      </c>
      <c r="E420" s="58" t="s">
        <v>319</v>
      </c>
      <c r="F420" s="13"/>
      <c r="G420" s="17"/>
      <c r="H420" s="18"/>
      <c r="I420" s="38">
        <v>17042330</v>
      </c>
      <c r="J420" s="38"/>
      <c r="K420" s="38"/>
      <c r="L420" s="38">
        <f>K420+J420</f>
        <v>0</v>
      </c>
      <c r="M420" s="38">
        <f>I420+L420</f>
        <v>17042330</v>
      </c>
      <c r="N420" s="18"/>
      <c r="O420" s="20"/>
    </row>
    <row r="421" spans="1:15" s="21" customFormat="1" ht="59.45" customHeight="1" x14ac:dyDescent="0.35">
      <c r="A421" s="13">
        <v>1219770</v>
      </c>
      <c r="B421" s="13">
        <v>9770</v>
      </c>
      <c r="C421" s="14" t="s">
        <v>169</v>
      </c>
      <c r="D421" s="15" t="s">
        <v>170</v>
      </c>
      <c r="E421" s="16" t="s">
        <v>185</v>
      </c>
      <c r="F421" s="13"/>
      <c r="G421" s="17"/>
      <c r="H421" s="18"/>
      <c r="I421" s="38">
        <v>7632000</v>
      </c>
      <c r="J421" s="38"/>
      <c r="K421" s="38"/>
      <c r="L421" s="38">
        <f>K421+J421</f>
        <v>0</v>
      </c>
      <c r="M421" s="38">
        <f>I421+L421</f>
        <v>7632000</v>
      </c>
      <c r="N421" s="18"/>
      <c r="O421" s="20"/>
    </row>
    <row r="422" spans="1:15" ht="68.45" hidden="1" customHeight="1" x14ac:dyDescent="0.35">
      <c r="A422" s="67" t="s">
        <v>171</v>
      </c>
      <c r="B422" s="76"/>
      <c r="C422" s="76"/>
      <c r="D422" s="71" t="s">
        <v>172</v>
      </c>
      <c r="E422" s="58"/>
      <c r="F422" s="37"/>
      <c r="G422" s="96"/>
      <c r="H422" s="70"/>
      <c r="I422" s="38">
        <f t="shared" ref="I422:M423" si="203">I423</f>
        <v>160000</v>
      </c>
      <c r="J422" s="38">
        <f t="shared" si="203"/>
        <v>0</v>
      </c>
      <c r="K422" s="38">
        <f t="shared" si="203"/>
        <v>0</v>
      </c>
      <c r="L422" s="38">
        <f t="shared" si="203"/>
        <v>0</v>
      </c>
      <c r="M422" s="38">
        <f t="shared" si="203"/>
        <v>160000</v>
      </c>
      <c r="N422" s="70"/>
      <c r="O422" s="20"/>
    </row>
    <row r="423" spans="1:15" s="44" customFormat="1" ht="69.599999999999994" customHeight="1" x14ac:dyDescent="0.4">
      <c r="A423" s="68" t="s">
        <v>173</v>
      </c>
      <c r="B423" s="77"/>
      <c r="C423" s="77"/>
      <c r="D423" s="72" t="s">
        <v>172</v>
      </c>
      <c r="E423" s="63"/>
      <c r="F423" s="41"/>
      <c r="G423" s="98"/>
      <c r="H423" s="99"/>
      <c r="I423" s="42">
        <f t="shared" si="203"/>
        <v>160000</v>
      </c>
      <c r="J423" s="42">
        <f t="shared" si="203"/>
        <v>0</v>
      </c>
      <c r="K423" s="42">
        <f>K424</f>
        <v>0</v>
      </c>
      <c r="L423" s="42">
        <f t="shared" si="203"/>
        <v>0</v>
      </c>
      <c r="M423" s="42">
        <f t="shared" si="203"/>
        <v>160000</v>
      </c>
      <c r="N423" s="99"/>
      <c r="O423" s="69"/>
    </row>
    <row r="424" spans="1:15" s="21" customFormat="1" ht="113.45" customHeight="1" x14ac:dyDescent="0.35">
      <c r="A424" s="13">
        <v>1410160</v>
      </c>
      <c r="B424" s="14" t="s">
        <v>80</v>
      </c>
      <c r="C424" s="14" t="s">
        <v>78</v>
      </c>
      <c r="D424" s="15" t="s">
        <v>79</v>
      </c>
      <c r="E424" s="16" t="s">
        <v>180</v>
      </c>
      <c r="F424" s="13"/>
      <c r="G424" s="17"/>
      <c r="H424" s="18"/>
      <c r="I424" s="38">
        <v>160000</v>
      </c>
      <c r="J424" s="38"/>
      <c r="K424" s="38"/>
      <c r="L424" s="38">
        <f>K424+J424</f>
        <v>0</v>
      </c>
      <c r="M424" s="38">
        <f>I424+L424</f>
        <v>160000</v>
      </c>
      <c r="N424" s="18"/>
      <c r="O424" s="20"/>
    </row>
    <row r="425" spans="1:15" s="100" customFormat="1" ht="83.1" hidden="1" customHeight="1" x14ac:dyDescent="0.35">
      <c r="A425" s="13">
        <v>1500000</v>
      </c>
      <c r="B425" s="37"/>
      <c r="C425" s="37"/>
      <c r="D425" s="15" t="s">
        <v>0</v>
      </c>
      <c r="E425" s="37"/>
      <c r="F425" s="54"/>
      <c r="G425" s="54"/>
      <c r="H425" s="54"/>
      <c r="I425" s="38">
        <f>I426</f>
        <v>196540252</v>
      </c>
      <c r="J425" s="38">
        <f t="shared" ref="J425:M425" si="204">J426</f>
        <v>0</v>
      </c>
      <c r="K425" s="38">
        <f t="shared" si="204"/>
        <v>0</v>
      </c>
      <c r="L425" s="38">
        <f t="shared" si="204"/>
        <v>0</v>
      </c>
      <c r="M425" s="38">
        <f t="shared" si="204"/>
        <v>196540252</v>
      </c>
      <c r="N425" s="37"/>
      <c r="O425" s="20"/>
    </row>
    <row r="426" spans="1:15" s="101" customFormat="1" ht="89.1" customHeight="1" x14ac:dyDescent="0.4">
      <c r="A426" s="60">
        <v>1510000</v>
      </c>
      <c r="B426" s="41"/>
      <c r="C426" s="41"/>
      <c r="D426" s="62" t="s">
        <v>0</v>
      </c>
      <c r="E426" s="41"/>
      <c r="F426" s="64"/>
      <c r="G426" s="64"/>
      <c r="H426" s="64"/>
      <c r="I426" s="42">
        <f>I502+I508+I513+I520+I548+I427+I546+I518+I544</f>
        <v>196540252</v>
      </c>
      <c r="J426" s="42">
        <f t="shared" ref="J426:M426" si="205">J502+J508+J513+J520+J548+J427+J546+J518+J544</f>
        <v>0</v>
      </c>
      <c r="K426" s="42">
        <f t="shared" si="205"/>
        <v>0</v>
      </c>
      <c r="L426" s="42">
        <f t="shared" si="205"/>
        <v>0</v>
      </c>
      <c r="M426" s="42">
        <f t="shared" si="205"/>
        <v>196540252</v>
      </c>
      <c r="N426" s="42"/>
      <c r="O426" s="69"/>
    </row>
    <row r="427" spans="1:15" s="21" customFormat="1" ht="51" customHeight="1" x14ac:dyDescent="0.35">
      <c r="A427" s="13">
        <v>1516030</v>
      </c>
      <c r="B427" s="13">
        <v>6030</v>
      </c>
      <c r="C427" s="14" t="s">
        <v>162</v>
      </c>
      <c r="D427" s="78" t="s">
        <v>165</v>
      </c>
      <c r="E427" s="16" t="s">
        <v>179</v>
      </c>
      <c r="F427" s="13"/>
      <c r="G427" s="59"/>
      <c r="H427" s="13"/>
      <c r="I427" s="38">
        <f>SUM(I428:I501)</f>
        <v>51250000</v>
      </c>
      <c r="J427" s="38">
        <f>SUM(J428:J501)</f>
        <v>0</v>
      </c>
      <c r="K427" s="38">
        <f>SUM(K428:K501)</f>
        <v>0</v>
      </c>
      <c r="L427" s="38">
        <f>SUM(L428:L501)</f>
        <v>0</v>
      </c>
      <c r="M427" s="38">
        <f>SUM(M428:M501)</f>
        <v>51250000</v>
      </c>
      <c r="N427" s="13"/>
      <c r="O427" s="20"/>
    </row>
    <row r="428" spans="1:15" ht="53.1" hidden="1" customHeight="1" x14ac:dyDescent="0.35">
      <c r="A428" s="37"/>
      <c r="B428" s="37"/>
      <c r="C428" s="57"/>
      <c r="D428" s="58"/>
      <c r="E428" s="58" t="s">
        <v>451</v>
      </c>
      <c r="F428" s="37">
        <v>2020</v>
      </c>
      <c r="G428" s="96"/>
      <c r="H428" s="70"/>
      <c r="I428" s="54">
        <f>40000+1460000</f>
        <v>1500000</v>
      </c>
      <c r="J428" s="54"/>
      <c r="K428" s="54"/>
      <c r="L428" s="54">
        <f>J428+K428</f>
        <v>0</v>
      </c>
      <c r="M428" s="54">
        <f>I428+L428</f>
        <v>1500000</v>
      </c>
      <c r="N428" s="70"/>
      <c r="O428" s="20"/>
    </row>
    <row r="429" spans="1:15" ht="101.1" hidden="1" customHeight="1" x14ac:dyDescent="0.35">
      <c r="A429" s="37"/>
      <c r="B429" s="37"/>
      <c r="C429" s="57"/>
      <c r="D429" s="78"/>
      <c r="E429" s="58" t="s">
        <v>393</v>
      </c>
      <c r="F429" s="37" t="s">
        <v>50</v>
      </c>
      <c r="G429" s="96">
        <v>5580973</v>
      </c>
      <c r="H429" s="70">
        <v>74.7</v>
      </c>
      <c r="I429" s="54">
        <v>1412160</v>
      </c>
      <c r="J429" s="54"/>
      <c r="K429" s="54"/>
      <c r="L429" s="54">
        <f t="shared" ref="L429:L500" si="206">J429+K429</f>
        <v>0</v>
      </c>
      <c r="M429" s="54">
        <f t="shared" ref="M429:M500" si="207">I429+L429</f>
        <v>1412160</v>
      </c>
      <c r="N429" s="97">
        <v>100</v>
      </c>
      <c r="O429" s="20"/>
    </row>
    <row r="430" spans="1:15" ht="87" hidden="1" customHeight="1" x14ac:dyDescent="0.35">
      <c r="A430" s="37"/>
      <c r="B430" s="37"/>
      <c r="C430" s="57"/>
      <c r="D430" s="58"/>
      <c r="E430" s="58" t="s">
        <v>424</v>
      </c>
      <c r="F430" s="37">
        <v>2020</v>
      </c>
      <c r="G430" s="96"/>
      <c r="H430" s="70"/>
      <c r="I430" s="54">
        <f>40000+1560000</f>
        <v>1600000</v>
      </c>
      <c r="J430" s="54"/>
      <c r="K430" s="54"/>
      <c r="L430" s="54">
        <f t="shared" ref="L430:L468" si="208">J430+K430</f>
        <v>0</v>
      </c>
      <c r="M430" s="54">
        <f t="shared" ref="M430:M468" si="209">I430+L430</f>
        <v>1600000</v>
      </c>
      <c r="N430" s="70"/>
      <c r="O430" s="20"/>
    </row>
    <row r="431" spans="1:15" ht="72" hidden="1" customHeight="1" x14ac:dyDescent="0.35">
      <c r="A431" s="37"/>
      <c r="B431" s="37"/>
      <c r="C431" s="57"/>
      <c r="D431" s="58"/>
      <c r="E431" s="58" t="s">
        <v>432</v>
      </c>
      <c r="F431" s="37">
        <v>2020</v>
      </c>
      <c r="G431" s="96"/>
      <c r="H431" s="70"/>
      <c r="I431" s="54">
        <v>40000</v>
      </c>
      <c r="J431" s="54"/>
      <c r="K431" s="54"/>
      <c r="L431" s="54">
        <f t="shared" si="208"/>
        <v>0</v>
      </c>
      <c r="M431" s="54">
        <f t="shared" si="209"/>
        <v>40000</v>
      </c>
      <c r="N431" s="70"/>
      <c r="O431" s="20"/>
    </row>
    <row r="432" spans="1:15" ht="65.099999999999994" hidden="1" customHeight="1" x14ac:dyDescent="0.35">
      <c r="A432" s="37"/>
      <c r="B432" s="37"/>
      <c r="C432" s="57"/>
      <c r="D432" s="58"/>
      <c r="E432" s="58" t="s">
        <v>433</v>
      </c>
      <c r="F432" s="37">
        <v>2020</v>
      </c>
      <c r="G432" s="96"/>
      <c r="H432" s="70"/>
      <c r="I432" s="54">
        <v>40000</v>
      </c>
      <c r="J432" s="54"/>
      <c r="K432" s="54"/>
      <c r="L432" s="54">
        <f t="shared" si="208"/>
        <v>0</v>
      </c>
      <c r="M432" s="54">
        <f t="shared" si="209"/>
        <v>40000</v>
      </c>
      <c r="N432" s="70"/>
      <c r="O432" s="20"/>
    </row>
    <row r="433" spans="1:15" ht="69.95" hidden="1" customHeight="1" x14ac:dyDescent="0.35">
      <c r="A433" s="37"/>
      <c r="B433" s="37"/>
      <c r="C433" s="57"/>
      <c r="D433" s="58"/>
      <c r="E433" s="58" t="s">
        <v>431</v>
      </c>
      <c r="F433" s="37">
        <v>2020</v>
      </c>
      <c r="G433" s="96"/>
      <c r="H433" s="70"/>
      <c r="I433" s="54">
        <v>40000</v>
      </c>
      <c r="J433" s="54"/>
      <c r="K433" s="54"/>
      <c r="L433" s="54">
        <f t="shared" si="208"/>
        <v>0</v>
      </c>
      <c r="M433" s="54">
        <f t="shared" si="209"/>
        <v>40000</v>
      </c>
      <c r="N433" s="70"/>
      <c r="O433" s="20"/>
    </row>
    <row r="434" spans="1:15" ht="69.95" hidden="1" customHeight="1" x14ac:dyDescent="0.35">
      <c r="A434" s="37"/>
      <c r="B434" s="37"/>
      <c r="C434" s="57"/>
      <c r="D434" s="58"/>
      <c r="E434" s="58" t="s">
        <v>507</v>
      </c>
      <c r="F434" s="37" t="s">
        <v>53</v>
      </c>
      <c r="G434" s="96">
        <v>3009367</v>
      </c>
      <c r="H434" s="70">
        <v>1.9</v>
      </c>
      <c r="I434" s="54">
        <f>40000+1435000</f>
        <v>1475000</v>
      </c>
      <c r="J434" s="54"/>
      <c r="K434" s="54"/>
      <c r="L434" s="54">
        <f t="shared" si="208"/>
        <v>0</v>
      </c>
      <c r="M434" s="54">
        <f t="shared" si="209"/>
        <v>1475000</v>
      </c>
      <c r="N434" s="70">
        <v>50.9</v>
      </c>
      <c r="O434" s="20"/>
    </row>
    <row r="435" spans="1:15" ht="69.95" hidden="1" customHeight="1" x14ac:dyDescent="0.35">
      <c r="A435" s="37"/>
      <c r="B435" s="37"/>
      <c r="C435" s="57"/>
      <c r="D435" s="58"/>
      <c r="E435" s="58" t="s">
        <v>547</v>
      </c>
      <c r="F435" s="37">
        <v>2020</v>
      </c>
      <c r="G435" s="96"/>
      <c r="H435" s="70"/>
      <c r="I435" s="54">
        <v>1337295</v>
      </c>
      <c r="J435" s="54"/>
      <c r="K435" s="54"/>
      <c r="L435" s="54">
        <f t="shared" ref="L435" si="210">J435+K435</f>
        <v>0</v>
      </c>
      <c r="M435" s="54">
        <f t="shared" ref="M435" si="211">I435+L435</f>
        <v>1337295</v>
      </c>
      <c r="N435" s="70"/>
      <c r="O435" s="20"/>
    </row>
    <row r="436" spans="1:15" ht="69" hidden="1" customHeight="1" x14ac:dyDescent="0.35">
      <c r="A436" s="37"/>
      <c r="B436" s="37"/>
      <c r="C436" s="57"/>
      <c r="D436" s="58"/>
      <c r="E436" s="58" t="s">
        <v>450</v>
      </c>
      <c r="F436" s="37">
        <v>2020</v>
      </c>
      <c r="G436" s="96"/>
      <c r="H436" s="70"/>
      <c r="I436" s="54">
        <f>40000+1112000</f>
        <v>1152000</v>
      </c>
      <c r="J436" s="54"/>
      <c r="K436" s="54"/>
      <c r="L436" s="54">
        <f t="shared" si="208"/>
        <v>0</v>
      </c>
      <c r="M436" s="54">
        <f t="shared" si="209"/>
        <v>1152000</v>
      </c>
      <c r="N436" s="70"/>
      <c r="O436" s="20"/>
    </row>
    <row r="437" spans="1:15" ht="78" hidden="1" customHeight="1" x14ac:dyDescent="0.35">
      <c r="A437" s="37"/>
      <c r="B437" s="37"/>
      <c r="C437" s="57"/>
      <c r="D437" s="58"/>
      <c r="E437" s="58" t="s">
        <v>410</v>
      </c>
      <c r="F437" s="37">
        <v>2020</v>
      </c>
      <c r="G437" s="96"/>
      <c r="H437" s="70"/>
      <c r="I437" s="54">
        <f>40000+974000</f>
        <v>1014000</v>
      </c>
      <c r="J437" s="54"/>
      <c r="K437" s="54"/>
      <c r="L437" s="54">
        <f t="shared" si="208"/>
        <v>0</v>
      </c>
      <c r="M437" s="54">
        <f t="shared" si="209"/>
        <v>1014000</v>
      </c>
      <c r="N437" s="70"/>
      <c r="O437" s="20"/>
    </row>
    <row r="438" spans="1:15" ht="71.099999999999994" hidden="1" customHeight="1" x14ac:dyDescent="0.35">
      <c r="A438" s="37"/>
      <c r="B438" s="37"/>
      <c r="C438" s="57"/>
      <c r="D438" s="58"/>
      <c r="E438" s="58" t="s">
        <v>426</v>
      </c>
      <c r="F438" s="37">
        <v>2020</v>
      </c>
      <c r="G438" s="96"/>
      <c r="H438" s="70"/>
      <c r="I438" s="54">
        <f>40000+754000</f>
        <v>794000</v>
      </c>
      <c r="J438" s="54"/>
      <c r="K438" s="54"/>
      <c r="L438" s="54">
        <f t="shared" si="208"/>
        <v>0</v>
      </c>
      <c r="M438" s="54">
        <f t="shared" si="209"/>
        <v>794000</v>
      </c>
      <c r="N438" s="70"/>
      <c r="O438" s="20"/>
    </row>
    <row r="439" spans="1:15" ht="74.099999999999994" hidden="1" customHeight="1" x14ac:dyDescent="0.35">
      <c r="A439" s="37"/>
      <c r="B439" s="37"/>
      <c r="C439" s="57"/>
      <c r="D439" s="58"/>
      <c r="E439" s="58" t="s">
        <v>427</v>
      </c>
      <c r="F439" s="37">
        <v>2020</v>
      </c>
      <c r="G439" s="96"/>
      <c r="H439" s="70"/>
      <c r="I439" s="54">
        <f>40000+5000</f>
        <v>45000</v>
      </c>
      <c r="J439" s="54"/>
      <c r="K439" s="54"/>
      <c r="L439" s="54">
        <f t="shared" si="208"/>
        <v>0</v>
      </c>
      <c r="M439" s="54">
        <f t="shared" si="209"/>
        <v>45000</v>
      </c>
      <c r="N439" s="70"/>
      <c r="O439" s="20"/>
    </row>
    <row r="440" spans="1:15" ht="72.95" hidden="1" customHeight="1" x14ac:dyDescent="0.35">
      <c r="A440" s="37"/>
      <c r="B440" s="37"/>
      <c r="C440" s="57"/>
      <c r="D440" s="58"/>
      <c r="E440" s="58" t="s">
        <v>428</v>
      </c>
      <c r="F440" s="37">
        <v>2020</v>
      </c>
      <c r="G440" s="96"/>
      <c r="H440" s="70"/>
      <c r="I440" s="54">
        <f>40000-5000</f>
        <v>35000</v>
      </c>
      <c r="J440" s="54"/>
      <c r="K440" s="54"/>
      <c r="L440" s="54">
        <f t="shared" si="208"/>
        <v>0</v>
      </c>
      <c r="M440" s="54">
        <f t="shared" si="209"/>
        <v>35000</v>
      </c>
      <c r="N440" s="70"/>
      <c r="O440" s="20"/>
    </row>
    <row r="441" spans="1:15" ht="74.099999999999994" hidden="1" customHeight="1" x14ac:dyDescent="0.35">
      <c r="A441" s="37"/>
      <c r="B441" s="37"/>
      <c r="C441" s="57"/>
      <c r="D441" s="58"/>
      <c r="E441" s="58" t="s">
        <v>429</v>
      </c>
      <c r="F441" s="37">
        <v>2020</v>
      </c>
      <c r="G441" s="96"/>
      <c r="H441" s="70"/>
      <c r="I441" s="54">
        <f>40000-5000</f>
        <v>35000</v>
      </c>
      <c r="J441" s="54"/>
      <c r="K441" s="54"/>
      <c r="L441" s="54">
        <f t="shared" si="208"/>
        <v>0</v>
      </c>
      <c r="M441" s="54">
        <f t="shared" si="209"/>
        <v>35000</v>
      </c>
      <c r="N441" s="70"/>
      <c r="O441" s="20"/>
    </row>
    <row r="442" spans="1:15" ht="63.95" hidden="1" customHeight="1" x14ac:dyDescent="0.35">
      <c r="A442" s="37"/>
      <c r="B442" s="37"/>
      <c r="C442" s="57"/>
      <c r="D442" s="58"/>
      <c r="E442" s="58" t="s">
        <v>525</v>
      </c>
      <c r="F442" s="37">
        <v>2020</v>
      </c>
      <c r="G442" s="96"/>
      <c r="H442" s="70"/>
      <c r="I442" s="54">
        <v>700000</v>
      </c>
      <c r="J442" s="54"/>
      <c r="K442" s="54"/>
      <c r="L442" s="54">
        <f t="shared" si="208"/>
        <v>0</v>
      </c>
      <c r="M442" s="54">
        <f t="shared" si="209"/>
        <v>700000</v>
      </c>
      <c r="N442" s="70"/>
      <c r="O442" s="20"/>
    </row>
    <row r="443" spans="1:15" ht="63.95" hidden="1" customHeight="1" x14ac:dyDescent="0.35">
      <c r="A443" s="37"/>
      <c r="B443" s="37"/>
      <c r="C443" s="57"/>
      <c r="D443" s="58"/>
      <c r="E443" s="58" t="s">
        <v>526</v>
      </c>
      <c r="F443" s="37">
        <v>2020</v>
      </c>
      <c r="G443" s="96"/>
      <c r="H443" s="70"/>
      <c r="I443" s="54">
        <v>300000</v>
      </c>
      <c r="J443" s="54"/>
      <c r="K443" s="54"/>
      <c r="L443" s="54">
        <f t="shared" si="208"/>
        <v>0</v>
      </c>
      <c r="M443" s="54">
        <f t="shared" si="209"/>
        <v>300000</v>
      </c>
      <c r="N443" s="70"/>
      <c r="O443" s="20"/>
    </row>
    <row r="444" spans="1:15" ht="68.099999999999994" hidden="1" customHeight="1" x14ac:dyDescent="0.35">
      <c r="A444" s="37"/>
      <c r="B444" s="37"/>
      <c r="C444" s="57"/>
      <c r="D444" s="58"/>
      <c r="E444" s="58" t="s">
        <v>449</v>
      </c>
      <c r="F444" s="37">
        <v>2020</v>
      </c>
      <c r="G444" s="96"/>
      <c r="H444" s="70"/>
      <c r="I444" s="54">
        <f>40000+260000</f>
        <v>300000</v>
      </c>
      <c r="J444" s="54"/>
      <c r="K444" s="54"/>
      <c r="L444" s="54">
        <f t="shared" si="208"/>
        <v>0</v>
      </c>
      <c r="M444" s="54">
        <f t="shared" si="209"/>
        <v>300000</v>
      </c>
      <c r="N444" s="70"/>
      <c r="O444" s="20"/>
    </row>
    <row r="445" spans="1:15" ht="66.95" hidden="1" customHeight="1" x14ac:dyDescent="0.35">
      <c r="A445" s="37"/>
      <c r="B445" s="37"/>
      <c r="C445" s="57"/>
      <c r="D445" s="58"/>
      <c r="E445" s="58" t="s">
        <v>419</v>
      </c>
      <c r="F445" s="37">
        <v>2020</v>
      </c>
      <c r="G445" s="96"/>
      <c r="H445" s="70"/>
      <c r="I445" s="54">
        <f>40000+1460000</f>
        <v>1500000</v>
      </c>
      <c r="J445" s="54"/>
      <c r="K445" s="54"/>
      <c r="L445" s="54">
        <f t="shared" si="208"/>
        <v>0</v>
      </c>
      <c r="M445" s="54">
        <f t="shared" si="209"/>
        <v>1500000</v>
      </c>
      <c r="N445" s="70"/>
      <c r="O445" s="20"/>
    </row>
    <row r="446" spans="1:15" ht="65.099999999999994" hidden="1" customHeight="1" x14ac:dyDescent="0.35">
      <c r="A446" s="37"/>
      <c r="B446" s="37"/>
      <c r="C446" s="57"/>
      <c r="D446" s="58"/>
      <c r="E446" s="58" t="s">
        <v>418</v>
      </c>
      <c r="F446" s="37">
        <v>2020</v>
      </c>
      <c r="G446" s="96"/>
      <c r="H446" s="70"/>
      <c r="I446" s="54">
        <f>40000+1460000</f>
        <v>1500000</v>
      </c>
      <c r="J446" s="54"/>
      <c r="K446" s="54"/>
      <c r="L446" s="54">
        <f t="shared" si="208"/>
        <v>0</v>
      </c>
      <c r="M446" s="54">
        <f t="shared" si="209"/>
        <v>1500000</v>
      </c>
      <c r="N446" s="70"/>
      <c r="O446" s="20"/>
    </row>
    <row r="447" spans="1:15" ht="69" hidden="1" customHeight="1" x14ac:dyDescent="0.35">
      <c r="A447" s="37"/>
      <c r="B447" s="37"/>
      <c r="C447" s="57"/>
      <c r="D447" s="58"/>
      <c r="E447" s="58" t="s">
        <v>403</v>
      </c>
      <c r="F447" s="37">
        <v>2020</v>
      </c>
      <c r="G447" s="96"/>
      <c r="H447" s="70"/>
      <c r="I447" s="54">
        <f>40000+460000</f>
        <v>500000</v>
      </c>
      <c r="J447" s="54"/>
      <c r="K447" s="54"/>
      <c r="L447" s="54">
        <f t="shared" si="208"/>
        <v>0</v>
      </c>
      <c r="M447" s="54">
        <f t="shared" si="209"/>
        <v>500000</v>
      </c>
      <c r="N447" s="70"/>
      <c r="O447" s="20"/>
    </row>
    <row r="448" spans="1:15" ht="63" hidden="1" customHeight="1" x14ac:dyDescent="0.35">
      <c r="A448" s="37"/>
      <c r="B448" s="37"/>
      <c r="C448" s="57"/>
      <c r="D448" s="58"/>
      <c r="E448" s="58" t="s">
        <v>430</v>
      </c>
      <c r="F448" s="37">
        <v>2020</v>
      </c>
      <c r="G448" s="96"/>
      <c r="H448" s="70"/>
      <c r="I448" s="54">
        <f>40000+1460000</f>
        <v>1500000</v>
      </c>
      <c r="J448" s="54"/>
      <c r="K448" s="54"/>
      <c r="L448" s="54">
        <f t="shared" si="208"/>
        <v>0</v>
      </c>
      <c r="M448" s="54">
        <f t="shared" si="209"/>
        <v>1500000</v>
      </c>
      <c r="N448" s="70"/>
      <c r="O448" s="20"/>
    </row>
    <row r="449" spans="1:15" ht="71.099999999999994" hidden="1" customHeight="1" x14ac:dyDescent="0.35">
      <c r="A449" s="37"/>
      <c r="B449" s="37"/>
      <c r="C449" s="57"/>
      <c r="D449" s="58"/>
      <c r="E449" s="58" t="s">
        <v>425</v>
      </c>
      <c r="F449" s="37">
        <v>2020</v>
      </c>
      <c r="G449" s="96"/>
      <c r="H449" s="70"/>
      <c r="I449" s="54">
        <f>40000+534110</f>
        <v>574110</v>
      </c>
      <c r="J449" s="54"/>
      <c r="K449" s="54"/>
      <c r="L449" s="54">
        <f t="shared" si="208"/>
        <v>0</v>
      </c>
      <c r="M449" s="54">
        <f t="shared" si="209"/>
        <v>574110</v>
      </c>
      <c r="N449" s="70"/>
      <c r="O449" s="20"/>
    </row>
    <row r="450" spans="1:15" ht="71.099999999999994" hidden="1" customHeight="1" x14ac:dyDescent="0.35">
      <c r="A450" s="37"/>
      <c r="B450" s="37"/>
      <c r="C450" s="57"/>
      <c r="D450" s="58"/>
      <c r="E450" s="58" t="s">
        <v>550</v>
      </c>
      <c r="F450" s="37">
        <v>2020</v>
      </c>
      <c r="G450" s="96"/>
      <c r="H450" s="70"/>
      <c r="I450" s="54">
        <v>810000</v>
      </c>
      <c r="J450" s="54"/>
      <c r="K450" s="54"/>
      <c r="L450" s="54">
        <f t="shared" si="208"/>
        <v>0</v>
      </c>
      <c r="M450" s="54">
        <f t="shared" si="209"/>
        <v>810000</v>
      </c>
      <c r="N450" s="70"/>
      <c r="O450" s="20"/>
    </row>
    <row r="451" spans="1:15" ht="71.099999999999994" hidden="1" customHeight="1" x14ac:dyDescent="0.35">
      <c r="A451" s="37"/>
      <c r="B451" s="37"/>
      <c r="C451" s="57"/>
      <c r="D451" s="58"/>
      <c r="E451" s="58" t="s">
        <v>548</v>
      </c>
      <c r="F451" s="37">
        <v>2020</v>
      </c>
      <c r="G451" s="96"/>
      <c r="H451" s="70"/>
      <c r="I451" s="54">
        <v>1749000</v>
      </c>
      <c r="J451" s="54"/>
      <c r="K451" s="54"/>
      <c r="L451" s="54">
        <f t="shared" si="208"/>
        <v>0</v>
      </c>
      <c r="M451" s="54">
        <f t="shared" si="209"/>
        <v>1749000</v>
      </c>
      <c r="N451" s="70"/>
      <c r="O451" s="20"/>
    </row>
    <row r="452" spans="1:15" ht="71.099999999999994" hidden="1" customHeight="1" x14ac:dyDescent="0.35">
      <c r="A452" s="37"/>
      <c r="B452" s="37"/>
      <c r="C452" s="57"/>
      <c r="D452" s="58"/>
      <c r="E452" s="58" t="s">
        <v>549</v>
      </c>
      <c r="F452" s="37">
        <v>2020</v>
      </c>
      <c r="G452" s="96"/>
      <c r="H452" s="70"/>
      <c r="I452" s="54">
        <v>830000</v>
      </c>
      <c r="J452" s="54"/>
      <c r="K452" s="54"/>
      <c r="L452" s="54">
        <f t="shared" si="208"/>
        <v>0</v>
      </c>
      <c r="M452" s="54">
        <f t="shared" si="209"/>
        <v>830000</v>
      </c>
      <c r="N452" s="70"/>
      <c r="O452" s="20"/>
    </row>
    <row r="453" spans="1:15" ht="69" hidden="1" customHeight="1" x14ac:dyDescent="0.35">
      <c r="A453" s="37"/>
      <c r="B453" s="37"/>
      <c r="C453" s="57"/>
      <c r="D453" s="58"/>
      <c r="E453" s="58" t="s">
        <v>438</v>
      </c>
      <c r="F453" s="37">
        <v>2020</v>
      </c>
      <c r="G453" s="96"/>
      <c r="H453" s="70"/>
      <c r="I453" s="54">
        <f>40000+2000</f>
        <v>42000</v>
      </c>
      <c r="J453" s="54"/>
      <c r="K453" s="54"/>
      <c r="L453" s="54">
        <f t="shared" si="208"/>
        <v>0</v>
      </c>
      <c r="M453" s="54">
        <f t="shared" si="209"/>
        <v>42000</v>
      </c>
      <c r="N453" s="70"/>
      <c r="O453" s="20"/>
    </row>
    <row r="454" spans="1:15" ht="75.95" hidden="1" customHeight="1" x14ac:dyDescent="0.35">
      <c r="A454" s="37"/>
      <c r="B454" s="37"/>
      <c r="C454" s="57"/>
      <c r="D454" s="58"/>
      <c r="E454" s="58" t="s">
        <v>437</v>
      </c>
      <c r="F454" s="37">
        <v>2020</v>
      </c>
      <c r="G454" s="96"/>
      <c r="H454" s="70"/>
      <c r="I454" s="54">
        <f>40000+6000</f>
        <v>46000</v>
      </c>
      <c r="J454" s="54"/>
      <c r="K454" s="54"/>
      <c r="L454" s="54">
        <f t="shared" si="208"/>
        <v>0</v>
      </c>
      <c r="M454" s="54">
        <f t="shared" si="209"/>
        <v>46000</v>
      </c>
      <c r="N454" s="70"/>
      <c r="O454" s="20"/>
    </row>
    <row r="455" spans="1:15" ht="75" hidden="1" customHeight="1" x14ac:dyDescent="0.35">
      <c r="A455" s="37"/>
      <c r="B455" s="37"/>
      <c r="C455" s="57"/>
      <c r="D455" s="58"/>
      <c r="E455" s="58" t="s">
        <v>394</v>
      </c>
      <c r="F455" s="37" t="s">
        <v>50</v>
      </c>
      <c r="G455" s="96">
        <v>1372150</v>
      </c>
      <c r="H455" s="70">
        <v>2.2999999999999998</v>
      </c>
      <c r="I455" s="54">
        <v>1269036</v>
      </c>
      <c r="J455" s="54"/>
      <c r="K455" s="54"/>
      <c r="L455" s="54">
        <f t="shared" si="208"/>
        <v>0</v>
      </c>
      <c r="M455" s="54">
        <f t="shared" si="209"/>
        <v>1269036</v>
      </c>
      <c r="N455" s="97">
        <v>100</v>
      </c>
      <c r="O455" s="20"/>
    </row>
    <row r="456" spans="1:15" ht="66.95" hidden="1" customHeight="1" x14ac:dyDescent="0.35">
      <c r="A456" s="37"/>
      <c r="B456" s="37"/>
      <c r="C456" s="57"/>
      <c r="D456" s="58"/>
      <c r="E456" s="58" t="s">
        <v>436</v>
      </c>
      <c r="F456" s="37">
        <v>2020</v>
      </c>
      <c r="G456" s="96"/>
      <c r="H456" s="70"/>
      <c r="I456" s="54">
        <f>40000+11000</f>
        <v>51000</v>
      </c>
      <c r="J456" s="54"/>
      <c r="K456" s="54"/>
      <c r="L456" s="54">
        <f t="shared" si="208"/>
        <v>0</v>
      </c>
      <c r="M456" s="54">
        <f t="shared" si="209"/>
        <v>51000</v>
      </c>
      <c r="N456" s="70"/>
      <c r="O456" s="20"/>
    </row>
    <row r="457" spans="1:15" ht="66.95" hidden="1" customHeight="1" x14ac:dyDescent="0.35">
      <c r="A457" s="37"/>
      <c r="B457" s="37"/>
      <c r="C457" s="57"/>
      <c r="D457" s="58"/>
      <c r="E457" s="58" t="s">
        <v>596</v>
      </c>
      <c r="F457" s="37">
        <v>2020</v>
      </c>
      <c r="G457" s="96"/>
      <c r="H457" s="70"/>
      <c r="I457" s="54">
        <v>40000</v>
      </c>
      <c r="J457" s="54"/>
      <c r="K457" s="54"/>
      <c r="L457" s="54">
        <f t="shared" si="208"/>
        <v>0</v>
      </c>
      <c r="M457" s="54">
        <f t="shared" si="209"/>
        <v>40000</v>
      </c>
      <c r="N457" s="70"/>
      <c r="O457" s="20"/>
    </row>
    <row r="458" spans="1:15" ht="66.95" hidden="1" customHeight="1" x14ac:dyDescent="0.35">
      <c r="A458" s="37"/>
      <c r="B458" s="37"/>
      <c r="C458" s="57"/>
      <c r="D458" s="58"/>
      <c r="E458" s="58" t="s">
        <v>594</v>
      </c>
      <c r="F458" s="37">
        <v>2020</v>
      </c>
      <c r="G458" s="96"/>
      <c r="H458" s="70"/>
      <c r="I458" s="54">
        <v>40000</v>
      </c>
      <c r="J458" s="54"/>
      <c r="K458" s="54"/>
      <c r="L458" s="54">
        <f t="shared" si="208"/>
        <v>0</v>
      </c>
      <c r="M458" s="54">
        <f t="shared" si="209"/>
        <v>40000</v>
      </c>
      <c r="N458" s="70"/>
      <c r="O458" s="20"/>
    </row>
    <row r="459" spans="1:15" ht="66.95" hidden="1" customHeight="1" x14ac:dyDescent="0.35">
      <c r="A459" s="37"/>
      <c r="B459" s="37"/>
      <c r="C459" s="57"/>
      <c r="D459" s="58"/>
      <c r="E459" s="58" t="s">
        <v>595</v>
      </c>
      <c r="F459" s="37">
        <v>2020</v>
      </c>
      <c r="G459" s="96"/>
      <c r="H459" s="70"/>
      <c r="I459" s="54">
        <v>40000</v>
      </c>
      <c r="J459" s="54"/>
      <c r="K459" s="54"/>
      <c r="L459" s="54">
        <f t="shared" si="208"/>
        <v>0</v>
      </c>
      <c r="M459" s="54">
        <f t="shared" si="209"/>
        <v>40000</v>
      </c>
      <c r="N459" s="70"/>
      <c r="O459" s="20"/>
    </row>
    <row r="460" spans="1:15" ht="72" hidden="1" customHeight="1" x14ac:dyDescent="0.35">
      <c r="A460" s="37"/>
      <c r="B460" s="37"/>
      <c r="C460" s="57"/>
      <c r="D460" s="58"/>
      <c r="E460" s="58" t="s">
        <v>405</v>
      </c>
      <c r="F460" s="37">
        <v>2020</v>
      </c>
      <c r="G460" s="96"/>
      <c r="H460" s="70"/>
      <c r="I460" s="54">
        <f>40000+512000</f>
        <v>552000</v>
      </c>
      <c r="J460" s="54"/>
      <c r="K460" s="54"/>
      <c r="L460" s="54">
        <f t="shared" si="208"/>
        <v>0</v>
      </c>
      <c r="M460" s="54">
        <f t="shared" si="209"/>
        <v>552000</v>
      </c>
      <c r="N460" s="70"/>
      <c r="O460" s="20"/>
    </row>
    <row r="461" spans="1:15" ht="77.099999999999994" hidden="1" customHeight="1" x14ac:dyDescent="0.35">
      <c r="A461" s="37"/>
      <c r="B461" s="37"/>
      <c r="C461" s="57"/>
      <c r="D461" s="58"/>
      <c r="E461" s="58" t="s">
        <v>406</v>
      </c>
      <c r="F461" s="37">
        <v>2020</v>
      </c>
      <c r="G461" s="96"/>
      <c r="H461" s="70"/>
      <c r="I461" s="54">
        <f>40000+560000</f>
        <v>600000</v>
      </c>
      <c r="J461" s="54"/>
      <c r="K461" s="54"/>
      <c r="L461" s="54">
        <f t="shared" si="208"/>
        <v>0</v>
      </c>
      <c r="M461" s="54">
        <f t="shared" si="209"/>
        <v>600000</v>
      </c>
      <c r="N461" s="70"/>
      <c r="O461" s="20"/>
    </row>
    <row r="462" spans="1:15" ht="69.95" hidden="1" customHeight="1" x14ac:dyDescent="0.35">
      <c r="A462" s="37"/>
      <c r="B462" s="37"/>
      <c r="C462" s="57"/>
      <c r="D462" s="58"/>
      <c r="E462" s="58" t="s">
        <v>434</v>
      </c>
      <c r="F462" s="37">
        <v>2020</v>
      </c>
      <c r="G462" s="96"/>
      <c r="H462" s="70"/>
      <c r="I462" s="54">
        <v>40000</v>
      </c>
      <c r="J462" s="54"/>
      <c r="K462" s="54"/>
      <c r="L462" s="54">
        <f t="shared" si="208"/>
        <v>0</v>
      </c>
      <c r="M462" s="54">
        <f t="shared" si="209"/>
        <v>40000</v>
      </c>
      <c r="N462" s="70"/>
      <c r="O462" s="20"/>
    </row>
    <row r="463" spans="1:15" ht="68.099999999999994" hidden="1" customHeight="1" x14ac:dyDescent="0.35">
      <c r="A463" s="37"/>
      <c r="B463" s="37"/>
      <c r="C463" s="57"/>
      <c r="D463" s="58"/>
      <c r="E463" s="58" t="s">
        <v>435</v>
      </c>
      <c r="F463" s="37">
        <v>2020</v>
      </c>
      <c r="G463" s="96"/>
      <c r="H463" s="70"/>
      <c r="I463" s="54">
        <f>40000-19000</f>
        <v>21000</v>
      </c>
      <c r="J463" s="54"/>
      <c r="K463" s="54"/>
      <c r="L463" s="54">
        <f t="shared" si="208"/>
        <v>0</v>
      </c>
      <c r="M463" s="54">
        <f t="shared" si="209"/>
        <v>21000</v>
      </c>
      <c r="N463" s="70"/>
      <c r="O463" s="20"/>
    </row>
    <row r="464" spans="1:15" ht="69.95" hidden="1" customHeight="1" x14ac:dyDescent="0.35">
      <c r="A464" s="37"/>
      <c r="B464" s="37"/>
      <c r="C464" s="57"/>
      <c r="D464" s="58"/>
      <c r="E464" s="58" t="s">
        <v>423</v>
      </c>
      <c r="F464" s="37">
        <v>2020</v>
      </c>
      <c r="G464" s="96"/>
      <c r="H464" s="70"/>
      <c r="I464" s="54">
        <f>40000+660000</f>
        <v>700000</v>
      </c>
      <c r="J464" s="54"/>
      <c r="K464" s="54"/>
      <c r="L464" s="54">
        <f t="shared" si="208"/>
        <v>0</v>
      </c>
      <c r="M464" s="54">
        <f t="shared" si="209"/>
        <v>700000</v>
      </c>
      <c r="N464" s="70"/>
      <c r="O464" s="20"/>
    </row>
    <row r="465" spans="1:15" ht="68.099999999999994" hidden="1" customHeight="1" x14ac:dyDescent="0.35">
      <c r="A465" s="37"/>
      <c r="B465" s="37"/>
      <c r="C465" s="57"/>
      <c r="D465" s="58"/>
      <c r="E465" s="58" t="s">
        <v>443</v>
      </c>
      <c r="F465" s="37">
        <v>2020</v>
      </c>
      <c r="G465" s="96"/>
      <c r="H465" s="70"/>
      <c r="I465" s="54">
        <f>40000-12000</f>
        <v>28000</v>
      </c>
      <c r="J465" s="54"/>
      <c r="K465" s="54"/>
      <c r="L465" s="54">
        <f t="shared" si="208"/>
        <v>0</v>
      </c>
      <c r="M465" s="54">
        <f t="shared" si="209"/>
        <v>28000</v>
      </c>
      <c r="N465" s="70"/>
      <c r="O465" s="20"/>
    </row>
    <row r="466" spans="1:15" ht="71.099999999999994" hidden="1" customHeight="1" x14ac:dyDescent="0.35">
      <c r="A466" s="37"/>
      <c r="B466" s="37"/>
      <c r="C466" s="57"/>
      <c r="D466" s="58"/>
      <c r="E466" s="58" t="s">
        <v>444</v>
      </c>
      <c r="F466" s="37">
        <v>2020</v>
      </c>
      <c r="G466" s="96"/>
      <c r="H466" s="70"/>
      <c r="I466" s="54">
        <f>40000+1000</f>
        <v>41000</v>
      </c>
      <c r="J466" s="54"/>
      <c r="K466" s="54"/>
      <c r="L466" s="54">
        <f t="shared" si="208"/>
        <v>0</v>
      </c>
      <c r="M466" s="54">
        <f t="shared" si="209"/>
        <v>41000</v>
      </c>
      <c r="N466" s="70"/>
      <c r="O466" s="20"/>
    </row>
    <row r="467" spans="1:15" ht="63" hidden="1" customHeight="1" x14ac:dyDescent="0.35">
      <c r="A467" s="37"/>
      <c r="B467" s="37"/>
      <c r="C467" s="57"/>
      <c r="D467" s="58"/>
      <c r="E467" s="58" t="s">
        <v>445</v>
      </c>
      <c r="F467" s="37">
        <v>2020</v>
      </c>
      <c r="G467" s="96"/>
      <c r="H467" s="70"/>
      <c r="I467" s="54">
        <f>40000-5000</f>
        <v>35000</v>
      </c>
      <c r="J467" s="54"/>
      <c r="K467" s="54"/>
      <c r="L467" s="54">
        <f t="shared" si="208"/>
        <v>0</v>
      </c>
      <c r="M467" s="54">
        <f t="shared" si="209"/>
        <v>35000</v>
      </c>
      <c r="N467" s="70"/>
      <c r="O467" s="20"/>
    </row>
    <row r="468" spans="1:15" ht="75" hidden="1" customHeight="1" x14ac:dyDescent="0.35">
      <c r="A468" s="37"/>
      <c r="B468" s="37"/>
      <c r="C468" s="57"/>
      <c r="D468" s="58"/>
      <c r="E468" s="58" t="s">
        <v>446</v>
      </c>
      <c r="F468" s="37">
        <v>2020</v>
      </c>
      <c r="G468" s="96"/>
      <c r="H468" s="70"/>
      <c r="I468" s="54">
        <f>40000-3000</f>
        <v>37000</v>
      </c>
      <c r="J468" s="54"/>
      <c r="K468" s="54"/>
      <c r="L468" s="54">
        <f t="shared" si="208"/>
        <v>0</v>
      </c>
      <c r="M468" s="54">
        <f t="shared" si="209"/>
        <v>37000</v>
      </c>
      <c r="N468" s="70"/>
      <c r="O468" s="20"/>
    </row>
    <row r="469" spans="1:15" ht="65.45" hidden="1" customHeight="1" x14ac:dyDescent="0.35">
      <c r="A469" s="37"/>
      <c r="B469" s="37"/>
      <c r="C469" s="57"/>
      <c r="D469" s="58"/>
      <c r="E469" s="58" t="s">
        <v>414</v>
      </c>
      <c r="F469" s="37">
        <v>2020</v>
      </c>
      <c r="G469" s="96"/>
      <c r="H469" s="70"/>
      <c r="I469" s="54">
        <f>40000+656000</f>
        <v>696000</v>
      </c>
      <c r="J469" s="54"/>
      <c r="K469" s="54"/>
      <c r="L469" s="54">
        <f t="shared" ref="L469:L491" si="212">J469+K469</f>
        <v>0</v>
      </c>
      <c r="M469" s="54">
        <f t="shared" ref="M469:M491" si="213">I469+L469</f>
        <v>696000</v>
      </c>
      <c r="N469" s="70"/>
      <c r="O469" s="20"/>
    </row>
    <row r="470" spans="1:15" ht="60.6" hidden="1" customHeight="1" x14ac:dyDescent="0.35">
      <c r="A470" s="37"/>
      <c r="B470" s="37"/>
      <c r="C470" s="57"/>
      <c r="D470" s="58"/>
      <c r="E470" s="58" t="s">
        <v>415</v>
      </c>
      <c r="F470" s="37">
        <v>2020</v>
      </c>
      <c r="G470" s="96"/>
      <c r="H470" s="70"/>
      <c r="I470" s="54">
        <f>40000+1107000</f>
        <v>1147000</v>
      </c>
      <c r="J470" s="54"/>
      <c r="K470" s="54"/>
      <c r="L470" s="54">
        <f t="shared" si="212"/>
        <v>0</v>
      </c>
      <c r="M470" s="54">
        <f t="shared" si="213"/>
        <v>1147000</v>
      </c>
      <c r="N470" s="70"/>
      <c r="O470" s="20"/>
    </row>
    <row r="471" spans="1:15" ht="75.599999999999994" hidden="1" customHeight="1" x14ac:dyDescent="0.35">
      <c r="A471" s="37"/>
      <c r="B471" s="37"/>
      <c r="C471" s="57"/>
      <c r="D471" s="58"/>
      <c r="E471" s="58" t="s">
        <v>401</v>
      </c>
      <c r="F471" s="37">
        <v>2020</v>
      </c>
      <c r="G471" s="96"/>
      <c r="H471" s="70"/>
      <c r="I471" s="54">
        <f>40000+824000</f>
        <v>864000</v>
      </c>
      <c r="J471" s="54"/>
      <c r="K471" s="54"/>
      <c r="L471" s="54">
        <f t="shared" si="212"/>
        <v>0</v>
      </c>
      <c r="M471" s="54">
        <f t="shared" si="213"/>
        <v>864000</v>
      </c>
      <c r="N471" s="70"/>
      <c r="O471" s="20"/>
    </row>
    <row r="472" spans="1:15" ht="64.5" hidden="1" customHeight="1" x14ac:dyDescent="0.35">
      <c r="A472" s="37"/>
      <c r="B472" s="37"/>
      <c r="C472" s="57"/>
      <c r="D472" s="58"/>
      <c r="E472" s="58" t="s">
        <v>402</v>
      </c>
      <c r="F472" s="37">
        <v>2020</v>
      </c>
      <c r="G472" s="96"/>
      <c r="H472" s="70"/>
      <c r="I472" s="54">
        <f>40000+884000</f>
        <v>924000</v>
      </c>
      <c r="J472" s="54"/>
      <c r="K472" s="54"/>
      <c r="L472" s="54">
        <f t="shared" si="212"/>
        <v>0</v>
      </c>
      <c r="M472" s="54">
        <f t="shared" si="213"/>
        <v>924000</v>
      </c>
      <c r="N472" s="70"/>
      <c r="O472" s="20"/>
    </row>
    <row r="473" spans="1:15" ht="66" hidden="1" customHeight="1" x14ac:dyDescent="0.35">
      <c r="A473" s="37"/>
      <c r="B473" s="37"/>
      <c r="C473" s="57"/>
      <c r="D473" s="58"/>
      <c r="E473" s="58" t="s">
        <v>421</v>
      </c>
      <c r="F473" s="37">
        <v>2020</v>
      </c>
      <c r="G473" s="96"/>
      <c r="H473" s="70"/>
      <c r="I473" s="54">
        <f>40000+718000</f>
        <v>758000</v>
      </c>
      <c r="J473" s="54"/>
      <c r="K473" s="54"/>
      <c r="L473" s="54">
        <f t="shared" si="212"/>
        <v>0</v>
      </c>
      <c r="M473" s="54">
        <f t="shared" si="213"/>
        <v>758000</v>
      </c>
      <c r="N473" s="70"/>
      <c r="O473" s="20"/>
    </row>
    <row r="474" spans="1:15" ht="69.95" hidden="1" customHeight="1" x14ac:dyDescent="0.35">
      <c r="A474" s="37"/>
      <c r="B474" s="37"/>
      <c r="C474" s="57"/>
      <c r="D474" s="58"/>
      <c r="E474" s="58" t="s">
        <v>441</v>
      </c>
      <c r="F474" s="37">
        <v>2020</v>
      </c>
      <c r="G474" s="96"/>
      <c r="H474" s="70"/>
      <c r="I474" s="54">
        <f>40000+7000</f>
        <v>47000</v>
      </c>
      <c r="J474" s="54"/>
      <c r="K474" s="54"/>
      <c r="L474" s="54">
        <f t="shared" si="212"/>
        <v>0</v>
      </c>
      <c r="M474" s="54">
        <f t="shared" si="213"/>
        <v>47000</v>
      </c>
      <c r="N474" s="70"/>
      <c r="O474" s="20"/>
    </row>
    <row r="475" spans="1:15" ht="68.099999999999994" hidden="1" customHeight="1" x14ac:dyDescent="0.35">
      <c r="A475" s="37"/>
      <c r="B475" s="37"/>
      <c r="C475" s="57"/>
      <c r="D475" s="58"/>
      <c r="E475" s="58" t="s">
        <v>422</v>
      </c>
      <c r="F475" s="37">
        <v>2020</v>
      </c>
      <c r="G475" s="96"/>
      <c r="H475" s="70"/>
      <c r="I475" s="54">
        <f>40000+728000</f>
        <v>768000</v>
      </c>
      <c r="J475" s="54"/>
      <c r="K475" s="54"/>
      <c r="L475" s="54">
        <f t="shared" si="212"/>
        <v>0</v>
      </c>
      <c r="M475" s="54">
        <f t="shared" si="213"/>
        <v>768000</v>
      </c>
      <c r="N475" s="70"/>
      <c r="O475" s="20"/>
    </row>
    <row r="476" spans="1:15" ht="74.099999999999994" hidden="1" customHeight="1" x14ac:dyDescent="0.35">
      <c r="A476" s="37"/>
      <c r="B476" s="37"/>
      <c r="C476" s="57"/>
      <c r="D476" s="58"/>
      <c r="E476" s="58" t="s">
        <v>439</v>
      </c>
      <c r="F476" s="37">
        <v>2020</v>
      </c>
      <c r="G476" s="96"/>
      <c r="H476" s="70"/>
      <c r="I476" s="54">
        <f>40000-14000</f>
        <v>26000</v>
      </c>
      <c r="J476" s="54"/>
      <c r="K476" s="54"/>
      <c r="L476" s="54">
        <f t="shared" si="212"/>
        <v>0</v>
      </c>
      <c r="M476" s="54">
        <f t="shared" si="213"/>
        <v>26000</v>
      </c>
      <c r="N476" s="70"/>
      <c r="O476" s="20"/>
    </row>
    <row r="477" spans="1:15" ht="69.95" hidden="1" customHeight="1" x14ac:dyDescent="0.35">
      <c r="A477" s="37"/>
      <c r="B477" s="37"/>
      <c r="C477" s="57"/>
      <c r="D477" s="58"/>
      <c r="E477" s="58" t="s">
        <v>440</v>
      </c>
      <c r="F477" s="37">
        <v>2020</v>
      </c>
      <c r="G477" s="96"/>
      <c r="H477" s="70"/>
      <c r="I477" s="54">
        <f>40000-17000</f>
        <v>23000</v>
      </c>
      <c r="J477" s="54"/>
      <c r="K477" s="54"/>
      <c r="L477" s="54">
        <f t="shared" si="212"/>
        <v>0</v>
      </c>
      <c r="M477" s="54">
        <f t="shared" si="213"/>
        <v>23000</v>
      </c>
      <c r="N477" s="70"/>
      <c r="O477" s="20"/>
    </row>
    <row r="478" spans="1:15" ht="61.5" hidden="1" customHeight="1" x14ac:dyDescent="0.35">
      <c r="A478" s="37"/>
      <c r="B478" s="37"/>
      <c r="C478" s="57"/>
      <c r="D478" s="58"/>
      <c r="E478" s="58" t="s">
        <v>448</v>
      </c>
      <c r="F478" s="37">
        <v>2020</v>
      </c>
      <c r="G478" s="96"/>
      <c r="H478" s="70"/>
      <c r="I478" s="54">
        <f>40000-8000</f>
        <v>32000</v>
      </c>
      <c r="J478" s="54"/>
      <c r="K478" s="54"/>
      <c r="L478" s="54">
        <f t="shared" si="212"/>
        <v>0</v>
      </c>
      <c r="M478" s="54">
        <f t="shared" si="213"/>
        <v>32000</v>
      </c>
      <c r="N478" s="70"/>
      <c r="O478" s="20"/>
    </row>
    <row r="479" spans="1:15" ht="72" hidden="1" customHeight="1" x14ac:dyDescent="0.35">
      <c r="A479" s="37"/>
      <c r="B479" s="37"/>
      <c r="C479" s="57"/>
      <c r="D479" s="58"/>
      <c r="E479" s="58" t="s">
        <v>447</v>
      </c>
      <c r="F479" s="37">
        <v>2020</v>
      </c>
      <c r="G479" s="96"/>
      <c r="H479" s="70"/>
      <c r="I479" s="54">
        <f>40000-14000</f>
        <v>26000</v>
      </c>
      <c r="J479" s="54"/>
      <c r="K479" s="54"/>
      <c r="L479" s="54">
        <f t="shared" si="212"/>
        <v>0</v>
      </c>
      <c r="M479" s="54">
        <f t="shared" si="213"/>
        <v>26000</v>
      </c>
      <c r="N479" s="70"/>
      <c r="O479" s="20"/>
    </row>
    <row r="480" spans="1:15" ht="69" hidden="1" customHeight="1" x14ac:dyDescent="0.35">
      <c r="A480" s="37"/>
      <c r="B480" s="37"/>
      <c r="C480" s="57"/>
      <c r="D480" s="58"/>
      <c r="E480" s="58" t="s">
        <v>407</v>
      </c>
      <c r="F480" s="37">
        <v>2020</v>
      </c>
      <c r="G480" s="96"/>
      <c r="H480" s="70"/>
      <c r="I480" s="54">
        <f>40000+788000</f>
        <v>828000</v>
      </c>
      <c r="J480" s="54"/>
      <c r="K480" s="54"/>
      <c r="L480" s="54">
        <f t="shared" si="212"/>
        <v>0</v>
      </c>
      <c r="M480" s="54">
        <f t="shared" si="213"/>
        <v>828000</v>
      </c>
      <c r="N480" s="70"/>
      <c r="O480" s="20"/>
    </row>
    <row r="481" spans="1:15" ht="76.5" hidden="1" customHeight="1" x14ac:dyDescent="0.35">
      <c r="A481" s="37"/>
      <c r="B481" s="37"/>
      <c r="C481" s="57"/>
      <c r="D481" s="58"/>
      <c r="E481" s="58" t="s">
        <v>408</v>
      </c>
      <c r="F481" s="37">
        <v>2020</v>
      </c>
      <c r="G481" s="96"/>
      <c r="H481" s="70"/>
      <c r="I481" s="54">
        <f>40000+320000</f>
        <v>360000</v>
      </c>
      <c r="J481" s="54"/>
      <c r="K481" s="54"/>
      <c r="L481" s="54">
        <f t="shared" si="212"/>
        <v>0</v>
      </c>
      <c r="M481" s="54">
        <f t="shared" si="213"/>
        <v>360000</v>
      </c>
      <c r="N481" s="70"/>
      <c r="O481" s="20"/>
    </row>
    <row r="482" spans="1:15" ht="70.5" hidden="1" customHeight="1" x14ac:dyDescent="0.35">
      <c r="A482" s="37"/>
      <c r="B482" s="37"/>
      <c r="C482" s="57"/>
      <c r="D482" s="58"/>
      <c r="E482" s="58" t="s">
        <v>409</v>
      </c>
      <c r="F482" s="37">
        <v>2020</v>
      </c>
      <c r="G482" s="96"/>
      <c r="H482" s="70"/>
      <c r="I482" s="54">
        <f>40000+1071000</f>
        <v>1111000</v>
      </c>
      <c r="J482" s="54"/>
      <c r="K482" s="54"/>
      <c r="L482" s="54">
        <f t="shared" si="212"/>
        <v>0</v>
      </c>
      <c r="M482" s="54">
        <f t="shared" si="213"/>
        <v>1111000</v>
      </c>
      <c r="N482" s="70"/>
      <c r="O482" s="20"/>
    </row>
    <row r="483" spans="1:15" ht="69.95" hidden="1" customHeight="1" x14ac:dyDescent="0.35">
      <c r="A483" s="37"/>
      <c r="B483" s="37"/>
      <c r="C483" s="57"/>
      <c r="D483" s="58"/>
      <c r="E483" s="58" t="s">
        <v>398</v>
      </c>
      <c r="F483" s="37" t="s">
        <v>50</v>
      </c>
      <c r="G483" s="96">
        <v>923552</v>
      </c>
      <c r="H483" s="70">
        <v>57.3</v>
      </c>
      <c r="I483" s="54">
        <v>308955</v>
      </c>
      <c r="J483" s="54"/>
      <c r="K483" s="54"/>
      <c r="L483" s="54">
        <f t="shared" si="212"/>
        <v>0</v>
      </c>
      <c r="M483" s="54">
        <f t="shared" si="213"/>
        <v>308955</v>
      </c>
      <c r="N483" s="97">
        <v>100</v>
      </c>
      <c r="O483" s="20"/>
    </row>
    <row r="484" spans="1:15" ht="75.95" hidden="1" customHeight="1" x14ac:dyDescent="0.35">
      <c r="A484" s="37"/>
      <c r="B484" s="37"/>
      <c r="C484" s="57"/>
      <c r="D484" s="58"/>
      <c r="E484" s="58" t="s">
        <v>399</v>
      </c>
      <c r="F484" s="37" t="s">
        <v>50</v>
      </c>
      <c r="G484" s="96">
        <v>905530</v>
      </c>
      <c r="H484" s="70">
        <v>5.8</v>
      </c>
      <c r="I484" s="54">
        <v>695613</v>
      </c>
      <c r="J484" s="54"/>
      <c r="K484" s="54"/>
      <c r="L484" s="54">
        <f t="shared" si="212"/>
        <v>0</v>
      </c>
      <c r="M484" s="54">
        <f t="shared" si="213"/>
        <v>695613</v>
      </c>
      <c r="N484" s="97">
        <v>100</v>
      </c>
      <c r="O484" s="20"/>
    </row>
    <row r="485" spans="1:15" ht="68.099999999999994" hidden="1" customHeight="1" x14ac:dyDescent="0.35">
      <c r="A485" s="37"/>
      <c r="B485" s="37"/>
      <c r="C485" s="57"/>
      <c r="D485" s="58"/>
      <c r="E485" s="58" t="s">
        <v>404</v>
      </c>
      <c r="F485" s="37">
        <v>2020</v>
      </c>
      <c r="G485" s="96"/>
      <c r="H485" s="70"/>
      <c r="I485" s="54">
        <f>40000+1186000</f>
        <v>1226000</v>
      </c>
      <c r="J485" s="54"/>
      <c r="K485" s="54"/>
      <c r="L485" s="54">
        <f t="shared" si="212"/>
        <v>0</v>
      </c>
      <c r="M485" s="54">
        <f t="shared" si="213"/>
        <v>1226000</v>
      </c>
      <c r="N485" s="70"/>
      <c r="O485" s="20"/>
    </row>
    <row r="486" spans="1:15" ht="68.099999999999994" hidden="1" customHeight="1" x14ac:dyDescent="0.35">
      <c r="A486" s="37"/>
      <c r="B486" s="37"/>
      <c r="C486" s="57"/>
      <c r="D486" s="58"/>
      <c r="E486" s="58" t="s">
        <v>508</v>
      </c>
      <c r="F486" s="37"/>
      <c r="G486" s="96"/>
      <c r="H486" s="70"/>
      <c r="I486" s="54">
        <v>1500000</v>
      </c>
      <c r="J486" s="54"/>
      <c r="K486" s="54"/>
      <c r="L486" s="54">
        <f t="shared" si="212"/>
        <v>0</v>
      </c>
      <c r="M486" s="54">
        <f t="shared" si="213"/>
        <v>1500000</v>
      </c>
      <c r="N486" s="70"/>
      <c r="O486" s="20"/>
    </row>
    <row r="487" spans="1:15" ht="69" hidden="1" customHeight="1" x14ac:dyDescent="0.35">
      <c r="A487" s="37"/>
      <c r="B487" s="37"/>
      <c r="C487" s="57"/>
      <c r="D487" s="58"/>
      <c r="E487" s="58" t="s">
        <v>442</v>
      </c>
      <c r="F487" s="37">
        <v>2020</v>
      </c>
      <c r="G487" s="96"/>
      <c r="H487" s="70"/>
      <c r="I487" s="54">
        <f>40000-7000</f>
        <v>33000</v>
      </c>
      <c r="J487" s="54"/>
      <c r="K487" s="54"/>
      <c r="L487" s="54">
        <f t="shared" si="212"/>
        <v>0</v>
      </c>
      <c r="M487" s="54">
        <f t="shared" si="213"/>
        <v>33000</v>
      </c>
      <c r="N487" s="70"/>
      <c r="O487" s="20"/>
    </row>
    <row r="488" spans="1:15" ht="74.099999999999994" hidden="1" customHeight="1" x14ac:dyDescent="0.35">
      <c r="A488" s="37"/>
      <c r="B488" s="37"/>
      <c r="C488" s="57"/>
      <c r="D488" s="58"/>
      <c r="E488" s="58" t="s">
        <v>397</v>
      </c>
      <c r="F488" s="37" t="s">
        <v>50</v>
      </c>
      <c r="G488" s="96">
        <v>1339018</v>
      </c>
      <c r="H488" s="70">
        <v>2.2999999999999998</v>
      </c>
      <c r="I488" s="54">
        <v>1230641</v>
      </c>
      <c r="J488" s="54"/>
      <c r="K488" s="54"/>
      <c r="L488" s="54">
        <f t="shared" si="212"/>
        <v>0</v>
      </c>
      <c r="M488" s="54">
        <f t="shared" si="213"/>
        <v>1230641</v>
      </c>
      <c r="N488" s="97">
        <v>100</v>
      </c>
      <c r="O488" s="20"/>
    </row>
    <row r="489" spans="1:15" ht="72" hidden="1" customHeight="1" x14ac:dyDescent="0.35">
      <c r="A489" s="37"/>
      <c r="B489" s="37"/>
      <c r="C489" s="57"/>
      <c r="D489" s="58"/>
      <c r="E489" s="58" t="s">
        <v>412</v>
      </c>
      <c r="F489" s="37">
        <v>2020</v>
      </c>
      <c r="G489" s="96">
        <v>1705457</v>
      </c>
      <c r="H489" s="70">
        <v>2</v>
      </c>
      <c r="I489" s="54">
        <f>40000+1616784</f>
        <v>1656784</v>
      </c>
      <c r="J489" s="54"/>
      <c r="K489" s="54"/>
      <c r="L489" s="54">
        <f t="shared" si="212"/>
        <v>0</v>
      </c>
      <c r="M489" s="54">
        <f t="shared" si="213"/>
        <v>1656784</v>
      </c>
      <c r="N489" s="97">
        <v>100</v>
      </c>
      <c r="O489" s="20"/>
    </row>
    <row r="490" spans="1:15" ht="69" hidden="1" customHeight="1" x14ac:dyDescent="0.35">
      <c r="A490" s="37"/>
      <c r="B490" s="37"/>
      <c r="C490" s="57"/>
      <c r="D490" s="58"/>
      <c r="E490" s="58" t="s">
        <v>396</v>
      </c>
      <c r="F490" s="37" t="s">
        <v>50</v>
      </c>
      <c r="G490" s="96">
        <v>1015687</v>
      </c>
      <c r="H490" s="70">
        <v>2.5</v>
      </c>
      <c r="I490" s="54">
        <v>928166</v>
      </c>
      <c r="J490" s="54"/>
      <c r="K490" s="54"/>
      <c r="L490" s="54">
        <f t="shared" si="212"/>
        <v>0</v>
      </c>
      <c r="M490" s="54">
        <f t="shared" si="213"/>
        <v>928166</v>
      </c>
      <c r="N490" s="97">
        <v>100</v>
      </c>
      <c r="O490" s="20"/>
    </row>
    <row r="491" spans="1:15" ht="81" hidden="1" customHeight="1" x14ac:dyDescent="0.35">
      <c r="A491" s="37"/>
      <c r="B491" s="37"/>
      <c r="C491" s="57"/>
      <c r="D491" s="58"/>
      <c r="E491" s="58" t="s">
        <v>411</v>
      </c>
      <c r="F491" s="37">
        <v>2020</v>
      </c>
      <c r="G491" s="96"/>
      <c r="H491" s="70"/>
      <c r="I491" s="54">
        <f>40000+610000</f>
        <v>650000</v>
      </c>
      <c r="J491" s="54"/>
      <c r="K491" s="54"/>
      <c r="L491" s="54">
        <f t="shared" si="212"/>
        <v>0</v>
      </c>
      <c r="M491" s="54">
        <f t="shared" si="213"/>
        <v>650000</v>
      </c>
      <c r="N491" s="70"/>
      <c r="O491" s="20"/>
    </row>
    <row r="492" spans="1:15" ht="71.45" hidden="1" customHeight="1" x14ac:dyDescent="0.35">
      <c r="A492" s="37"/>
      <c r="B492" s="37"/>
      <c r="C492" s="57"/>
      <c r="D492" s="58"/>
      <c r="E492" s="58" t="s">
        <v>453</v>
      </c>
      <c r="F492" s="37">
        <v>2020</v>
      </c>
      <c r="G492" s="96"/>
      <c r="H492" s="70"/>
      <c r="I492" s="54">
        <f>40000+488000</f>
        <v>528000</v>
      </c>
      <c r="J492" s="54"/>
      <c r="K492" s="54"/>
      <c r="L492" s="54">
        <f t="shared" si="206"/>
        <v>0</v>
      </c>
      <c r="M492" s="54">
        <f t="shared" si="207"/>
        <v>528000</v>
      </c>
      <c r="N492" s="70"/>
      <c r="O492" s="20"/>
    </row>
    <row r="493" spans="1:15" ht="65.099999999999994" hidden="1" customHeight="1" x14ac:dyDescent="0.35">
      <c r="A493" s="37"/>
      <c r="B493" s="37"/>
      <c r="C493" s="57"/>
      <c r="D493" s="58"/>
      <c r="E493" s="58" t="s">
        <v>452</v>
      </c>
      <c r="F493" s="37">
        <v>2020</v>
      </c>
      <c r="G493" s="96"/>
      <c r="H493" s="70"/>
      <c r="I493" s="54">
        <f>40000+944000</f>
        <v>984000</v>
      </c>
      <c r="J493" s="54"/>
      <c r="K493" s="54"/>
      <c r="L493" s="54">
        <f t="shared" si="206"/>
        <v>0</v>
      </c>
      <c r="M493" s="54">
        <f t="shared" si="207"/>
        <v>984000</v>
      </c>
      <c r="N493" s="70"/>
      <c r="O493" s="20"/>
    </row>
    <row r="494" spans="1:15" ht="70.5" hidden="1" customHeight="1" x14ac:dyDescent="0.35">
      <c r="A494" s="37"/>
      <c r="B494" s="37"/>
      <c r="C494" s="57"/>
      <c r="D494" s="58"/>
      <c r="E494" s="58" t="s">
        <v>454</v>
      </c>
      <c r="F494" s="37">
        <v>2020</v>
      </c>
      <c r="G494" s="96"/>
      <c r="H494" s="70"/>
      <c r="I494" s="54">
        <f>40000+846000</f>
        <v>886000</v>
      </c>
      <c r="J494" s="54"/>
      <c r="K494" s="54"/>
      <c r="L494" s="54">
        <f>J494+K494</f>
        <v>0</v>
      </c>
      <c r="M494" s="54">
        <f>I494+L494</f>
        <v>886000</v>
      </c>
      <c r="N494" s="70"/>
      <c r="O494" s="20"/>
    </row>
    <row r="495" spans="1:15" ht="69.95" hidden="1" customHeight="1" x14ac:dyDescent="0.35">
      <c r="A495" s="37"/>
      <c r="B495" s="37"/>
      <c r="C495" s="57"/>
      <c r="D495" s="58"/>
      <c r="E495" s="58" t="s">
        <v>413</v>
      </c>
      <c r="F495" s="37">
        <v>2020</v>
      </c>
      <c r="G495" s="96"/>
      <c r="H495" s="70"/>
      <c r="I495" s="54">
        <f>40000+660000</f>
        <v>700000</v>
      </c>
      <c r="J495" s="54"/>
      <c r="K495" s="54"/>
      <c r="L495" s="54">
        <f t="shared" si="206"/>
        <v>0</v>
      </c>
      <c r="M495" s="54">
        <f t="shared" si="207"/>
        <v>700000</v>
      </c>
      <c r="N495" s="70"/>
      <c r="O495" s="20"/>
    </row>
    <row r="496" spans="1:15" ht="65.099999999999994" hidden="1" customHeight="1" x14ac:dyDescent="0.35">
      <c r="A496" s="37"/>
      <c r="B496" s="37"/>
      <c r="C496" s="57"/>
      <c r="D496" s="58"/>
      <c r="E496" s="58" t="s">
        <v>417</v>
      </c>
      <c r="F496" s="37">
        <v>2020</v>
      </c>
      <c r="G496" s="96"/>
      <c r="H496" s="70"/>
      <c r="I496" s="54">
        <f>40000+1304000</f>
        <v>1344000</v>
      </c>
      <c r="J496" s="54"/>
      <c r="K496" s="54"/>
      <c r="L496" s="54">
        <f>J496+K496</f>
        <v>0</v>
      </c>
      <c r="M496" s="54">
        <f>I496+L496</f>
        <v>1344000</v>
      </c>
      <c r="N496" s="70"/>
      <c r="O496" s="20"/>
    </row>
    <row r="497" spans="1:15" ht="71.099999999999994" hidden="1" customHeight="1" x14ac:dyDescent="0.35">
      <c r="A497" s="37"/>
      <c r="B497" s="37"/>
      <c r="C497" s="57"/>
      <c r="D497" s="58"/>
      <c r="E497" s="58" t="s">
        <v>416</v>
      </c>
      <c r="F497" s="37">
        <v>2020</v>
      </c>
      <c r="G497" s="96"/>
      <c r="H497" s="70"/>
      <c r="I497" s="54">
        <f>40000+1460000</f>
        <v>1500000</v>
      </c>
      <c r="J497" s="54"/>
      <c r="K497" s="54"/>
      <c r="L497" s="54">
        <f t="shared" si="206"/>
        <v>0</v>
      </c>
      <c r="M497" s="54">
        <f t="shared" si="207"/>
        <v>1500000</v>
      </c>
      <c r="N497" s="70"/>
      <c r="O497" s="20"/>
    </row>
    <row r="498" spans="1:15" ht="63.95" hidden="1" customHeight="1" x14ac:dyDescent="0.35">
      <c r="A498" s="37"/>
      <c r="B498" s="37"/>
      <c r="C498" s="57"/>
      <c r="D498" s="58"/>
      <c r="E498" s="58" t="s">
        <v>420</v>
      </c>
      <c r="F498" s="37">
        <v>2020</v>
      </c>
      <c r="G498" s="96"/>
      <c r="H498" s="70"/>
      <c r="I498" s="54">
        <f>40000+1460000</f>
        <v>1500000</v>
      </c>
      <c r="J498" s="54"/>
      <c r="K498" s="54"/>
      <c r="L498" s="54">
        <f t="shared" si="206"/>
        <v>0</v>
      </c>
      <c r="M498" s="54">
        <f t="shared" si="207"/>
        <v>1500000</v>
      </c>
      <c r="N498" s="70"/>
      <c r="O498" s="20"/>
    </row>
    <row r="499" spans="1:15" ht="78.95" hidden="1" customHeight="1" x14ac:dyDescent="0.35">
      <c r="A499" s="37"/>
      <c r="B499" s="37"/>
      <c r="C499" s="57"/>
      <c r="D499" s="58"/>
      <c r="E499" s="58" t="s">
        <v>395</v>
      </c>
      <c r="F499" s="37" t="s">
        <v>50</v>
      </c>
      <c r="G499" s="96">
        <v>1280072</v>
      </c>
      <c r="H499" s="70">
        <v>22.9</v>
      </c>
      <c r="I499" s="54">
        <v>972240</v>
      </c>
      <c r="J499" s="54"/>
      <c r="K499" s="54"/>
      <c r="L499" s="54">
        <f>J499+K499</f>
        <v>0</v>
      </c>
      <c r="M499" s="54">
        <f>I499+L499</f>
        <v>972240</v>
      </c>
      <c r="N499" s="97">
        <v>100</v>
      </c>
      <c r="O499" s="20"/>
    </row>
    <row r="500" spans="1:15" ht="68.099999999999994" hidden="1" customHeight="1" x14ac:dyDescent="0.35">
      <c r="A500" s="37"/>
      <c r="B500" s="37"/>
      <c r="C500" s="57"/>
      <c r="D500" s="58"/>
      <c r="E500" s="58" t="s">
        <v>506</v>
      </c>
      <c r="F500" s="37">
        <v>2020</v>
      </c>
      <c r="G500" s="96"/>
      <c r="H500" s="70"/>
      <c r="I500" s="54">
        <f>40000+1592000</f>
        <v>1632000</v>
      </c>
      <c r="J500" s="54"/>
      <c r="K500" s="54"/>
      <c r="L500" s="54">
        <f t="shared" si="206"/>
        <v>0</v>
      </c>
      <c r="M500" s="54">
        <f t="shared" si="207"/>
        <v>1632000</v>
      </c>
      <c r="N500" s="70"/>
      <c r="O500" s="20"/>
    </row>
    <row r="501" spans="1:15" ht="68.099999999999994" hidden="1" customHeight="1" x14ac:dyDescent="0.35">
      <c r="A501" s="37"/>
      <c r="B501" s="37"/>
      <c r="C501" s="57"/>
      <c r="D501" s="58"/>
      <c r="E501" s="58" t="s">
        <v>400</v>
      </c>
      <c r="F501" s="37" t="s">
        <v>50</v>
      </c>
      <c r="G501" s="96">
        <v>1107684</v>
      </c>
      <c r="H501" s="70">
        <v>7.3</v>
      </c>
      <c r="I501" s="54">
        <v>1000000</v>
      </c>
      <c r="J501" s="54"/>
      <c r="K501" s="54"/>
      <c r="L501" s="54">
        <f t="shared" ref="L501" si="214">J501+K501</f>
        <v>0</v>
      </c>
      <c r="M501" s="54">
        <f t="shared" ref="M501" si="215">I501+L501</f>
        <v>1000000</v>
      </c>
      <c r="N501" s="70">
        <v>97.6</v>
      </c>
      <c r="O501" s="20"/>
    </row>
    <row r="502" spans="1:15" s="100" customFormat="1" ht="60" customHeight="1" x14ac:dyDescent="0.35">
      <c r="A502" s="13">
        <v>1517310</v>
      </c>
      <c r="B502" s="13">
        <v>7310</v>
      </c>
      <c r="C502" s="14" t="s">
        <v>2</v>
      </c>
      <c r="D502" s="15" t="s">
        <v>1</v>
      </c>
      <c r="E502" s="37"/>
      <c r="F502" s="54"/>
      <c r="G502" s="54"/>
      <c r="H502" s="54"/>
      <c r="I502" s="38">
        <f>I503+I506</f>
        <v>4590000</v>
      </c>
      <c r="J502" s="38">
        <f t="shared" ref="J502:M502" si="216">J503+J506</f>
        <v>0</v>
      </c>
      <c r="K502" s="38">
        <f t="shared" si="216"/>
        <v>0</v>
      </c>
      <c r="L502" s="38">
        <f t="shared" si="216"/>
        <v>0</v>
      </c>
      <c r="M502" s="38">
        <f t="shared" si="216"/>
        <v>4590000</v>
      </c>
      <c r="N502" s="38"/>
      <c r="O502" s="20"/>
    </row>
    <row r="503" spans="1:15" s="102" customFormat="1" ht="53.1" customHeight="1" x14ac:dyDescent="0.35">
      <c r="A503" s="5"/>
      <c r="B503" s="5"/>
      <c r="C503" s="5"/>
      <c r="D503" s="22"/>
      <c r="E503" s="16" t="s">
        <v>26</v>
      </c>
      <c r="F503" s="7"/>
      <c r="G503" s="7"/>
      <c r="H503" s="7"/>
      <c r="I503" s="19">
        <f>SUM(I504:I504)+I505</f>
        <v>3160000</v>
      </c>
      <c r="J503" s="19">
        <f t="shared" ref="J503:M503" si="217">SUM(J504:J504)+J505</f>
        <v>0</v>
      </c>
      <c r="K503" s="19">
        <f t="shared" si="217"/>
        <v>0</v>
      </c>
      <c r="L503" s="19">
        <f t="shared" si="217"/>
        <v>0</v>
      </c>
      <c r="M503" s="19">
        <f t="shared" si="217"/>
        <v>3160000</v>
      </c>
      <c r="N503" s="7"/>
      <c r="O503" s="20"/>
    </row>
    <row r="504" spans="1:15" ht="54.95" customHeight="1" x14ac:dyDescent="0.35">
      <c r="A504" s="37"/>
      <c r="B504" s="37"/>
      <c r="C504" s="37"/>
      <c r="D504" s="37"/>
      <c r="E504" s="58" t="s">
        <v>31</v>
      </c>
      <c r="F504" s="37" t="s">
        <v>46</v>
      </c>
      <c r="G504" s="53">
        <v>15922519</v>
      </c>
      <c r="H504" s="70">
        <v>53</v>
      </c>
      <c r="I504" s="54">
        <v>3000000</v>
      </c>
      <c r="J504" s="54"/>
      <c r="K504" s="54"/>
      <c r="L504" s="54">
        <f t="shared" ref="L504:L505" si="218">J504+K504</f>
        <v>0</v>
      </c>
      <c r="M504" s="54">
        <f t="shared" ref="M504:M505" si="219">I504+L504</f>
        <v>3000000</v>
      </c>
      <c r="N504" s="37">
        <v>70.3</v>
      </c>
      <c r="O504" s="20"/>
    </row>
    <row r="505" spans="1:15" ht="45" customHeight="1" x14ac:dyDescent="0.35">
      <c r="A505" s="37"/>
      <c r="B505" s="37"/>
      <c r="C505" s="37"/>
      <c r="D505" s="78"/>
      <c r="E505" s="66" t="s">
        <v>247</v>
      </c>
      <c r="F505" s="37" t="s">
        <v>49</v>
      </c>
      <c r="G505" s="53"/>
      <c r="H505" s="37"/>
      <c r="I505" s="54">
        <v>160000</v>
      </c>
      <c r="J505" s="54"/>
      <c r="K505" s="54"/>
      <c r="L505" s="54">
        <f t="shared" si="218"/>
        <v>0</v>
      </c>
      <c r="M505" s="54">
        <f t="shared" si="219"/>
        <v>160000</v>
      </c>
      <c r="N505" s="37"/>
      <c r="O505" s="20"/>
    </row>
    <row r="506" spans="1:15" ht="48.95" customHeight="1" x14ac:dyDescent="0.35">
      <c r="A506" s="37"/>
      <c r="B506" s="37"/>
      <c r="C506" s="37"/>
      <c r="D506" s="37"/>
      <c r="E506" s="16" t="s">
        <v>27</v>
      </c>
      <c r="F506" s="37"/>
      <c r="G506" s="53"/>
      <c r="H506" s="37"/>
      <c r="I506" s="19">
        <f>I507</f>
        <v>1430000</v>
      </c>
      <c r="J506" s="19">
        <f t="shared" ref="J506:M506" si="220">J507</f>
        <v>0</v>
      </c>
      <c r="K506" s="19">
        <f t="shared" si="220"/>
        <v>0</v>
      </c>
      <c r="L506" s="19">
        <f t="shared" si="220"/>
        <v>0</v>
      </c>
      <c r="M506" s="19">
        <f t="shared" si="220"/>
        <v>1430000</v>
      </c>
      <c r="N506" s="37"/>
      <c r="O506" s="20"/>
    </row>
    <row r="507" spans="1:15" ht="84" customHeight="1" x14ac:dyDescent="0.35">
      <c r="A507" s="37"/>
      <c r="B507" s="37"/>
      <c r="C507" s="37"/>
      <c r="D507" s="78"/>
      <c r="E507" s="103" t="s">
        <v>248</v>
      </c>
      <c r="F507" s="37" t="s">
        <v>50</v>
      </c>
      <c r="G507" s="53">
        <v>1497784</v>
      </c>
      <c r="H507" s="37">
        <v>4.5999999999999996</v>
      </c>
      <c r="I507" s="54">
        <v>1430000</v>
      </c>
      <c r="J507" s="54"/>
      <c r="K507" s="54"/>
      <c r="L507" s="54">
        <f t="shared" ref="L507" si="221">J507+K507</f>
        <v>0</v>
      </c>
      <c r="M507" s="54">
        <f t="shared" ref="M507" si="222">I507+L507</f>
        <v>1430000</v>
      </c>
      <c r="N507" s="70">
        <v>100</v>
      </c>
      <c r="O507" s="20"/>
    </row>
    <row r="508" spans="1:15" s="100" customFormat="1" ht="48" customHeight="1" x14ac:dyDescent="0.35">
      <c r="A508" s="13">
        <v>1517321</v>
      </c>
      <c r="B508" s="13">
        <v>7321</v>
      </c>
      <c r="C508" s="14" t="s">
        <v>2</v>
      </c>
      <c r="D508" s="94" t="s">
        <v>3</v>
      </c>
      <c r="E508" s="104"/>
      <c r="F508" s="54"/>
      <c r="G508" s="54"/>
      <c r="H508" s="54"/>
      <c r="I508" s="38">
        <f>I509+I511</f>
        <v>9000000</v>
      </c>
      <c r="J508" s="38">
        <f t="shared" ref="J508:M508" si="223">J509+J511</f>
        <v>-5000000</v>
      </c>
      <c r="K508" s="38">
        <f t="shared" si="223"/>
        <v>0</v>
      </c>
      <c r="L508" s="38">
        <f t="shared" si="223"/>
        <v>-5000000</v>
      </c>
      <c r="M508" s="38">
        <f t="shared" si="223"/>
        <v>4000000</v>
      </c>
      <c r="N508" s="37"/>
      <c r="O508" s="20"/>
    </row>
    <row r="509" spans="1:15" s="102" customFormat="1" ht="51.95" hidden="1" customHeight="1" x14ac:dyDescent="0.35">
      <c r="A509" s="5"/>
      <c r="B509" s="5"/>
      <c r="C509" s="5"/>
      <c r="D509" s="22"/>
      <c r="E509" s="16" t="s">
        <v>26</v>
      </c>
      <c r="F509" s="7"/>
      <c r="G509" s="7"/>
      <c r="H509" s="7"/>
      <c r="I509" s="19">
        <f>SUM(I510:I510)</f>
        <v>5000000</v>
      </c>
      <c r="J509" s="19">
        <f t="shared" ref="J509:M509" si="224">SUM(J510:J510)</f>
        <v>-5000000</v>
      </c>
      <c r="K509" s="19">
        <f t="shared" si="224"/>
        <v>0</v>
      </c>
      <c r="L509" s="19">
        <f t="shared" si="224"/>
        <v>-5000000</v>
      </c>
      <c r="M509" s="19">
        <f t="shared" si="224"/>
        <v>0</v>
      </c>
      <c r="N509" s="5"/>
      <c r="O509" s="20"/>
    </row>
    <row r="510" spans="1:15" ht="75.95" hidden="1" customHeight="1" x14ac:dyDescent="0.35">
      <c r="A510" s="37"/>
      <c r="B510" s="37"/>
      <c r="C510" s="37"/>
      <c r="D510" s="37"/>
      <c r="E510" s="58" t="s">
        <v>32</v>
      </c>
      <c r="F510" s="37" t="s">
        <v>47</v>
      </c>
      <c r="G510" s="53">
        <v>77987328</v>
      </c>
      <c r="H510" s="37">
        <v>0.9</v>
      </c>
      <c r="I510" s="54">
        <v>5000000</v>
      </c>
      <c r="J510" s="54">
        <v>-5000000</v>
      </c>
      <c r="K510" s="54"/>
      <c r="L510" s="54">
        <f t="shared" ref="L510" si="225">J510+K510</f>
        <v>-5000000</v>
      </c>
      <c r="M510" s="54">
        <f t="shared" ref="M510" si="226">I510+L510</f>
        <v>0</v>
      </c>
      <c r="N510" s="37">
        <v>7.3</v>
      </c>
      <c r="O510" s="20"/>
    </row>
    <row r="511" spans="1:15" s="102" customFormat="1" ht="57.95" customHeight="1" x14ac:dyDescent="0.35">
      <c r="A511" s="5"/>
      <c r="B511" s="5"/>
      <c r="C511" s="5"/>
      <c r="D511" s="22"/>
      <c r="E511" s="16" t="s">
        <v>27</v>
      </c>
      <c r="F511" s="7"/>
      <c r="G511" s="7"/>
      <c r="H511" s="7"/>
      <c r="I511" s="19">
        <f>SUM(I512:I512)</f>
        <v>4000000</v>
      </c>
      <c r="J511" s="19">
        <f t="shared" ref="J511:M511" si="227">SUM(J512:J512)</f>
        <v>0</v>
      </c>
      <c r="K511" s="19">
        <f t="shared" si="227"/>
        <v>0</v>
      </c>
      <c r="L511" s="19">
        <f t="shared" si="227"/>
        <v>0</v>
      </c>
      <c r="M511" s="19">
        <f t="shared" si="227"/>
        <v>4000000</v>
      </c>
      <c r="N511" s="5"/>
      <c r="O511" s="20"/>
    </row>
    <row r="512" spans="1:15" ht="60" customHeight="1" x14ac:dyDescent="0.35">
      <c r="A512" s="37"/>
      <c r="B512" s="37"/>
      <c r="C512" s="37"/>
      <c r="D512" s="37"/>
      <c r="E512" s="58" t="s">
        <v>33</v>
      </c>
      <c r="F512" s="37" t="s">
        <v>46</v>
      </c>
      <c r="G512" s="53">
        <v>7491775</v>
      </c>
      <c r="H512" s="70">
        <v>32</v>
      </c>
      <c r="I512" s="54">
        <v>4000000</v>
      </c>
      <c r="J512" s="54"/>
      <c r="K512" s="54"/>
      <c r="L512" s="54">
        <f t="shared" ref="L512" si="228">J512+K512</f>
        <v>0</v>
      </c>
      <c r="M512" s="54">
        <f t="shared" ref="M512" si="229">I512+L512</f>
        <v>4000000</v>
      </c>
      <c r="N512" s="37">
        <v>81.2</v>
      </c>
      <c r="O512" s="20"/>
    </row>
    <row r="513" spans="1:15" s="100" customFormat="1" ht="54" customHeight="1" x14ac:dyDescent="0.35">
      <c r="A513" s="13">
        <v>1517322</v>
      </c>
      <c r="B513" s="13">
        <v>7322</v>
      </c>
      <c r="C513" s="14" t="s">
        <v>2</v>
      </c>
      <c r="D513" s="94" t="s">
        <v>4</v>
      </c>
      <c r="E513" s="104"/>
      <c r="F513" s="54"/>
      <c r="G513" s="54"/>
      <c r="H513" s="54"/>
      <c r="I513" s="38">
        <f>I514</f>
        <v>4454849</v>
      </c>
      <c r="J513" s="38">
        <f t="shared" ref="J513:M513" si="230">J514</f>
        <v>0</v>
      </c>
      <c r="K513" s="38">
        <f t="shared" si="230"/>
        <v>0</v>
      </c>
      <c r="L513" s="38">
        <f t="shared" si="230"/>
        <v>0</v>
      </c>
      <c r="M513" s="38">
        <f t="shared" si="230"/>
        <v>4454849</v>
      </c>
      <c r="N513" s="37"/>
      <c r="O513" s="20"/>
    </row>
    <row r="514" spans="1:15" s="102" customFormat="1" ht="53.1" customHeight="1" x14ac:dyDescent="0.35">
      <c r="A514" s="5"/>
      <c r="B514" s="5"/>
      <c r="C514" s="5"/>
      <c r="D514" s="22"/>
      <c r="E514" s="16" t="s">
        <v>27</v>
      </c>
      <c r="F514" s="7"/>
      <c r="G514" s="7"/>
      <c r="H514" s="7"/>
      <c r="I514" s="19">
        <f>SUM(I515:I517)</f>
        <v>4454849</v>
      </c>
      <c r="J514" s="19">
        <f t="shared" ref="J514:M514" si="231">SUM(J515:J517)</f>
        <v>0</v>
      </c>
      <c r="K514" s="19">
        <f t="shared" si="231"/>
        <v>0</v>
      </c>
      <c r="L514" s="19">
        <f t="shared" si="231"/>
        <v>0</v>
      </c>
      <c r="M514" s="19">
        <f t="shared" si="231"/>
        <v>4454849</v>
      </c>
      <c r="N514" s="5"/>
      <c r="O514" s="20"/>
    </row>
    <row r="515" spans="1:15" ht="66" customHeight="1" x14ac:dyDescent="0.35">
      <c r="A515" s="37"/>
      <c r="B515" s="37"/>
      <c r="C515" s="37"/>
      <c r="D515" s="37"/>
      <c r="E515" s="58" t="s">
        <v>34</v>
      </c>
      <c r="F515" s="37" t="s">
        <v>48</v>
      </c>
      <c r="G515" s="53">
        <v>32104361</v>
      </c>
      <c r="H515" s="37">
        <v>7.8</v>
      </c>
      <c r="I515" s="54">
        <f>7000000-3286719</f>
        <v>3713281</v>
      </c>
      <c r="J515" s="54"/>
      <c r="K515" s="54"/>
      <c r="L515" s="54">
        <f t="shared" ref="L515:L517" si="232">J515+K515</f>
        <v>0</v>
      </c>
      <c r="M515" s="54">
        <f t="shared" ref="M515:M517" si="233">I515+L515</f>
        <v>3713281</v>
      </c>
      <c r="N515" s="37">
        <v>23.7</v>
      </c>
      <c r="O515" s="20"/>
    </row>
    <row r="516" spans="1:15" ht="113.1" customHeight="1" x14ac:dyDescent="0.35">
      <c r="A516" s="37"/>
      <c r="B516" s="37"/>
      <c r="C516" s="37"/>
      <c r="D516" s="78"/>
      <c r="E516" s="103" t="s">
        <v>71</v>
      </c>
      <c r="F516" s="37" t="s">
        <v>50</v>
      </c>
      <c r="G516" s="53">
        <v>1499096</v>
      </c>
      <c r="H516" s="37">
        <v>53.4</v>
      </c>
      <c r="I516" s="54">
        <v>537335</v>
      </c>
      <c r="J516" s="54"/>
      <c r="K516" s="54"/>
      <c r="L516" s="54">
        <f t="shared" si="232"/>
        <v>0</v>
      </c>
      <c r="M516" s="54">
        <f t="shared" si="233"/>
        <v>537335</v>
      </c>
      <c r="N516" s="37">
        <v>89.2</v>
      </c>
      <c r="O516" s="20"/>
    </row>
    <row r="517" spans="1:15" ht="51" customHeight="1" x14ac:dyDescent="0.35">
      <c r="A517" s="37"/>
      <c r="B517" s="37"/>
      <c r="C517" s="37"/>
      <c r="D517" s="78"/>
      <c r="E517" s="103" t="s">
        <v>72</v>
      </c>
      <c r="F517" s="37" t="s">
        <v>47</v>
      </c>
      <c r="G517" s="53">
        <v>18339951</v>
      </c>
      <c r="H517" s="37">
        <v>10.4</v>
      </c>
      <c r="I517" s="54">
        <v>204233</v>
      </c>
      <c r="J517" s="54"/>
      <c r="K517" s="54"/>
      <c r="L517" s="54">
        <f t="shared" si="232"/>
        <v>0</v>
      </c>
      <c r="M517" s="54">
        <f t="shared" si="233"/>
        <v>204233</v>
      </c>
      <c r="N517" s="37">
        <v>11.5</v>
      </c>
      <c r="O517" s="20"/>
    </row>
    <row r="518" spans="1:15" s="21" customFormat="1" ht="60.95" customHeight="1" x14ac:dyDescent="0.35">
      <c r="A518" s="13">
        <v>1517325</v>
      </c>
      <c r="B518" s="13">
        <v>7325</v>
      </c>
      <c r="C518" s="14" t="s">
        <v>2</v>
      </c>
      <c r="D518" s="78" t="s">
        <v>558</v>
      </c>
      <c r="E518" s="16" t="s">
        <v>181</v>
      </c>
      <c r="F518" s="13"/>
      <c r="G518" s="59"/>
      <c r="H518" s="13"/>
      <c r="I518" s="38">
        <f>I519</f>
        <v>100000</v>
      </c>
      <c r="J518" s="38">
        <f t="shared" ref="J518:M518" si="234">J519</f>
        <v>0</v>
      </c>
      <c r="K518" s="38">
        <f t="shared" si="234"/>
        <v>0</v>
      </c>
      <c r="L518" s="38">
        <f t="shared" si="234"/>
        <v>0</v>
      </c>
      <c r="M518" s="38">
        <f t="shared" si="234"/>
        <v>100000</v>
      </c>
      <c r="N518" s="13"/>
      <c r="O518" s="55"/>
    </row>
    <row r="519" spans="1:15" ht="56.1" customHeight="1" x14ac:dyDescent="0.35">
      <c r="A519" s="37"/>
      <c r="B519" s="37"/>
      <c r="C519" s="37"/>
      <c r="D519" s="78"/>
      <c r="E519" s="103" t="s">
        <v>554</v>
      </c>
      <c r="F519" s="37">
        <v>2020</v>
      </c>
      <c r="G519" s="53"/>
      <c r="H519" s="37"/>
      <c r="I519" s="54">
        <v>100000</v>
      </c>
      <c r="J519" s="54"/>
      <c r="K519" s="54"/>
      <c r="L519" s="54">
        <f>J519+K519</f>
        <v>0</v>
      </c>
      <c r="M519" s="54">
        <f>I519+L519</f>
        <v>100000</v>
      </c>
      <c r="N519" s="37"/>
      <c r="O519" s="20"/>
    </row>
    <row r="520" spans="1:15" s="100" customFormat="1" ht="53.1" customHeight="1" x14ac:dyDescent="0.35">
      <c r="A520" s="13">
        <v>1517330</v>
      </c>
      <c r="B520" s="13">
        <v>7330</v>
      </c>
      <c r="C520" s="14" t="s">
        <v>2</v>
      </c>
      <c r="D520" s="94" t="s">
        <v>25</v>
      </c>
      <c r="E520" s="94"/>
      <c r="F520" s="54"/>
      <c r="G520" s="54"/>
      <c r="H520" s="54"/>
      <c r="I520" s="38">
        <f>I521+I536</f>
        <v>52697855</v>
      </c>
      <c r="J520" s="38">
        <f>J521+J536</f>
        <v>0</v>
      </c>
      <c r="K520" s="38">
        <f>K521+K536</f>
        <v>0</v>
      </c>
      <c r="L520" s="38">
        <f>L521+L536</f>
        <v>0</v>
      </c>
      <c r="M520" s="38">
        <f>M521+M536</f>
        <v>52697855</v>
      </c>
      <c r="N520" s="37"/>
      <c r="O520" s="20"/>
    </row>
    <row r="521" spans="1:15" s="102" customFormat="1" ht="57" customHeight="1" x14ac:dyDescent="0.35">
      <c r="A521" s="105"/>
      <c r="B521" s="105"/>
      <c r="C521" s="105"/>
      <c r="D521" s="22"/>
      <c r="E521" s="16" t="s">
        <v>26</v>
      </c>
      <c r="F521" s="106"/>
      <c r="G521" s="106"/>
      <c r="H521" s="106"/>
      <c r="I521" s="19">
        <f>SUM(I522:I535)</f>
        <v>29003444</v>
      </c>
      <c r="J521" s="19">
        <f>SUM(J522:J535)</f>
        <v>0</v>
      </c>
      <c r="K521" s="19">
        <f>SUM(K522:K535)</f>
        <v>0</v>
      </c>
      <c r="L521" s="19">
        <f>SUM(L522:L535)</f>
        <v>0</v>
      </c>
      <c r="M521" s="19">
        <f>SUM(M522:M535)</f>
        <v>29003444</v>
      </c>
      <c r="N521" s="105"/>
      <c r="O521" s="20"/>
    </row>
    <row r="522" spans="1:15" s="100" customFormat="1" ht="50.1" customHeight="1" x14ac:dyDescent="0.35">
      <c r="A522" s="107"/>
      <c r="B522" s="107"/>
      <c r="C522" s="107"/>
      <c r="D522" s="13"/>
      <c r="E522" s="58" t="s">
        <v>35</v>
      </c>
      <c r="F522" s="37" t="s">
        <v>57</v>
      </c>
      <c r="G522" s="53">
        <v>28556946</v>
      </c>
      <c r="H522" s="70">
        <v>58</v>
      </c>
      <c r="I522" s="54">
        <f>5000000-1000000</f>
        <v>4000000</v>
      </c>
      <c r="J522" s="54"/>
      <c r="K522" s="54"/>
      <c r="L522" s="54">
        <f t="shared" ref="L522:L535" si="235">J522+K522</f>
        <v>0</v>
      </c>
      <c r="M522" s="54">
        <f t="shared" ref="M522:M535" si="236">I522+L522</f>
        <v>4000000</v>
      </c>
      <c r="N522" s="70">
        <v>72</v>
      </c>
      <c r="O522" s="20"/>
    </row>
    <row r="523" spans="1:15" s="100" customFormat="1" ht="45.95" customHeight="1" x14ac:dyDescent="0.35">
      <c r="A523" s="107"/>
      <c r="B523" s="107"/>
      <c r="C523" s="107"/>
      <c r="D523" s="13"/>
      <c r="E523" s="58" t="s">
        <v>63</v>
      </c>
      <c r="F523" s="37" t="s">
        <v>64</v>
      </c>
      <c r="G523" s="53"/>
      <c r="H523" s="37"/>
      <c r="I523" s="54">
        <v>1000000</v>
      </c>
      <c r="J523" s="54"/>
      <c r="K523" s="54"/>
      <c r="L523" s="54">
        <f t="shared" si="235"/>
        <v>0</v>
      </c>
      <c r="M523" s="54">
        <f t="shared" si="236"/>
        <v>1000000</v>
      </c>
      <c r="N523" s="37"/>
      <c r="O523" s="20"/>
    </row>
    <row r="524" spans="1:15" ht="99.95" customHeight="1" x14ac:dyDescent="0.35">
      <c r="A524" s="37"/>
      <c r="B524" s="37"/>
      <c r="C524" s="37"/>
      <c r="D524" s="37"/>
      <c r="E524" s="58" t="s">
        <v>36</v>
      </c>
      <c r="F524" s="37" t="s">
        <v>49</v>
      </c>
      <c r="G524" s="53"/>
      <c r="H524" s="37"/>
      <c r="I524" s="54">
        <f>20200000-500000</f>
        <v>19700000</v>
      </c>
      <c r="J524" s="54"/>
      <c r="K524" s="54"/>
      <c r="L524" s="54">
        <f t="shared" si="235"/>
        <v>0</v>
      </c>
      <c r="M524" s="54">
        <f t="shared" si="236"/>
        <v>19700000</v>
      </c>
      <c r="N524" s="37"/>
      <c r="O524" s="20"/>
    </row>
    <row r="525" spans="1:15" s="100" customFormat="1" ht="45.95" customHeight="1" x14ac:dyDescent="0.2">
      <c r="A525" s="107"/>
      <c r="B525" s="107"/>
      <c r="C525" s="107"/>
      <c r="D525" s="13"/>
      <c r="E525" s="58" t="s">
        <v>55</v>
      </c>
      <c r="F525" s="37">
        <v>2020</v>
      </c>
      <c r="G525" s="53"/>
      <c r="H525" s="37"/>
      <c r="I525" s="54">
        <f>1450000+200000+1000000</f>
        <v>2650000</v>
      </c>
      <c r="J525" s="54"/>
      <c r="K525" s="54"/>
      <c r="L525" s="54">
        <f t="shared" si="235"/>
        <v>0</v>
      </c>
      <c r="M525" s="54">
        <f t="shared" si="236"/>
        <v>2650000</v>
      </c>
      <c r="N525" s="37"/>
      <c r="O525" s="108"/>
    </row>
    <row r="526" spans="1:15" s="100" customFormat="1" ht="54" customHeight="1" x14ac:dyDescent="0.2">
      <c r="A526" s="107"/>
      <c r="B526" s="107"/>
      <c r="C526" s="107"/>
      <c r="D526" s="13"/>
      <c r="E526" s="58" t="s">
        <v>59</v>
      </c>
      <c r="F526" s="37" t="s">
        <v>40</v>
      </c>
      <c r="G526" s="53">
        <v>1609069</v>
      </c>
      <c r="H526" s="37">
        <v>2.8</v>
      </c>
      <c r="I526" s="54">
        <v>500000</v>
      </c>
      <c r="J526" s="54"/>
      <c r="K526" s="54"/>
      <c r="L526" s="54">
        <f t="shared" si="235"/>
        <v>0</v>
      </c>
      <c r="M526" s="54">
        <f t="shared" si="236"/>
        <v>500000</v>
      </c>
      <c r="N526" s="37">
        <v>33.799999999999997</v>
      </c>
      <c r="O526" s="108"/>
    </row>
    <row r="527" spans="1:15" s="100" customFormat="1" ht="63.95" customHeight="1" x14ac:dyDescent="0.2">
      <c r="A527" s="107"/>
      <c r="B527" s="107"/>
      <c r="C527" s="107"/>
      <c r="D527" s="13"/>
      <c r="E527" s="58" t="s">
        <v>535</v>
      </c>
      <c r="F527" s="37">
        <v>2020</v>
      </c>
      <c r="G527" s="53"/>
      <c r="H527" s="37"/>
      <c r="I527" s="54">
        <v>150000</v>
      </c>
      <c r="J527" s="54"/>
      <c r="K527" s="54"/>
      <c r="L527" s="54">
        <f t="shared" ref="L527" si="237">J527+K527</f>
        <v>0</v>
      </c>
      <c r="M527" s="54">
        <f t="shared" ref="M527" si="238">I527+L527</f>
        <v>150000</v>
      </c>
      <c r="N527" s="37"/>
      <c r="O527" s="108"/>
    </row>
    <row r="528" spans="1:15" s="100" customFormat="1" ht="77.099999999999994" customHeight="1" x14ac:dyDescent="0.2">
      <c r="A528" s="107"/>
      <c r="B528" s="107"/>
      <c r="C528" s="107"/>
      <c r="D528" s="13"/>
      <c r="E528" s="58" t="s">
        <v>465</v>
      </c>
      <c r="F528" s="37">
        <v>2020</v>
      </c>
      <c r="G528" s="53"/>
      <c r="H528" s="37"/>
      <c r="I528" s="54">
        <v>88540</v>
      </c>
      <c r="J528" s="54"/>
      <c r="K528" s="54"/>
      <c r="L528" s="54">
        <f t="shared" si="235"/>
        <v>0</v>
      </c>
      <c r="M528" s="54">
        <f t="shared" si="236"/>
        <v>88540</v>
      </c>
      <c r="N528" s="37"/>
      <c r="O528" s="108"/>
    </row>
    <row r="529" spans="1:15" s="100" customFormat="1" ht="74.099999999999994" customHeight="1" x14ac:dyDescent="0.2">
      <c r="A529" s="107"/>
      <c r="B529" s="107"/>
      <c r="C529" s="107"/>
      <c r="D529" s="13"/>
      <c r="E529" s="58" t="s">
        <v>466</v>
      </c>
      <c r="F529" s="37">
        <v>2020</v>
      </c>
      <c r="G529" s="53"/>
      <c r="H529" s="37"/>
      <c r="I529" s="54">
        <v>88540</v>
      </c>
      <c r="J529" s="54"/>
      <c r="K529" s="54"/>
      <c r="L529" s="54">
        <f t="shared" si="235"/>
        <v>0</v>
      </c>
      <c r="M529" s="54">
        <f t="shared" si="236"/>
        <v>88540</v>
      </c>
      <c r="N529" s="37"/>
      <c r="O529" s="108"/>
    </row>
    <row r="530" spans="1:15" s="100" customFormat="1" ht="69.95" customHeight="1" x14ac:dyDescent="0.2">
      <c r="A530" s="107"/>
      <c r="B530" s="107"/>
      <c r="C530" s="107"/>
      <c r="D530" s="13"/>
      <c r="E530" s="58" t="s">
        <v>467</v>
      </c>
      <c r="F530" s="37">
        <v>2020</v>
      </c>
      <c r="G530" s="53"/>
      <c r="H530" s="37"/>
      <c r="I530" s="54">
        <v>108784</v>
      </c>
      <c r="J530" s="54"/>
      <c r="K530" s="54"/>
      <c r="L530" s="54">
        <f t="shared" si="235"/>
        <v>0</v>
      </c>
      <c r="M530" s="54">
        <f t="shared" si="236"/>
        <v>108784</v>
      </c>
      <c r="N530" s="37"/>
      <c r="O530" s="108"/>
    </row>
    <row r="531" spans="1:15" s="100" customFormat="1" ht="69.95" customHeight="1" x14ac:dyDescent="0.2">
      <c r="A531" s="107"/>
      <c r="B531" s="107"/>
      <c r="C531" s="107"/>
      <c r="D531" s="13"/>
      <c r="E531" s="58" t="s">
        <v>509</v>
      </c>
      <c r="F531" s="37">
        <v>2020</v>
      </c>
      <c r="G531" s="53"/>
      <c r="H531" s="37"/>
      <c r="I531" s="54">
        <v>250000</v>
      </c>
      <c r="J531" s="54"/>
      <c r="K531" s="54"/>
      <c r="L531" s="54">
        <f t="shared" si="235"/>
        <v>0</v>
      </c>
      <c r="M531" s="54">
        <f t="shared" si="236"/>
        <v>250000</v>
      </c>
      <c r="N531" s="37"/>
      <c r="O531" s="108"/>
    </row>
    <row r="532" spans="1:15" s="100" customFormat="1" ht="69.95" customHeight="1" x14ac:dyDescent="0.2">
      <c r="A532" s="107"/>
      <c r="B532" s="107"/>
      <c r="C532" s="107"/>
      <c r="D532" s="13"/>
      <c r="E532" s="58" t="s">
        <v>536</v>
      </c>
      <c r="F532" s="37">
        <v>2020</v>
      </c>
      <c r="G532" s="53"/>
      <c r="H532" s="37"/>
      <c r="I532" s="54">
        <v>88540</v>
      </c>
      <c r="J532" s="54"/>
      <c r="K532" s="54"/>
      <c r="L532" s="54">
        <f t="shared" si="235"/>
        <v>0</v>
      </c>
      <c r="M532" s="54">
        <f t="shared" si="236"/>
        <v>88540</v>
      </c>
      <c r="N532" s="37"/>
      <c r="O532" s="108"/>
    </row>
    <row r="533" spans="1:15" s="100" customFormat="1" ht="69.95" customHeight="1" x14ac:dyDescent="0.2">
      <c r="A533" s="107"/>
      <c r="B533" s="107"/>
      <c r="C533" s="107"/>
      <c r="D533" s="13"/>
      <c r="E533" s="58" t="s">
        <v>537</v>
      </c>
      <c r="F533" s="37">
        <v>2020</v>
      </c>
      <c r="G533" s="53"/>
      <c r="H533" s="37"/>
      <c r="I533" s="54">
        <v>88540</v>
      </c>
      <c r="J533" s="54"/>
      <c r="K533" s="54"/>
      <c r="L533" s="54">
        <f t="shared" si="235"/>
        <v>0</v>
      </c>
      <c r="M533" s="54">
        <f t="shared" si="236"/>
        <v>88540</v>
      </c>
      <c r="N533" s="37"/>
      <c r="O533" s="108"/>
    </row>
    <row r="534" spans="1:15" s="100" customFormat="1" ht="69.95" customHeight="1" x14ac:dyDescent="0.2">
      <c r="A534" s="107"/>
      <c r="B534" s="107"/>
      <c r="C534" s="107"/>
      <c r="D534" s="13"/>
      <c r="E534" s="58" t="s">
        <v>538</v>
      </c>
      <c r="F534" s="37">
        <v>2020</v>
      </c>
      <c r="G534" s="53"/>
      <c r="H534" s="37"/>
      <c r="I534" s="54">
        <v>140500</v>
      </c>
      <c r="J534" s="54"/>
      <c r="K534" s="54"/>
      <c r="L534" s="54">
        <f t="shared" si="235"/>
        <v>0</v>
      </c>
      <c r="M534" s="54">
        <f t="shared" si="236"/>
        <v>140500</v>
      </c>
      <c r="N534" s="37"/>
      <c r="O534" s="108"/>
    </row>
    <row r="535" spans="1:15" s="100" customFormat="1" ht="69.95" customHeight="1" x14ac:dyDescent="0.2">
      <c r="A535" s="107"/>
      <c r="B535" s="107"/>
      <c r="C535" s="107"/>
      <c r="D535" s="13"/>
      <c r="E535" s="58" t="s">
        <v>488</v>
      </c>
      <c r="F535" s="37">
        <v>2020</v>
      </c>
      <c r="G535" s="53"/>
      <c r="H535" s="37"/>
      <c r="I535" s="54">
        <v>150000</v>
      </c>
      <c r="J535" s="54"/>
      <c r="K535" s="54"/>
      <c r="L535" s="54">
        <f t="shared" si="235"/>
        <v>0</v>
      </c>
      <c r="M535" s="54">
        <f t="shared" si="236"/>
        <v>150000</v>
      </c>
      <c r="N535" s="37"/>
      <c r="O535" s="108"/>
    </row>
    <row r="536" spans="1:15" s="102" customFormat="1" ht="48" customHeight="1" x14ac:dyDescent="0.2">
      <c r="A536" s="105"/>
      <c r="B536" s="105"/>
      <c r="C536" s="105"/>
      <c r="D536" s="22"/>
      <c r="E536" s="16" t="s">
        <v>27</v>
      </c>
      <c r="F536" s="7"/>
      <c r="G536" s="86"/>
      <c r="H536" s="86"/>
      <c r="I536" s="19">
        <f>SUM(I537:I543)</f>
        <v>23694411</v>
      </c>
      <c r="J536" s="19">
        <f t="shared" ref="J536:M536" si="239">SUM(J537:J543)</f>
        <v>0</v>
      </c>
      <c r="K536" s="19">
        <f t="shared" si="239"/>
        <v>0</v>
      </c>
      <c r="L536" s="19">
        <f t="shared" si="239"/>
        <v>0</v>
      </c>
      <c r="M536" s="19">
        <f t="shared" si="239"/>
        <v>23694411</v>
      </c>
      <c r="N536" s="91"/>
      <c r="O536" s="108"/>
    </row>
    <row r="537" spans="1:15" s="100" customFormat="1" ht="51" customHeight="1" x14ac:dyDescent="0.2">
      <c r="A537" s="107"/>
      <c r="B537" s="107"/>
      <c r="C537" s="107"/>
      <c r="D537" s="13"/>
      <c r="E537" s="58" t="s">
        <v>37</v>
      </c>
      <c r="F537" s="54" t="s">
        <v>50</v>
      </c>
      <c r="G537" s="53">
        <v>1478560</v>
      </c>
      <c r="H537" s="82">
        <v>46.8</v>
      </c>
      <c r="I537" s="54">
        <v>800000</v>
      </c>
      <c r="J537" s="54"/>
      <c r="K537" s="54"/>
      <c r="L537" s="54">
        <f t="shared" ref="L537:L543" si="240">J537+K537</f>
        <v>0</v>
      </c>
      <c r="M537" s="54">
        <f t="shared" ref="M537:M543" si="241">I537+L537</f>
        <v>800000</v>
      </c>
      <c r="N537" s="82">
        <v>100</v>
      </c>
      <c r="O537" s="108"/>
    </row>
    <row r="538" spans="1:15" s="100" customFormat="1" ht="51" customHeight="1" x14ac:dyDescent="0.2">
      <c r="A538" s="107"/>
      <c r="B538" s="107"/>
      <c r="C538" s="107"/>
      <c r="D538" s="13"/>
      <c r="E538" s="58" t="s">
        <v>490</v>
      </c>
      <c r="F538" s="54" t="s">
        <v>50</v>
      </c>
      <c r="G538" s="53">
        <v>14274349</v>
      </c>
      <c r="H538" s="82">
        <v>42.3</v>
      </c>
      <c r="I538" s="54">
        <v>6112208</v>
      </c>
      <c r="J538" s="54"/>
      <c r="K538" s="54"/>
      <c r="L538" s="54">
        <f t="shared" si="240"/>
        <v>0</v>
      </c>
      <c r="M538" s="54">
        <f t="shared" si="241"/>
        <v>6112208</v>
      </c>
      <c r="N538" s="82">
        <v>100</v>
      </c>
      <c r="O538" s="108"/>
    </row>
    <row r="539" spans="1:15" s="100" customFormat="1" ht="51" customHeight="1" x14ac:dyDescent="0.2">
      <c r="A539" s="107"/>
      <c r="B539" s="107"/>
      <c r="C539" s="107"/>
      <c r="D539" s="13"/>
      <c r="E539" s="58" t="s">
        <v>491</v>
      </c>
      <c r="F539" s="54" t="s">
        <v>492</v>
      </c>
      <c r="G539" s="53">
        <v>31834662</v>
      </c>
      <c r="H539" s="82">
        <v>74.099999999999994</v>
      </c>
      <c r="I539" s="54">
        <v>1922052</v>
      </c>
      <c r="J539" s="54"/>
      <c r="K539" s="54"/>
      <c r="L539" s="54">
        <f t="shared" si="240"/>
        <v>0</v>
      </c>
      <c r="M539" s="54">
        <f t="shared" si="241"/>
        <v>1922052</v>
      </c>
      <c r="N539" s="82">
        <v>100</v>
      </c>
      <c r="O539" s="108"/>
    </row>
    <row r="540" spans="1:15" s="100" customFormat="1" ht="54" customHeight="1" x14ac:dyDescent="0.2">
      <c r="A540" s="107"/>
      <c r="B540" s="107"/>
      <c r="C540" s="107"/>
      <c r="D540" s="13"/>
      <c r="E540" s="58" t="s">
        <v>60</v>
      </c>
      <c r="F540" s="37" t="s">
        <v>50</v>
      </c>
      <c r="G540" s="53">
        <v>2393868</v>
      </c>
      <c r="H540" s="82">
        <v>4.8</v>
      </c>
      <c r="I540" s="54">
        <f>300000+2000000</f>
        <v>2300000</v>
      </c>
      <c r="J540" s="54"/>
      <c r="K540" s="54"/>
      <c r="L540" s="54">
        <f t="shared" si="240"/>
        <v>0</v>
      </c>
      <c r="M540" s="54">
        <f t="shared" si="241"/>
        <v>2300000</v>
      </c>
      <c r="N540" s="82">
        <v>100</v>
      </c>
      <c r="O540" s="108"/>
    </row>
    <row r="541" spans="1:15" s="100" customFormat="1" x14ac:dyDescent="0.2">
      <c r="A541" s="107"/>
      <c r="B541" s="107"/>
      <c r="C541" s="107"/>
      <c r="D541" s="13"/>
      <c r="E541" s="58" t="s">
        <v>38</v>
      </c>
      <c r="F541" s="54" t="s">
        <v>51</v>
      </c>
      <c r="G541" s="53"/>
      <c r="H541" s="53"/>
      <c r="I541" s="54">
        <f>13500000-1800000</f>
        <v>11700000</v>
      </c>
      <c r="J541" s="54"/>
      <c r="K541" s="54"/>
      <c r="L541" s="54">
        <f t="shared" si="240"/>
        <v>0</v>
      </c>
      <c r="M541" s="54">
        <f t="shared" si="241"/>
        <v>11700000</v>
      </c>
      <c r="N541" s="82"/>
      <c r="O541" s="108"/>
    </row>
    <row r="542" spans="1:15" s="100" customFormat="1" ht="45" customHeight="1" x14ac:dyDescent="0.2">
      <c r="A542" s="107"/>
      <c r="B542" s="107"/>
      <c r="C542" s="107"/>
      <c r="D542" s="78"/>
      <c r="E542" s="58" t="s">
        <v>251</v>
      </c>
      <c r="F542" s="37">
        <v>2020</v>
      </c>
      <c r="G542" s="53"/>
      <c r="H542" s="53"/>
      <c r="I542" s="54">
        <v>300000</v>
      </c>
      <c r="J542" s="54"/>
      <c r="K542" s="54"/>
      <c r="L542" s="54">
        <f t="shared" si="240"/>
        <v>0</v>
      </c>
      <c r="M542" s="54">
        <f t="shared" si="241"/>
        <v>300000</v>
      </c>
      <c r="N542" s="82"/>
      <c r="O542" s="108"/>
    </row>
    <row r="543" spans="1:15" s="100" customFormat="1" ht="62.1" customHeight="1" x14ac:dyDescent="0.2">
      <c r="A543" s="107"/>
      <c r="B543" s="107"/>
      <c r="C543" s="107"/>
      <c r="D543" s="78"/>
      <c r="E543" s="58" t="s">
        <v>73</v>
      </c>
      <c r="F543" s="54" t="s">
        <v>40</v>
      </c>
      <c r="G543" s="53">
        <v>4183025</v>
      </c>
      <c r="H543" s="82">
        <v>68</v>
      </c>
      <c r="I543" s="54">
        <v>560151</v>
      </c>
      <c r="J543" s="54"/>
      <c r="K543" s="54"/>
      <c r="L543" s="54">
        <f t="shared" si="240"/>
        <v>0</v>
      </c>
      <c r="M543" s="54">
        <f t="shared" si="241"/>
        <v>560151</v>
      </c>
      <c r="N543" s="82">
        <v>81.2</v>
      </c>
      <c r="O543" s="108"/>
    </row>
    <row r="544" spans="1:15" ht="111" customHeight="1" x14ac:dyDescent="0.35">
      <c r="A544" s="13">
        <v>1517361</v>
      </c>
      <c r="B544" s="13">
        <v>7361</v>
      </c>
      <c r="C544" s="14" t="s">
        <v>100</v>
      </c>
      <c r="D544" s="15" t="s">
        <v>599</v>
      </c>
      <c r="E544" s="16" t="s">
        <v>26</v>
      </c>
      <c r="F544" s="37"/>
      <c r="G544" s="37"/>
      <c r="H544" s="37"/>
      <c r="I544" s="38">
        <f>I545</f>
        <v>0</v>
      </c>
      <c r="J544" s="38">
        <f t="shared" ref="J544:M544" si="242">J545</f>
        <v>5000000</v>
      </c>
      <c r="K544" s="38">
        <f t="shared" si="242"/>
        <v>0</v>
      </c>
      <c r="L544" s="38">
        <f t="shared" si="242"/>
        <v>5000000</v>
      </c>
      <c r="M544" s="38">
        <f t="shared" si="242"/>
        <v>5000000</v>
      </c>
      <c r="N544" s="37"/>
      <c r="O544" s="20"/>
    </row>
    <row r="545" spans="1:15" ht="75.95" customHeight="1" x14ac:dyDescent="0.35">
      <c r="A545" s="37"/>
      <c r="B545" s="37"/>
      <c r="C545" s="37"/>
      <c r="D545" s="37"/>
      <c r="E545" s="58" t="s">
        <v>32</v>
      </c>
      <c r="F545" s="37" t="s">
        <v>47</v>
      </c>
      <c r="G545" s="53">
        <v>77987328</v>
      </c>
      <c r="H545" s="37">
        <v>0.9</v>
      </c>
      <c r="I545" s="54"/>
      <c r="J545" s="54">
        <v>5000000</v>
      </c>
      <c r="K545" s="54"/>
      <c r="L545" s="54">
        <f t="shared" ref="L545" si="243">J545+K545</f>
        <v>5000000</v>
      </c>
      <c r="M545" s="54">
        <f t="shared" ref="M545" si="244">I545+L545</f>
        <v>5000000</v>
      </c>
      <c r="N545" s="37">
        <v>7.3</v>
      </c>
      <c r="O545" s="20"/>
    </row>
    <row r="546" spans="1:15" s="100" customFormat="1" ht="98.45" customHeight="1" x14ac:dyDescent="0.2">
      <c r="A546" s="13">
        <v>1517363</v>
      </c>
      <c r="B546" s="13">
        <v>7363</v>
      </c>
      <c r="C546" s="14" t="s">
        <v>100</v>
      </c>
      <c r="D546" s="94" t="s">
        <v>249</v>
      </c>
      <c r="E546" s="16" t="s">
        <v>179</v>
      </c>
      <c r="F546" s="54"/>
      <c r="G546" s="53"/>
      <c r="H546" s="53"/>
      <c r="I546" s="38">
        <f>I547</f>
        <v>95000</v>
      </c>
      <c r="J546" s="38">
        <f t="shared" ref="J546:M546" si="245">J547</f>
        <v>0</v>
      </c>
      <c r="K546" s="38">
        <f t="shared" si="245"/>
        <v>0</v>
      </c>
      <c r="L546" s="38">
        <f t="shared" si="245"/>
        <v>0</v>
      </c>
      <c r="M546" s="38">
        <f t="shared" si="245"/>
        <v>95000</v>
      </c>
      <c r="N546" s="82"/>
      <c r="O546" s="108"/>
    </row>
    <row r="547" spans="1:15" s="102" customFormat="1" ht="68.099999999999994" hidden="1" customHeight="1" x14ac:dyDescent="0.2">
      <c r="A547" s="105"/>
      <c r="B547" s="105"/>
      <c r="C547" s="105"/>
      <c r="D547" s="78"/>
      <c r="E547" s="66" t="s">
        <v>250</v>
      </c>
      <c r="F547" s="54" t="s">
        <v>50</v>
      </c>
      <c r="G547" s="53">
        <v>299822</v>
      </c>
      <c r="H547" s="82">
        <v>65.900000000000006</v>
      </c>
      <c r="I547" s="54">
        <v>95000</v>
      </c>
      <c r="J547" s="54"/>
      <c r="K547" s="54"/>
      <c r="L547" s="54">
        <f t="shared" ref="L547" si="246">J547+K547</f>
        <v>0</v>
      </c>
      <c r="M547" s="54">
        <f t="shared" ref="M547" si="247">I547+L547</f>
        <v>95000</v>
      </c>
      <c r="N547" s="53">
        <v>100</v>
      </c>
      <c r="O547" s="108"/>
    </row>
    <row r="548" spans="1:15" s="100" customFormat="1" ht="31.5" customHeight="1" x14ac:dyDescent="0.2">
      <c r="A548" s="13">
        <v>1517640</v>
      </c>
      <c r="B548" s="13">
        <v>7640</v>
      </c>
      <c r="C548" s="107"/>
      <c r="D548" s="94" t="s">
        <v>6</v>
      </c>
      <c r="E548" s="107"/>
      <c r="F548" s="54"/>
      <c r="G548" s="53"/>
      <c r="H548" s="53"/>
      <c r="I548" s="38">
        <f>I549+I553</f>
        <v>74352548</v>
      </c>
      <c r="J548" s="38">
        <f t="shared" ref="J548:M548" si="248">J549+J553</f>
        <v>0</v>
      </c>
      <c r="K548" s="38">
        <f t="shared" si="248"/>
        <v>0</v>
      </c>
      <c r="L548" s="38">
        <f t="shared" si="248"/>
        <v>0</v>
      </c>
      <c r="M548" s="38">
        <f t="shared" si="248"/>
        <v>74352548</v>
      </c>
      <c r="N548" s="82"/>
      <c r="O548" s="108"/>
    </row>
    <row r="549" spans="1:15" s="112" customFormat="1" ht="35.1" customHeight="1" x14ac:dyDescent="0.2">
      <c r="A549" s="22"/>
      <c r="B549" s="22"/>
      <c r="C549" s="109"/>
      <c r="D549" s="95"/>
      <c r="E549" s="16" t="s">
        <v>179</v>
      </c>
      <c r="F549" s="19"/>
      <c r="G549" s="110"/>
      <c r="H549" s="110"/>
      <c r="I549" s="19">
        <f>I550+I551+I552</f>
        <v>53264206</v>
      </c>
      <c r="J549" s="19">
        <f t="shared" ref="J549:M549" si="249">J550+J551+J552</f>
        <v>0</v>
      </c>
      <c r="K549" s="19">
        <f t="shared" si="249"/>
        <v>0</v>
      </c>
      <c r="L549" s="19">
        <f t="shared" si="249"/>
        <v>0</v>
      </c>
      <c r="M549" s="19">
        <f t="shared" si="249"/>
        <v>53264206</v>
      </c>
      <c r="N549" s="111"/>
      <c r="O549" s="108"/>
    </row>
    <row r="550" spans="1:15" s="100" customFormat="1" ht="71.099999999999994" hidden="1" customHeight="1" x14ac:dyDescent="0.2">
      <c r="A550" s="13"/>
      <c r="B550" s="13"/>
      <c r="C550" s="107"/>
      <c r="D550" s="94"/>
      <c r="E550" s="66" t="s">
        <v>364</v>
      </c>
      <c r="F550" s="54" t="s">
        <v>67</v>
      </c>
      <c r="G550" s="53"/>
      <c r="H550" s="53"/>
      <c r="I550" s="54">
        <v>500000</v>
      </c>
      <c r="J550" s="54"/>
      <c r="K550" s="54"/>
      <c r="L550" s="54">
        <f t="shared" ref="L550:L552" si="250">J550+K550</f>
        <v>0</v>
      </c>
      <c r="M550" s="54">
        <f t="shared" ref="M550:M552" si="251">I550+L550</f>
        <v>500000</v>
      </c>
      <c r="N550" s="82"/>
      <c r="O550" s="108"/>
    </row>
    <row r="551" spans="1:15" s="100" customFormat="1" ht="108" hidden="1" customHeight="1" x14ac:dyDescent="0.2">
      <c r="A551" s="13"/>
      <c r="B551" s="13"/>
      <c r="C551" s="107"/>
      <c r="D551" s="94"/>
      <c r="E551" s="66" t="s">
        <v>365</v>
      </c>
      <c r="F551" s="37">
        <v>2020</v>
      </c>
      <c r="G551" s="53"/>
      <c r="H551" s="53"/>
      <c r="I551" s="54">
        <v>52374648</v>
      </c>
      <c r="J551" s="54"/>
      <c r="K551" s="54"/>
      <c r="L551" s="54">
        <f t="shared" si="250"/>
        <v>0</v>
      </c>
      <c r="M551" s="54">
        <f t="shared" si="251"/>
        <v>52374648</v>
      </c>
      <c r="N551" s="82"/>
      <c r="O551" s="108"/>
    </row>
    <row r="552" spans="1:15" s="100" customFormat="1" ht="63.95" hidden="1" customHeight="1" x14ac:dyDescent="0.2">
      <c r="A552" s="13"/>
      <c r="B552" s="13"/>
      <c r="C552" s="107"/>
      <c r="D552" s="94"/>
      <c r="E552" s="66" t="s">
        <v>371</v>
      </c>
      <c r="F552" s="37">
        <v>2020</v>
      </c>
      <c r="G552" s="53"/>
      <c r="H552" s="53"/>
      <c r="I552" s="54">
        <v>389558</v>
      </c>
      <c r="J552" s="54"/>
      <c r="K552" s="54"/>
      <c r="L552" s="54">
        <f t="shared" si="250"/>
        <v>0</v>
      </c>
      <c r="M552" s="54">
        <f t="shared" si="251"/>
        <v>389558</v>
      </c>
      <c r="N552" s="82"/>
      <c r="O552" s="108"/>
    </row>
    <row r="553" spans="1:15" s="100" customFormat="1" ht="50.1" customHeight="1" x14ac:dyDescent="0.2">
      <c r="A553" s="13"/>
      <c r="B553" s="13"/>
      <c r="C553" s="107"/>
      <c r="D553" s="94"/>
      <c r="E553" s="16" t="s">
        <v>363</v>
      </c>
      <c r="F553" s="54"/>
      <c r="G553" s="53"/>
      <c r="H553" s="53"/>
      <c r="I553" s="19">
        <f>SUM(I554:I556)</f>
        <v>21088342</v>
      </c>
      <c r="J553" s="19">
        <f>SUM(J554:J556)</f>
        <v>0</v>
      </c>
      <c r="K553" s="19">
        <f>SUM(K554:K556)</f>
        <v>0</v>
      </c>
      <c r="L553" s="19">
        <f>SUM(L554:L556)</f>
        <v>0</v>
      </c>
      <c r="M553" s="19">
        <f>SUM(M554:M556)</f>
        <v>21088342</v>
      </c>
      <c r="N553" s="82"/>
      <c r="O553" s="108"/>
    </row>
    <row r="554" spans="1:15" s="100" customFormat="1" ht="66" customHeight="1" x14ac:dyDescent="0.2">
      <c r="A554" s="13"/>
      <c r="B554" s="13"/>
      <c r="C554" s="107"/>
      <c r="D554" s="94"/>
      <c r="E554" s="66" t="s">
        <v>41</v>
      </c>
      <c r="F554" s="54" t="s">
        <v>57</v>
      </c>
      <c r="G554" s="53">
        <v>25179181</v>
      </c>
      <c r="H554" s="82">
        <v>73.8</v>
      </c>
      <c r="I554" s="54">
        <v>2000000</v>
      </c>
      <c r="J554" s="54"/>
      <c r="K554" s="54"/>
      <c r="L554" s="54">
        <f t="shared" ref="L554:L556" si="252">J554+K554</f>
        <v>0</v>
      </c>
      <c r="M554" s="54">
        <f t="shared" ref="M554:M556" si="253">I554+L554</f>
        <v>2000000</v>
      </c>
      <c r="N554" s="82">
        <v>81.7</v>
      </c>
      <c r="O554" s="108"/>
    </row>
    <row r="555" spans="1:15" s="100" customFormat="1" ht="90" customHeight="1" x14ac:dyDescent="0.2">
      <c r="A555" s="13"/>
      <c r="B555" s="13"/>
      <c r="C555" s="14"/>
      <c r="D555" s="94"/>
      <c r="E555" s="66" t="s">
        <v>42</v>
      </c>
      <c r="F555" s="53" t="s">
        <v>40</v>
      </c>
      <c r="G555" s="53"/>
      <c r="H555" s="53"/>
      <c r="I555" s="54">
        <v>6232928</v>
      </c>
      <c r="J555" s="54"/>
      <c r="K555" s="54"/>
      <c r="L555" s="54">
        <f t="shared" si="252"/>
        <v>0</v>
      </c>
      <c r="M555" s="54">
        <f t="shared" si="253"/>
        <v>6232928</v>
      </c>
      <c r="N555" s="82"/>
    </row>
    <row r="556" spans="1:15" s="100" customFormat="1" ht="69" customHeight="1" x14ac:dyDescent="0.2">
      <c r="A556" s="13"/>
      <c r="B556" s="13"/>
      <c r="C556" s="14"/>
      <c r="D556" s="94"/>
      <c r="E556" s="66" t="s">
        <v>43</v>
      </c>
      <c r="F556" s="53" t="s">
        <v>40</v>
      </c>
      <c r="G556" s="53"/>
      <c r="H556" s="53"/>
      <c r="I556" s="54">
        <v>12855414</v>
      </c>
      <c r="J556" s="54"/>
      <c r="K556" s="54"/>
      <c r="L556" s="54">
        <f t="shared" si="252"/>
        <v>0</v>
      </c>
      <c r="M556" s="54">
        <f t="shared" si="253"/>
        <v>12855414</v>
      </c>
      <c r="N556" s="82"/>
    </row>
    <row r="557" spans="1:15" s="100" customFormat="1" ht="84.6" hidden="1" customHeight="1" x14ac:dyDescent="0.2">
      <c r="A557" s="67" t="s">
        <v>174</v>
      </c>
      <c r="B557" s="76"/>
      <c r="C557" s="76"/>
      <c r="D557" s="71" t="s">
        <v>175</v>
      </c>
      <c r="E557" s="66"/>
      <c r="F557" s="53"/>
      <c r="G557" s="53"/>
      <c r="H557" s="53"/>
      <c r="I557" s="38">
        <f>I558</f>
        <v>100000</v>
      </c>
      <c r="J557" s="38">
        <f t="shared" ref="J557:M557" si="254">J558</f>
        <v>0</v>
      </c>
      <c r="K557" s="38">
        <f t="shared" si="254"/>
        <v>0</v>
      </c>
      <c r="L557" s="38">
        <f t="shared" si="254"/>
        <v>0</v>
      </c>
      <c r="M557" s="38">
        <f t="shared" si="254"/>
        <v>100000</v>
      </c>
      <c r="N557" s="82"/>
    </row>
    <row r="558" spans="1:15" s="101" customFormat="1" ht="64.5" customHeight="1" x14ac:dyDescent="0.2">
      <c r="A558" s="68" t="s">
        <v>176</v>
      </c>
      <c r="B558" s="77"/>
      <c r="C558" s="77"/>
      <c r="D558" s="72" t="s">
        <v>175</v>
      </c>
      <c r="E558" s="113"/>
      <c r="F558" s="114"/>
      <c r="G558" s="114"/>
      <c r="H558" s="114"/>
      <c r="I558" s="42">
        <f>I559+I560+I561</f>
        <v>100000</v>
      </c>
      <c r="J558" s="42">
        <f t="shared" ref="J558:M558" si="255">J559+J560+J561</f>
        <v>0</v>
      </c>
      <c r="K558" s="42">
        <f>K559+K560+K561</f>
        <v>0</v>
      </c>
      <c r="L558" s="42">
        <f t="shared" si="255"/>
        <v>0</v>
      </c>
      <c r="M558" s="42">
        <f t="shared" si="255"/>
        <v>100000</v>
      </c>
      <c r="N558" s="115"/>
    </row>
    <row r="559" spans="1:15" s="100" customFormat="1" ht="104.1" customHeight="1" x14ac:dyDescent="0.2">
      <c r="A559" s="37">
        <v>3110160</v>
      </c>
      <c r="B559" s="57" t="s">
        <v>80</v>
      </c>
      <c r="C559" s="57" t="s">
        <v>78</v>
      </c>
      <c r="D559" s="58" t="s">
        <v>79</v>
      </c>
      <c r="E559" s="92" t="s">
        <v>180</v>
      </c>
      <c r="F559" s="53"/>
      <c r="G559" s="53"/>
      <c r="H559" s="53"/>
      <c r="I559" s="54">
        <v>25000</v>
      </c>
      <c r="J559" s="54"/>
      <c r="K559" s="54"/>
      <c r="L559" s="54">
        <f t="shared" ref="L559:L561" si="256">J559+K559</f>
        <v>0</v>
      </c>
      <c r="M559" s="54">
        <f t="shared" ref="M559:M561" si="257">I559+L559</f>
        <v>25000</v>
      </c>
      <c r="N559" s="82"/>
    </row>
    <row r="560" spans="1:15" s="100" customFormat="1" ht="74.099999999999994" customHeight="1" x14ac:dyDescent="0.2">
      <c r="A560" s="37">
        <v>3117650</v>
      </c>
      <c r="B560" s="37">
        <v>7650</v>
      </c>
      <c r="C560" s="57" t="s">
        <v>100</v>
      </c>
      <c r="D560" s="66" t="s">
        <v>177</v>
      </c>
      <c r="E560" s="92" t="s">
        <v>186</v>
      </c>
      <c r="F560" s="53"/>
      <c r="G560" s="53"/>
      <c r="H560" s="53"/>
      <c r="I560" s="54">
        <v>30000</v>
      </c>
      <c r="J560" s="54"/>
      <c r="K560" s="54"/>
      <c r="L560" s="54">
        <f t="shared" si="256"/>
        <v>0</v>
      </c>
      <c r="M560" s="54">
        <f t="shared" si="257"/>
        <v>30000</v>
      </c>
      <c r="N560" s="82"/>
    </row>
    <row r="561" spans="1:15" s="100" customFormat="1" ht="120" customHeight="1" x14ac:dyDescent="0.2">
      <c r="A561" s="37">
        <v>3117660</v>
      </c>
      <c r="B561" s="37">
        <v>7660</v>
      </c>
      <c r="C561" s="57" t="s">
        <v>100</v>
      </c>
      <c r="D561" s="66" t="s">
        <v>178</v>
      </c>
      <c r="E561" s="92" t="s">
        <v>186</v>
      </c>
      <c r="F561" s="53"/>
      <c r="G561" s="53"/>
      <c r="H561" s="53"/>
      <c r="I561" s="54">
        <v>45000</v>
      </c>
      <c r="J561" s="54"/>
      <c r="K561" s="54"/>
      <c r="L561" s="54">
        <f t="shared" si="256"/>
        <v>0</v>
      </c>
      <c r="M561" s="54">
        <f t="shared" si="257"/>
        <v>45000</v>
      </c>
      <c r="N561" s="82"/>
    </row>
    <row r="562" spans="1:15" s="44" customFormat="1" ht="29.45" customHeight="1" x14ac:dyDescent="0.4">
      <c r="A562" s="116"/>
      <c r="B562" s="116"/>
      <c r="C562" s="116"/>
      <c r="D562" s="62" t="s">
        <v>7</v>
      </c>
      <c r="E562" s="116"/>
      <c r="F562" s="116"/>
      <c r="G562" s="116"/>
      <c r="H562" s="116"/>
      <c r="I562" s="42">
        <f>I11+I34+I153+I160+I168+I171+I178+I422+I425+I557</f>
        <v>474602266.97000003</v>
      </c>
      <c r="J562" s="42">
        <f>J11+J34+J153+J160+J168+J171+J178+J422+J425+J557</f>
        <v>6113</v>
      </c>
      <c r="K562" s="42">
        <f>K11+K34+K153+K160+K168+K171+K178+K422+K425+K557</f>
        <v>0</v>
      </c>
      <c r="L562" s="42">
        <f>L11+L34+L153+L160+L168+L171+L178+L422+L425+L557</f>
        <v>6113</v>
      </c>
      <c r="M562" s="42">
        <f>M11+M34+M153+M160+M168+M171+M178+M422+M425+M557</f>
        <v>474608379.97000003</v>
      </c>
      <c r="N562" s="116"/>
      <c r="O562" s="101"/>
    </row>
    <row r="563" spans="1:15" s="119" customFormat="1" ht="47.1" customHeight="1" x14ac:dyDescent="0.4">
      <c r="A563" s="116"/>
      <c r="B563" s="116"/>
      <c r="C563" s="116"/>
      <c r="D563" s="117" t="s">
        <v>105</v>
      </c>
      <c r="E563" s="116"/>
      <c r="F563" s="116"/>
      <c r="G563" s="116"/>
      <c r="H563" s="116"/>
      <c r="I563" s="118">
        <f>I36+I180</f>
        <v>2015506.9300000002</v>
      </c>
      <c r="J563" s="118">
        <f>J36+J180</f>
        <v>0</v>
      </c>
      <c r="K563" s="118">
        <f>K36+K180</f>
        <v>0</v>
      </c>
      <c r="L563" s="118">
        <f>L36+L180</f>
        <v>0</v>
      </c>
      <c r="M563" s="118">
        <f>M36+M180</f>
        <v>2015506.9300000002</v>
      </c>
      <c r="N563" s="116"/>
      <c r="O563" s="101"/>
    </row>
    <row r="564" spans="1:15" x14ac:dyDescent="0.35">
      <c r="O564" s="100"/>
    </row>
    <row r="565" spans="1:15" x14ac:dyDescent="0.35">
      <c r="O565" s="100"/>
    </row>
    <row r="566" spans="1:15" x14ac:dyDescent="0.35">
      <c r="O566" s="100"/>
    </row>
    <row r="567" spans="1:15" s="120" customFormat="1" ht="40.5" customHeight="1" x14ac:dyDescent="0.35">
      <c r="B567" s="121"/>
      <c r="C567" s="121"/>
      <c r="D567" s="121" t="s">
        <v>610</v>
      </c>
      <c r="E567" s="121"/>
      <c r="I567" s="122"/>
      <c r="J567" s="122"/>
      <c r="K567" s="122"/>
      <c r="L567" s="123"/>
      <c r="M567" s="120" t="s">
        <v>611</v>
      </c>
      <c r="O567" s="124"/>
    </row>
    <row r="568" spans="1:15" s="127" customFormat="1" ht="15" customHeight="1" x14ac:dyDescent="0.35">
      <c r="A568" s="125"/>
      <c r="B568" s="125"/>
      <c r="C568" s="125"/>
      <c r="D568" s="3"/>
      <c r="E568" s="3"/>
      <c r="F568" s="3"/>
      <c r="G568" s="3"/>
      <c r="H568" s="3"/>
      <c r="I568" s="3"/>
      <c r="J568" s="3"/>
      <c r="K568" s="3"/>
      <c r="L568" s="126"/>
      <c r="M568" s="3"/>
    </row>
  </sheetData>
  <mergeCells count="16">
    <mergeCell ref="J8:K8"/>
    <mergeCell ref="L8:L9"/>
    <mergeCell ref="M8:M9"/>
    <mergeCell ref="N8:N9"/>
    <mergeCell ref="A5:N5"/>
    <mergeCell ref="A6:N6"/>
    <mergeCell ref="A7:B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44" firstPageNumber="3" fitToHeight="72" orientation="landscape" useFirstPageNumber="1" verticalDpi="300" r:id="rId1"/>
  <headerFooter>
    <oddFooter>&amp;R&amp;"Times New Roman,обычный"&amp;22&amp;P</oddFooter>
  </headerFooter>
  <rowBreaks count="1" manualBreakCount="1">
    <brk id="5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ВК</vt:lpstr>
      <vt:lpstr>'додаток ВК'!Заголовки_для_печати</vt:lpstr>
      <vt:lpstr>'додаток ВК'!Область_печати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Igor</cp:lastModifiedBy>
  <cp:lastPrinted>2020-03-13T14:42:53Z</cp:lastPrinted>
  <dcterms:created xsi:type="dcterms:W3CDTF">2018-10-18T06:20:50Z</dcterms:created>
  <dcterms:modified xsi:type="dcterms:W3CDTF">2020-03-13T22:03:22Z</dcterms:modified>
</cp:coreProperties>
</file>