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kova_y\Desktop\Мої документи 2020\Рішення виконавчого комітету\АТ СНВО встан тарифів до 1 червня 2020\рішення\"/>
    </mc:Choice>
  </mc:AlternateContent>
  <bookViews>
    <workbookView xWindow="0" yWindow="0" windowWidth="28800" windowHeight="12300"/>
  </bookViews>
  <sheets>
    <sheet name="тариф" sheetId="6" r:id="rId1"/>
    <sheet name="виробництво" sheetId="1" r:id="rId2"/>
    <sheet name="транспортування" sheetId="3" r:id="rId3"/>
    <sheet name="постачання" sheetId="4" r:id="rId4"/>
    <sheet name="ГВП" sheetId="8" r:id="rId5"/>
  </sheets>
  <externalReferences>
    <externalReference r:id="rId6"/>
    <externalReference r:id="rId7"/>
    <externalReference r:id="rId8"/>
  </externalReferences>
  <definedNames>
    <definedName name="_xlnm.Print_Area" localSheetId="3">постачання!$A$1:$K$48</definedName>
    <definedName name="_xlnm.Print_Area" localSheetId="0">тариф!$B$2:$L$60</definedName>
  </definedNames>
  <calcPr calcId="162913" iterateDelta="1E-4"/>
</workbook>
</file>

<file path=xl/calcChain.xml><?xml version="1.0" encoding="utf-8"?>
<calcChain xmlns="http://schemas.openxmlformats.org/spreadsheetml/2006/main">
  <c r="D33" i="8" l="1"/>
  <c r="C33" i="8"/>
  <c r="D31" i="8"/>
  <c r="C31" i="8"/>
  <c r="G29" i="8"/>
  <c r="F29" i="8"/>
  <c r="E29" i="8"/>
  <c r="G27" i="8"/>
  <c r="F27" i="8"/>
  <c r="E27" i="8"/>
  <c r="G25" i="8"/>
  <c r="F25" i="8"/>
  <c r="E25" i="8"/>
  <c r="G24" i="8"/>
  <c r="F24" i="8"/>
  <c r="E24" i="8"/>
  <c r="D22" i="8"/>
  <c r="C22" i="8"/>
  <c r="G17" i="8"/>
  <c r="F17" i="8"/>
  <c r="E17" i="8"/>
  <c r="D17" i="8"/>
  <c r="C17" i="8"/>
  <c r="L54" i="6"/>
  <c r="J52" i="6"/>
  <c r="H52" i="6"/>
  <c r="F52" i="6"/>
  <c r="D52" i="6"/>
  <c r="J50" i="6"/>
  <c r="H50" i="6"/>
  <c r="F50" i="6"/>
  <c r="D50" i="6"/>
  <c r="L49" i="6"/>
  <c r="K47" i="6"/>
  <c r="J47" i="6"/>
  <c r="I47" i="6"/>
  <c r="H47" i="6"/>
  <c r="G47" i="6"/>
  <c r="F47" i="6"/>
  <c r="K46" i="6"/>
  <c r="J46" i="6"/>
  <c r="I46" i="6"/>
  <c r="G46" i="6"/>
  <c r="F46" i="6" s="1"/>
  <c r="J45" i="6"/>
  <c r="H45" i="6"/>
  <c r="F45" i="6"/>
  <c r="D45" i="6"/>
  <c r="K44" i="6"/>
  <c r="J44" i="6"/>
  <c r="I44" i="6"/>
  <c r="H44" i="6"/>
  <c r="G44" i="6"/>
  <c r="F44" i="6"/>
  <c r="D44" i="6"/>
  <c r="K43" i="6"/>
  <c r="J43" i="6"/>
  <c r="I43" i="6"/>
  <c r="H43" i="6"/>
  <c r="G43" i="6"/>
  <c r="F43" i="6"/>
  <c r="K41" i="6"/>
  <c r="J41" i="6" s="1"/>
  <c r="I41" i="6"/>
  <c r="H41" i="6" s="1"/>
  <c r="G41" i="6"/>
  <c r="F41" i="6" s="1"/>
  <c r="E41" i="6"/>
  <c r="D41" i="6" s="1"/>
  <c r="K40" i="6"/>
  <c r="J40" i="6" s="1"/>
  <c r="I40" i="6"/>
  <c r="G40" i="6"/>
  <c r="F40" i="6" s="1"/>
  <c r="E40" i="6"/>
  <c r="K32" i="6"/>
  <c r="J32" i="6" s="1"/>
  <c r="I32" i="6"/>
  <c r="G32" i="6"/>
  <c r="F32" i="6" s="1"/>
  <c r="E32" i="6"/>
  <c r="K31" i="6"/>
  <c r="J31" i="6" s="1"/>
  <c r="I31" i="6"/>
  <c r="G31" i="6"/>
  <c r="F31" i="6" s="1"/>
  <c r="E31" i="6"/>
  <c r="K30" i="6"/>
  <c r="J30" i="6" s="1"/>
  <c r="I30" i="6"/>
  <c r="G30" i="6"/>
  <c r="F30" i="6" s="1"/>
  <c r="E30" i="6"/>
  <c r="K28" i="6"/>
  <c r="I28" i="6"/>
  <c r="H28" i="6" s="1"/>
  <c r="G28" i="6"/>
  <c r="F28" i="6" s="1"/>
  <c r="E28" i="6"/>
  <c r="K27" i="6"/>
  <c r="I27" i="6"/>
  <c r="H27" i="6" s="1"/>
  <c r="G27" i="6"/>
  <c r="F27" i="6" s="1"/>
  <c r="E27" i="6"/>
  <c r="K26" i="6"/>
  <c r="I26" i="6"/>
  <c r="H26" i="6" s="1"/>
  <c r="H25" i="6" s="1"/>
  <c r="G26" i="6"/>
  <c r="F26" i="6" s="1"/>
  <c r="F25" i="6" s="1"/>
  <c r="E26" i="6"/>
  <c r="E25" i="6" s="1"/>
  <c r="K25" i="6"/>
  <c r="I25" i="6"/>
  <c r="K24" i="6"/>
  <c r="I24" i="6"/>
  <c r="G24" i="6"/>
  <c r="F24" i="6" s="1"/>
  <c r="E24" i="6"/>
  <c r="K23" i="6"/>
  <c r="I23" i="6"/>
  <c r="G23" i="6"/>
  <c r="F23" i="6" s="1"/>
  <c r="E23" i="6"/>
  <c r="K22" i="6"/>
  <c r="I22" i="6"/>
  <c r="G22" i="6"/>
  <c r="F22" i="6" s="1"/>
  <c r="E22" i="6"/>
  <c r="K21" i="6"/>
  <c r="K20" i="6"/>
  <c r="I20" i="6"/>
  <c r="H20" i="6" s="1"/>
  <c r="G20" i="6"/>
  <c r="E20" i="6"/>
  <c r="K19" i="6"/>
  <c r="I19" i="6"/>
  <c r="H19" i="6" s="1"/>
  <c r="G19" i="6"/>
  <c r="E19" i="6"/>
  <c r="K18" i="6"/>
  <c r="I18" i="6"/>
  <c r="H18" i="6" s="1"/>
  <c r="G18" i="6"/>
  <c r="E18" i="6"/>
  <c r="K17" i="6"/>
  <c r="I17" i="6"/>
  <c r="H17" i="6" s="1"/>
  <c r="G17" i="6"/>
  <c r="E17" i="6"/>
  <c r="J16" i="6"/>
  <c r="H16" i="6"/>
  <c r="I16" i="6" s="1"/>
  <c r="F16" i="6"/>
  <c r="E16" i="6"/>
  <c r="D16" i="6"/>
  <c r="J15" i="6"/>
  <c r="H15" i="6"/>
  <c r="F15" i="6"/>
  <c r="G15" i="6" s="1"/>
  <c r="E15" i="6"/>
  <c r="D15" i="6"/>
  <c r="K14" i="6"/>
  <c r="I14" i="6"/>
  <c r="H14" i="6" s="1"/>
  <c r="G14" i="6"/>
  <c r="E14" i="6"/>
  <c r="K13" i="6"/>
  <c r="I13" i="6"/>
  <c r="H13" i="6" s="1"/>
  <c r="G13" i="6"/>
  <c r="E13" i="6"/>
  <c r="G62" i="3"/>
  <c r="I54" i="3"/>
  <c r="I59" i="3" s="1"/>
  <c r="G54" i="3"/>
  <c r="G61" i="3" s="1"/>
  <c r="E54" i="3"/>
  <c r="E60" i="3" s="1"/>
  <c r="C54" i="3"/>
  <c r="C58" i="3" s="1"/>
  <c r="I48" i="3"/>
  <c r="G48" i="3"/>
  <c r="G51" i="3" s="1"/>
  <c r="E48" i="3"/>
  <c r="E51" i="3" s="1"/>
  <c r="C48" i="3"/>
  <c r="K40" i="3"/>
  <c r="J40" i="3"/>
  <c r="I40" i="3"/>
  <c r="H40" i="3"/>
  <c r="G40" i="3"/>
  <c r="F40" i="3"/>
  <c r="E40" i="3"/>
  <c r="D40" i="3"/>
  <c r="C40" i="3"/>
  <c r="I39" i="3"/>
  <c r="G39" i="3"/>
  <c r="E39" i="3"/>
  <c r="C39" i="3"/>
  <c r="K28" i="3"/>
  <c r="J28" i="3"/>
  <c r="I28" i="3"/>
  <c r="G28" i="3"/>
  <c r="E28" i="3"/>
  <c r="C28" i="3"/>
  <c r="K24" i="3"/>
  <c r="J24" i="3"/>
  <c r="I24" i="3"/>
  <c r="G24" i="3"/>
  <c r="E24" i="3"/>
  <c r="C24" i="3"/>
  <c r="J20" i="3"/>
  <c r="I16" i="3"/>
  <c r="G16" i="3"/>
  <c r="E16" i="3"/>
  <c r="C16" i="3"/>
  <c r="C15" i="3"/>
  <c r="J14" i="3"/>
  <c r="I56" i="1"/>
  <c r="G56" i="1"/>
  <c r="E56" i="1"/>
  <c r="C56" i="1"/>
  <c r="I55" i="1"/>
  <c r="G55" i="1"/>
  <c r="E55" i="1"/>
  <c r="C55" i="1"/>
  <c r="D18" i="1" s="1"/>
  <c r="I48" i="1"/>
  <c r="J48" i="1" s="1"/>
  <c r="G48" i="1"/>
  <c r="H48" i="1" s="1"/>
  <c r="E48" i="1"/>
  <c r="F48" i="1" s="1"/>
  <c r="C48" i="1"/>
  <c r="I47" i="1"/>
  <c r="J47" i="1" s="1"/>
  <c r="G47" i="1"/>
  <c r="H47" i="1" s="1"/>
  <c r="E47" i="1"/>
  <c r="F47" i="1" s="1"/>
  <c r="C47" i="1"/>
  <c r="D47" i="1" s="1"/>
  <c r="E46" i="6" s="1"/>
  <c r="I45" i="1"/>
  <c r="G45" i="1"/>
  <c r="E45" i="1"/>
  <c r="C45" i="1"/>
  <c r="I44" i="1"/>
  <c r="G44" i="1"/>
  <c r="E44" i="1"/>
  <c r="C44" i="1"/>
  <c r="E43" i="1"/>
  <c r="F43" i="1" s="1"/>
  <c r="I42" i="1"/>
  <c r="G42" i="1"/>
  <c r="E42" i="1"/>
  <c r="C42" i="1"/>
  <c r="I33" i="1"/>
  <c r="G33" i="1"/>
  <c r="E33" i="1"/>
  <c r="C33" i="1"/>
  <c r="I32" i="1"/>
  <c r="G32" i="1"/>
  <c r="E32" i="1"/>
  <c r="C32" i="1"/>
  <c r="I31" i="1"/>
  <c r="G31" i="1"/>
  <c r="E31" i="1"/>
  <c r="F31" i="1" s="1"/>
  <c r="C31" i="1"/>
  <c r="D31" i="1" s="1"/>
  <c r="I29" i="1"/>
  <c r="G29" i="1"/>
  <c r="H29" i="1" s="1"/>
  <c r="E29" i="1"/>
  <c r="F29" i="1" s="1"/>
  <c r="C29" i="1"/>
  <c r="I28" i="1"/>
  <c r="G28" i="1"/>
  <c r="G26" i="1" s="1"/>
  <c r="E28" i="1"/>
  <c r="C28" i="1"/>
  <c r="I27" i="1"/>
  <c r="G27" i="1"/>
  <c r="E27" i="1"/>
  <c r="F27" i="1" s="1"/>
  <c r="C27" i="1"/>
  <c r="C26" i="1"/>
  <c r="I25" i="1"/>
  <c r="G25" i="1"/>
  <c r="E25" i="1"/>
  <c r="F25" i="1" s="1"/>
  <c r="C25" i="1"/>
  <c r="I24" i="1"/>
  <c r="G24" i="1"/>
  <c r="E24" i="1"/>
  <c r="C24" i="1"/>
  <c r="I23" i="1"/>
  <c r="G23" i="1"/>
  <c r="E23" i="1"/>
  <c r="F23" i="1" s="1"/>
  <c r="C23" i="1"/>
  <c r="I21" i="1"/>
  <c r="G21" i="1"/>
  <c r="E21" i="1"/>
  <c r="F21" i="1" s="1"/>
  <c r="C21" i="1"/>
  <c r="I20" i="1"/>
  <c r="G20" i="1"/>
  <c r="E20" i="1"/>
  <c r="C20" i="1"/>
  <c r="I19" i="1"/>
  <c r="G19" i="1"/>
  <c r="E19" i="1"/>
  <c r="F19" i="1" s="1"/>
  <c r="C19" i="1"/>
  <c r="G18" i="1"/>
  <c r="E18" i="1"/>
  <c r="I17" i="1"/>
  <c r="G17" i="1"/>
  <c r="E17" i="1"/>
  <c r="F17" i="1" s="1"/>
  <c r="C17" i="1"/>
  <c r="I16" i="1"/>
  <c r="G16" i="1"/>
  <c r="D16" i="1"/>
  <c r="I15" i="1"/>
  <c r="G15" i="1"/>
  <c r="E15" i="1"/>
  <c r="F15" i="1" s="1"/>
  <c r="C15" i="1"/>
  <c r="I14" i="1"/>
  <c r="G14" i="1"/>
  <c r="E14" i="1"/>
  <c r="C14" i="1"/>
  <c r="D14" i="1" s="1"/>
  <c r="I13" i="1"/>
  <c r="G13" i="1"/>
  <c r="E13" i="1"/>
  <c r="F13" i="1" s="1"/>
  <c r="F51" i="1" s="1"/>
  <c r="C13" i="1"/>
  <c r="I43" i="4"/>
  <c r="G43" i="4"/>
  <c r="E43" i="4"/>
  <c r="C43" i="4"/>
  <c r="J35" i="4"/>
  <c r="I35" i="4"/>
  <c r="H35" i="4"/>
  <c r="G35" i="4"/>
  <c r="F35" i="4"/>
  <c r="E35" i="4"/>
  <c r="D35" i="4"/>
  <c r="C35" i="4"/>
  <c r="I26" i="4"/>
  <c r="J26" i="4" s="1"/>
  <c r="G26" i="4"/>
  <c r="H26" i="4" s="1"/>
  <c r="E26" i="4"/>
  <c r="F26" i="4" s="1"/>
  <c r="C26" i="4"/>
  <c r="D26" i="4" s="1"/>
  <c r="I25" i="4"/>
  <c r="J25" i="4" s="1"/>
  <c r="G25" i="4"/>
  <c r="H25" i="4" s="1"/>
  <c r="E25" i="4"/>
  <c r="F25" i="4" s="1"/>
  <c r="C25" i="4"/>
  <c r="I24" i="4"/>
  <c r="J24" i="4" s="1"/>
  <c r="G24" i="4"/>
  <c r="H24" i="4" s="1"/>
  <c r="E24" i="4"/>
  <c r="F24" i="4" s="1"/>
  <c r="F23" i="4" s="1"/>
  <c r="C24" i="4"/>
  <c r="D24" i="4" s="1"/>
  <c r="I22" i="4"/>
  <c r="J22" i="4" s="1"/>
  <c r="G22" i="4"/>
  <c r="H22" i="4" s="1"/>
  <c r="E22" i="4"/>
  <c r="F22" i="4" s="1"/>
  <c r="C22" i="4"/>
  <c r="I21" i="4"/>
  <c r="J21" i="4" s="1"/>
  <c r="G21" i="4"/>
  <c r="H21" i="4" s="1"/>
  <c r="E21" i="4"/>
  <c r="F21" i="4" s="1"/>
  <c r="C21" i="4"/>
  <c r="I20" i="4"/>
  <c r="J20" i="4" s="1"/>
  <c r="G20" i="4"/>
  <c r="H20" i="4" s="1"/>
  <c r="H19" i="4" s="1"/>
  <c r="E20" i="4"/>
  <c r="F20" i="4" s="1"/>
  <c r="C20" i="4"/>
  <c r="D20" i="4" s="1"/>
  <c r="I18" i="4"/>
  <c r="G18" i="4"/>
  <c r="E18" i="4"/>
  <c r="C18" i="4"/>
  <c r="I17" i="4"/>
  <c r="G17" i="4"/>
  <c r="E17" i="4"/>
  <c r="C17" i="4"/>
  <c r="I16" i="4"/>
  <c r="G16" i="4"/>
  <c r="E16" i="4"/>
  <c r="C16" i="4"/>
  <c r="I14" i="4"/>
  <c r="G14" i="4"/>
  <c r="E14" i="4"/>
  <c r="C14" i="4"/>
  <c r="I13" i="4"/>
  <c r="G13" i="4"/>
  <c r="E13" i="4"/>
  <c r="C13" i="4"/>
  <c r="J13" i="3" l="1"/>
  <c r="F19" i="4"/>
  <c r="J23" i="4"/>
  <c r="E26" i="8"/>
  <c r="G28" i="8"/>
  <c r="G26" i="8"/>
  <c r="G30" i="8" s="1"/>
  <c r="G34" i="8" s="1"/>
  <c r="H23" i="4"/>
  <c r="D14" i="4"/>
  <c r="D16" i="4"/>
  <c r="D18" i="4"/>
  <c r="C19" i="4"/>
  <c r="I51" i="3"/>
  <c r="H16" i="3"/>
  <c r="H14" i="3" s="1"/>
  <c r="K39" i="3"/>
  <c r="K16" i="3"/>
  <c r="K14" i="3" s="1"/>
  <c r="K13" i="3" s="1"/>
  <c r="K38" i="3" s="1"/>
  <c r="K46" i="3" s="1"/>
  <c r="H31" i="1"/>
  <c r="C22" i="1"/>
  <c r="H21" i="1"/>
  <c r="H23" i="1"/>
  <c r="J45" i="1"/>
  <c r="J29" i="1"/>
  <c r="J31" i="1"/>
  <c r="J32" i="1"/>
  <c r="J33" i="1"/>
  <c r="J21" i="1"/>
  <c r="J23" i="1"/>
  <c r="J24" i="1"/>
  <c r="D19" i="1"/>
  <c r="D21" i="1"/>
  <c r="H24" i="1"/>
  <c r="H22" i="1" s="1"/>
  <c r="H25" i="1"/>
  <c r="D27" i="1"/>
  <c r="D29" i="1"/>
  <c r="H32" i="1"/>
  <c r="H33" i="1"/>
  <c r="C43" i="1"/>
  <c r="D43" i="1" s="1"/>
  <c r="H19" i="1"/>
  <c r="D25" i="1"/>
  <c r="H27" i="1"/>
  <c r="D33" i="1"/>
  <c r="H16" i="1"/>
  <c r="H18" i="1"/>
  <c r="D23" i="1"/>
  <c r="H26" i="1"/>
  <c r="J16" i="1"/>
  <c r="H20" i="1"/>
  <c r="C30" i="1"/>
  <c r="H17" i="1"/>
  <c r="H42" i="1"/>
  <c r="H13" i="1"/>
  <c r="H51" i="1" s="1"/>
  <c r="H14" i="1"/>
  <c r="H15" i="1"/>
  <c r="J17" i="1"/>
  <c r="H28" i="1"/>
  <c r="J13" i="1"/>
  <c r="J51" i="1" s="1"/>
  <c r="J14" i="1"/>
  <c r="J15" i="1"/>
  <c r="J19" i="1"/>
  <c r="J20" i="1"/>
  <c r="G22" i="1"/>
  <c r="J25" i="1"/>
  <c r="J27" i="1"/>
  <c r="J28" i="1"/>
  <c r="G30" i="1"/>
  <c r="H30" i="1" s="1"/>
  <c r="H44" i="1"/>
  <c r="H45" i="1"/>
  <c r="D17" i="6"/>
  <c r="D18" i="6"/>
  <c r="D19" i="6"/>
  <c r="F13" i="6"/>
  <c r="F12" i="6" s="1"/>
  <c r="F14" i="6"/>
  <c r="K16" i="6"/>
  <c r="J17" i="6"/>
  <c r="J18" i="6"/>
  <c r="L18" i="6" s="1"/>
  <c r="J19" i="6"/>
  <c r="J20" i="6"/>
  <c r="G16" i="6"/>
  <c r="F17" i="6"/>
  <c r="L17" i="6" s="1"/>
  <c r="F18" i="6"/>
  <c r="F19" i="6"/>
  <c r="F20" i="6"/>
  <c r="G45" i="6"/>
  <c r="G42" i="6" s="1"/>
  <c r="D46" i="6"/>
  <c r="D22" i="6"/>
  <c r="D14" i="6"/>
  <c r="D13" i="6"/>
  <c r="D12" i="6" s="1"/>
  <c r="H23" i="6"/>
  <c r="E44" i="6"/>
  <c r="I12" i="1"/>
  <c r="C12" i="1"/>
  <c r="C11" i="1" s="1"/>
  <c r="F20" i="1"/>
  <c r="E22" i="1"/>
  <c r="F24" i="1"/>
  <c r="F22" i="1" s="1"/>
  <c r="E26" i="1"/>
  <c r="F26" i="1" s="1"/>
  <c r="F28" i="1"/>
  <c r="E30" i="1"/>
  <c r="F30" i="1" s="1"/>
  <c r="F32" i="1"/>
  <c r="F33" i="1"/>
  <c r="F45" i="1"/>
  <c r="J38" i="3"/>
  <c r="J46" i="3" s="1"/>
  <c r="J47" i="3" s="1"/>
  <c r="F24" i="3"/>
  <c r="F39" i="3"/>
  <c r="L15" i="6"/>
  <c r="K15" i="6"/>
  <c r="K12" i="6" s="1"/>
  <c r="K11" i="6" s="1"/>
  <c r="G29" i="6"/>
  <c r="L44" i="6"/>
  <c r="F26" i="8"/>
  <c r="F30" i="8" s="1"/>
  <c r="F34" i="8" s="1"/>
  <c r="F35" i="8" s="1"/>
  <c r="F36" i="8" s="1"/>
  <c r="G19" i="4"/>
  <c r="D13" i="1"/>
  <c r="D51" i="1" s="1"/>
  <c r="F14" i="1"/>
  <c r="F12" i="1" s="1"/>
  <c r="D15" i="1"/>
  <c r="I22" i="1"/>
  <c r="I26" i="1"/>
  <c r="J26" i="1" s="1"/>
  <c r="I30" i="1"/>
  <c r="J30" i="1" s="1"/>
  <c r="G43" i="1"/>
  <c r="H43" i="1" s="1"/>
  <c r="F28" i="3"/>
  <c r="G21" i="6"/>
  <c r="L41" i="6"/>
  <c r="F42" i="6"/>
  <c r="J42" i="6"/>
  <c r="K45" i="6"/>
  <c r="K42" i="6" s="1"/>
  <c r="E28" i="8"/>
  <c r="G25" i="6"/>
  <c r="K29" i="6"/>
  <c r="H13" i="4"/>
  <c r="H14" i="4"/>
  <c r="H16" i="4"/>
  <c r="H17" i="4"/>
  <c r="H18" i="4"/>
  <c r="E12" i="1"/>
  <c r="F16" i="3"/>
  <c r="F14" i="3" s="1"/>
  <c r="F13" i="3" s="1"/>
  <c r="F38" i="3" s="1"/>
  <c r="F46" i="3" s="1"/>
  <c r="J13" i="6"/>
  <c r="J14" i="6"/>
  <c r="J22" i="6"/>
  <c r="J23" i="6"/>
  <c r="J24" i="6"/>
  <c r="J26" i="6"/>
  <c r="J53" i="6" s="1"/>
  <c r="J27" i="6"/>
  <c r="J28" i="6"/>
  <c r="E30" i="8"/>
  <c r="E34" i="8" s="1"/>
  <c r="E35" i="8" s="1"/>
  <c r="E36" i="8" s="1"/>
  <c r="C51" i="3"/>
  <c r="H22" i="6"/>
  <c r="I21" i="6"/>
  <c r="D23" i="6"/>
  <c r="D30" i="6"/>
  <c r="E29" i="6"/>
  <c r="H30" i="6"/>
  <c r="I29" i="6"/>
  <c r="D13" i="4"/>
  <c r="D17" i="4"/>
  <c r="J19" i="4"/>
  <c r="F13" i="4"/>
  <c r="J13" i="4"/>
  <c r="F14" i="4"/>
  <c r="J14" i="4"/>
  <c r="F16" i="4"/>
  <c r="J16" i="4"/>
  <c r="F17" i="4"/>
  <c r="J17" i="4"/>
  <c r="F18" i="4"/>
  <c r="J18" i="4"/>
  <c r="E19" i="4"/>
  <c r="I19" i="4"/>
  <c r="D21" i="4"/>
  <c r="D22" i="4"/>
  <c r="D25" i="4"/>
  <c r="D23" i="4" s="1"/>
  <c r="G12" i="1"/>
  <c r="G11" i="1" s="1"/>
  <c r="G40" i="1" s="1"/>
  <c r="G49" i="1" s="1"/>
  <c r="F42" i="1"/>
  <c r="J42" i="1"/>
  <c r="F44" i="1"/>
  <c r="J44" i="1"/>
  <c r="D45" i="1"/>
  <c r="E14" i="3"/>
  <c r="E13" i="3" s="1"/>
  <c r="E38" i="3" s="1"/>
  <c r="E46" i="3" s="1"/>
  <c r="E47" i="3" s="1"/>
  <c r="F63" i="3" s="1"/>
  <c r="G14" i="3"/>
  <c r="G13" i="3" s="1"/>
  <c r="G38" i="3" s="1"/>
  <c r="G46" i="3" s="1"/>
  <c r="G47" i="3" s="1"/>
  <c r="H63" i="3" s="1"/>
  <c r="I14" i="3"/>
  <c r="I13" i="3" s="1"/>
  <c r="I38" i="3" s="1"/>
  <c r="I46" i="3" s="1"/>
  <c r="I47" i="3" s="1"/>
  <c r="K63" i="3" s="1"/>
  <c r="C14" i="3"/>
  <c r="C13" i="3" s="1"/>
  <c r="C38" i="3" s="1"/>
  <c r="C46" i="3" s="1"/>
  <c r="D16" i="3"/>
  <c r="D14" i="3" s="1"/>
  <c r="H24" i="3"/>
  <c r="H13" i="3" s="1"/>
  <c r="H28" i="3"/>
  <c r="D39" i="3"/>
  <c r="H39" i="3"/>
  <c r="I45" i="6"/>
  <c r="H46" i="6"/>
  <c r="H42" i="6" s="1"/>
  <c r="I15" i="6"/>
  <c r="I12" i="6" s="1"/>
  <c r="L16" i="6"/>
  <c r="F53" i="6"/>
  <c r="F21" i="6"/>
  <c r="D24" i="6"/>
  <c r="H24" i="6"/>
  <c r="D26" i="6"/>
  <c r="D27" i="6"/>
  <c r="L27" i="6" s="1"/>
  <c r="D28" i="6"/>
  <c r="D31" i="6"/>
  <c r="H31" i="6"/>
  <c r="D32" i="6"/>
  <c r="H32" i="6"/>
  <c r="D40" i="6"/>
  <c r="H40" i="6"/>
  <c r="F28" i="8"/>
  <c r="G35" i="8"/>
  <c r="G36" i="8" s="1"/>
  <c r="H12" i="6"/>
  <c r="L45" i="6"/>
  <c r="I42" i="6"/>
  <c r="L19" i="6"/>
  <c r="D20" i="6"/>
  <c r="F29" i="6"/>
  <c r="J29" i="6"/>
  <c r="L14" i="6"/>
  <c r="E12" i="6"/>
  <c r="G12" i="6"/>
  <c r="E21" i="6"/>
  <c r="E45" i="6"/>
  <c r="L50" i="6"/>
  <c r="D24" i="3"/>
  <c r="D28" i="3"/>
  <c r="C40" i="1"/>
  <c r="D17" i="1"/>
  <c r="F18" i="1"/>
  <c r="D20" i="1"/>
  <c r="D24" i="1"/>
  <c r="D28" i="1"/>
  <c r="D32" i="1"/>
  <c r="D30" i="1" s="1"/>
  <c r="D42" i="1"/>
  <c r="I43" i="1"/>
  <c r="J43" i="1" s="1"/>
  <c r="D44" i="1"/>
  <c r="E43" i="6" s="1"/>
  <c r="D43" i="6" s="1"/>
  <c r="L43" i="6" s="1"/>
  <c r="D48" i="1"/>
  <c r="E47" i="6" s="1"/>
  <c r="D47" i="6" s="1"/>
  <c r="L47" i="6" s="1"/>
  <c r="C15" i="4"/>
  <c r="E15" i="4"/>
  <c r="E12" i="4" s="1"/>
  <c r="G15" i="4"/>
  <c r="I15" i="4"/>
  <c r="C23" i="4"/>
  <c r="E23" i="4"/>
  <c r="G23" i="4"/>
  <c r="I23" i="4"/>
  <c r="D15" i="4" l="1"/>
  <c r="H15" i="4"/>
  <c r="H12" i="4" s="1"/>
  <c r="H33" i="4" s="1"/>
  <c r="H41" i="4" s="1"/>
  <c r="F15" i="4"/>
  <c r="F12" i="4" s="1"/>
  <c r="F33" i="4" s="1"/>
  <c r="F41" i="4" s="1"/>
  <c r="G12" i="4"/>
  <c r="G33" i="4" s="1"/>
  <c r="G41" i="4" s="1"/>
  <c r="J15" i="4"/>
  <c r="J12" i="4" s="1"/>
  <c r="J33" i="4" s="1"/>
  <c r="J41" i="4" s="1"/>
  <c r="D13" i="3"/>
  <c r="D38" i="3" s="1"/>
  <c r="D46" i="3" s="1"/>
  <c r="H38" i="3"/>
  <c r="H46" i="3" s="1"/>
  <c r="J22" i="1"/>
  <c r="H12" i="1"/>
  <c r="D26" i="1"/>
  <c r="F11" i="1"/>
  <c r="D22" i="1"/>
  <c r="J12" i="1"/>
  <c r="J11" i="1" s="1"/>
  <c r="H40" i="1"/>
  <c r="N17" i="6"/>
  <c r="K39" i="6"/>
  <c r="K48" i="6" s="1"/>
  <c r="L46" i="6"/>
  <c r="J21" i="6"/>
  <c r="J12" i="6"/>
  <c r="L32" i="6"/>
  <c r="N32" i="6" s="1"/>
  <c r="L22" i="6"/>
  <c r="L23" i="6"/>
  <c r="N23" i="6" s="1"/>
  <c r="H29" i="6"/>
  <c r="L26" i="6"/>
  <c r="N26" i="6" s="1"/>
  <c r="D29" i="6"/>
  <c r="L30" i="6"/>
  <c r="N30" i="6" s="1"/>
  <c r="L40" i="6"/>
  <c r="L31" i="6"/>
  <c r="H21" i="6"/>
  <c r="H11" i="6" s="1"/>
  <c r="H39" i="6" s="1"/>
  <c r="H48" i="6" s="1"/>
  <c r="H53" i="6"/>
  <c r="E11" i="1"/>
  <c r="E42" i="6"/>
  <c r="L13" i="6"/>
  <c r="N13" i="6" s="1"/>
  <c r="G11" i="6"/>
  <c r="G39" i="6" s="1"/>
  <c r="G48" i="6" s="1"/>
  <c r="D53" i="6"/>
  <c r="L28" i="6"/>
  <c r="N28" i="6" s="1"/>
  <c r="D19" i="4"/>
  <c r="J25" i="6"/>
  <c r="I11" i="1"/>
  <c r="I40" i="1" s="1"/>
  <c r="J40" i="1" s="1"/>
  <c r="C12" i="4"/>
  <c r="C33" i="4" s="1"/>
  <c r="C41" i="4" s="1"/>
  <c r="D12" i="1"/>
  <c r="I12" i="4"/>
  <c r="I33" i="4" s="1"/>
  <c r="I41" i="4" s="1"/>
  <c r="H11" i="1"/>
  <c r="D42" i="6"/>
  <c r="L42" i="6" s="1"/>
  <c r="N42" i="6" s="1"/>
  <c r="I11" i="6"/>
  <c r="I39" i="6" s="1"/>
  <c r="I48" i="6" s="1"/>
  <c r="D25" i="6"/>
  <c r="L25" i="6" s="1"/>
  <c r="N25" i="6" s="1"/>
  <c r="F11" i="6"/>
  <c r="F39" i="6" s="1"/>
  <c r="F48" i="6" s="1"/>
  <c r="L24" i="6"/>
  <c r="N24" i="6" s="1"/>
  <c r="D21" i="6"/>
  <c r="L21" i="6" s="1"/>
  <c r="N46" i="6"/>
  <c r="N15" i="6"/>
  <c r="N19" i="6"/>
  <c r="N49" i="6"/>
  <c r="N44" i="6"/>
  <c r="L20" i="6"/>
  <c r="O25" i="6"/>
  <c r="N20" i="6"/>
  <c r="N31" i="6"/>
  <c r="E11" i="6"/>
  <c r="E39" i="6" s="1"/>
  <c r="N45" i="6"/>
  <c r="N43" i="6"/>
  <c r="N27" i="6"/>
  <c r="N22" i="6"/>
  <c r="N21" i="6"/>
  <c r="N16" i="6"/>
  <c r="N14" i="6"/>
  <c r="L12" i="6"/>
  <c r="D11" i="6"/>
  <c r="N18" i="6"/>
  <c r="C47" i="3"/>
  <c r="D63" i="3" s="1"/>
  <c r="G50" i="1"/>
  <c r="H49" i="1"/>
  <c r="C49" i="1"/>
  <c r="D40" i="1"/>
  <c r="E33" i="4"/>
  <c r="E41" i="4" s="1"/>
  <c r="D12" i="4" l="1"/>
  <c r="D33" i="4" s="1"/>
  <c r="D41" i="4" s="1"/>
  <c r="I49" i="1"/>
  <c r="I50" i="1" s="1"/>
  <c r="D11" i="1"/>
  <c r="L29" i="6"/>
  <c r="N29" i="6" s="1"/>
  <c r="E48" i="6"/>
  <c r="L53" i="6"/>
  <c r="L55" i="6" s="1"/>
  <c r="J11" i="6"/>
  <c r="J39" i="6" s="1"/>
  <c r="J48" i="6" s="1"/>
  <c r="O29" i="6"/>
  <c r="E40" i="1"/>
  <c r="D39" i="6"/>
  <c r="N12" i="6"/>
  <c r="C50" i="1"/>
  <c r="D49" i="1"/>
  <c r="H52" i="1"/>
  <c r="H53" i="1"/>
  <c r="H54" i="1" s="1"/>
  <c r="J49" i="1"/>
  <c r="L11" i="6" l="1"/>
  <c r="N11" i="6" s="1"/>
  <c r="E49" i="1"/>
  <c r="F40" i="1"/>
  <c r="D48" i="6"/>
  <c r="L39" i="6"/>
  <c r="J52" i="1"/>
  <c r="J53" i="1"/>
  <c r="J54" i="1" s="1"/>
  <c r="D52" i="1"/>
  <c r="D53" i="1"/>
  <c r="D54" i="1" s="1"/>
  <c r="F49" i="1" l="1"/>
  <c r="E50" i="1"/>
  <c r="O39" i="6"/>
  <c r="O52" i="6"/>
  <c r="N39" i="6"/>
  <c r="L48" i="6"/>
  <c r="F53" i="1" l="1"/>
  <c r="F54" i="1" s="1"/>
  <c r="F52" i="1"/>
  <c r="M48" i="6"/>
  <c r="N48" i="6"/>
  <c r="M17" i="6"/>
  <c r="M19" i="6"/>
  <c r="M15" i="6"/>
  <c r="M28" i="6"/>
  <c r="M44" i="6"/>
  <c r="M46" i="6"/>
  <c r="M32" i="6"/>
  <c r="M18" i="6"/>
  <c r="M16" i="6"/>
  <c r="M21" i="6"/>
  <c r="M22" i="6"/>
  <c r="M24" i="6"/>
  <c r="M27" i="6"/>
  <c r="M30" i="6"/>
  <c r="M43" i="6"/>
  <c r="M45" i="6"/>
  <c r="M49" i="6"/>
  <c r="M20" i="6"/>
  <c r="M23" i="6"/>
  <c r="M26" i="6"/>
  <c r="M42" i="6"/>
  <c r="M29" i="6"/>
  <c r="M25" i="6"/>
  <c r="M13" i="6"/>
  <c r="M31" i="6"/>
  <c r="M14" i="6"/>
  <c r="M12" i="6"/>
  <c r="M53" i="6"/>
  <c r="M11" i="6"/>
  <c r="M39" i="6"/>
  <c r="D20" i="8" l="1"/>
  <c r="D19" i="8" s="1"/>
  <c r="Q52" i="6" l="1"/>
  <c r="C20" i="8" l="1"/>
  <c r="C19" i="8" s="1"/>
  <c r="C25" i="8" l="1"/>
  <c r="D25" i="8"/>
  <c r="D26" i="8" l="1"/>
  <c r="C26" i="8"/>
  <c r="D27" i="8"/>
  <c r="C27" i="8" l="1"/>
  <c r="C30" i="8"/>
  <c r="C34" i="8" s="1"/>
  <c r="C35" i="8" l="1"/>
  <c r="C36" i="8" s="1"/>
  <c r="D37" i="8" s="1"/>
  <c r="D30" i="8"/>
  <c r="D34" i="8" s="1"/>
  <c r="D35" i="8" s="1"/>
  <c r="D36" i="8" s="1"/>
  <c r="O48" i="6" l="1"/>
  <c r="E16" i="1" l="1"/>
  <c r="I18" i="1"/>
  <c r="F16" i="1" l="1"/>
  <c r="J18" i="1"/>
</calcChain>
</file>

<file path=xl/sharedStrings.xml><?xml version="1.0" encoding="utf-8"?>
<sst xmlns="http://schemas.openxmlformats.org/spreadsheetml/2006/main" count="500" uniqueCount="250">
  <si>
    <t>Додаток 3</t>
  </si>
  <si>
    <t xml:space="preserve">без ПДВ </t>
  </si>
  <si>
    <t xml:space="preserve">№ з/п </t>
  </si>
  <si>
    <t xml:space="preserve">Найменування показників </t>
  </si>
  <si>
    <t>Для потреб населення</t>
  </si>
  <si>
    <t>Для потреб бюджетних  установ</t>
  </si>
  <si>
    <t xml:space="preserve">Для потреб інших споживачів </t>
  </si>
  <si>
    <t>Для потреб релігійних              організацій</t>
  </si>
  <si>
    <t>тис. грн на рік</t>
  </si>
  <si>
    <t>грн/Гкал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</si>
  <si>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</si>
  <si>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</si>
  <si>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</si>
  <si>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</si>
  <si>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>витрати на електроенергію, у т. ч.:</t>
  </si>
  <si>
    <t>1.1.2</t>
  </si>
  <si>
    <t xml:space="preserve">транспортування теплової енергії тепловими мережами інших підприємств </t>
  </si>
  <si>
    <t>1.1.3</t>
  </si>
  <si>
    <t xml:space="preserve">вода для технологічних потреб та водовідведення </t>
  </si>
  <si>
    <t>1.1.4</t>
  </si>
  <si>
    <t xml:space="preserve">матеріали, запасні частини та інші матеріальні ресурси </t>
  </si>
  <si>
    <t>1.2</t>
  </si>
  <si>
    <t>прямі витрати на оплату праці</t>
  </si>
  <si>
    <t>1.3</t>
  </si>
  <si>
    <t xml:space="preserve">інші прямі витрати, у т. ч.: </t>
  </si>
  <si>
    <t>1.3.1</t>
  </si>
  <si>
    <t xml:space="preserve">відрахування на соціальні заходи </t>
  </si>
  <si>
    <t>1.3.2</t>
  </si>
  <si>
    <t xml:space="preserve">амортизаційні відрахування </t>
  </si>
  <si>
    <t>1.3.3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</si>
  <si>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</si>
  <si>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</si>
  <si>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</si>
  <si>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</si>
  <si>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 xml:space="preserve">витрати на оплату праці </t>
  </si>
  <si>
    <t>1.4.2</t>
  </si>
  <si>
    <t>1.4.3</t>
  </si>
  <si>
    <t xml:space="preserve">інші витрати </t>
  </si>
  <si>
    <t xml:space="preserve">Адміністративні витрати, у т. ч.: </t>
  </si>
  <si>
    <t>2.1</t>
  </si>
  <si>
    <t>витрати на оплату праці</t>
  </si>
  <si>
    <t>2.2</t>
  </si>
  <si>
    <t>2.3</t>
  </si>
  <si>
    <t>3</t>
  </si>
  <si>
    <t>Витрати на збут, зокрема:</t>
  </si>
  <si>
    <t>3.1</t>
  </si>
  <si>
    <t>3.2</t>
  </si>
  <si>
    <t>3.3</t>
  </si>
  <si>
    <t>4</t>
  </si>
  <si>
    <t>Інші операційні витрати</t>
  </si>
  <si>
    <t>5</t>
  </si>
  <si>
    <t xml:space="preserve">Фінансові витрати </t>
  </si>
  <si>
    <t>6</t>
  </si>
  <si>
    <t xml:space="preserve">Повна собівартість </t>
  </si>
  <si>
    <t>7</t>
  </si>
  <si>
    <t>Витрати на відшкодування втрат</t>
  </si>
  <si>
    <t>8</t>
  </si>
  <si>
    <t xml:space="preserve">Розрахунковий прибуток,  у т. ч.: </t>
  </si>
  <si>
    <t>8.1</t>
  </si>
  <si>
    <t xml:space="preserve">податок на прибуток </t>
  </si>
  <si>
    <t>8.2</t>
  </si>
  <si>
    <t>дивіденди</t>
  </si>
  <si>
    <t>8.3</t>
  </si>
  <si>
    <t>резервний фонд (капітал)</t>
  </si>
  <si>
    <t>8.4</t>
  </si>
  <si>
    <t xml:space="preserve">на розвиток виробництва (виробничі інвестиції) </t>
  </si>
  <si>
    <t>8.5</t>
  </si>
  <si>
    <t xml:space="preserve">інше використання прибутку </t>
  </si>
  <si>
    <t>9</t>
  </si>
  <si>
    <t>Вартість транспортування теплової енергії за відповідним тарифом</t>
  </si>
  <si>
    <t>10</t>
  </si>
  <si>
    <t xml:space="preserve">Середньозважений тариф на транспортування теплової енергії, грн/Гкал </t>
  </si>
  <si>
    <t>11</t>
  </si>
  <si>
    <t>Обсяг надходження теплової енергії до мережі ліцензіата, у т.ч.:</t>
  </si>
  <si>
    <t>11.1</t>
  </si>
  <si>
    <t>власної теплової енергії</t>
  </si>
  <si>
    <t>11.2</t>
  </si>
  <si>
    <t>теплоенергії інших власників для транспортування мережами ліцензіата</t>
  </si>
  <si>
    <t>12</t>
  </si>
  <si>
    <t>Втрати теплової енергії в мережах ліцензіата, всього, у т.ч.:</t>
  </si>
  <si>
    <t>12.1</t>
  </si>
  <si>
    <t>12.2</t>
  </si>
  <si>
    <t>теплової енергії інших власників</t>
  </si>
  <si>
    <t xml:space="preserve">Корисний відпуск теплової енергії з мереж ліцензіата, Гкал,  у т. ч.: </t>
  </si>
  <si>
    <t>13.1</t>
  </si>
  <si>
    <t>господарські потреби ліцензованої діяльності</t>
  </si>
  <si>
    <t>13.2</t>
  </si>
  <si>
    <t>корисний відпуск теплової енергії інших власників</t>
  </si>
  <si>
    <t>13.3</t>
  </si>
  <si>
    <t>Корисний відпуск теплової енергії власним споживачам , зокрема на потреби:</t>
  </si>
  <si>
    <t>13.3.1</t>
  </si>
  <si>
    <t>населення</t>
  </si>
  <si>
    <t>13.3.2</t>
  </si>
  <si>
    <t>релігійні організації</t>
  </si>
  <si>
    <t>13.3.3</t>
  </si>
  <si>
    <t>бюджетних установ та організацій</t>
  </si>
  <si>
    <t>13.3.4</t>
  </si>
  <si>
    <t>інших споживачів</t>
  </si>
  <si>
    <t>13</t>
  </si>
  <si>
    <t>Обсяг транспортування теплової енергії ліцензіата мережами іншого(их) транспортувальника(ів)</t>
  </si>
  <si>
    <t xml:space="preserve">Тариф(и) іншого(их) транспортувальника(ів)на транспортування теплової енергії </t>
  </si>
  <si>
    <t>Додаток 4</t>
  </si>
  <si>
    <t>Для  потреб бюджетних установ</t>
  </si>
  <si>
    <t>прямі матеріальні витрати</t>
  </si>
  <si>
    <t xml:space="preserve">прямі витрати на оплату праці </t>
  </si>
  <si>
    <t xml:space="preserve">відрахуваннями на соціальні заходи </t>
  </si>
  <si>
    <t>відрахування на соціальні заходи</t>
  </si>
  <si>
    <t>інші витрати</t>
  </si>
  <si>
    <t xml:space="preserve">Інші операційні витрати </t>
  </si>
  <si>
    <t>Витрати на покриття втрат</t>
  </si>
  <si>
    <t xml:space="preserve">Розрахунковий прибуток, у т. ч.: </t>
  </si>
  <si>
    <t xml:space="preserve">резервний фонд (капітал) та дивіденди </t>
  </si>
  <si>
    <t xml:space="preserve">Вартість постачання теплової енергії за відповідним тарифом </t>
  </si>
  <si>
    <t xml:space="preserve">Тарифи на постачання теплової енергії, грн/Гкал </t>
  </si>
  <si>
    <t>Обсяг реалізації теплової енергії власним споживачам, Гкал</t>
  </si>
  <si>
    <t>Рівень рентабельності, %</t>
  </si>
  <si>
    <t>Додаток 2</t>
  </si>
  <si>
    <t>без ПДВ</t>
  </si>
  <si>
    <t>Для потреб бюджетних установ</t>
  </si>
  <si>
    <t>Для потреб релігійних                     організацій</t>
  </si>
  <si>
    <t>витрати на паливо для виробництва теплової енергії котельнями</t>
  </si>
  <si>
    <t>витрати на електроенергію</t>
  </si>
  <si>
    <t xml:space="preserve">собівартість теплової енергії власних  КГУ
</t>
  </si>
  <si>
    <t>1.1.3.1</t>
  </si>
  <si>
    <t>витрати на паливо у собівартості теплової енергії власних ТЕЦ, ТЕС, АЕС, КГУ</t>
  </si>
  <si>
    <t>витрати на покупну теплову енергію</t>
  </si>
  <si>
    <t>1.1.4.1</t>
  </si>
  <si>
    <t>витрати на паливо у витратах на покупну теплову енергію</t>
  </si>
  <si>
    <t>1.1.5</t>
  </si>
  <si>
    <t>1.1.6</t>
  </si>
  <si>
    <t xml:space="preserve"> відрахування  на соціальні заходи</t>
  </si>
  <si>
    <t>2</t>
  </si>
  <si>
    <t>Повна собівартість</t>
  </si>
  <si>
    <t xml:space="preserve">резервний фонд (капітал) </t>
  </si>
  <si>
    <t>інше використання прибутку (обігові кошти)</t>
  </si>
  <si>
    <t xml:space="preserve">Вартість виробництва теплової енергії за відповідними тарифами </t>
  </si>
  <si>
    <t>Тарифи на виробництво теплової енергії, грн/Гкал</t>
  </si>
  <si>
    <t>10.1</t>
  </si>
  <si>
    <t>Паливна складова</t>
  </si>
  <si>
    <t>10.2</t>
  </si>
  <si>
    <t>Решта витрат, крім паливної складової</t>
  </si>
  <si>
    <t>Паливна складова, %</t>
  </si>
  <si>
    <t>Решта витрат, крім паливної складової, %</t>
  </si>
  <si>
    <t>Відпуск теплової енергії з колекторів власних котелень</t>
  </si>
  <si>
    <t>Додаток 1</t>
  </si>
  <si>
    <t>№ з/п</t>
  </si>
  <si>
    <t>Показники</t>
  </si>
  <si>
    <t>Для  потреб інших споживачів</t>
  </si>
  <si>
    <t>Для  потреб релігії</t>
  </si>
  <si>
    <t>Всього, тис.грн.</t>
  </si>
  <si>
    <t>тис.грн.</t>
  </si>
  <si>
    <t>Виробнича собівартість, у  т.ч.:</t>
  </si>
  <si>
    <t>прямі матеріальні витрати, у т.ч.:</t>
  </si>
  <si>
    <t>витрати на паливо</t>
  </si>
  <si>
    <t xml:space="preserve">витрати на покупну теплову енергію   </t>
  </si>
  <si>
    <t>собівартість теплової енергії власних  КГУ</t>
  </si>
  <si>
    <t>транспортування теплової енергії</t>
  </si>
  <si>
    <t>вода для технологічних потреб та водовідведення</t>
  </si>
  <si>
    <t>1.1.7</t>
  </si>
  <si>
    <t>матеріали, запасні  частини та інші матеріальні ресурси</t>
  </si>
  <si>
    <t>інші прямі витрати, у т.ч.:</t>
  </si>
  <si>
    <t xml:space="preserve"> амортизаційні відрахування</t>
  </si>
  <si>
    <t xml:space="preserve"> інші прямі витрати</t>
  </si>
  <si>
    <t>загальновиробничі витрати, у т.ч.:</t>
  </si>
  <si>
    <t>відрахування  на соціальні заходи</t>
  </si>
  <si>
    <t>Адміністративні витрати, у т.ч.:</t>
  </si>
  <si>
    <t>Інші операційні витрати**</t>
  </si>
  <si>
    <t>Фінансові витрати</t>
  </si>
  <si>
    <t>Повна собівартість*</t>
  </si>
  <si>
    <t>Розрахунковий прибуток, усього *, у т.ч.:</t>
  </si>
  <si>
    <t>податок на прибуток</t>
  </si>
  <si>
    <t>на розвиток виробництва (виробничі інвестиції)</t>
  </si>
  <si>
    <t>Вартість виробництва теплової енергії за відповідними тарифами</t>
  </si>
  <si>
    <t>Середні тарифи на теплову енергію, грн/ГкалТарифи на виробництво теплової енергії</t>
  </si>
  <si>
    <t>Обсяг реалізації  теплової енергії власним споживачам, Гкал</t>
  </si>
  <si>
    <t>Назва показника</t>
  </si>
  <si>
    <t>бюджет</t>
  </si>
  <si>
    <t>інші</t>
  </si>
  <si>
    <t>Витрати на утримання абонентської служби, зокрема:</t>
  </si>
  <si>
    <t xml:space="preserve"> 2.1</t>
  </si>
  <si>
    <t xml:space="preserve"> 2.2</t>
  </si>
  <si>
    <t xml:space="preserve"> 2.3</t>
  </si>
  <si>
    <t>інші витрати абонентської служби</t>
  </si>
  <si>
    <t>Решта витрат, крім послуг банку та інших установ із приймання і перерахування коштів споживачів</t>
  </si>
  <si>
    <t>Собівартість послуг без урахування послуг банку та інших установ із приймання і перерахування коштів споживачів</t>
  </si>
  <si>
    <t>Розрахунковий прибуток, усього, у тому числі:</t>
  </si>
  <si>
    <t>6.1</t>
  </si>
  <si>
    <t>прибуток у тарифі на теплову енергію для потреб відповідної категорії споживачів</t>
  </si>
  <si>
    <t>6.2</t>
  </si>
  <si>
    <t>Питома вага, %</t>
  </si>
  <si>
    <t>энергоресурсы</t>
  </si>
  <si>
    <t>транспортировка</t>
  </si>
  <si>
    <t>материалы</t>
  </si>
  <si>
    <t>ел</t>
  </si>
  <si>
    <t>собівартість теплової енергії власних ТЕЦ, ТЕС, АЕС, когенераційних установок</t>
  </si>
  <si>
    <t>мат</t>
  </si>
  <si>
    <t>зарплата</t>
  </si>
  <si>
    <t>амортизация</t>
  </si>
  <si>
    <t>тоир</t>
  </si>
  <si>
    <t>іп</t>
  </si>
  <si>
    <t>7.1</t>
  </si>
  <si>
    <t>7.2</t>
  </si>
  <si>
    <t>7.3</t>
  </si>
  <si>
    <t>7.4</t>
  </si>
  <si>
    <t>прибуток</t>
  </si>
  <si>
    <t>ФОТ С ОТЧИСЛЕНИЯМИ</t>
  </si>
  <si>
    <t>была в 2013 года</t>
  </si>
  <si>
    <t>ФОТ ПОСЛУГА+ВНЕШТАТНИКИ</t>
  </si>
  <si>
    <t>всего</t>
  </si>
  <si>
    <t>Додаток 5</t>
  </si>
  <si>
    <t>Послуга з постачання теплової енергії</t>
  </si>
  <si>
    <t>Послуга з постачання гарячої води</t>
  </si>
  <si>
    <t xml:space="preserve"> для абонентів житлових будинків з будинковими та квартирними приладами обліку теплової енергії</t>
  </si>
  <si>
    <t xml:space="preserve"> для абонентів житлових будинків без будинкових та квартирних приладів обліку теплової енергії</t>
  </si>
  <si>
    <r>
      <t>грн/м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на рік</t>
    </r>
  </si>
  <si>
    <r>
      <t>грн/м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</si>
  <si>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Собівартість власної теплової енергії, врахована у встановлених тарифах на теплову енергію для потреб відповідної групи споживачів</t>
  </si>
  <si>
    <t>зокрема паливна складова</t>
  </si>
  <si>
    <t>внески на соціальні заходи</t>
  </si>
  <si>
    <t>Витрати  з проведення періодичної повірки, обслуговування і ремонту квартирних засобів обліку, у тому числі їх демонтажу, транспортування та монтажу після повірки</t>
  </si>
  <si>
    <t>x</t>
  </si>
  <si>
    <t>Витрати на придбання холодної води для надання послуги з  постачання гарячої води</t>
  </si>
  <si>
    <t>Розрахунковий прибуток, усього, зокрема:</t>
  </si>
  <si>
    <t>Повна планова собівартість послуг з урахуванням послуг банку</t>
  </si>
  <si>
    <t xml:space="preserve"> 9.1</t>
  </si>
  <si>
    <t>чистий прибуток</t>
  </si>
  <si>
    <t xml:space="preserve"> 9.2</t>
  </si>
  <si>
    <t>Плановані тарифи на послуги</t>
  </si>
  <si>
    <t>Податок на додану вартість</t>
  </si>
  <si>
    <t>Плановані тарифи на послуги з ПДВ</t>
  </si>
  <si>
    <r>
      <t>Планований тариф на послугу з централізованого опалення, грн/м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rFont val="Arial Cyr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за місяць протягом опалювального періоду, з ПДВ</t>
    </r>
  </si>
  <si>
    <t>х</t>
  </si>
  <si>
    <t>Планована тривалість опалювального 
періоду, діб</t>
  </si>
  <si>
    <t>Витрати на відшкодування втрат теплової енергії в теплових мережах ТОВ "Сумитеплоенерго"</t>
  </si>
  <si>
    <t>перерахунок вартості електроенергії</t>
  </si>
  <si>
    <t xml:space="preserve">до рішення виконавчого комітету </t>
  </si>
  <si>
    <t xml:space="preserve">від              № </t>
  </si>
  <si>
    <t>Директор Департаменту</t>
  </si>
  <si>
    <t>інфраструктури міста</t>
  </si>
  <si>
    <t xml:space="preserve">              О.І. Журба</t>
  </si>
  <si>
    <t>до рішення виконавчого комітету</t>
  </si>
  <si>
    <t>від             №</t>
  </si>
  <si>
    <t>від               №</t>
  </si>
  <si>
    <t xml:space="preserve"> Акціонерного товариства «Сумське НВО»</t>
  </si>
  <si>
    <t>Акціонерного товариства «Сумське НВО»</t>
  </si>
  <si>
    <t>Структура тарифу на теплову енергію</t>
  </si>
  <si>
    <t>Структура тарифу на виробництво теплової енергії</t>
  </si>
  <si>
    <t>Структура тарифу на транспортування теплової енергії</t>
  </si>
  <si>
    <t>Структура тарифу на постачання теплової енергії</t>
  </si>
  <si>
    <t>Структура  тарифу на послугу з постачання гарячої води, що надається споживачам Акціонерним товариством "Сумське НВО"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</si>
</sst>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_ ;\-#,##0.00\ "/>
    <numFmt numFmtId="167" formatCode="_-* #,##0.000_р_._-;\-* #,##0.000_р_._-;_-* &quot;-&quot;??_р_._-;_-@_-"/>
    <numFmt numFmtId="168" formatCode="_-* #,##0.00000\ _₽_-;\-* #,##0.00000\ _₽_-;_-* &quot;-&quot;??\ _₽_-;_-@_-"/>
    <numFmt numFmtId="169" formatCode="#,##0.000"/>
    <numFmt numFmtId="170" formatCode="0.00000000"/>
    <numFmt numFmtId="171" formatCode="0.0%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292B2C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1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</cellStyleXfs>
  <cellXfs count="440">
    <xf numFmtId="0" fontId="0" fillId="0" borderId="0" xfId="0"/>
    <xf numFmtId="0" fontId="3" fillId="0" borderId="0" xfId="3" applyFont="1" applyFill="1" applyAlignment="1">
      <alignment horizontal="right" vertical="center" wrapText="1"/>
    </xf>
    <xf numFmtId="0" fontId="4" fillId="0" borderId="0" xfId="3" applyFont="1" applyFill="1" applyAlignment="1">
      <alignment wrapText="1"/>
    </xf>
    <xf numFmtId="0" fontId="5" fillId="0" borderId="0" xfId="3" applyFont="1" applyFill="1" applyAlignment="1"/>
    <xf numFmtId="0" fontId="4" fillId="0" borderId="0" xfId="3" applyFont="1" applyFill="1"/>
    <xf numFmtId="0" fontId="6" fillId="0" borderId="0" xfId="3" applyFont="1" applyFill="1" applyBorder="1" applyAlignment="1"/>
    <xf numFmtId="2" fontId="8" fillId="0" borderId="0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wrapText="1"/>
    </xf>
    <xf numFmtId="0" fontId="10" fillId="0" borderId="2" xfId="3" applyNumberFormat="1" applyFont="1" applyFill="1" applyBorder="1" applyAlignment="1">
      <alignment horizontal="center" wrapText="1"/>
    </xf>
    <xf numFmtId="0" fontId="4" fillId="0" borderId="2" xfId="3" applyFont="1" applyFill="1" applyBorder="1" applyAlignment="1">
      <alignment horizontal="center"/>
    </xf>
    <xf numFmtId="0" fontId="10" fillId="0" borderId="2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 wrapText="1"/>
    </xf>
    <xf numFmtId="0" fontId="9" fillId="0" borderId="2" xfId="3" applyFont="1" applyFill="1" applyBorder="1" applyAlignment="1">
      <alignment wrapText="1"/>
    </xf>
    <xf numFmtId="165" fontId="9" fillId="0" borderId="2" xfId="4" applyFont="1" applyFill="1" applyBorder="1" applyAlignment="1">
      <alignment horizontal="center" wrapText="1"/>
    </xf>
    <xf numFmtId="2" fontId="9" fillId="0" borderId="2" xfId="3" applyNumberFormat="1" applyFont="1" applyFill="1" applyBorder="1" applyAlignment="1">
      <alignment horizontal="center" wrapText="1"/>
    </xf>
    <xf numFmtId="49" fontId="9" fillId="0" borderId="2" xfId="3" applyNumberFormat="1" applyFont="1" applyFill="1" applyBorder="1" applyAlignment="1">
      <alignment horizontal="center" wrapText="1"/>
    </xf>
    <xf numFmtId="49" fontId="5" fillId="0" borderId="2" xfId="3" applyNumberFormat="1" applyFont="1" applyFill="1" applyBorder="1" applyAlignment="1">
      <alignment horizontal="center" vertical="top" wrapText="1"/>
    </xf>
    <xf numFmtId="0" fontId="5" fillId="0" borderId="2" xfId="3" applyFont="1" applyFill="1" applyBorder="1" applyAlignment="1">
      <alignment vertical="top" wrapText="1"/>
    </xf>
    <xf numFmtId="165" fontId="5" fillId="0" borderId="2" xfId="4" applyFont="1" applyFill="1" applyBorder="1" applyAlignment="1">
      <alignment horizontal="center" vertical="top" wrapText="1"/>
    </xf>
    <xf numFmtId="0" fontId="5" fillId="0" borderId="2" xfId="3" applyFont="1" applyFill="1" applyBorder="1" applyAlignment="1">
      <alignment horizontal="center" vertical="top" wrapText="1"/>
    </xf>
    <xf numFmtId="2" fontId="12" fillId="0" borderId="2" xfId="3" applyNumberFormat="1" applyFont="1" applyFill="1" applyBorder="1" applyAlignment="1">
      <alignment horizontal="center" vertical="top" wrapText="1"/>
    </xf>
    <xf numFmtId="165" fontId="4" fillId="0" borderId="2" xfId="4" applyFont="1" applyFill="1" applyBorder="1" applyAlignment="1">
      <alignment horizontal="center" vertical="top"/>
    </xf>
    <xf numFmtId="2" fontId="5" fillId="0" borderId="2" xfId="3" applyNumberFormat="1" applyFont="1" applyFill="1" applyBorder="1" applyAlignment="1">
      <alignment horizontal="center" vertical="top" wrapText="1"/>
    </xf>
    <xf numFmtId="4" fontId="5" fillId="0" borderId="2" xfId="3" applyNumberFormat="1" applyFont="1" applyFill="1" applyBorder="1" applyAlignment="1">
      <alignment horizontal="center" vertical="top" wrapText="1"/>
    </xf>
    <xf numFmtId="165" fontId="12" fillId="0" borderId="2" xfId="4" applyFont="1" applyFill="1" applyBorder="1" applyAlignment="1">
      <alignment horizontal="center" vertical="top" wrapText="1"/>
    </xf>
    <xf numFmtId="0" fontId="5" fillId="0" borderId="2" xfId="3" applyFont="1" applyFill="1" applyBorder="1" applyAlignment="1">
      <alignment wrapText="1"/>
    </xf>
    <xf numFmtId="4" fontId="5" fillId="0" borderId="2" xfId="3" applyNumberFormat="1" applyFont="1" applyFill="1" applyBorder="1" applyAlignment="1">
      <alignment horizontal="center" wrapText="1"/>
    </xf>
    <xf numFmtId="2" fontId="12" fillId="0" borderId="2" xfId="3" applyNumberFormat="1" applyFont="1" applyFill="1" applyBorder="1" applyAlignment="1">
      <alignment horizontal="center" vertical="center" wrapText="1"/>
    </xf>
    <xf numFmtId="49" fontId="5" fillId="0" borderId="2" xfId="3" applyNumberFormat="1" applyFont="1" applyFill="1" applyBorder="1" applyAlignment="1">
      <alignment horizontal="center" wrapText="1"/>
    </xf>
    <xf numFmtId="0" fontId="5" fillId="0" borderId="2" xfId="3" applyFont="1" applyFill="1" applyBorder="1" applyAlignment="1">
      <alignment horizontal="center" wrapText="1"/>
    </xf>
    <xf numFmtId="2" fontId="5" fillId="0" borderId="2" xfId="3" applyNumberFormat="1" applyFont="1" applyFill="1" applyBorder="1" applyAlignment="1">
      <alignment horizontal="center" wrapText="1"/>
    </xf>
    <xf numFmtId="0" fontId="5" fillId="0" borderId="2" xfId="3" applyFont="1" applyFill="1" applyBorder="1" applyAlignment="1">
      <alignment horizontal="left" vertical="top" wrapText="1"/>
    </xf>
    <xf numFmtId="49" fontId="9" fillId="0" borderId="2" xfId="3" applyNumberFormat="1" applyFont="1" applyFill="1" applyBorder="1" applyAlignment="1">
      <alignment horizontal="center" vertical="top" wrapText="1"/>
    </xf>
    <xf numFmtId="0" fontId="9" fillId="0" borderId="2" xfId="3" applyFont="1" applyFill="1" applyBorder="1" applyAlignment="1">
      <alignment vertical="top" wrapText="1"/>
    </xf>
    <xf numFmtId="2" fontId="13" fillId="0" borderId="2" xfId="3" applyNumberFormat="1" applyFont="1" applyFill="1" applyBorder="1" applyAlignment="1">
      <alignment horizontal="center" vertical="center" wrapText="1"/>
    </xf>
    <xf numFmtId="4" fontId="9" fillId="0" borderId="2" xfId="3" applyNumberFormat="1" applyFont="1" applyFill="1" applyBorder="1" applyAlignment="1">
      <alignment horizontal="center" wrapText="1"/>
    </xf>
    <xf numFmtId="164" fontId="9" fillId="0" borderId="2" xfId="3" applyNumberFormat="1" applyFont="1" applyFill="1" applyBorder="1" applyAlignment="1">
      <alignment horizontal="center" wrapText="1"/>
    </xf>
    <xf numFmtId="2" fontId="9" fillId="0" borderId="2" xfId="3" applyNumberFormat="1" applyFont="1" applyFill="1" applyBorder="1" applyAlignment="1">
      <alignment horizontal="center" vertical="center" wrapText="1"/>
    </xf>
    <xf numFmtId="165" fontId="9" fillId="0" borderId="2" xfId="4" applyFont="1" applyFill="1" applyBorder="1" applyAlignment="1">
      <alignment horizontal="center"/>
    </xf>
    <xf numFmtId="1" fontId="9" fillId="0" borderId="2" xfId="3" applyNumberFormat="1" applyFont="1" applyFill="1" applyBorder="1" applyAlignment="1">
      <alignment horizontal="center" wrapText="1"/>
    </xf>
    <xf numFmtId="165" fontId="14" fillId="0" borderId="2" xfId="4" applyFont="1" applyFill="1" applyBorder="1" applyAlignment="1">
      <alignment horizontal="center" vertical="top"/>
    </xf>
    <xf numFmtId="0" fontId="15" fillId="0" borderId="2" xfId="5" applyNumberFormat="1" applyFont="1" applyFill="1" applyBorder="1" applyAlignment="1" applyProtection="1">
      <alignment vertical="center" wrapText="1"/>
    </xf>
    <xf numFmtId="49" fontId="15" fillId="0" borderId="2" xfId="5" applyNumberFormat="1" applyFont="1" applyFill="1" applyBorder="1" applyAlignment="1" applyProtection="1">
      <alignment horizontal="center" vertical="center" wrapText="1"/>
    </xf>
    <xf numFmtId="0" fontId="15" fillId="0" borderId="2" xfId="5" applyFont="1" applyFill="1" applyBorder="1" applyAlignment="1" applyProtection="1">
      <alignment vertical="center" wrapText="1"/>
    </xf>
    <xf numFmtId="165" fontId="5" fillId="0" borderId="2" xfId="4" applyFont="1" applyFill="1" applyBorder="1" applyAlignment="1">
      <alignment horizont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vertical="center" wrapText="1"/>
    </xf>
    <xf numFmtId="165" fontId="9" fillId="0" borderId="2" xfId="4" applyFont="1" applyFill="1" applyBorder="1" applyAlignment="1">
      <alignment vertical="center" wrapText="1"/>
    </xf>
    <xf numFmtId="165" fontId="16" fillId="0" borderId="2" xfId="4" applyFont="1" applyFill="1" applyBorder="1" applyAlignment="1">
      <alignment horizontal="center" vertical="center"/>
    </xf>
    <xf numFmtId="165" fontId="9" fillId="0" borderId="2" xfId="4" applyFont="1" applyFill="1" applyBorder="1" applyAlignment="1">
      <alignment wrapText="1"/>
    </xf>
    <xf numFmtId="165" fontId="16" fillId="0" borderId="2" xfId="4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 vertical="center"/>
    </xf>
    <xf numFmtId="0" fontId="9" fillId="0" borderId="2" xfId="3" applyFont="1" applyFill="1" applyBorder="1"/>
    <xf numFmtId="165" fontId="9" fillId="0" borderId="2" xfId="3" applyNumberFormat="1" applyFont="1" applyFill="1" applyBorder="1" applyAlignment="1">
      <alignment horizontal="center" vertical="center"/>
    </xf>
    <xf numFmtId="2" fontId="9" fillId="0" borderId="2" xfId="3" applyNumberFormat="1" applyFont="1" applyFill="1" applyBorder="1" applyAlignment="1">
      <alignment horizontal="center" vertical="center"/>
    </xf>
    <xf numFmtId="166" fontId="9" fillId="0" borderId="2" xfId="4" applyNumberFormat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17" fillId="0" borderId="0" xfId="5" applyFont="1" applyFill="1" applyBorder="1" applyAlignment="1" applyProtection="1">
      <alignment vertical="center" wrapText="1"/>
    </xf>
    <xf numFmtId="0" fontId="9" fillId="0" borderId="3" xfId="3" applyFont="1" applyFill="1" applyBorder="1"/>
    <xf numFmtId="165" fontId="9" fillId="0" borderId="0" xfId="3" applyNumberFormat="1" applyFont="1" applyFill="1" applyBorder="1" applyAlignment="1">
      <alignment horizontal="center" vertical="center"/>
    </xf>
    <xf numFmtId="2" fontId="9" fillId="0" borderId="0" xfId="3" applyNumberFormat="1" applyFont="1" applyFill="1" applyBorder="1" applyAlignment="1">
      <alignment horizontal="center" vertical="center"/>
    </xf>
    <xf numFmtId="2" fontId="12" fillId="0" borderId="0" xfId="3" applyNumberFormat="1" applyFont="1" applyFill="1" applyBorder="1" applyAlignment="1">
      <alignment horizontal="center" vertical="center" wrapText="1"/>
    </xf>
    <xf numFmtId="166" fontId="9" fillId="0" borderId="0" xfId="4" applyNumberFormat="1" applyFont="1" applyFill="1" applyBorder="1" applyAlignment="1">
      <alignment horizontal="center" vertical="center"/>
    </xf>
    <xf numFmtId="0" fontId="9" fillId="0" borderId="0" xfId="3" applyFont="1" applyFill="1" applyBorder="1"/>
    <xf numFmtId="0" fontId="18" fillId="0" borderId="0" xfId="6" applyFont="1" applyBorder="1" applyAlignment="1" applyProtection="1">
      <alignment vertical="center" wrapText="1"/>
    </xf>
    <xf numFmtId="0" fontId="4" fillId="0" borderId="0" xfId="3" applyFont="1" applyFill="1" applyAlignment="1">
      <alignment horizontal="center"/>
    </xf>
    <xf numFmtId="0" fontId="2" fillId="0" borderId="0" xfId="3" applyFill="1" applyAlignment="1">
      <alignment wrapText="1"/>
    </xf>
    <xf numFmtId="0" fontId="2" fillId="0" borderId="0" xfId="3" applyFill="1"/>
    <xf numFmtId="0" fontId="19" fillId="0" borderId="0" xfId="3" applyFont="1" applyFill="1"/>
    <xf numFmtId="0" fontId="9" fillId="0" borderId="0" xfId="3" applyFont="1" applyFill="1" applyAlignment="1">
      <alignment horizontal="right"/>
    </xf>
    <xf numFmtId="2" fontId="9" fillId="0" borderId="2" xfId="4" applyNumberFormat="1" applyFont="1" applyFill="1" applyBorder="1" applyAlignment="1">
      <alignment horizont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vertical="center" wrapText="1"/>
    </xf>
    <xf numFmtId="2" fontId="5" fillId="0" borderId="2" xfId="4" applyNumberFormat="1" applyFont="1" applyFill="1" applyBorder="1" applyAlignment="1">
      <alignment horizontal="center" vertical="center" wrapText="1"/>
    </xf>
    <xf numFmtId="2" fontId="5" fillId="0" borderId="2" xfId="3" applyNumberFormat="1" applyFont="1" applyFill="1" applyBorder="1" applyAlignment="1">
      <alignment horizontal="center" vertical="center" wrapText="1"/>
    </xf>
    <xf numFmtId="2" fontId="5" fillId="0" borderId="2" xfId="3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top" wrapText="1"/>
    </xf>
    <xf numFmtId="2" fontId="5" fillId="0" borderId="2" xfId="4" applyNumberFormat="1" applyFont="1" applyFill="1" applyBorder="1" applyAlignment="1">
      <alignment horizontal="center" wrapText="1"/>
    </xf>
    <xf numFmtId="2" fontId="5" fillId="0" borderId="2" xfId="3" applyNumberFormat="1" applyFont="1" applyFill="1" applyBorder="1" applyAlignment="1">
      <alignment horizontal="center" vertical="top"/>
    </xf>
    <xf numFmtId="2" fontId="5" fillId="0" borderId="2" xfId="4" applyNumberFormat="1" applyFont="1" applyFill="1" applyBorder="1" applyAlignment="1">
      <alignment horizontal="center" vertical="top" wrapText="1"/>
    </xf>
    <xf numFmtId="166" fontId="9" fillId="0" borderId="2" xfId="4" applyNumberFormat="1" applyFont="1" applyFill="1" applyBorder="1" applyAlignment="1">
      <alignment horizontal="center" wrapText="1"/>
    </xf>
    <xf numFmtId="0" fontId="9" fillId="0" borderId="2" xfId="3" applyFont="1" applyFill="1" applyBorder="1" applyAlignment="1">
      <alignment vertical="top"/>
    </xf>
    <xf numFmtId="0" fontId="23" fillId="0" borderId="2" xfId="3" applyFont="1" applyFill="1" applyBorder="1" applyAlignment="1">
      <alignment vertical="top"/>
    </xf>
    <xf numFmtId="4" fontId="9" fillId="0" borderId="2" xfId="4" applyNumberFormat="1" applyFont="1" applyFill="1" applyBorder="1" applyAlignment="1">
      <alignment horizontal="center" wrapText="1"/>
    </xf>
    <xf numFmtId="4" fontId="9" fillId="0" borderId="2" xfId="4" applyNumberFormat="1" applyFont="1" applyFill="1" applyBorder="1" applyAlignment="1">
      <alignment horizontal="center" vertical="center" wrapText="1"/>
    </xf>
    <xf numFmtId="4" fontId="9" fillId="0" borderId="2" xfId="3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2" fontId="9" fillId="0" borderId="2" xfId="4" applyNumberFormat="1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/>
    </xf>
    <xf numFmtId="0" fontId="24" fillId="0" borderId="2" xfId="3" applyFont="1" applyFill="1" applyBorder="1"/>
    <xf numFmtId="0" fontId="23" fillId="0" borderId="0" xfId="3" applyFont="1" applyFill="1"/>
    <xf numFmtId="0" fontId="5" fillId="0" borderId="0" xfId="3" applyFont="1" applyFill="1" applyAlignment="1">
      <alignment horizontal="left"/>
    </xf>
    <xf numFmtId="0" fontId="5" fillId="0" borderId="0" xfId="3" applyFont="1" applyFill="1" applyBorder="1" applyAlignment="1"/>
    <xf numFmtId="0" fontId="25" fillId="0" borderId="0" xfId="0" applyFont="1"/>
    <xf numFmtId="0" fontId="5" fillId="0" borderId="0" xfId="3" applyFont="1" applyFill="1"/>
    <xf numFmtId="49" fontId="18" fillId="0" borderId="2" xfId="5" applyNumberFormat="1" applyFont="1" applyBorder="1" applyAlignment="1" applyProtection="1">
      <alignment horizontal="center" vertical="center" wrapText="1"/>
    </xf>
    <xf numFmtId="0" fontId="18" fillId="0" borderId="2" xfId="5" applyFont="1" applyBorder="1" applyAlignment="1" applyProtection="1">
      <alignment vertical="center" wrapText="1"/>
    </xf>
    <xf numFmtId="49" fontId="15" fillId="0" borderId="2" xfId="5" applyNumberFormat="1" applyFont="1" applyBorder="1" applyAlignment="1" applyProtection="1">
      <alignment horizontal="center" vertical="center" wrapText="1"/>
    </xf>
    <xf numFmtId="0" fontId="15" fillId="0" borderId="2" xfId="5" applyFont="1" applyBorder="1" applyAlignment="1" applyProtection="1">
      <alignment vertical="center" wrapText="1"/>
    </xf>
    <xf numFmtId="2" fontId="5" fillId="0" borderId="0" xfId="3" applyNumberFormat="1" applyFont="1" applyFill="1" applyAlignment="1">
      <alignment horizontal="center"/>
    </xf>
    <xf numFmtId="0" fontId="5" fillId="0" borderId="2" xfId="3" applyNumberFormat="1" applyFont="1" applyFill="1" applyBorder="1" applyAlignment="1">
      <alignment horizontal="center" wrapText="1"/>
    </xf>
    <xf numFmtId="165" fontId="9" fillId="0" borderId="2" xfId="4" applyFont="1" applyFill="1" applyBorder="1" applyAlignment="1">
      <alignment horizontal="center" vertical="center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>
      <alignment horizontal="right" vertical="center"/>
    </xf>
    <xf numFmtId="0" fontId="9" fillId="0" borderId="1" xfId="3" applyFont="1" applyFill="1" applyBorder="1" applyAlignment="1">
      <alignment vertical="center"/>
    </xf>
    <xf numFmtId="0" fontId="4" fillId="0" borderId="2" xfId="3" applyFont="1" applyFill="1" applyBorder="1" applyAlignment="1">
      <alignment horizontal="center" vertical="center" wrapText="1"/>
    </xf>
    <xf numFmtId="0" fontId="2" fillId="0" borderId="2" xfId="3" applyFill="1" applyBorder="1" applyAlignment="1">
      <alignment horizontal="center"/>
    </xf>
    <xf numFmtId="164" fontId="9" fillId="0" borderId="2" xfId="1" applyFont="1" applyFill="1" applyBorder="1" applyAlignment="1">
      <alignment horizontal="center" wrapText="1"/>
    </xf>
    <xf numFmtId="164" fontId="5" fillId="0" borderId="2" xfId="1" applyFont="1" applyFill="1" applyBorder="1" applyAlignment="1">
      <alignment horizontal="center" wrapText="1"/>
    </xf>
    <xf numFmtId="165" fontId="9" fillId="0" borderId="2" xfId="4" applyFont="1" applyFill="1" applyBorder="1" applyAlignment="1">
      <alignment horizontal="center" vertical="center" wrapText="1"/>
    </xf>
    <xf numFmtId="166" fontId="5" fillId="0" borderId="2" xfId="4" applyNumberFormat="1" applyFont="1" applyFill="1" applyBorder="1" applyAlignment="1">
      <alignment horizontal="center" wrapText="1"/>
    </xf>
    <xf numFmtId="166" fontId="9" fillId="0" borderId="2" xfId="4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left" wrapText="1"/>
    </xf>
    <xf numFmtId="165" fontId="9" fillId="0" borderId="2" xfId="4" applyNumberFormat="1" applyFont="1" applyFill="1" applyBorder="1" applyAlignment="1">
      <alignment horizontal="center" wrapText="1"/>
    </xf>
    <xf numFmtId="164" fontId="9" fillId="0" borderId="2" xfId="1" applyFont="1" applyFill="1" applyBorder="1" applyAlignment="1">
      <alignment horizontal="center" vertical="center"/>
    </xf>
    <xf numFmtId="165" fontId="9" fillId="0" borderId="2" xfId="4" applyNumberFormat="1" applyFont="1" applyFill="1" applyBorder="1" applyAlignment="1">
      <alignment horizontal="center" vertical="center" wrapText="1"/>
    </xf>
    <xf numFmtId="4" fontId="5" fillId="0" borderId="2" xfId="4" applyNumberFormat="1" applyFont="1" applyFill="1" applyBorder="1" applyAlignment="1">
      <alignment horizontal="center" wrapText="1"/>
    </xf>
    <xf numFmtId="4" fontId="5" fillId="0" borderId="2" xfId="3" applyNumberFormat="1" applyFont="1" applyFill="1" applyBorder="1" applyAlignment="1">
      <alignment horizontal="center" vertical="center"/>
    </xf>
    <xf numFmtId="2" fontId="18" fillId="0" borderId="2" xfId="5" applyNumberFormat="1" applyFont="1" applyBorder="1" applyAlignment="1" applyProtection="1">
      <alignment vertical="center" wrapText="1"/>
    </xf>
    <xf numFmtId="0" fontId="5" fillId="0" borderId="2" xfId="3" applyFont="1" applyFill="1" applyBorder="1" applyAlignment="1">
      <alignment horizontal="left" vertical="center"/>
    </xf>
    <xf numFmtId="0" fontId="8" fillId="0" borderId="0" xfId="3" applyFont="1" applyFill="1" applyBorder="1" applyAlignment="1"/>
    <xf numFmtId="4" fontId="2" fillId="0" borderId="0" xfId="3" applyNumberFormat="1" applyFill="1"/>
    <xf numFmtId="4" fontId="2" fillId="0" borderId="0" xfId="3" applyNumberFormat="1" applyFill="1" applyAlignment="1">
      <alignment wrapText="1"/>
    </xf>
    <xf numFmtId="4" fontId="16" fillId="0" borderId="0" xfId="3" applyNumberFormat="1" applyFont="1" applyFill="1"/>
    <xf numFmtId="0" fontId="16" fillId="0" borderId="0" xfId="3" applyFont="1" applyFill="1"/>
    <xf numFmtId="4" fontId="27" fillId="0" borderId="0" xfId="3" applyNumberFormat="1" applyFont="1" applyFill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/>
    <xf numFmtId="4" fontId="27" fillId="2" borderId="0" xfId="3" applyNumberFormat="1" applyFont="1" applyFill="1" applyAlignment="1">
      <alignment wrapText="1"/>
    </xf>
    <xf numFmtId="0" fontId="2" fillId="2" borderId="0" xfId="3" applyFont="1" applyFill="1" applyAlignment="1">
      <alignment wrapText="1"/>
    </xf>
    <xf numFmtId="0" fontId="2" fillId="2" borderId="0" xfId="3" applyFont="1" applyFill="1"/>
    <xf numFmtId="2" fontId="2" fillId="0" borderId="0" xfId="3" applyNumberFormat="1" applyFill="1" applyAlignment="1">
      <alignment wrapText="1"/>
    </xf>
    <xf numFmtId="2" fontId="16" fillId="0" borderId="0" xfId="3" applyNumberFormat="1" applyFont="1" applyFill="1"/>
    <xf numFmtId="4" fontId="4" fillId="0" borderId="0" xfId="3" applyNumberFormat="1" applyFont="1" applyFill="1"/>
    <xf numFmtId="2" fontId="4" fillId="0" borderId="0" xfId="3" applyNumberFormat="1" applyFont="1" applyFill="1"/>
    <xf numFmtId="4" fontId="2" fillId="0" borderId="0" xfId="3" applyNumberFormat="1" applyFont="1" applyFill="1"/>
    <xf numFmtId="4" fontId="6" fillId="0" borderId="0" xfId="3" applyNumberFormat="1" applyFont="1" applyFill="1"/>
    <xf numFmtId="0" fontId="6" fillId="0" borderId="0" xfId="3" applyFont="1" applyFill="1"/>
    <xf numFmtId="164" fontId="2" fillId="0" borderId="0" xfId="3" applyNumberFormat="1" applyFill="1"/>
    <xf numFmtId="0" fontId="26" fillId="0" borderId="0" xfId="3" applyFont="1" applyFill="1"/>
    <xf numFmtId="49" fontId="17" fillId="0" borderId="0" xfId="6" applyNumberFormat="1" applyFont="1" applyAlignment="1">
      <alignment horizontal="center"/>
    </xf>
    <xf numFmtId="0" fontId="17" fillId="0" borderId="0" xfId="6" applyFont="1"/>
    <xf numFmtId="49" fontId="17" fillId="0" borderId="0" xfId="6" applyNumberFormat="1" applyFont="1" applyAlignment="1" applyProtection="1">
      <alignment horizontal="center"/>
    </xf>
    <xf numFmtId="0" fontId="21" fillId="0" borderId="0" xfId="6" applyFont="1" applyAlignment="1" applyProtection="1">
      <alignment horizontal="center"/>
    </xf>
    <xf numFmtId="0" fontId="17" fillId="0" borderId="4" xfId="0" applyFont="1" applyBorder="1" applyAlignment="1"/>
    <xf numFmtId="4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4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4" fontId="12" fillId="0" borderId="11" xfId="6" applyNumberFormat="1" applyFont="1" applyFill="1" applyBorder="1" applyAlignment="1" applyProtection="1">
      <alignment horizontal="center" vertical="center" wrapText="1"/>
    </xf>
    <xf numFmtId="4" fontId="12" fillId="0" borderId="13" xfId="6" applyNumberFormat="1" applyFont="1" applyFill="1" applyBorder="1" applyAlignment="1" applyProtection="1">
      <alignment horizontal="center" vertical="center" wrapText="1"/>
    </xf>
    <xf numFmtId="4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4" fontId="12" fillId="0" borderId="18" xfId="6" applyNumberFormat="1" applyFont="1" applyFill="1" applyBorder="1" applyAlignment="1" applyProtection="1">
      <alignment horizontal="center" vertical="center" wrapText="1"/>
    </xf>
    <xf numFmtId="2" fontId="12" fillId="0" borderId="14" xfId="6" applyNumberFormat="1" applyFont="1" applyFill="1" applyBorder="1" applyAlignment="1" applyProtection="1">
      <alignment horizontal="center" vertical="center" wrapText="1"/>
    </xf>
    <xf numFmtId="49" fontId="18" fillId="0" borderId="11" xfId="6" applyNumberFormat="1" applyFont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vertical="center" wrapText="1"/>
    </xf>
    <xf numFmtId="167" fontId="13" fillId="0" borderId="11" xfId="4" applyNumberFormat="1" applyFont="1" applyFill="1" applyBorder="1" applyAlignment="1" applyProtection="1">
      <alignment horizontal="center" vertical="center" wrapText="1"/>
    </xf>
    <xf numFmtId="167" fontId="13" fillId="0" borderId="13" xfId="4" applyNumberFormat="1" applyFont="1" applyFill="1" applyBorder="1" applyAlignment="1" applyProtection="1">
      <alignment horizontal="center" vertical="center" wrapText="1"/>
    </xf>
    <xf numFmtId="164" fontId="13" fillId="0" borderId="14" xfId="6" applyNumberFormat="1" applyFont="1" applyFill="1" applyBorder="1" applyAlignment="1" applyProtection="1">
      <alignment horizontal="center" vertical="center" wrapText="1"/>
    </xf>
    <xf numFmtId="164" fontId="13" fillId="0" borderId="12" xfId="6" applyNumberFormat="1" applyFont="1" applyFill="1" applyBorder="1" applyAlignment="1" applyProtection="1">
      <alignment horizontal="center" vertical="center" wrapText="1"/>
    </xf>
    <xf numFmtId="164" fontId="13" fillId="0" borderId="14" xfId="6" applyNumberFormat="1" applyFont="1" applyFill="1" applyBorder="1"/>
    <xf numFmtId="169" fontId="13" fillId="0" borderId="15" xfId="6" applyNumberFormat="1" applyFont="1" applyFill="1" applyBorder="1" applyAlignment="1" applyProtection="1">
      <alignment horizontal="center" vertical="center" wrapText="1"/>
      <protection locked="0"/>
    </xf>
    <xf numFmtId="165" fontId="21" fillId="0" borderId="11" xfId="4" applyFont="1" applyFill="1" applyBorder="1" applyAlignment="1" applyProtection="1">
      <alignment horizontal="center" vertical="center" wrapText="1"/>
    </xf>
    <xf numFmtId="0" fontId="21" fillId="0" borderId="12" xfId="6" applyNumberFormat="1" applyFont="1" applyFill="1" applyBorder="1" applyAlignment="1" applyProtection="1">
      <alignment horizontal="center" vertical="center" wrapText="1"/>
    </xf>
    <xf numFmtId="165" fontId="21" fillId="0" borderId="13" xfId="4" applyNumberFormat="1" applyFont="1" applyFill="1" applyBorder="1" applyAlignment="1" applyProtection="1">
      <alignment horizontal="center" vertical="center" wrapText="1"/>
    </xf>
    <xf numFmtId="0" fontId="21" fillId="0" borderId="14" xfId="6" applyNumberFormat="1" applyFont="1" applyFill="1" applyBorder="1" applyAlignment="1" applyProtection="1">
      <alignment horizontal="center" vertical="center" wrapText="1"/>
    </xf>
    <xf numFmtId="0" fontId="21" fillId="0" borderId="14" xfId="6" applyFont="1" applyFill="1" applyBorder="1"/>
    <xf numFmtId="4" fontId="21" fillId="0" borderId="15" xfId="6" applyNumberFormat="1" applyFont="1" applyFill="1" applyBorder="1" applyAlignment="1" applyProtection="1">
      <alignment horizontal="center" vertical="center" wrapText="1"/>
      <protection locked="0"/>
    </xf>
    <xf numFmtId="49" fontId="29" fillId="0" borderId="19" xfId="6" applyNumberFormat="1" applyFont="1" applyBorder="1" applyAlignment="1" applyProtection="1">
      <alignment horizontal="center" vertical="center" wrapText="1"/>
    </xf>
    <xf numFmtId="0" fontId="29" fillId="0" borderId="20" xfId="6" applyFont="1" applyBorder="1" applyAlignment="1" applyProtection="1">
      <alignment vertical="center" wrapText="1"/>
    </xf>
    <xf numFmtId="0" fontId="17" fillId="0" borderId="21" xfId="6" applyFont="1" applyBorder="1"/>
    <xf numFmtId="2" fontId="17" fillId="0" borderId="19" xfId="6" applyNumberFormat="1" applyFont="1" applyBorder="1"/>
    <xf numFmtId="0" fontId="17" fillId="0" borderId="22" xfId="6" applyFont="1" applyBorder="1"/>
    <xf numFmtId="2" fontId="17" fillId="0" borderId="23" xfId="6" applyNumberFormat="1" applyFont="1" applyBorder="1"/>
    <xf numFmtId="2" fontId="17" fillId="0" borderId="21" xfId="6" applyNumberFormat="1" applyFont="1" applyBorder="1"/>
    <xf numFmtId="2" fontId="17" fillId="0" borderId="22" xfId="6" applyNumberFormat="1" applyFont="1" applyBorder="1"/>
    <xf numFmtId="0" fontId="17" fillId="0" borderId="24" xfId="6" applyFont="1" applyBorder="1"/>
    <xf numFmtId="0" fontId="17" fillId="0" borderId="0" xfId="6" applyNumberFormat="1" applyFont="1" applyAlignment="1" applyProtection="1">
      <alignment horizontal="center"/>
    </xf>
    <xf numFmtId="170" fontId="16" fillId="0" borderId="0" xfId="3" applyNumberFormat="1" applyFont="1" applyFill="1"/>
    <xf numFmtId="0" fontId="4" fillId="0" borderId="0" xfId="3" applyFont="1" applyFill="1" applyAlignment="1">
      <alignment vertical="top"/>
    </xf>
    <xf numFmtId="2" fontId="4" fillId="0" borderId="0" xfId="3" applyNumberFormat="1" applyFont="1" applyFill="1" applyAlignment="1">
      <alignment vertical="top"/>
    </xf>
    <xf numFmtId="165" fontId="16" fillId="0" borderId="0" xfId="3" applyNumberFormat="1" applyFont="1" applyFill="1"/>
    <xf numFmtId="0" fontId="14" fillId="0" borderId="0" xfId="3" applyFont="1" applyFill="1" applyAlignment="1">
      <alignment vertical="top"/>
    </xf>
    <xf numFmtId="164" fontId="16" fillId="0" borderId="0" xfId="3" applyNumberFormat="1" applyFont="1" applyFill="1"/>
    <xf numFmtId="165" fontId="16" fillId="0" borderId="0" xfId="3" applyNumberFormat="1" applyFont="1" applyFill="1" applyAlignment="1">
      <alignment vertical="center"/>
    </xf>
    <xf numFmtId="0" fontId="16" fillId="0" borderId="0" xfId="3" applyFont="1" applyFill="1" applyAlignment="1">
      <alignment vertical="center"/>
    </xf>
    <xf numFmtId="0" fontId="8" fillId="0" borderId="0" xfId="3" applyFont="1" applyFill="1" applyAlignment="1">
      <alignment horizontal="left" wrapText="1"/>
    </xf>
    <xf numFmtId="0" fontId="8" fillId="0" borderId="0" xfId="3" applyFont="1" applyFill="1" applyAlignment="1"/>
    <xf numFmtId="2" fontId="4" fillId="0" borderId="0" xfId="3" applyNumberFormat="1" applyFont="1" applyFill="1" applyAlignment="1">
      <alignment horizontal="right"/>
    </xf>
    <xf numFmtId="49" fontId="17" fillId="0" borderId="0" xfId="6" applyNumberFormat="1" applyFont="1"/>
    <xf numFmtId="49" fontId="17" fillId="0" borderId="0" xfId="6" applyNumberFormat="1" applyFont="1" applyProtection="1"/>
    <xf numFmtId="0" fontId="17" fillId="0" borderId="0" xfId="6" applyFont="1" applyProtection="1"/>
    <xf numFmtId="0" fontId="28" fillId="0" borderId="17" xfId="6" applyFont="1" applyBorder="1" applyAlignment="1" applyProtection="1">
      <alignment horizontal="center" vertical="top"/>
    </xf>
    <xf numFmtId="0" fontId="17" fillId="0" borderId="2" xfId="6" applyFont="1" applyBorder="1"/>
    <xf numFmtId="49" fontId="28" fillId="0" borderId="14" xfId="6" applyNumberFormat="1" applyFont="1" applyBorder="1" applyAlignment="1" applyProtection="1">
      <alignment horizontal="center" vertical="center" wrapText="1"/>
    </xf>
    <xf numFmtId="0" fontId="17" fillId="0" borderId="13" xfId="6" applyFont="1" applyBorder="1"/>
    <xf numFmtId="49" fontId="28" fillId="0" borderId="14" xfId="6" applyNumberFormat="1" applyFont="1" applyBorder="1" applyAlignment="1" applyProtection="1">
      <alignment horizontal="right" vertical="center" wrapText="1"/>
    </xf>
    <xf numFmtId="9" fontId="21" fillId="3" borderId="13" xfId="2" applyFont="1" applyFill="1" applyBorder="1" applyAlignment="1" applyProtection="1">
      <alignment horizontal="center" vertical="center" wrapText="1"/>
    </xf>
    <xf numFmtId="2" fontId="17" fillId="0" borderId="0" xfId="6" applyNumberFormat="1" applyFont="1"/>
    <xf numFmtId="2" fontId="17" fillId="0" borderId="2" xfId="6" applyNumberFormat="1" applyFont="1" applyBorder="1"/>
    <xf numFmtId="4" fontId="17" fillId="0" borderId="0" xfId="6" applyNumberFormat="1" applyFont="1"/>
    <xf numFmtId="10" fontId="21" fillId="4" borderId="13" xfId="2" applyNumberFormat="1" applyFont="1" applyFill="1" applyBorder="1" applyAlignment="1" applyProtection="1">
      <alignment horizontal="center" vertical="center" wrapText="1"/>
    </xf>
    <xf numFmtId="10" fontId="21" fillId="0" borderId="13" xfId="2" applyNumberFormat="1" applyFont="1" applyFill="1" applyBorder="1" applyAlignment="1" applyProtection="1">
      <alignment horizontal="center" vertical="center" wrapText="1"/>
    </xf>
    <xf numFmtId="2" fontId="17" fillId="5" borderId="0" xfId="6" applyNumberFormat="1" applyFont="1" applyFill="1"/>
    <xf numFmtId="10" fontId="21" fillId="3" borderId="13" xfId="2" applyNumberFormat="1" applyFont="1" applyFill="1" applyBorder="1" applyAlignment="1" applyProtection="1">
      <alignment horizontal="center" vertical="center" wrapText="1"/>
    </xf>
    <xf numFmtId="49" fontId="29" fillId="0" borderId="14" xfId="6" applyNumberFormat="1" applyFont="1" applyBorder="1" applyAlignment="1" applyProtection="1">
      <alignment horizontal="right" vertical="center" wrapText="1"/>
    </xf>
    <xf numFmtId="4" fontId="21" fillId="0" borderId="0" xfId="6" applyNumberFormat="1" applyFont="1"/>
    <xf numFmtId="0" fontId="21" fillId="0" borderId="0" xfId="6" applyFont="1"/>
    <xf numFmtId="2" fontId="21" fillId="0" borderId="2" xfId="6" applyNumberFormat="1" applyFont="1" applyBorder="1"/>
    <xf numFmtId="0" fontId="21" fillId="0" borderId="2" xfId="6" applyFont="1" applyBorder="1"/>
    <xf numFmtId="2" fontId="21" fillId="0" borderId="0" xfId="6" applyNumberFormat="1" applyFont="1" applyBorder="1"/>
    <xf numFmtId="0" fontId="21" fillId="0" borderId="0" xfId="6" applyFont="1" applyBorder="1"/>
    <xf numFmtId="165" fontId="21" fillId="0" borderId="0" xfId="4" applyFont="1"/>
    <xf numFmtId="2" fontId="21" fillId="0" borderId="0" xfId="6" applyNumberFormat="1" applyFont="1"/>
    <xf numFmtId="49" fontId="29" fillId="0" borderId="0" xfId="6" applyNumberFormat="1" applyFont="1" applyBorder="1" applyAlignment="1" applyProtection="1">
      <alignment horizontal="right" vertical="center" wrapText="1"/>
    </xf>
    <xf numFmtId="49" fontId="29" fillId="0" borderId="0" xfId="6" applyNumberFormat="1" applyFont="1" applyBorder="1" applyAlignment="1" applyProtection="1">
      <alignment horizontal="center" vertical="center" wrapText="1"/>
    </xf>
    <xf numFmtId="0" fontId="29" fillId="0" borderId="26" xfId="6" applyFont="1" applyBorder="1" applyAlignment="1" applyProtection="1">
      <alignment vertical="center" wrapText="1"/>
    </xf>
    <xf numFmtId="4" fontId="17" fillId="0" borderId="26" xfId="6" applyNumberFormat="1" applyFont="1" applyBorder="1"/>
    <xf numFmtId="171" fontId="17" fillId="0" borderId="2" xfId="2" applyNumberFormat="1" applyFont="1" applyBorder="1"/>
    <xf numFmtId="171" fontId="17" fillId="0" borderId="0" xfId="2" applyNumberFormat="1" applyFont="1"/>
    <xf numFmtId="3" fontId="17" fillId="0" borderId="2" xfId="6" applyNumberFormat="1" applyFont="1" applyBorder="1"/>
    <xf numFmtId="0" fontId="17" fillId="0" borderId="0" xfId="6" applyFont="1" applyBorder="1"/>
    <xf numFmtId="3" fontId="17" fillId="0" borderId="0" xfId="6" applyNumberFormat="1" applyFont="1" applyBorder="1"/>
    <xf numFmtId="2" fontId="25" fillId="0" borderId="0" xfId="0" applyNumberFormat="1" applyFont="1"/>
    <xf numFmtId="2" fontId="31" fillId="0" borderId="0" xfId="0" applyNumberFormat="1" applyFont="1"/>
    <xf numFmtId="0" fontId="32" fillId="0" borderId="0" xfId="7" applyFont="1" applyFill="1" applyAlignment="1">
      <alignment horizontal="center" vertical="center" wrapText="1"/>
    </xf>
    <xf numFmtId="0" fontId="32" fillId="0" borderId="0" xfId="7" applyFont="1" applyFill="1"/>
    <xf numFmtId="0" fontId="32" fillId="0" borderId="0" xfId="7" applyFont="1" applyFill="1" applyAlignment="1">
      <alignment horizontal="center" wrapText="1"/>
    </xf>
    <xf numFmtId="0" fontId="34" fillId="0" borderId="1" xfId="7" applyFont="1" applyFill="1" applyBorder="1" applyAlignment="1">
      <alignment horizontal="center" vertical="center" wrapText="1"/>
    </xf>
    <xf numFmtId="0" fontId="34" fillId="0" borderId="11" xfId="7" applyFont="1" applyFill="1" applyBorder="1" applyAlignment="1">
      <alignment horizontal="center" vertical="center" wrapText="1"/>
    </xf>
    <xf numFmtId="0" fontId="34" fillId="0" borderId="2" xfId="7" applyFont="1" applyFill="1" applyBorder="1" applyAlignment="1">
      <alignment horizontal="center" vertical="center" wrapText="1"/>
    </xf>
    <xf numFmtId="0" fontId="34" fillId="0" borderId="12" xfId="7" applyFont="1" applyFill="1" applyBorder="1" applyAlignment="1">
      <alignment horizontal="center" vertical="center"/>
    </xf>
    <xf numFmtId="0" fontId="34" fillId="0" borderId="12" xfId="7" applyFont="1" applyFill="1" applyBorder="1"/>
    <xf numFmtId="0" fontId="34" fillId="0" borderId="19" xfId="7" applyFont="1" applyFill="1" applyBorder="1" applyAlignment="1">
      <alignment horizontal="center" wrapText="1"/>
    </xf>
    <xf numFmtId="0" fontId="34" fillId="0" borderId="4" xfId="7" applyFont="1" applyFill="1" applyBorder="1" applyAlignment="1">
      <alignment horizontal="center" vertical="center" wrapText="1"/>
    </xf>
    <xf numFmtId="0" fontId="34" fillId="0" borderId="19" xfId="7" applyFont="1" applyFill="1" applyBorder="1" applyAlignment="1">
      <alignment horizontal="center" vertical="center" wrapText="1"/>
    </xf>
    <xf numFmtId="0" fontId="34" fillId="0" borderId="20" xfId="7" applyFont="1" applyFill="1" applyBorder="1" applyAlignment="1">
      <alignment horizontal="center" vertical="center" wrapText="1"/>
    </xf>
    <xf numFmtId="0" fontId="34" fillId="0" borderId="22" xfId="7" applyFont="1" applyFill="1" applyBorder="1" applyAlignment="1">
      <alignment horizontal="center" vertical="center" wrapText="1"/>
    </xf>
    <xf numFmtId="164" fontId="37" fillId="7" borderId="28" xfId="1" applyFont="1" applyFill="1" applyBorder="1" applyAlignment="1">
      <alignment horizontal="center" vertical="center" wrapText="1"/>
    </xf>
    <xf numFmtId="0" fontId="32" fillId="0" borderId="38" xfId="7" applyFont="1" applyFill="1" applyBorder="1" applyAlignment="1">
      <alignment horizontal="center" vertical="center" wrapText="1"/>
    </xf>
    <xf numFmtId="0" fontId="5" fillId="0" borderId="38" xfId="7" applyFont="1" applyFill="1" applyBorder="1" applyAlignment="1">
      <alignment horizontal="justify" vertical="center" wrapText="1"/>
    </xf>
    <xf numFmtId="164" fontId="33" fillId="0" borderId="1" xfId="1" applyFont="1" applyFill="1" applyBorder="1" applyAlignment="1">
      <alignment horizontal="center" vertical="center" wrapText="1"/>
    </xf>
    <xf numFmtId="164" fontId="37" fillId="7" borderId="26" xfId="1" applyFont="1" applyFill="1" applyBorder="1" applyAlignment="1">
      <alignment horizontal="center" vertical="center" wrapText="1"/>
    </xf>
    <xf numFmtId="0" fontId="32" fillId="0" borderId="27" xfId="7" applyFont="1" applyFill="1" applyBorder="1"/>
    <xf numFmtId="0" fontId="32" fillId="0" borderId="37" xfId="7" applyFont="1" applyFill="1" applyBorder="1" applyAlignment="1">
      <alignment horizontal="center" vertical="center" wrapText="1"/>
    </xf>
    <xf numFmtId="0" fontId="34" fillId="0" borderId="37" xfId="7" applyFont="1" applyFill="1" applyBorder="1" applyAlignment="1">
      <alignment horizontal="left" vertical="center" wrapText="1"/>
    </xf>
    <xf numFmtId="164" fontId="37" fillId="0" borderId="41" xfId="1" applyFont="1" applyFill="1" applyBorder="1" applyAlignment="1">
      <alignment horizontal="center" vertical="center" wrapText="1"/>
    </xf>
    <xf numFmtId="164" fontId="37" fillId="0" borderId="4" xfId="1" applyFont="1" applyFill="1" applyBorder="1" applyAlignment="1">
      <alignment horizontal="center" vertical="center"/>
    </xf>
    <xf numFmtId="164" fontId="37" fillId="0" borderId="19" xfId="1" applyFont="1" applyFill="1" applyBorder="1" applyAlignment="1">
      <alignment horizontal="center" vertical="center" wrapText="1"/>
    </xf>
    <xf numFmtId="164" fontId="37" fillId="0" borderId="20" xfId="1" applyFont="1" applyFill="1" applyBorder="1" applyAlignment="1">
      <alignment horizontal="center" vertical="center" wrapText="1"/>
    </xf>
    <xf numFmtId="0" fontId="32" fillId="0" borderId="22" xfId="7" applyFont="1" applyFill="1" applyBorder="1"/>
    <xf numFmtId="0" fontId="39" fillId="0" borderId="0" xfId="6" applyFont="1" applyBorder="1" applyAlignment="1" applyProtection="1">
      <alignment vertical="center" wrapText="1"/>
    </xf>
    <xf numFmtId="0" fontId="34" fillId="0" borderId="0" xfId="7" applyFont="1" applyFill="1"/>
    <xf numFmtId="0" fontId="18" fillId="0" borderId="0" xfId="6" applyFont="1" applyBorder="1" applyAlignment="1" applyProtection="1">
      <alignment horizontal="center" vertical="center" wrapText="1"/>
    </xf>
    <xf numFmtId="0" fontId="32" fillId="0" borderId="0" xfId="6" applyFont="1" applyFill="1" applyBorder="1" applyAlignment="1">
      <alignment horizontal="justify" wrapText="1"/>
    </xf>
    <xf numFmtId="0" fontId="20" fillId="0" borderId="0" xfId="6" applyFont="1" applyAlignment="1" applyProtection="1">
      <alignment horizontal="center"/>
    </xf>
    <xf numFmtId="0" fontId="32" fillId="0" borderId="0" xfId="6" applyFont="1" applyFill="1" applyBorder="1" applyAlignment="1">
      <alignment wrapText="1"/>
    </xf>
    <xf numFmtId="0" fontId="40" fillId="0" borderId="0" xfId="6" applyFont="1" applyFill="1" applyBorder="1" applyAlignment="1">
      <alignment wrapText="1"/>
    </xf>
    <xf numFmtId="0" fontId="39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4" fontId="17" fillId="0" borderId="0" xfId="6" applyNumberFormat="1" applyFont="1" applyFill="1"/>
    <xf numFmtId="0" fontId="9" fillId="0" borderId="0" xfId="3" applyFont="1" applyFill="1" applyBorder="1" applyAlignment="1">
      <alignment horizontal="right" vertical="center"/>
    </xf>
    <xf numFmtId="4" fontId="2" fillId="0" borderId="0" xfId="3" applyNumberFormat="1" applyFill="1" applyAlignment="1">
      <alignment shrinkToFit="1"/>
    </xf>
    <xf numFmtId="0" fontId="2" fillId="0" borderId="0" xfId="3" applyFill="1" applyAlignment="1">
      <alignment shrinkToFit="1"/>
    </xf>
    <xf numFmtId="0" fontId="4" fillId="0" borderId="0" xfId="3" applyFont="1" applyFill="1" applyBorder="1" applyAlignment="1"/>
    <xf numFmtId="0" fontId="5" fillId="0" borderId="0" xfId="3" applyFont="1" applyFill="1" applyBorder="1" applyAlignment="1">
      <alignment horizontal="left"/>
    </xf>
    <xf numFmtId="0" fontId="41" fillId="0" borderId="0" xfId="7" applyFont="1" applyBorder="1" applyAlignment="1">
      <alignment horizontal="center" vertical="center" wrapText="1"/>
    </xf>
    <xf numFmtId="0" fontId="34" fillId="0" borderId="0" xfId="7" applyFont="1" applyFill="1" applyAlignment="1">
      <alignment horizontal="center" wrapText="1"/>
    </xf>
    <xf numFmtId="0" fontId="34" fillId="7" borderId="38" xfId="7" applyFont="1" applyFill="1" applyBorder="1" applyAlignment="1">
      <alignment horizontal="center" vertical="center" wrapText="1"/>
    </xf>
    <xf numFmtId="0" fontId="34" fillId="0" borderId="28" xfId="7" applyFont="1" applyFill="1" applyBorder="1" applyAlignment="1">
      <alignment horizontal="center" wrapText="1"/>
    </xf>
    <xf numFmtId="0" fontId="34" fillId="0" borderId="1" xfId="7" applyFont="1" applyFill="1" applyBorder="1" applyAlignment="1">
      <alignment horizontal="center" wrapText="1"/>
    </xf>
    <xf numFmtId="0" fontId="34" fillId="0" borderId="5" xfId="7" applyFont="1" applyFill="1" applyBorder="1" applyAlignment="1">
      <alignment horizontal="center" wrapText="1"/>
    </xf>
    <xf numFmtId="0" fontId="34" fillId="0" borderId="6" xfId="7" applyFont="1" applyFill="1" applyBorder="1" applyAlignment="1">
      <alignment horizontal="center" wrapText="1"/>
    </xf>
    <xf numFmtId="0" fontId="34" fillId="0" borderId="33" xfId="7" applyFont="1" applyFill="1" applyBorder="1"/>
    <xf numFmtId="0" fontId="34" fillId="0" borderId="38" xfId="7" applyFont="1" applyFill="1" applyBorder="1" applyAlignment="1">
      <alignment horizontal="center" vertical="center" wrapText="1"/>
    </xf>
    <xf numFmtId="0" fontId="5" fillId="0" borderId="38" xfId="7" applyFont="1" applyFill="1" applyBorder="1" applyAlignment="1">
      <alignment horizontal="left" vertical="center" wrapText="1"/>
    </xf>
    <xf numFmtId="164" fontId="5" fillId="6" borderId="28" xfId="1" applyFont="1" applyFill="1" applyBorder="1" applyAlignment="1">
      <alignment horizontal="center" vertical="center" wrapText="1"/>
    </xf>
    <xf numFmtId="164" fontId="5" fillId="6" borderId="1" xfId="1" applyFont="1" applyFill="1" applyBorder="1" applyAlignment="1">
      <alignment horizontal="center" vertical="center" wrapText="1"/>
    </xf>
    <xf numFmtId="164" fontId="5" fillId="6" borderId="11" xfId="1" applyFont="1" applyFill="1" applyBorder="1" applyAlignment="1">
      <alignment horizontal="center" vertical="center" wrapText="1"/>
    </xf>
    <xf numFmtId="164" fontId="5" fillId="6" borderId="2" xfId="1" applyFont="1" applyFill="1" applyBorder="1" applyAlignment="1">
      <alignment horizontal="center" vertical="center" wrapText="1"/>
    </xf>
    <xf numFmtId="4" fontId="34" fillId="0" borderId="12" xfId="7" applyNumberFormat="1" applyFont="1" applyFill="1" applyBorder="1" applyAlignment="1">
      <alignment vertical="center"/>
    </xf>
    <xf numFmtId="49" fontId="34" fillId="0" borderId="38" xfId="7" applyNumberFormat="1" applyFont="1" applyFill="1" applyBorder="1" applyAlignment="1">
      <alignment horizontal="center" vertical="center" wrapText="1"/>
    </xf>
    <xf numFmtId="164" fontId="5" fillId="0" borderId="11" xfId="1" applyFont="1" applyFill="1" applyBorder="1" applyAlignment="1">
      <alignment horizontal="center" vertical="center" wrapText="1"/>
    </xf>
    <xf numFmtId="164" fontId="5" fillId="0" borderId="14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28" xfId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4" fontId="34" fillId="0" borderId="12" xfId="7" applyNumberFormat="1" applyFont="1" applyFill="1" applyBorder="1"/>
    <xf numFmtId="164" fontId="5" fillId="0" borderId="18" xfId="1" applyFont="1" applyFill="1" applyBorder="1" applyAlignment="1">
      <alignment horizontal="center" vertical="center" wrapText="1"/>
    </xf>
    <xf numFmtId="164" fontId="5" fillId="0" borderId="16" xfId="1" applyFont="1" applyFill="1" applyBorder="1" applyAlignment="1">
      <alignment horizontal="center" vertical="center" wrapText="1"/>
    </xf>
    <xf numFmtId="164" fontId="5" fillId="0" borderId="25" xfId="1" applyFont="1" applyFill="1" applyBorder="1" applyAlignment="1">
      <alignment horizontal="center" vertical="center" wrapText="1"/>
    </xf>
    <xf numFmtId="164" fontId="5" fillId="0" borderId="26" xfId="1" applyFont="1" applyFill="1" applyBorder="1" applyAlignment="1">
      <alignment horizontal="center" vertical="center" wrapText="1"/>
    </xf>
    <xf numFmtId="164" fontId="34" fillId="0" borderId="28" xfId="1" applyFont="1" applyFill="1" applyBorder="1" applyAlignment="1">
      <alignment horizontal="center" vertical="center" wrapText="1"/>
    </xf>
    <xf numFmtId="164" fontId="34" fillId="0" borderId="1" xfId="1" applyFont="1" applyFill="1" applyBorder="1" applyAlignment="1">
      <alignment horizontal="center" vertical="center" wrapText="1"/>
    </xf>
    <xf numFmtId="164" fontId="34" fillId="0" borderId="11" xfId="1" applyFont="1" applyFill="1" applyBorder="1" applyAlignment="1">
      <alignment horizontal="center" vertical="center" wrapText="1"/>
    </xf>
    <xf numFmtId="164" fontId="34" fillId="0" borderId="2" xfId="1" applyFont="1" applyFill="1" applyBorder="1" applyAlignment="1">
      <alignment horizontal="center" vertical="center" wrapText="1"/>
    </xf>
    <xf numFmtId="0" fontId="41" fillId="0" borderId="38" xfId="7" applyFont="1" applyFill="1" applyBorder="1" applyAlignment="1">
      <alignment horizontal="center" vertical="center" wrapText="1"/>
    </xf>
    <xf numFmtId="0" fontId="9" fillId="0" borderId="38" xfId="7" applyFont="1" applyFill="1" applyBorder="1" applyAlignment="1">
      <alignment horizontal="left" vertical="center" wrapText="1"/>
    </xf>
    <xf numFmtId="164" fontId="41" fillId="7" borderId="28" xfId="1" applyFont="1" applyFill="1" applyBorder="1" applyAlignment="1">
      <alignment horizontal="center" vertical="center" wrapText="1"/>
    </xf>
    <xf numFmtId="164" fontId="41" fillId="7" borderId="1" xfId="1" applyFont="1" applyFill="1" applyBorder="1" applyAlignment="1">
      <alignment horizontal="center" vertical="center" wrapText="1"/>
    </xf>
    <xf numFmtId="164" fontId="41" fillId="7" borderId="11" xfId="1" applyFont="1" applyFill="1" applyBorder="1" applyAlignment="1">
      <alignment horizontal="center" vertical="center" wrapText="1"/>
    </xf>
    <xf numFmtId="164" fontId="41" fillId="7" borderId="2" xfId="1" applyFont="1" applyFill="1" applyBorder="1" applyAlignment="1">
      <alignment horizontal="center" vertical="center" wrapText="1"/>
    </xf>
    <xf numFmtId="164" fontId="41" fillId="7" borderId="12" xfId="1" applyFont="1" applyFill="1" applyBorder="1" applyAlignment="1">
      <alignment horizontal="center" vertical="center" wrapText="1"/>
    </xf>
    <xf numFmtId="164" fontId="34" fillId="7" borderId="28" xfId="1" applyFont="1" applyFill="1" applyBorder="1" applyAlignment="1">
      <alignment horizontal="center" vertical="center" wrapText="1"/>
    </xf>
    <xf numFmtId="164" fontId="34" fillId="7" borderId="1" xfId="1" applyFont="1" applyFill="1" applyBorder="1" applyAlignment="1">
      <alignment horizontal="center" vertical="center" wrapText="1"/>
    </xf>
    <xf numFmtId="164" fontId="34" fillId="7" borderId="11" xfId="1" applyFont="1" applyFill="1" applyBorder="1" applyAlignment="1">
      <alignment horizontal="center" vertical="center" wrapText="1"/>
    </xf>
    <xf numFmtId="164" fontId="34" fillId="7" borderId="2" xfId="1" applyFont="1" applyFill="1" applyBorder="1" applyAlignment="1">
      <alignment horizontal="center" vertical="center" wrapText="1"/>
    </xf>
    <xf numFmtId="164" fontId="34" fillId="7" borderId="12" xfId="1" applyFont="1" applyFill="1" applyBorder="1" applyAlignment="1">
      <alignment horizontal="center" vertical="center" wrapText="1"/>
    </xf>
    <xf numFmtId="0" fontId="41" fillId="0" borderId="39" xfId="7" applyFont="1" applyFill="1" applyBorder="1" applyAlignment="1">
      <alignment horizontal="center" vertical="center" wrapText="1"/>
    </xf>
    <xf numFmtId="0" fontId="9" fillId="0" borderId="39" xfId="7" applyFont="1" applyFill="1" applyBorder="1" applyAlignment="1">
      <alignment horizontal="left" vertical="center" wrapText="1"/>
    </xf>
    <xf numFmtId="164" fontId="41" fillId="7" borderId="19" xfId="1" applyFont="1" applyFill="1" applyBorder="1" applyAlignment="1">
      <alignment horizontal="center" vertical="center" wrapText="1"/>
    </xf>
    <xf numFmtId="164" fontId="41" fillId="7" borderId="40" xfId="1" applyFont="1" applyFill="1" applyBorder="1" applyAlignment="1">
      <alignment horizontal="center" vertical="center" wrapText="1"/>
    </xf>
    <xf numFmtId="164" fontId="41" fillId="7" borderId="20" xfId="1" applyFont="1" applyFill="1" applyBorder="1" applyAlignment="1">
      <alignment horizontal="center" vertical="center" wrapText="1"/>
    </xf>
    <xf numFmtId="164" fontId="41" fillId="7" borderId="22" xfId="1" applyFont="1" applyFill="1" applyBorder="1" applyAlignment="1">
      <alignment horizontal="center" vertical="center" wrapText="1"/>
    </xf>
    <xf numFmtId="0" fontId="32" fillId="0" borderId="0" xfId="7" applyFont="1" applyFill="1" applyBorder="1" applyAlignment="1">
      <alignment horizontal="center" vertical="center" wrapText="1"/>
    </xf>
    <xf numFmtId="0" fontId="34" fillId="0" borderId="0" xfId="7" applyFont="1" applyFill="1" applyBorder="1" applyAlignment="1">
      <alignment horizontal="left" vertical="center" wrapText="1"/>
    </xf>
    <xf numFmtId="164" fontId="37" fillId="0" borderId="0" xfId="1" applyFont="1" applyFill="1" applyBorder="1" applyAlignment="1">
      <alignment horizontal="center" vertical="center" wrapText="1"/>
    </xf>
    <xf numFmtId="164" fontId="37" fillId="0" borderId="0" xfId="1" applyFont="1" applyFill="1" applyBorder="1" applyAlignment="1">
      <alignment horizontal="center" vertical="center"/>
    </xf>
    <xf numFmtId="0" fontId="32" fillId="0" borderId="0" xfId="7" applyFont="1" applyFill="1" applyBorder="1"/>
    <xf numFmtId="0" fontId="5" fillId="0" borderId="0" xfId="3" applyFont="1" applyFill="1" applyBorder="1" applyAlignment="1">
      <alignment horizontal="right" vertical="center" wrapText="1"/>
    </xf>
    <xf numFmtId="0" fontId="23" fillId="0" borderId="0" xfId="3" applyFont="1" applyFill="1" applyBorder="1" applyAlignment="1">
      <alignment wrapText="1"/>
    </xf>
    <xf numFmtId="2" fontId="23" fillId="0" borderId="0" xfId="3" applyNumberFormat="1" applyFont="1" applyFill="1" applyBorder="1" applyAlignment="1">
      <alignment horizontal="center" wrapText="1"/>
    </xf>
    <xf numFmtId="0" fontId="23" fillId="0" borderId="0" xfId="3" applyFont="1" applyFill="1" applyBorder="1"/>
    <xf numFmtId="0" fontId="25" fillId="0" borderId="0" xfId="0" applyFont="1" applyFill="1" applyBorder="1" applyAlignment="1"/>
    <xf numFmtId="0" fontId="25" fillId="0" borderId="0" xfId="0" applyFont="1" applyFill="1" applyBorder="1"/>
    <xf numFmtId="0" fontId="15" fillId="0" borderId="0" xfId="0" applyFont="1" applyFill="1" applyBorder="1" applyAlignment="1"/>
    <xf numFmtId="0" fontId="15" fillId="0" borderId="0" xfId="0" applyFont="1" applyFill="1" applyBorder="1"/>
    <xf numFmtId="0" fontId="34" fillId="0" borderId="0" xfId="6" applyFont="1" applyFill="1" applyBorder="1" applyAlignment="1">
      <alignment shrinkToFit="1"/>
    </xf>
    <xf numFmtId="0" fontId="42" fillId="0" borderId="0" xfId="6" applyFont="1" applyFill="1" applyBorder="1" applyAlignment="1">
      <alignment shrinkToFit="1"/>
    </xf>
    <xf numFmtId="4" fontId="23" fillId="0" borderId="0" xfId="3" applyNumberFormat="1" applyFont="1" applyFill="1" applyAlignment="1">
      <alignment shrinkToFit="1"/>
    </xf>
    <xf numFmtId="0" fontId="23" fillId="0" borderId="0" xfId="3" applyFont="1" applyFill="1" applyAlignment="1">
      <alignment shrinkToFit="1"/>
    </xf>
    <xf numFmtId="0" fontId="34" fillId="0" borderId="0" xfId="6" applyFont="1" applyFill="1" applyBorder="1" applyAlignment="1">
      <alignment horizontal="justify" shrinkToFit="1"/>
    </xf>
    <xf numFmtId="4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4" fontId="12" fillId="0" borderId="15" xfId="6" applyNumberFormat="1" applyFont="1" applyFill="1" applyBorder="1" applyAlignment="1" applyProtection="1">
      <alignment horizontal="center" vertical="center" wrapText="1"/>
      <protection locked="0"/>
    </xf>
    <xf numFmtId="4" fontId="12" fillId="0" borderId="14" xfId="6" applyNumberFormat="1" applyFont="1" applyFill="1" applyBorder="1" applyAlignment="1" applyProtection="1">
      <alignment horizontal="center" vertical="center" wrapText="1"/>
    </xf>
    <xf numFmtId="4" fontId="12" fillId="0" borderId="12" xfId="6" applyNumberFormat="1" applyFont="1" applyFill="1" applyBorder="1" applyAlignment="1" applyProtection="1">
      <alignment horizontal="center" vertical="center" wrapText="1"/>
    </xf>
    <xf numFmtId="4" fontId="12" fillId="0" borderId="15" xfId="6" applyNumberFormat="1" applyFont="1" applyFill="1" applyBorder="1" applyAlignment="1" applyProtection="1">
      <alignment horizontal="center" vertical="center" wrapText="1"/>
    </xf>
    <xf numFmtId="4" fontId="12" fillId="0" borderId="16" xfId="6" applyNumberFormat="1" applyFont="1" applyFill="1" applyBorder="1" applyAlignment="1" applyProtection="1">
      <alignment horizontal="center" vertical="center" wrapText="1"/>
    </xf>
    <xf numFmtId="4" fontId="12" fillId="0" borderId="17" xfId="6" applyNumberFormat="1" applyFont="1" applyFill="1" applyBorder="1" applyAlignment="1" applyProtection="1">
      <alignment horizontal="center" vertical="center" wrapText="1"/>
    </xf>
    <xf numFmtId="2" fontId="12" fillId="0" borderId="12" xfId="6" applyNumberFormat="1" applyFont="1" applyFill="1" applyBorder="1" applyAlignment="1" applyProtection="1">
      <alignment horizontal="center" vertical="center" wrapText="1"/>
    </xf>
    <xf numFmtId="0" fontId="12" fillId="0" borderId="12" xfId="6" applyFont="1" applyFill="1" applyBorder="1" applyAlignment="1" applyProtection="1">
      <alignment horizontal="center" vertical="center" wrapText="1"/>
    </xf>
    <xf numFmtId="0" fontId="12" fillId="0" borderId="14" xfId="6" applyFont="1" applyFill="1" applyBorder="1" applyAlignment="1" applyProtection="1">
      <alignment horizontal="center" vertical="center" wrapText="1"/>
    </xf>
    <xf numFmtId="168" fontId="13" fillId="0" borderId="12" xfId="6" applyNumberFormat="1" applyFont="1" applyFill="1" applyBorder="1" applyAlignment="1" applyProtection="1">
      <alignment horizontal="center" vertical="center" wrapText="1"/>
    </xf>
    <xf numFmtId="0" fontId="43" fillId="0" borderId="11" xfId="6" applyFont="1" applyFill="1" applyBorder="1" applyAlignment="1" applyProtection="1">
      <alignment horizontal="center" vertical="center" wrapText="1"/>
    </xf>
    <xf numFmtId="0" fontId="43" fillId="0" borderId="12" xfId="6" applyFont="1" applyFill="1" applyBorder="1" applyAlignment="1" applyProtection="1">
      <alignment horizontal="center" vertical="center" wrapText="1"/>
    </xf>
    <xf numFmtId="0" fontId="43" fillId="0" borderId="13" xfId="6" applyFont="1" applyFill="1" applyBorder="1" applyAlignment="1" applyProtection="1">
      <alignment horizontal="center" vertical="center" wrapText="1"/>
    </xf>
    <xf numFmtId="0" fontId="43" fillId="0" borderId="14" xfId="6" applyFont="1" applyFill="1" applyBorder="1" applyAlignment="1" applyProtection="1">
      <alignment horizontal="center" vertical="center" wrapText="1"/>
    </xf>
    <xf numFmtId="49" fontId="43" fillId="0" borderId="11" xfId="6" applyNumberFormat="1" applyFont="1" applyFill="1" applyBorder="1" applyAlignment="1" applyProtection="1">
      <alignment horizontal="center" vertical="center" wrapText="1"/>
    </xf>
    <xf numFmtId="0" fontId="43" fillId="0" borderId="2" xfId="6" applyFont="1" applyFill="1" applyBorder="1" applyAlignment="1" applyProtection="1">
      <alignment horizontal="center" vertical="center" wrapText="1"/>
    </xf>
    <xf numFmtId="0" fontId="12" fillId="0" borderId="11" xfId="6" applyFont="1" applyFill="1" applyBorder="1"/>
    <xf numFmtId="0" fontId="12" fillId="0" borderId="14" xfId="6" applyFont="1" applyFill="1" applyBorder="1"/>
    <xf numFmtId="0" fontId="13" fillId="0" borderId="15" xfId="6" applyFont="1" applyFill="1" applyBorder="1"/>
    <xf numFmtId="49" fontId="9" fillId="0" borderId="11" xfId="6" applyNumberFormat="1" applyFont="1" applyFill="1" applyBorder="1" applyAlignment="1" applyProtection="1">
      <alignment horizontal="center" vertical="center" wrapText="1"/>
    </xf>
    <xf numFmtId="0" fontId="9" fillId="0" borderId="2" xfId="6" applyFont="1" applyFill="1" applyBorder="1" applyAlignment="1" applyProtection="1">
      <alignment vertical="center" wrapText="1"/>
    </xf>
    <xf numFmtId="4" fontId="13" fillId="0" borderId="11" xfId="6" applyNumberFormat="1" applyFont="1" applyFill="1" applyBorder="1" applyAlignment="1" applyProtection="1">
      <alignment horizontal="center" vertical="center" wrapText="1"/>
    </xf>
    <xf numFmtId="4" fontId="13" fillId="0" borderId="16" xfId="6" applyNumberFormat="1" applyFont="1" applyFill="1" applyBorder="1" applyAlignment="1" applyProtection="1">
      <alignment horizontal="center" vertical="center" wrapText="1"/>
    </xf>
    <xf numFmtId="4" fontId="13" fillId="0" borderId="13" xfId="6" applyNumberFormat="1" applyFont="1" applyFill="1" applyBorder="1" applyAlignment="1" applyProtection="1">
      <alignment horizontal="center" vertical="center" wrapText="1"/>
    </xf>
    <xf numFmtId="4" fontId="13" fillId="0" borderId="17" xfId="6" applyNumberFormat="1" applyFont="1" applyFill="1" applyBorder="1" applyAlignment="1" applyProtection="1">
      <alignment horizontal="center" vertical="center" wrapText="1"/>
    </xf>
    <xf numFmtId="4" fontId="13" fillId="0" borderId="15" xfId="6" applyNumberFormat="1" applyFont="1" applyFill="1" applyBorder="1" applyAlignment="1" applyProtection="1">
      <alignment horizontal="center" vertical="center" wrapText="1"/>
    </xf>
    <xf numFmtId="49" fontId="5" fillId="0" borderId="11" xfId="6" applyNumberFormat="1" applyFont="1" applyFill="1" applyBorder="1" applyAlignment="1" applyProtection="1">
      <alignment horizontal="center" vertical="center" wrapText="1"/>
    </xf>
    <xf numFmtId="0" fontId="5" fillId="0" borderId="2" xfId="6" applyFont="1" applyFill="1" applyBorder="1" applyAlignment="1" applyProtection="1">
      <alignment vertical="center" wrapText="1"/>
    </xf>
    <xf numFmtId="49" fontId="9" fillId="0" borderId="11" xfId="5" applyNumberFormat="1" applyFont="1" applyFill="1" applyBorder="1" applyAlignment="1" applyProtection="1">
      <alignment horizontal="center" vertical="center" wrapText="1"/>
    </xf>
    <xf numFmtId="0" fontId="9" fillId="0" borderId="2" xfId="5" applyFont="1" applyFill="1" applyBorder="1" applyAlignment="1" applyProtection="1">
      <alignment vertical="center" wrapText="1"/>
    </xf>
    <xf numFmtId="49" fontId="5" fillId="0" borderId="11" xfId="5" applyNumberFormat="1" applyFont="1" applyFill="1" applyBorder="1" applyAlignment="1" applyProtection="1">
      <alignment horizontal="center" vertical="center" wrapText="1"/>
    </xf>
    <xf numFmtId="0" fontId="5" fillId="0" borderId="2" xfId="5" applyFont="1" applyFill="1" applyBorder="1" applyAlignment="1" applyProtection="1">
      <alignment vertical="center" wrapText="1"/>
    </xf>
    <xf numFmtId="4" fontId="13" fillId="0" borderId="18" xfId="6" applyNumberFormat="1" applyFont="1" applyFill="1" applyBorder="1" applyAlignment="1" applyProtection="1">
      <alignment horizontal="center" vertical="center" wrapText="1"/>
    </xf>
    <xf numFmtId="4" fontId="13" fillId="0" borderId="12" xfId="6" applyNumberFormat="1" applyFont="1" applyFill="1" applyBorder="1" applyAlignment="1" applyProtection="1">
      <alignment horizontal="center" vertical="center" wrapText="1"/>
    </xf>
    <xf numFmtId="4" fontId="13" fillId="0" borderId="14" xfId="6" applyNumberFormat="1" applyFont="1" applyFill="1" applyBorder="1" applyAlignment="1" applyProtection="1">
      <alignment horizontal="center" vertical="center" wrapText="1"/>
    </xf>
    <xf numFmtId="4" fontId="13" fillId="0" borderId="18" xfId="6" applyNumberFormat="1" applyFont="1" applyFill="1" applyBorder="1" applyAlignment="1" applyProtection="1">
      <alignment horizontal="center" vertical="center" wrapText="1"/>
      <protection locked="0"/>
    </xf>
    <xf numFmtId="4" fontId="13" fillId="0" borderId="12" xfId="6" applyNumberFormat="1" applyFont="1" applyFill="1" applyBorder="1" applyAlignment="1" applyProtection="1">
      <alignment horizontal="center" vertical="center" wrapText="1"/>
      <protection locked="0"/>
    </xf>
    <xf numFmtId="4" fontId="13" fillId="0" borderId="14" xfId="6" applyNumberFormat="1" applyFont="1" applyFill="1" applyBorder="1" applyAlignment="1" applyProtection="1">
      <alignment horizontal="center" vertical="center" wrapText="1"/>
      <protection locked="0"/>
    </xf>
    <xf numFmtId="4" fontId="7" fillId="0" borderId="16" xfId="6" applyNumberFormat="1" applyFont="1" applyFill="1" applyBorder="1" applyAlignment="1" applyProtection="1">
      <alignment horizontal="center" vertical="center" wrapText="1"/>
    </xf>
    <xf numFmtId="4" fontId="7" fillId="0" borderId="17" xfId="6" applyNumberFormat="1" applyFont="1" applyFill="1" applyBorder="1" applyAlignment="1" applyProtection="1">
      <alignment horizontal="center" vertical="center" wrapText="1"/>
    </xf>
    <xf numFmtId="4" fontId="9" fillId="0" borderId="15" xfId="6" applyNumberFormat="1" applyFont="1" applyFill="1" applyBorder="1" applyAlignment="1" applyProtection="1">
      <alignment horizontal="center" vertical="center" wrapText="1"/>
    </xf>
    <xf numFmtId="2" fontId="12" fillId="0" borderId="11" xfId="6" applyNumberFormat="1" applyFont="1" applyFill="1" applyBorder="1" applyAlignment="1" applyProtection="1">
      <alignment horizontal="center" vertical="center" wrapText="1"/>
    </xf>
    <xf numFmtId="2" fontId="13" fillId="0" borderId="12" xfId="6" applyNumberFormat="1" applyFont="1" applyFill="1" applyBorder="1" applyAlignment="1" applyProtection="1">
      <alignment horizontal="center" vertical="center" wrapText="1"/>
    </xf>
    <xf numFmtId="2" fontId="12" fillId="0" borderId="13" xfId="6" applyNumberFormat="1" applyFont="1" applyFill="1" applyBorder="1" applyAlignment="1" applyProtection="1">
      <alignment horizontal="center" vertical="center" wrapText="1"/>
    </xf>
    <xf numFmtId="2" fontId="13" fillId="0" borderId="14" xfId="6" applyNumberFormat="1" applyFont="1" applyFill="1" applyBorder="1" applyAlignment="1" applyProtection="1">
      <alignment horizontal="center" vertical="center" wrapText="1"/>
    </xf>
    <xf numFmtId="0" fontId="12" fillId="0" borderId="15" xfId="6" applyFont="1" applyFill="1" applyBorder="1"/>
    <xf numFmtId="0" fontId="34" fillId="0" borderId="0" xfId="6" applyFont="1" applyFill="1" applyBorder="1" applyAlignment="1">
      <alignment horizontal="justify" wrapText="1"/>
    </xf>
    <xf numFmtId="0" fontId="34" fillId="0" borderId="0" xfId="6" applyFont="1" applyFill="1" applyBorder="1" applyAlignment="1">
      <alignment wrapText="1"/>
    </xf>
    <xf numFmtId="0" fontId="21" fillId="0" borderId="0" xfId="0" applyFont="1" applyAlignment="1">
      <alignment horizontal="justify" vertical="center" wrapText="1"/>
    </xf>
    <xf numFmtId="0" fontId="0" fillId="0" borderId="0" xfId="0" applyAlignment="1"/>
    <xf numFmtId="0" fontId="18" fillId="0" borderId="0" xfId="6" applyFont="1" applyAlignment="1" applyProtection="1">
      <alignment horizontal="center"/>
    </xf>
    <xf numFmtId="0" fontId="9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18" fillId="0" borderId="0" xfId="6" applyFont="1" applyBorder="1" applyAlignment="1" applyProtection="1">
      <alignment horizontal="center" vertical="center" wrapText="1"/>
    </xf>
    <xf numFmtId="0" fontId="17" fillId="0" borderId="0" xfId="6" applyFont="1" applyBorder="1" applyAlignment="1" applyProtection="1">
      <alignment horizontal="right"/>
    </xf>
    <xf numFmtId="0" fontId="4" fillId="0" borderId="7" xfId="6" applyFont="1" applyFill="1" applyBorder="1" applyAlignment="1" applyProtection="1">
      <alignment horizontal="center" vertical="center" wrapText="1"/>
    </xf>
    <xf numFmtId="0" fontId="4" fillId="0" borderId="8" xfId="6" applyFont="1" applyFill="1" applyBorder="1" applyAlignment="1" applyProtection="1">
      <alignment horizontal="center" vertical="center" wrapText="1"/>
    </xf>
    <xf numFmtId="0" fontId="4" fillId="0" borderId="7" xfId="6" applyFont="1" applyFill="1" applyBorder="1" applyAlignment="1" applyProtection="1">
      <alignment horizontal="center" vertical="center"/>
    </xf>
    <xf numFmtId="0" fontId="4" fillId="0" borderId="9" xfId="6" applyFont="1" applyFill="1" applyBorder="1" applyAlignment="1" applyProtection="1">
      <alignment horizontal="center" vertical="center"/>
    </xf>
    <xf numFmtId="0" fontId="16" fillId="0" borderId="10" xfId="6" applyFont="1" applyFill="1" applyBorder="1" applyAlignment="1" applyProtection="1">
      <alignment horizontal="center" vertical="center"/>
    </xf>
    <xf numFmtId="0" fontId="16" fillId="0" borderId="15" xfId="6" applyFont="1" applyFill="1" applyBorder="1" applyAlignment="1" applyProtection="1">
      <alignment horizontal="center" vertical="center"/>
    </xf>
    <xf numFmtId="0" fontId="22" fillId="0" borderId="13" xfId="6" applyFont="1" applyBorder="1" applyAlignment="1" applyProtection="1">
      <alignment horizontal="center" vertical="center"/>
    </xf>
    <xf numFmtId="0" fontId="32" fillId="0" borderId="0" xfId="6" applyFont="1" applyFill="1" applyBorder="1" applyAlignment="1">
      <alignment horizontal="justify" wrapText="1"/>
    </xf>
    <xf numFmtId="49" fontId="28" fillId="0" borderId="14" xfId="6" applyNumberFormat="1" applyFont="1" applyBorder="1" applyAlignment="1" applyProtection="1">
      <alignment vertical="center" wrapText="1"/>
    </xf>
    <xf numFmtId="49" fontId="43" fillId="0" borderId="5" xfId="6" applyNumberFormat="1" applyFont="1" applyFill="1" applyBorder="1" applyAlignment="1" applyProtection="1">
      <alignment horizontal="center" vertical="center" wrapText="1"/>
    </xf>
    <xf numFmtId="49" fontId="43" fillId="0" borderId="11" xfId="6" applyNumberFormat="1" applyFont="1" applyFill="1" applyBorder="1" applyAlignment="1" applyProtection="1">
      <alignment horizontal="center" vertical="center" wrapText="1"/>
    </xf>
    <xf numFmtId="0" fontId="5" fillId="0" borderId="6" xfId="6" applyFont="1" applyFill="1" applyBorder="1" applyAlignment="1" applyProtection="1">
      <alignment horizontal="center" vertical="center" wrapText="1"/>
    </xf>
    <xf numFmtId="0" fontId="5" fillId="0" borderId="2" xfId="6" applyFont="1" applyFill="1" applyBorder="1" applyAlignment="1" applyProtection="1">
      <alignment horizontal="center" vertical="center" wrapText="1"/>
    </xf>
    <xf numFmtId="0" fontId="4" fillId="0" borderId="9" xfId="6" applyFont="1" applyFill="1" applyBorder="1" applyAlignment="1" applyProtection="1">
      <alignment horizontal="center" vertical="center" wrapText="1"/>
    </xf>
    <xf numFmtId="0" fontId="34" fillId="0" borderId="0" xfId="6" applyFont="1" applyFill="1" applyBorder="1" applyAlignment="1">
      <alignment horizontal="justify" shrinkToFit="1"/>
    </xf>
    <xf numFmtId="0" fontId="25" fillId="0" borderId="0" xfId="0" applyFont="1" applyFill="1" applyAlignment="1">
      <alignment shrinkToFit="1"/>
    </xf>
    <xf numFmtId="0" fontId="9" fillId="0" borderId="2" xfId="3" applyFont="1" applyFill="1" applyBorder="1" applyAlignment="1">
      <alignment horizontal="center" vertical="center" wrapText="1"/>
    </xf>
    <xf numFmtId="0" fontId="18" fillId="0" borderId="0" xfId="6" applyFont="1" applyBorder="1" applyAlignment="1" applyProtection="1">
      <alignment horizontal="right" vertical="center" wrapText="1"/>
    </xf>
    <xf numFmtId="0" fontId="8" fillId="0" borderId="0" xfId="3" applyFont="1" applyFill="1" applyBorder="1" applyAlignment="1">
      <alignment horizontal="right"/>
    </xf>
    <xf numFmtId="0" fontId="9" fillId="0" borderId="1" xfId="3" applyFont="1" applyFill="1" applyBorder="1" applyAlignment="1">
      <alignment horizontal="center"/>
    </xf>
    <xf numFmtId="2" fontId="9" fillId="0" borderId="0" xfId="3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/>
    </xf>
    <xf numFmtId="2" fontId="9" fillId="0" borderId="1" xfId="3" applyNumberFormat="1" applyFont="1" applyFill="1" applyBorder="1" applyAlignment="1">
      <alignment horizontal="right"/>
    </xf>
    <xf numFmtId="0" fontId="8" fillId="0" borderId="0" xfId="3" applyFont="1" applyFill="1" applyAlignment="1">
      <alignment horizontal="left" wrapText="1"/>
    </xf>
    <xf numFmtId="0" fontId="8" fillId="0" borderId="0" xfId="3" applyFont="1" applyFill="1" applyAlignment="1">
      <alignment horizontal="right"/>
    </xf>
    <xf numFmtId="0" fontId="5" fillId="0" borderId="0" xfId="3" applyFont="1" applyFill="1" applyBorder="1" applyAlignment="1"/>
    <xf numFmtId="0" fontId="5" fillId="0" borderId="0" xfId="3" applyFont="1" applyFill="1" applyBorder="1" applyAlignment="1">
      <alignment horizontal="center"/>
    </xf>
    <xf numFmtId="0" fontId="0" fillId="0" borderId="0" xfId="0" applyAlignment="1">
      <alignment horizontal="center"/>
    </xf>
    <xf numFmtId="0" fontId="39" fillId="0" borderId="0" xfId="6" applyFont="1" applyBorder="1" applyAlignment="1" applyProtection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justify" vertical="center" wrapText="1"/>
    </xf>
    <xf numFmtId="0" fontId="41" fillId="0" borderId="0" xfId="7" applyFont="1" applyBorder="1" applyAlignment="1">
      <alignment horizontal="center" vertical="center" wrapText="1"/>
    </xf>
    <xf numFmtId="0" fontId="34" fillId="0" borderId="4" xfId="7" applyFont="1" applyBorder="1" applyAlignment="1">
      <alignment horizontal="center" wrapText="1"/>
    </xf>
    <xf numFmtId="0" fontId="34" fillId="0" borderId="0" xfId="7" applyFont="1" applyBorder="1" applyAlignment="1">
      <alignment horizontal="center" wrapText="1"/>
    </xf>
    <xf numFmtId="0" fontId="34" fillId="0" borderId="29" xfId="7" applyFont="1" applyBorder="1" applyAlignment="1">
      <alignment horizontal="center" vertical="center" wrapText="1"/>
    </xf>
    <xf numFmtId="0" fontId="34" fillId="0" borderId="34" xfId="7" applyFont="1" applyBorder="1" applyAlignment="1">
      <alignment horizontal="center" vertical="center" wrapText="1"/>
    </xf>
    <xf numFmtId="0" fontId="34" fillId="0" borderId="36" xfId="7" applyFont="1" applyBorder="1" applyAlignment="1">
      <alignment horizontal="center" vertical="center" wrapText="1"/>
    </xf>
    <xf numFmtId="0" fontId="34" fillId="0" borderId="30" xfId="7" applyFont="1" applyBorder="1" applyAlignment="1">
      <alignment horizontal="center" vertical="center" wrapText="1"/>
    </xf>
    <xf numFmtId="0" fontId="34" fillId="0" borderId="35" xfId="7" applyFont="1" applyBorder="1" applyAlignment="1">
      <alignment horizontal="center" vertical="center" wrapText="1"/>
    </xf>
    <xf numFmtId="0" fontId="34" fillId="0" borderId="37" xfId="7" applyFont="1" applyBorder="1" applyAlignment="1">
      <alignment horizontal="center" vertical="center" wrapText="1"/>
    </xf>
    <xf numFmtId="0" fontId="34" fillId="0" borderId="31" xfId="7" applyFont="1" applyBorder="1" applyAlignment="1">
      <alignment horizontal="center" vertical="center" wrapText="1"/>
    </xf>
    <xf numFmtId="0" fontId="34" fillId="0" borderId="32" xfId="7" applyFont="1" applyBorder="1" applyAlignment="1">
      <alignment horizontal="center" vertical="center" wrapText="1"/>
    </xf>
    <xf numFmtId="0" fontId="34" fillId="0" borderId="5" xfId="7" applyFont="1" applyBorder="1" applyAlignment="1">
      <alignment horizontal="center" vertical="center" wrapText="1"/>
    </xf>
    <xf numFmtId="0" fontId="34" fillId="0" borderId="6" xfId="7" applyFont="1" applyBorder="1" applyAlignment="1">
      <alignment horizontal="center" vertical="center" wrapText="1"/>
    </xf>
    <xf numFmtId="0" fontId="34" fillId="0" borderId="33" xfId="7" applyFont="1" applyBorder="1" applyAlignment="1">
      <alignment horizontal="center" vertical="center" wrapText="1"/>
    </xf>
    <xf numFmtId="0" fontId="34" fillId="0" borderId="28" xfId="7" applyFont="1" applyBorder="1" applyAlignment="1">
      <alignment horizontal="center" vertical="center" wrapText="1"/>
    </xf>
    <xf numFmtId="0" fontId="34" fillId="0" borderId="11" xfId="7" applyFont="1" applyBorder="1" applyAlignment="1">
      <alignment horizontal="center" vertical="center" wrapText="1"/>
    </xf>
    <xf numFmtId="0" fontId="22" fillId="0" borderId="0" xfId="6" applyFont="1"/>
    <xf numFmtId="0" fontId="4" fillId="0" borderId="0" xfId="3" applyNumberFormat="1" applyFont="1" applyFill="1" applyAlignment="1">
      <alignment horizontal="right"/>
    </xf>
    <xf numFmtId="0" fontId="22" fillId="0" borderId="0" xfId="0" applyFont="1"/>
    <xf numFmtId="0" fontId="44" fillId="0" borderId="0" xfId="7" applyFont="1" applyFill="1"/>
    <xf numFmtId="0" fontId="5" fillId="0" borderId="0" xfId="3" applyFont="1" applyFill="1" applyBorder="1" applyAlignment="1">
      <alignment horizontal="left"/>
    </xf>
    <xf numFmtId="0" fontId="34" fillId="0" borderId="0" xfId="6" applyFont="1" applyFill="1" applyBorder="1" applyAlignment="1">
      <alignment horizontal="left" wrapText="1"/>
    </xf>
  </cellXfs>
  <cellStyles count="9">
    <cellStyle name="Обычный" xfId="0" builtinId="0"/>
    <cellStyle name="Обычный 19" xfId="3"/>
    <cellStyle name="Обычный 2 2 2 9" xfId="7"/>
    <cellStyle name="Обычный 3" xfId="5"/>
    <cellStyle name="Обычный 3 15" xfId="6"/>
    <cellStyle name="Обычный 30" xfId="8"/>
    <cellStyle name="Процентный" xfId="2" builtinId="5"/>
    <cellStyle name="Финансовый" xfId="1" builtinId="3"/>
    <cellStyle name="Финансовый 5" xfId="4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novalova_v/Desktop/&#1088;&#1110;&#1096;&#1077;&#1085;&#1085;&#1103;%20&#1087;&#1086;%20&#1090;&#1072;&#1088;&#1080;&#1092;&#1072;&#1093;/&#1058;&#1040;&#1056;&#1048;&#1060;%202020%20%20&#1040;&#1058;%2025.06.2020%20&#1087;&#1077;&#1088;&#1077;&#1089;&#1095;&#1080;&#1090;&#1072;&#1085;&#1072;%20&#1090;&#1086;&#1083;&#1100;&#1082;&#1086;%20&#1108;&#1083;-&#1108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\&#1056;&#1058;_&#1056;&#1086;&#1079;&#1088;&#1072;&#1093;&#1091;&#1085;&#1086;&#1082;%20&#1090;&#1072;&#1088;&#1080;&#1092;&#1110;&#1074;%20&#1073;&#1077;&#1079;%20&#1087;&#1072;&#1088;&#1086;&#1083;&#1103;2018(&#1076;&#1083;&#1103;%20&#1079;&#1072;&#1097;&#1080;&#1090;&#1099;&#1057;&#1052;&#1056;)&#1088;&#1077;&#1085;&#1090;&#1072;&#1073;&#1077;&#1083;&#1100;&#1085;&#1086;&#1089;&#1090;&#1100;2.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\&#1091;&#1089;&#1083;&#1091;&#1075;&#1072;%20&#1073;&#1077;&#1079;%20&#1079;&#1072;&#1097;&#1080;&#1090;&#1099;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упне (2)"/>
      <sheetName val="ІНСТРУКЦІЯ"/>
      <sheetName val="1_Структура по елементах"/>
      <sheetName val="2_ФОП"/>
      <sheetName val="админ+опр"/>
      <sheetName val="загальна"/>
      <sheetName val="3_Розподіл пл.соб."/>
      <sheetName val="4_Структура пл.соб."/>
      <sheetName val="5_Розрахунок тарифів"/>
      <sheetName val="Д2"/>
      <sheetName val="Д3(вробн)"/>
      <sheetName val="Д4(транспорт)"/>
      <sheetName val="Д5(постачанняя)"/>
      <sheetName val="структураТАРИФА"/>
      <sheetName val="виробн"/>
      <sheetName val="транспорт"/>
      <sheetName val="постачання"/>
      <sheetName val="Д6(тариф)"/>
      <sheetName val="Д7(газ)"/>
      <sheetName val="Д8(ел.ен.)"/>
      <sheetName val="Д 8.2 ее"/>
      <sheetName val="Д 10"/>
      <sheetName val="Д10(2-х ставочн)"/>
      <sheetName val="Д 13_послуга"/>
      <sheetName val="Д 14_послуга"/>
      <sheetName val="Д5_послуга"/>
      <sheetName val="Д6_послугаТариф"/>
      <sheetName val="Лист1"/>
      <sheetName val="ГВП"/>
      <sheetName val="структура тарифаУСЛУГА"/>
      <sheetName val="Д7_послуга"/>
      <sheetName val="Д8_послсуга"/>
      <sheetName val="Лист6"/>
    </sheetNames>
    <sheetDataSet>
      <sheetData sheetId="0"/>
      <sheetData sheetId="1"/>
      <sheetData sheetId="2">
        <row r="2">
          <cell r="BU2">
            <v>40898370.648461692</v>
          </cell>
        </row>
      </sheetData>
      <sheetData sheetId="3">
        <row r="8">
          <cell r="M8">
            <v>7</v>
          </cell>
        </row>
      </sheetData>
      <sheetData sheetId="4"/>
      <sheetData sheetId="5"/>
      <sheetData sheetId="6"/>
      <sheetData sheetId="7">
        <row r="7">
          <cell r="C7">
            <v>4293803.5362099996</v>
          </cell>
          <cell r="E7">
            <v>546161.16</v>
          </cell>
          <cell r="F7">
            <v>207450593.88979983</v>
          </cell>
        </row>
      </sheetData>
      <sheetData sheetId="8">
        <row r="7">
          <cell r="J7">
            <v>169456.94099999999</v>
          </cell>
          <cell r="K7">
            <v>181.601</v>
          </cell>
          <cell r="L7">
            <v>27387.285</v>
          </cell>
          <cell r="M7">
            <v>25937.097000000002</v>
          </cell>
        </row>
        <row r="25">
          <cell r="E25">
            <v>10.573961674570771</v>
          </cell>
          <cell r="F25">
            <v>13.040156970474673</v>
          </cell>
          <cell r="G25">
            <v>13.088283162533623</v>
          </cell>
          <cell r="H25">
            <v>12.461660478505825</v>
          </cell>
          <cell r="J25">
            <v>9.3657913875369569</v>
          </cell>
          <cell r="K25">
            <v>12.236526345052912</v>
          </cell>
          <cell r="L25">
            <v>12.110576755610856</v>
          </cell>
          <cell r="M25">
            <v>13.07487646810244</v>
          </cell>
        </row>
      </sheetData>
      <sheetData sheetId="9">
        <row r="34">
          <cell r="F34">
            <v>147.41800000000001</v>
          </cell>
        </row>
      </sheetData>
      <sheetData sheetId="10">
        <row r="5">
          <cell r="H5" t="str">
            <v>АТ "Сумське НВО"</v>
          </cell>
        </row>
        <row r="14">
          <cell r="L14">
            <v>114531.63226769998</v>
          </cell>
          <cell r="P14">
            <v>122.73938855</v>
          </cell>
          <cell r="X14">
            <v>18510.369775599997</v>
          </cell>
          <cell r="AB14">
            <v>17530.223644099999</v>
          </cell>
        </row>
        <row r="15">
          <cell r="L15">
            <v>15582.940074160959</v>
          </cell>
          <cell r="P15">
            <v>16.699684791357733</v>
          </cell>
          <cell r="X15">
            <v>2518.4829752648925</v>
          </cell>
          <cell r="AB15">
            <v>2385.1264271830569</v>
          </cell>
        </row>
        <row r="16">
          <cell r="L16">
            <v>0</v>
          </cell>
          <cell r="P16">
            <v>0</v>
          </cell>
          <cell r="X16">
            <v>0</v>
          </cell>
          <cell r="AB16">
            <v>0</v>
          </cell>
        </row>
        <row r="17">
          <cell r="L17">
            <v>0</v>
          </cell>
          <cell r="P17">
            <v>0</v>
          </cell>
          <cell r="X17">
            <v>0</v>
          </cell>
          <cell r="AB17">
            <v>0</v>
          </cell>
        </row>
        <row r="18">
          <cell r="X18">
            <v>2411.006416855329</v>
          </cell>
        </row>
        <row r="19">
          <cell r="P19">
            <v>15.98706879911221</v>
          </cell>
          <cell r="AB19">
            <v>0</v>
          </cell>
        </row>
        <row r="21">
          <cell r="L21">
            <v>1827.4319389002806</v>
          </cell>
          <cell r="P21">
            <v>1.9583940650517813</v>
          </cell>
          <cell r="X21">
            <v>295.34582079328675</v>
          </cell>
          <cell r="AB21">
            <v>279.70692248100153</v>
          </cell>
        </row>
        <row r="22">
          <cell r="L22">
            <v>1319.2193038565283</v>
          </cell>
          <cell r="P22">
            <v>1.4137605894800698</v>
          </cell>
          <cell r="X22">
            <v>213.20953180796732</v>
          </cell>
          <cell r="AB22">
            <v>201.91984374602427</v>
          </cell>
        </row>
        <row r="23">
          <cell r="L23">
            <v>10732.159924719799</v>
          </cell>
          <cell r="P23">
            <v>11.501275562911527</v>
          </cell>
          <cell r="X23">
            <v>1734.5097863172198</v>
          </cell>
          <cell r="AB23">
            <v>1642.6655134000687</v>
          </cell>
        </row>
        <row r="25">
          <cell r="L25">
            <v>2361.0751834383559</v>
          </cell>
          <cell r="P25">
            <v>2.530280623840536</v>
          </cell>
          <cell r="X25">
            <v>381.59215298978836</v>
          </cell>
          <cell r="AB25">
            <v>361.38641294801516</v>
          </cell>
        </row>
        <row r="26">
          <cell r="L26">
            <v>1336.6492143591795</v>
          </cell>
          <cell r="P26">
            <v>1.4324396070435461</v>
          </cell>
          <cell r="X26">
            <v>216.02651837484157</v>
          </cell>
          <cell r="AB26">
            <v>204.58766765893549</v>
          </cell>
        </row>
        <row r="27">
          <cell r="L27">
            <v>4540.1872663450567</v>
          </cell>
          <cell r="P27">
            <v>4.8655578395902275</v>
          </cell>
          <cell r="X27">
            <v>733.77580099692091</v>
          </cell>
          <cell r="AB27">
            <v>694.92153481843263</v>
          </cell>
        </row>
        <row r="29">
          <cell r="L29">
            <v>2534.7299864538927</v>
          </cell>
          <cell r="P29">
            <v>2.716380323837035</v>
          </cell>
          <cell r="X29">
            <v>409.65788788231987</v>
          </cell>
          <cell r="AB29">
            <v>387.96603514436924</v>
          </cell>
        </row>
        <row r="30">
          <cell r="L30">
            <v>557.64059701985627</v>
          </cell>
          <cell r="P30">
            <v>0.59760367124414759</v>
          </cell>
          <cell r="X30">
            <v>90.124735334110355</v>
          </cell>
          <cell r="AB30">
            <v>85.352527731761214</v>
          </cell>
        </row>
        <row r="31">
          <cell r="L31">
            <v>133.77445779800934</v>
          </cell>
          <cell r="P31">
            <v>0.14336134694285727</v>
          </cell>
          <cell r="X31">
            <v>21.620354880798622</v>
          </cell>
          <cell r="AB31">
            <v>20.475532412858641</v>
          </cell>
        </row>
        <row r="33">
          <cell r="L33">
            <v>276.8420551076855</v>
          </cell>
          <cell r="P33">
            <v>0.29668182225483936</v>
          </cell>
          <cell r="X33">
            <v>44.7426480053118</v>
          </cell>
          <cell r="AB33">
            <v>42.373473725147591</v>
          </cell>
        </row>
        <row r="34">
          <cell r="L34">
            <v>60.905252123690815</v>
          </cell>
          <cell r="P34">
            <v>6.5270000896064662E-2</v>
          </cell>
          <cell r="X34">
            <v>9.8433825611685961</v>
          </cell>
          <cell r="AB34">
            <v>9.3221642195324694</v>
          </cell>
        </row>
        <row r="35">
          <cell r="L35">
            <v>72.610337979494489</v>
          </cell>
          <cell r="P35">
            <v>7.7813926709642295E-2</v>
          </cell>
          <cell r="X35">
            <v>11.735134651054157</v>
          </cell>
          <cell r="AB35">
            <v>11.113745877053999</v>
          </cell>
        </row>
        <row r="44">
          <cell r="L44">
            <v>-1312.8978249696274</v>
          </cell>
          <cell r="P44">
            <v>-1.4946696505988266</v>
          </cell>
          <cell r="X44">
            <v>-221.55426241040604</v>
          </cell>
          <cell r="AB44">
            <v>-237.79797909292094</v>
          </cell>
        </row>
        <row r="48">
          <cell r="L48">
            <v>2627.685506120125</v>
          </cell>
          <cell r="P48">
            <v>3.6791268516314353</v>
          </cell>
          <cell r="X48">
            <v>549.14036681109201</v>
          </cell>
          <cell r="AB48">
            <v>561.47251874290782</v>
          </cell>
        </row>
        <row r="49">
          <cell r="L49">
            <v>0</v>
          </cell>
          <cell r="P49">
            <v>3.3407603710000005</v>
          </cell>
          <cell r="X49">
            <v>503.820729712</v>
          </cell>
          <cell r="AB49">
            <v>477.14282908199993</v>
          </cell>
        </row>
        <row r="50">
          <cell r="AB50">
            <v>0</v>
          </cell>
        </row>
        <row r="51">
          <cell r="L51">
            <v>8853.211350704345</v>
          </cell>
          <cell r="P51">
            <v>10.078946026543205</v>
          </cell>
          <cell r="X51">
            <v>1493.9979893820862</v>
          </cell>
          <cell r="AB51">
            <v>1603.5335938870244</v>
          </cell>
        </row>
        <row r="52">
          <cell r="L52">
            <v>3117.3559549539996</v>
          </cell>
          <cell r="P52">
            <v>3.3407603710000005</v>
          </cell>
          <cell r="X52">
            <v>503.820729712</v>
          </cell>
          <cell r="AB52">
            <v>477.14282908199993</v>
          </cell>
        </row>
        <row r="57">
          <cell r="L57">
            <v>129489.999</v>
          </cell>
          <cell r="P57">
            <v>147.41800000000001</v>
          </cell>
          <cell r="X57">
            <v>21851.708999999999</v>
          </cell>
          <cell r="AB57">
            <v>23453.812999999998</v>
          </cell>
        </row>
      </sheetData>
      <sheetData sheetId="11">
        <row r="15">
          <cell r="K15">
            <v>17200.156567170001</v>
          </cell>
          <cell r="O15">
            <v>19.152546559999998</v>
          </cell>
          <cell r="S15">
            <v>2914.1439122400002</v>
          </cell>
          <cell r="W15">
            <v>3140.7000988299997</v>
          </cell>
        </row>
        <row r="38">
          <cell r="K38">
            <v>33879.763338359997</v>
          </cell>
          <cell r="O38">
            <v>28.566660040000002</v>
          </cell>
          <cell r="S38">
            <v>5002.599148205999</v>
          </cell>
          <cell r="W38">
            <v>4622.9810804300005</v>
          </cell>
        </row>
        <row r="61">
          <cell r="W61">
            <v>23453.813000000002</v>
          </cell>
        </row>
      </sheetData>
      <sheetData sheetId="12">
        <row r="12">
          <cell r="K12">
            <v>0</v>
          </cell>
          <cell r="O12">
            <v>0</v>
          </cell>
          <cell r="S12">
            <v>0</v>
          </cell>
          <cell r="W12">
            <v>0</v>
          </cell>
        </row>
        <row r="13">
          <cell r="K13">
            <v>1353.8265055153784</v>
          </cell>
          <cell r="O13">
            <v>1.5412649419362963</v>
          </cell>
          <cell r="S13">
            <v>228.46106312047269</v>
          </cell>
          <cell r="W13">
            <v>245.21116642221267</v>
          </cell>
        </row>
        <row r="15">
          <cell r="K15">
            <v>297.84183121338327</v>
          </cell>
          <cell r="O15">
            <v>0.33907828722598521</v>
          </cell>
          <cell r="S15">
            <v>50.261433886503994</v>
          </cell>
          <cell r="W15">
            <v>53.946456612886792</v>
          </cell>
        </row>
        <row r="16">
          <cell r="K16">
            <v>1.3660839558343079</v>
          </cell>
          <cell r="O16">
            <v>1.5552194467248549E-3</v>
          </cell>
          <cell r="S16">
            <v>0.23052953357780276</v>
          </cell>
          <cell r="W16">
            <v>0.24743129114116461</v>
          </cell>
        </row>
        <row r="17">
          <cell r="K17">
            <v>58.52526166164094</v>
          </cell>
          <cell r="O17">
            <v>6.6628134143670692E-2</v>
          </cell>
          <cell r="S17">
            <v>9.8762606908278237</v>
          </cell>
          <cell r="W17">
            <v>10.600359513387561</v>
          </cell>
        </row>
        <row r="19">
          <cell r="K19">
            <v>28.498353871429927</v>
          </cell>
          <cell r="O19">
            <v>3.2443975314405994E-2</v>
          </cell>
          <cell r="S19">
            <v>4.8091570050711807</v>
          </cell>
          <cell r="W19">
            <v>5.1617504646698116</v>
          </cell>
        </row>
        <row r="20">
          <cell r="K20">
            <v>6.2696378517145828</v>
          </cell>
          <cell r="O20">
            <v>7.1376745691693185E-3</v>
          </cell>
          <cell r="S20">
            <v>1.0580145411156596</v>
          </cell>
          <cell r="W20">
            <v>1.1355851022273584</v>
          </cell>
        </row>
        <row r="21">
          <cell r="K21">
            <v>1.5040465286875948</v>
          </cell>
          <cell r="O21">
            <v>1.7122830556672401E-3</v>
          </cell>
          <cell r="S21">
            <v>0.25381100719092192</v>
          </cell>
          <cell r="W21">
            <v>0.2724196949537237</v>
          </cell>
        </row>
        <row r="23">
          <cell r="K23">
            <v>3.1125791699411698</v>
          </cell>
          <cell r="O23">
            <v>3.5435184154599259E-3</v>
          </cell>
          <cell r="S23">
            <v>0.52525426508819406</v>
          </cell>
          <cell r="W23">
            <v>0.56376438615537727</v>
          </cell>
        </row>
        <row r="24">
          <cell r="K24">
            <v>0.68476741738705738</v>
          </cell>
          <cell r="O24">
            <v>7.7957405140118377E-4</v>
          </cell>
          <cell r="S24">
            <v>0.1155559383194027</v>
          </cell>
          <cell r="W24">
            <v>0.12402816495418299</v>
          </cell>
        </row>
        <row r="25">
          <cell r="K25">
            <v>0.81636955566397473</v>
          </cell>
          <cell r="O25">
            <v>9.293966181656379E-4</v>
          </cell>
          <cell r="S25">
            <v>0.13776407525363002</v>
          </cell>
          <cell r="W25">
            <v>0.14786453815198464</v>
          </cell>
        </row>
      </sheetData>
      <sheetData sheetId="13">
        <row r="39">
          <cell r="L39">
            <v>16890.224614797164</v>
          </cell>
        </row>
        <row r="45">
          <cell r="L45">
            <v>245583.46605875119</v>
          </cell>
        </row>
      </sheetData>
      <sheetData sheetId="14">
        <row r="11">
          <cell r="D11">
            <v>675.8745412954197</v>
          </cell>
          <cell r="F11">
            <v>675.87458105467545</v>
          </cell>
          <cell r="H11">
            <v>675.87454540884039</v>
          </cell>
          <cell r="J11">
            <v>675.87396848034973</v>
          </cell>
        </row>
        <row r="12">
          <cell r="D12">
            <v>91.958110315239082</v>
          </cell>
          <cell r="F12">
            <v>91.958110315239082</v>
          </cell>
          <cell r="H12">
            <v>91.958110315239082</v>
          </cell>
          <cell r="J12">
            <v>91.958110315239082</v>
          </cell>
        </row>
        <row r="13">
          <cell r="D13">
            <v>0</v>
          </cell>
        </row>
        <row r="15">
          <cell r="D15">
            <v>0</v>
          </cell>
        </row>
        <row r="17">
          <cell r="D17">
            <v>10.784048904200864</v>
          </cell>
          <cell r="F17">
            <v>10.784048904200864</v>
          </cell>
          <cell r="H17">
            <v>10.784048904200864</v>
          </cell>
          <cell r="J17">
            <v>10.784048904200864</v>
          </cell>
        </row>
        <row r="18">
          <cell r="D18">
            <v>7.7849824036215098</v>
          </cell>
          <cell r="F18">
            <v>7.7849824036215098</v>
          </cell>
          <cell r="H18">
            <v>7.7849824036215098</v>
          </cell>
          <cell r="J18">
            <v>7.7849824036215098</v>
          </cell>
        </row>
        <row r="19">
          <cell r="D19">
            <v>63.332666466107163</v>
          </cell>
          <cell r="F19">
            <v>63.332666466107163</v>
          </cell>
          <cell r="H19">
            <v>63.332666466107163</v>
          </cell>
          <cell r="J19">
            <v>63.332666466107163</v>
          </cell>
        </row>
        <row r="21">
          <cell r="D21">
            <v>13.933186622543577</v>
          </cell>
          <cell r="F21">
            <v>13.933186622543577</v>
          </cell>
          <cell r="H21">
            <v>13.933186622543577</v>
          </cell>
          <cell r="J21">
            <v>13.933186622543577</v>
          </cell>
        </row>
        <row r="22">
          <cell r="D22">
            <v>7.8878398634564029</v>
          </cell>
          <cell r="F22">
            <v>7.8878398634564029</v>
          </cell>
          <cell r="H22">
            <v>7.8878398634564029</v>
          </cell>
          <cell r="J22">
            <v>7.8878398634564029</v>
          </cell>
        </row>
        <row r="23">
          <cell r="D23">
            <v>26.792571844814884</v>
          </cell>
          <cell r="F23">
            <v>26.792571844814884</v>
          </cell>
          <cell r="H23">
            <v>26.792571844814884</v>
          </cell>
          <cell r="J23">
            <v>26.792571844814884</v>
          </cell>
        </row>
        <row r="25">
          <cell r="D25">
            <v>14.957959063204694</v>
          </cell>
          <cell r="F25">
            <v>14.957959063204692</v>
          </cell>
          <cell r="H25">
            <v>14.957959063204692</v>
          </cell>
          <cell r="J25">
            <v>14.957959063204692</v>
          </cell>
        </row>
        <row r="26">
          <cell r="D26">
            <v>3.2907509939050317</v>
          </cell>
          <cell r="F26">
            <v>3.2907509939050317</v>
          </cell>
          <cell r="H26">
            <v>3.2907509939050317</v>
          </cell>
          <cell r="J26">
            <v>3.2907509939050317</v>
          </cell>
        </row>
        <row r="27">
          <cell r="D27">
            <v>0.78943038277794331</v>
          </cell>
          <cell r="F27">
            <v>0.7894303827779432</v>
          </cell>
          <cell r="H27">
            <v>0.78943038277794308</v>
          </cell>
          <cell r="J27">
            <v>0.7894303827779432</v>
          </cell>
        </row>
        <row r="29">
          <cell r="D29">
            <v>1.6337014788180646</v>
          </cell>
          <cell r="F29">
            <v>1.6337014788180646</v>
          </cell>
          <cell r="H29">
            <v>1.6337014788180646</v>
          </cell>
          <cell r="J29">
            <v>1.6337014788180646</v>
          </cell>
        </row>
        <row r="30">
          <cell r="D30">
            <v>0.35941432533997419</v>
          </cell>
          <cell r="F30">
            <v>0.35941432533997419</v>
          </cell>
          <cell r="H30">
            <v>0.35941432533997419</v>
          </cell>
          <cell r="J30">
            <v>0.35941432533997425</v>
          </cell>
        </row>
        <row r="31">
          <cell r="D31">
            <v>0.42848842632828177</v>
          </cell>
          <cell r="F31">
            <v>0.42848842632828177</v>
          </cell>
          <cell r="H31">
            <v>0.42848842632828177</v>
          </cell>
          <cell r="J31">
            <v>0.42848842632828171</v>
          </cell>
        </row>
        <row r="40">
          <cell r="D40">
            <v>-7.7476780663096445</v>
          </cell>
          <cell r="F40">
            <v>-8.0896760087904305</v>
          </cell>
          <cell r="H40">
            <v>-9.1682573070116877</v>
          </cell>
          <cell r="J40">
            <v>-8.2305144277775266</v>
          </cell>
        </row>
        <row r="42">
          <cell r="F42">
            <v>20.050923879862207</v>
          </cell>
          <cell r="H42">
            <v>21.647469597037318</v>
          </cell>
          <cell r="J42">
            <v>20.25939753432765</v>
          </cell>
        </row>
        <row r="43">
          <cell r="F43">
            <v>18.396154628397813</v>
          </cell>
          <cell r="H43">
            <v>18.396153936656823</v>
          </cell>
          <cell r="J43">
            <v>18.396156249139597</v>
          </cell>
        </row>
        <row r="45">
          <cell r="F45">
            <v>54.550788418132221</v>
          </cell>
          <cell r="H45">
            <v>61.823942513189671</v>
          </cell>
          <cell r="J45">
            <v>55.50049849143565</v>
          </cell>
        </row>
        <row r="46">
          <cell r="F46">
            <v>18.396154628397813</v>
          </cell>
          <cell r="H46">
            <v>18.396153936656823</v>
          </cell>
          <cell r="J46">
            <v>18.396156249139597</v>
          </cell>
        </row>
        <row r="53">
          <cell r="C53">
            <v>169456.94099999999</v>
          </cell>
          <cell r="E53">
            <v>27387.285</v>
          </cell>
          <cell r="G53">
            <v>25937.097000000002</v>
          </cell>
          <cell r="I53">
            <v>181.601</v>
          </cell>
        </row>
      </sheetData>
      <sheetData sheetId="15">
        <row r="13">
          <cell r="D13">
            <v>132.83000000000001</v>
          </cell>
          <cell r="F13">
            <v>133.36000000000001</v>
          </cell>
          <cell r="H13">
            <v>133.90999999999997</v>
          </cell>
          <cell r="K13">
            <v>129.91999999999999</v>
          </cell>
        </row>
        <row r="36">
          <cell r="D36">
            <v>261.64</v>
          </cell>
          <cell r="F36">
            <v>228.93399999999997</v>
          </cell>
          <cell r="H36">
            <v>197.11</v>
          </cell>
          <cell r="K36">
            <v>193.78</v>
          </cell>
        </row>
      </sheetData>
      <sheetData sheetId="16">
        <row r="11">
          <cell r="D11">
            <v>10.455066151598151</v>
          </cell>
          <cell r="F11">
            <v>10.455066151598151</v>
          </cell>
          <cell r="H11">
            <v>10.455066151598151</v>
          </cell>
          <cell r="K11">
            <v>10.455066151598151</v>
          </cell>
        </row>
        <row r="13">
          <cell r="D13">
            <v>2.3001145533515936</v>
          </cell>
          <cell r="F13">
            <v>2.3001145533515936</v>
          </cell>
          <cell r="H13">
            <v>2.3001145533515936</v>
          </cell>
          <cell r="K13">
            <v>2.3001145533515936</v>
          </cell>
        </row>
        <row r="14">
          <cell r="D14">
            <v>1.0549725587952996E-2</v>
          </cell>
          <cell r="F14">
            <v>1.0549725587952996E-2</v>
          </cell>
          <cell r="H14">
            <v>1.0549725587952996E-2</v>
          </cell>
          <cell r="K14">
            <v>1.0549725587952996E-2</v>
          </cell>
        </row>
        <row r="15">
          <cell r="D15">
            <v>0.45196742693341851</v>
          </cell>
          <cell r="F15">
            <v>0.45196742693341851</v>
          </cell>
          <cell r="H15">
            <v>0.45196742693341851</v>
          </cell>
          <cell r="K15">
            <v>0.45196742693341851</v>
          </cell>
        </row>
        <row r="17">
          <cell r="D17">
            <v>0.22008150506997784</v>
          </cell>
          <cell r="F17">
            <v>0.22008150506997787</v>
          </cell>
          <cell r="H17">
            <v>0.22008150506997781</v>
          </cell>
          <cell r="K17">
            <v>0.22008150506997784</v>
          </cell>
        </row>
        <row r="18">
          <cell r="D18">
            <v>4.8417931115395121E-2</v>
          </cell>
          <cell r="F18">
            <v>4.8417931115395121E-2</v>
          </cell>
          <cell r="H18">
            <v>4.8417931115395114E-2</v>
          </cell>
          <cell r="K18">
            <v>4.8417931115395121E-2</v>
          </cell>
        </row>
        <row r="19">
          <cell r="D19">
            <v>1.1615155921714039E-2</v>
          </cell>
          <cell r="F19">
            <v>1.1615155921714039E-2</v>
          </cell>
          <cell r="H19">
            <v>1.161515592171404E-2</v>
          </cell>
          <cell r="K19">
            <v>1.1615155921714039E-2</v>
          </cell>
        </row>
        <row r="21">
          <cell r="D21">
            <v>2.4037216726993486E-2</v>
          </cell>
          <cell r="F21">
            <v>2.4037216726993486E-2</v>
          </cell>
          <cell r="H21">
            <v>2.403721672699349E-2</v>
          </cell>
          <cell r="K21">
            <v>2.4037216726993486E-2</v>
          </cell>
        </row>
        <row r="22">
          <cell r="D22">
            <v>5.288187679938567E-3</v>
          </cell>
          <cell r="F22">
            <v>5.288187679938567E-3</v>
          </cell>
          <cell r="H22">
            <v>5.288187679938567E-3</v>
          </cell>
          <cell r="K22">
            <v>5.288187679938567E-3</v>
          </cell>
        </row>
        <row r="23">
          <cell r="D23">
            <v>6.3044988954241536E-3</v>
          </cell>
          <cell r="F23">
            <v>6.3044988954241528E-3</v>
          </cell>
          <cell r="H23">
            <v>6.3044988954241536E-3</v>
          </cell>
          <cell r="K23">
            <v>6.3044988954241536E-3</v>
          </cell>
        </row>
      </sheetData>
      <sheetData sheetId="17">
        <row r="25">
          <cell r="E25">
            <v>1406.210725811241</v>
          </cell>
        </row>
      </sheetData>
      <sheetData sheetId="18"/>
      <sheetData sheetId="19"/>
      <sheetData sheetId="20"/>
      <sheetData sheetId="21"/>
      <sheetData sheetId="22"/>
      <sheetData sheetId="23">
        <row r="11">
          <cell r="D11">
            <v>19530</v>
          </cell>
        </row>
      </sheetData>
      <sheetData sheetId="24">
        <row r="11">
          <cell r="C11">
            <v>20206</v>
          </cell>
        </row>
      </sheetData>
      <sheetData sheetId="25"/>
      <sheetData sheetId="26">
        <row r="11">
          <cell r="I11">
            <v>183.41350310150622</v>
          </cell>
        </row>
        <row r="13">
          <cell r="G13">
            <v>16.604055823316138</v>
          </cell>
          <cell r="I13">
            <v>3.128362711689308</v>
          </cell>
        </row>
        <row r="14">
          <cell r="G14">
            <v>3.6528922811295503</v>
          </cell>
          <cell r="I14">
            <v>0.6882397965716478</v>
          </cell>
        </row>
        <row r="15">
          <cell r="G15">
            <v>1.9685319596945716</v>
          </cell>
          <cell r="I15">
            <v>0.33864670540492747</v>
          </cell>
        </row>
        <row r="17">
          <cell r="G17">
            <v>-818.30330822077713</v>
          </cell>
          <cell r="I17">
            <v>-140.77278145583935</v>
          </cell>
        </row>
        <row r="18">
          <cell r="G18">
            <v>270.09330811097408</v>
          </cell>
          <cell r="I18">
            <v>46.795970859332769</v>
          </cell>
        </row>
        <row r="21">
          <cell r="G21">
            <v>92.443952414103791</v>
          </cell>
          <cell r="I21">
            <v>15.903140289631573</v>
          </cell>
        </row>
        <row r="22">
          <cell r="G22">
            <v>20.292574920169123</v>
          </cell>
          <cell r="I22">
            <v>3.4909332343093693</v>
          </cell>
        </row>
        <row r="23">
          <cell r="G23">
            <v>3.0538924823433509</v>
          </cell>
          <cell r="I23">
            <v>0.52800816507145587</v>
          </cell>
        </row>
        <row r="24">
          <cell r="G24">
            <v>273.14720059331745</v>
          </cell>
          <cell r="I24">
            <v>47.323979024404224</v>
          </cell>
        </row>
        <row r="34">
          <cell r="C34">
            <v>1066.171136267611</v>
          </cell>
        </row>
      </sheetData>
      <sheetData sheetId="27"/>
      <sheetData sheetId="28">
        <row r="13">
          <cell r="M13">
            <v>65.883607305654621</v>
          </cell>
          <cell r="O13">
            <v>64.274809269521583</v>
          </cell>
          <cell r="Q13">
            <v>62.711107413236306</v>
          </cell>
        </row>
        <row r="18">
          <cell r="M18">
            <v>14.352812795256961</v>
          </cell>
          <cell r="O18">
            <v>12.52591648783751</v>
          </cell>
          <cell r="Q18">
            <v>13.117422809381358</v>
          </cell>
        </row>
        <row r="22">
          <cell r="M22">
            <v>5.6368263667136462</v>
          </cell>
          <cell r="O22">
            <v>6.9806435176698978</v>
          </cell>
          <cell r="Q22">
            <v>6.6498606661397268</v>
          </cell>
        </row>
        <row r="24">
          <cell r="M24">
            <v>1.0146287460084562</v>
          </cell>
          <cell r="O24">
            <v>1.2565158331805817</v>
          </cell>
          <cell r="Q24">
            <v>1.1969749199051509</v>
          </cell>
        </row>
      </sheetData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упне (2)"/>
      <sheetName val="ІНСТРУКЦІЯ"/>
      <sheetName val="5_Розрахунок тарифів"/>
      <sheetName val="3_Розподіл пл.соб."/>
      <sheetName val="4_Структура пл.соб."/>
      <sheetName val="1_Структура по елементах"/>
      <sheetName val="2_ФОП"/>
      <sheetName val="Д2"/>
      <sheetName val="Д3"/>
      <sheetName val="Д4"/>
      <sheetName val="Д4 (1)"/>
      <sheetName val="Д5"/>
      <sheetName val="Д5 (1)"/>
      <sheetName val="Д6"/>
      <sheetName val="Д9"/>
      <sheetName val="структураТАРИФА"/>
      <sheetName val="виробн"/>
      <sheetName val="транспорт"/>
      <sheetName val="постачання"/>
      <sheetName val="Лист6"/>
      <sheetName val="Лист1"/>
      <sheetName val="свод для кульченк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A2">
            <v>298970919.48336291</v>
          </cell>
        </row>
        <row r="15">
          <cell r="AL15">
            <v>1798056</v>
          </cell>
        </row>
        <row r="16">
          <cell r="AL16">
            <v>395572.32</v>
          </cell>
        </row>
        <row r="34">
          <cell r="AM34">
            <v>711339.51</v>
          </cell>
        </row>
      </sheetData>
      <sheetData sheetId="6" refreshError="1"/>
      <sheetData sheetId="7" refreshError="1"/>
      <sheetData sheetId="8" refreshError="1"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  <cell r="P39">
            <v>0</v>
          </cell>
          <cell r="X39">
            <v>0</v>
          </cell>
        </row>
      </sheetData>
      <sheetData sheetId="9" refreshError="1">
        <row r="3">
          <cell r="B3" t="str">
            <v>ПАТ "Сумське НВО" Дирекція  "Котельня Північного промислового вузла"</v>
          </cell>
        </row>
        <row r="12">
          <cell r="K12">
            <v>0</v>
          </cell>
        </row>
        <row r="38">
          <cell r="K38">
            <v>0</v>
          </cell>
        </row>
        <row r="39">
          <cell r="K39">
            <v>0</v>
          </cell>
          <cell r="O39">
            <v>0</v>
          </cell>
          <cell r="W39">
            <v>0</v>
          </cell>
        </row>
      </sheetData>
      <sheetData sheetId="10" refreshError="1"/>
      <sheetData sheetId="11" refreshError="1"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  <cell r="O34">
            <v>0</v>
          </cell>
          <cell r="W34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ители"/>
      <sheetName val="д.2 тарифи 869 пост за табл 7.1"/>
      <sheetName val="д.3 розр за табл 2.3-2.6"/>
      <sheetName val="д.4 за табл 2.1"/>
      <sheetName val="Лист1"/>
      <sheetName val="ГВП"/>
      <sheetName val="структура тарифа"/>
      <sheetName val="собіварт"/>
      <sheetName val="соб Коміс"/>
      <sheetName val="Структура послуги аналіз"/>
      <sheetName val="Додаток4"/>
      <sheetName val="послуга"/>
      <sheetName val="Лист2"/>
      <sheetName val="послуга 2018"/>
      <sheetName val="расчет послуги"/>
      <sheetName val="расчет рыбал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4">
          <cell r="C4">
            <v>9460.2366658989049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abSelected="1" view="pageBreakPreview" topLeftCell="B1" zoomScale="60" zoomScaleNormal="100" workbookViewId="0">
      <selection activeCell="AK28" sqref="AK27:AK28"/>
    </sheetView>
  </sheetViews>
  <sheetFormatPr defaultColWidth="9.140625" defaultRowHeight="15" x14ac:dyDescent="0.25"/>
  <cols>
    <col min="1" max="1" width="6.140625" style="188" hidden="1" customWidth="1"/>
    <col min="2" max="2" width="6.7109375" style="141" customWidth="1"/>
    <col min="3" max="3" width="60.42578125" style="142" customWidth="1"/>
    <col min="4" max="4" width="14.5703125" style="142" customWidth="1"/>
    <col min="5" max="5" width="12.7109375" style="142" customWidth="1"/>
    <col min="6" max="6" width="14.5703125" style="142" customWidth="1"/>
    <col min="7" max="7" width="13" style="142" customWidth="1"/>
    <col min="8" max="8" width="14.28515625" style="142" customWidth="1"/>
    <col min="9" max="9" width="13.7109375" style="142" customWidth="1"/>
    <col min="10" max="10" width="15.42578125" style="142" customWidth="1"/>
    <col min="11" max="11" width="14.28515625" style="142" customWidth="1"/>
    <col min="12" max="12" width="15.5703125" style="142" customWidth="1"/>
    <col min="13" max="13" width="13.85546875" style="142" hidden="1" customWidth="1"/>
    <col min="14" max="14" width="11.140625" style="142" hidden="1" customWidth="1"/>
    <col min="15" max="15" width="17" style="142" hidden="1" customWidth="1"/>
    <col min="16" max="16" width="7.42578125" style="142" hidden="1" customWidth="1"/>
    <col min="17" max="17" width="12.7109375" style="142" hidden="1" customWidth="1"/>
    <col min="18" max="18" width="10.28515625" style="142" hidden="1" customWidth="1"/>
    <col min="19" max="19" width="7.42578125" style="142" hidden="1" customWidth="1"/>
    <col min="20" max="20" width="0" style="142" hidden="1" customWidth="1"/>
    <col min="21" max="21" width="21" style="142" hidden="1" customWidth="1"/>
    <col min="22" max="22" width="6.85546875" style="142" hidden="1" customWidth="1"/>
    <col min="23" max="23" width="11.28515625" style="142" customWidth="1"/>
    <col min="24" max="24" width="11.28515625" style="142" bestFit="1" customWidth="1"/>
    <col min="25" max="16384" width="9.140625" style="142"/>
  </cols>
  <sheetData>
    <row r="1" spans="1:24" x14ac:dyDescent="0.25">
      <c r="E1" s="434"/>
      <c r="F1" s="434">
        <v>4</v>
      </c>
    </row>
    <row r="2" spans="1:24" x14ac:dyDescent="0.25">
      <c r="E2" s="434">
        <v>4</v>
      </c>
      <c r="K2" s="255" t="s">
        <v>144</v>
      </c>
      <c r="L2" s="256"/>
    </row>
    <row r="3" spans="1:24" x14ac:dyDescent="0.25">
      <c r="K3" s="394" t="s">
        <v>235</v>
      </c>
      <c r="L3" s="394"/>
    </row>
    <row r="4" spans="1:24" x14ac:dyDescent="0.25">
      <c r="K4" s="255" t="s">
        <v>236</v>
      </c>
      <c r="L4" s="253"/>
    </row>
    <row r="5" spans="1:24" ht="15.75" x14ac:dyDescent="0.25">
      <c r="A5" s="189"/>
      <c r="B5" s="143"/>
      <c r="C5" s="382" t="s">
        <v>245</v>
      </c>
      <c r="D5" s="382"/>
      <c r="E5" s="382"/>
      <c r="F5" s="382"/>
      <c r="G5" s="382"/>
      <c r="H5" s="382"/>
      <c r="I5" s="382"/>
      <c r="N5" s="144"/>
      <c r="O5" s="144"/>
      <c r="P5" s="190"/>
      <c r="Q5" s="190"/>
      <c r="R5" s="190"/>
      <c r="S5" s="190"/>
    </row>
    <row r="6" spans="1:24" ht="15.75" x14ac:dyDescent="0.25">
      <c r="A6" s="189"/>
      <c r="B6" s="143"/>
      <c r="C6" s="383" t="s">
        <v>243</v>
      </c>
      <c r="D6" s="383"/>
      <c r="E6" s="383"/>
      <c r="F6" s="383"/>
      <c r="G6" s="383"/>
      <c r="H6" s="383"/>
      <c r="I6" s="383"/>
      <c r="N6" s="176"/>
      <c r="O6" s="176"/>
      <c r="P6" s="190"/>
      <c r="Q6" s="190"/>
      <c r="R6" s="190"/>
      <c r="S6" s="190"/>
    </row>
    <row r="7" spans="1:24" ht="15.75" customHeight="1" thickBot="1" x14ac:dyDescent="0.3">
      <c r="A7" s="189"/>
      <c r="B7" s="143"/>
      <c r="C7" s="384"/>
      <c r="D7" s="384"/>
      <c r="E7" s="384"/>
      <c r="F7" s="384"/>
      <c r="G7" s="384"/>
      <c r="H7" s="384"/>
      <c r="I7" s="384"/>
      <c r="J7" s="145"/>
      <c r="K7" s="145"/>
      <c r="L7" s="254" t="s">
        <v>117</v>
      </c>
      <c r="M7" s="191"/>
      <c r="N7" s="191"/>
      <c r="O7" s="191"/>
      <c r="P7" s="190"/>
      <c r="Q7" s="190"/>
      <c r="R7" s="386"/>
      <c r="S7" s="386"/>
    </row>
    <row r="8" spans="1:24" ht="30" customHeight="1" x14ac:dyDescent="0.25">
      <c r="A8" s="395" t="s">
        <v>145</v>
      </c>
      <c r="B8" s="396" t="s">
        <v>145</v>
      </c>
      <c r="C8" s="398" t="s">
        <v>146</v>
      </c>
      <c r="D8" s="387" t="s">
        <v>4</v>
      </c>
      <c r="E8" s="388"/>
      <c r="F8" s="400" t="s">
        <v>102</v>
      </c>
      <c r="G8" s="400"/>
      <c r="H8" s="387" t="s">
        <v>147</v>
      </c>
      <c r="I8" s="388"/>
      <c r="J8" s="389" t="s">
        <v>148</v>
      </c>
      <c r="K8" s="390"/>
      <c r="L8" s="391" t="s">
        <v>149</v>
      </c>
      <c r="M8" s="393" t="s">
        <v>189</v>
      </c>
      <c r="R8" s="192"/>
      <c r="S8" s="192"/>
      <c r="T8" s="192"/>
      <c r="U8" s="192"/>
    </row>
    <row r="9" spans="1:24" ht="21" customHeight="1" x14ac:dyDescent="0.25">
      <c r="A9" s="395"/>
      <c r="B9" s="397"/>
      <c r="C9" s="399"/>
      <c r="D9" s="342" t="s">
        <v>150</v>
      </c>
      <c r="E9" s="343" t="s">
        <v>9</v>
      </c>
      <c r="F9" s="344" t="s">
        <v>150</v>
      </c>
      <c r="G9" s="345" t="s">
        <v>9</v>
      </c>
      <c r="H9" s="342" t="s">
        <v>150</v>
      </c>
      <c r="I9" s="343" t="s">
        <v>9</v>
      </c>
      <c r="J9" s="342" t="s">
        <v>150</v>
      </c>
      <c r="K9" s="345" t="s">
        <v>9</v>
      </c>
      <c r="L9" s="392"/>
      <c r="M9" s="393"/>
      <c r="R9" s="192"/>
      <c r="S9" s="192"/>
      <c r="T9" s="192"/>
      <c r="U9" s="192"/>
    </row>
    <row r="10" spans="1:24" x14ac:dyDescent="0.25">
      <c r="A10" s="193"/>
      <c r="B10" s="346"/>
      <c r="C10" s="347"/>
      <c r="D10" s="342"/>
      <c r="E10" s="343"/>
      <c r="F10" s="344"/>
      <c r="G10" s="345"/>
      <c r="H10" s="342"/>
      <c r="I10" s="343"/>
      <c r="J10" s="348"/>
      <c r="K10" s="349"/>
      <c r="L10" s="350"/>
      <c r="M10" s="194"/>
      <c r="R10" s="192"/>
      <c r="S10" s="192"/>
      <c r="T10" s="192"/>
      <c r="U10" s="192"/>
    </row>
    <row r="11" spans="1:24" ht="15.75" x14ac:dyDescent="0.25">
      <c r="A11" s="195">
        <v>1</v>
      </c>
      <c r="B11" s="351">
        <v>1</v>
      </c>
      <c r="C11" s="352" t="s">
        <v>151</v>
      </c>
      <c r="D11" s="353">
        <f>D12+D20+D21+D25</f>
        <v>137740.31192561061</v>
      </c>
      <c r="E11" s="354">
        <f>E12+E20+E21+E25</f>
        <v>1063.713900604869</v>
      </c>
      <c r="F11" s="355">
        <f t="shared" ref="F11:K11" si="0">F12+F20+F21+F25</f>
        <v>23255.548889850212</v>
      </c>
      <c r="G11" s="356">
        <f t="shared" si="0"/>
        <v>1064.2439403641247</v>
      </c>
      <c r="H11" s="353">
        <f t="shared" si="0"/>
        <v>24973.477124802579</v>
      </c>
      <c r="I11" s="354">
        <f t="shared" si="0"/>
        <v>1064.7939047182897</v>
      </c>
      <c r="J11" s="353">
        <f t="shared" si="0"/>
        <v>156.38150497611662</v>
      </c>
      <c r="K11" s="356">
        <f t="shared" si="0"/>
        <v>1060.8033277897989</v>
      </c>
      <c r="L11" s="357">
        <f>D11+F11+H11+J11</f>
        <v>186125.71944523949</v>
      </c>
      <c r="M11" s="196">
        <f t="shared" ref="M11:M32" si="1">L11/$L$48</f>
        <v>0.7578918989632325</v>
      </c>
      <c r="N11" s="197">
        <f t="shared" ref="N11:N32" si="2">L11/$L$50*1000</f>
        <v>1063.9224452793692</v>
      </c>
      <c r="R11" s="198">
        <v>1338.0001752556132</v>
      </c>
      <c r="S11" s="192"/>
      <c r="T11" s="192"/>
      <c r="U11" s="192"/>
      <c r="V11" s="142" t="s">
        <v>190</v>
      </c>
      <c r="W11" s="199"/>
      <c r="X11" s="205"/>
    </row>
    <row r="12" spans="1:24" ht="15.75" x14ac:dyDescent="0.25">
      <c r="A12" s="195" t="s">
        <v>11</v>
      </c>
      <c r="B12" s="351" t="s">
        <v>11</v>
      </c>
      <c r="C12" s="352" t="s">
        <v>152</v>
      </c>
      <c r="D12" s="353">
        <f>D13+D14+D15+D16+D17+D18+D19</f>
        <v>119031.30970188245</v>
      </c>
      <c r="E12" s="354">
        <f>E13+E14+E15+E16+E17+E18+E19</f>
        <v>919.23168291848117</v>
      </c>
      <c r="F12" s="355">
        <f t="shared" ref="F12:K12" si="3">F13+F14+F15+F16+F17+F18+F19</f>
        <v>20098.365513292607</v>
      </c>
      <c r="G12" s="356">
        <f t="shared" si="3"/>
        <v>919.76172267773688</v>
      </c>
      <c r="H12" s="353">
        <f t="shared" si="3"/>
        <v>21584.818209360747</v>
      </c>
      <c r="I12" s="354">
        <f t="shared" si="3"/>
        <v>920.31168703190178</v>
      </c>
      <c r="J12" s="353">
        <f t="shared" si="3"/>
        <v>135.08222540922469</v>
      </c>
      <c r="K12" s="356">
        <f t="shared" si="3"/>
        <v>916.32111010341112</v>
      </c>
      <c r="L12" s="357">
        <f t="shared" ref="L12:L49" si="4">D12+F12+H12+J12</f>
        <v>160849.57564994501</v>
      </c>
      <c r="M12" s="200">
        <f t="shared" si="1"/>
        <v>0.65496907520421099</v>
      </c>
      <c r="N12" s="197">
        <f t="shared" si="2"/>
        <v>919.44022759298116</v>
      </c>
      <c r="R12" s="198">
        <v>1149.4848027072592</v>
      </c>
      <c r="S12" s="192"/>
      <c r="T12" s="192"/>
      <c r="U12" s="192"/>
      <c r="V12" s="142" t="s">
        <v>191</v>
      </c>
      <c r="X12" s="205"/>
    </row>
    <row r="13" spans="1:24" ht="15" customHeight="1" x14ac:dyDescent="0.25">
      <c r="A13" s="195" t="s">
        <v>13</v>
      </c>
      <c r="B13" s="358" t="s">
        <v>13</v>
      </c>
      <c r="C13" s="359" t="s">
        <v>153</v>
      </c>
      <c r="D13" s="146">
        <f>E13*$D$50/1000</f>
        <v>87518.993676469356</v>
      </c>
      <c r="E13" s="331">
        <f>[1]виробн!D11</f>
        <v>675.8745412954197</v>
      </c>
      <c r="F13" s="147">
        <f>G13*F50/1000</f>
        <v>14769.01466570368</v>
      </c>
      <c r="G13" s="150">
        <f>[1]виробн!F11</f>
        <v>675.87458105467545</v>
      </c>
      <c r="H13" s="146">
        <f>I13*H50/1000</f>
        <v>15851.83519947895</v>
      </c>
      <c r="I13" s="331">
        <f>[1]виробн!H11</f>
        <v>675.87454540884039</v>
      </c>
      <c r="J13" s="146">
        <f>K13*J50/1000</f>
        <v>99.635988685436203</v>
      </c>
      <c r="K13" s="150">
        <f>[1]виробн!J11</f>
        <v>675.87396848034973</v>
      </c>
      <c r="L13" s="332">
        <f>D13+F13+H13+J13</f>
        <v>118239.47953033743</v>
      </c>
      <c r="M13" s="201">
        <f t="shared" si="1"/>
        <v>0.48146351799616216</v>
      </c>
      <c r="N13" s="197">
        <f t="shared" si="2"/>
        <v>675.87454633043194</v>
      </c>
      <c r="R13" s="198">
        <v>551.62919758261876</v>
      </c>
      <c r="S13" s="192"/>
      <c r="T13" s="192"/>
      <c r="U13" s="192"/>
      <c r="V13" s="142" t="s">
        <v>192</v>
      </c>
      <c r="X13" s="199"/>
    </row>
    <row r="14" spans="1:24" ht="17.45" customHeight="1" x14ac:dyDescent="0.25">
      <c r="A14" s="195" t="s">
        <v>193</v>
      </c>
      <c r="B14" s="358" t="s">
        <v>15</v>
      </c>
      <c r="C14" s="359" t="s">
        <v>121</v>
      </c>
      <c r="D14" s="148">
        <f>E14*D50/1000</f>
        <v>11907.655612762197</v>
      </c>
      <c r="E14" s="331">
        <f>[1]виробн!D12</f>
        <v>91.958110315239082</v>
      </c>
      <c r="F14" s="149">
        <f>G14*F50/1000</f>
        <v>2009.4418667985026</v>
      </c>
      <c r="G14" s="333">
        <f>[1]виробн!F12</f>
        <v>91.958110315239082</v>
      </c>
      <c r="H14" s="148">
        <f>I14*H50/1000</f>
        <v>2156.7683231669885</v>
      </c>
      <c r="I14" s="334">
        <f>[1]виробн!H12</f>
        <v>91.958110315239082</v>
      </c>
      <c r="J14" s="146">
        <f>K14*J50/1000</f>
        <v>13.556280706451915</v>
      </c>
      <c r="K14" s="150">
        <f>[1]виробн!J12</f>
        <v>91.958110315239082</v>
      </c>
      <c r="L14" s="332">
        <f t="shared" si="4"/>
        <v>16087.422083434141</v>
      </c>
      <c r="M14" s="201">
        <f t="shared" si="1"/>
        <v>6.5506942880208113E-2</v>
      </c>
      <c r="N14" s="202">
        <f t="shared" si="2"/>
        <v>91.958110315239097</v>
      </c>
      <c r="R14" s="198">
        <v>114.37095158412195</v>
      </c>
      <c r="S14" s="192"/>
      <c r="T14" s="192"/>
      <c r="U14" s="192"/>
      <c r="X14" s="199"/>
    </row>
    <row r="15" spans="1:24" ht="18" customHeight="1" x14ac:dyDescent="0.25">
      <c r="A15" s="195" t="s">
        <v>17</v>
      </c>
      <c r="B15" s="358" t="s">
        <v>17</v>
      </c>
      <c r="C15" s="359" t="s">
        <v>154</v>
      </c>
      <c r="D15" s="146">
        <f>'[1]Д3(вробн)'!L16</f>
        <v>0</v>
      </c>
      <c r="E15" s="331">
        <f>[1]виробн!D15</f>
        <v>0</v>
      </c>
      <c r="F15" s="147">
        <f>'[1]Д3(вробн)'!X16</f>
        <v>0</v>
      </c>
      <c r="G15" s="150">
        <f>F15/$F$50*1000</f>
        <v>0</v>
      </c>
      <c r="H15" s="148">
        <f>'[1]Д3(вробн)'!AB16</f>
        <v>0</v>
      </c>
      <c r="I15" s="331">
        <f>H15/$H$50*1000</f>
        <v>0</v>
      </c>
      <c r="J15" s="146">
        <f>'[1]Д3(вробн)'!P16</f>
        <v>0</v>
      </c>
      <c r="K15" s="150">
        <f>J15/$J$50*1000</f>
        <v>0</v>
      </c>
      <c r="L15" s="332">
        <f t="shared" si="4"/>
        <v>0</v>
      </c>
      <c r="M15" s="201">
        <f t="shared" si="1"/>
        <v>0</v>
      </c>
      <c r="N15" s="197">
        <f t="shared" si="2"/>
        <v>0</v>
      </c>
      <c r="R15" s="198">
        <v>59.510235217340309</v>
      </c>
      <c r="S15" s="192"/>
      <c r="T15" s="192"/>
      <c r="U15" s="192"/>
    </row>
    <row r="16" spans="1:24" ht="16.149999999999999" customHeight="1" x14ac:dyDescent="0.25">
      <c r="A16" s="195"/>
      <c r="B16" s="358" t="s">
        <v>19</v>
      </c>
      <c r="C16" s="359" t="s">
        <v>155</v>
      </c>
      <c r="D16" s="146">
        <f>'[1]Д3(вробн)'!L17</f>
        <v>0</v>
      </c>
      <c r="E16" s="331">
        <f>[1]виробн!D13</f>
        <v>0</v>
      </c>
      <c r="F16" s="147">
        <f>'[1]Д3(вробн)'!X17</f>
        <v>0</v>
      </c>
      <c r="G16" s="150">
        <f>F16/$F$50*1000</f>
        <v>0</v>
      </c>
      <c r="H16" s="148">
        <f>'[1]Д3(вробн)'!AB17</f>
        <v>0</v>
      </c>
      <c r="I16" s="331">
        <f>H16/$H$50*1000</f>
        <v>0</v>
      </c>
      <c r="J16" s="146">
        <f>'[1]Д3(вробн)'!P17</f>
        <v>0</v>
      </c>
      <c r="K16" s="150">
        <f>J16/$J$50*1000</f>
        <v>0</v>
      </c>
      <c r="L16" s="332">
        <f t="shared" si="4"/>
        <v>0</v>
      </c>
      <c r="M16" s="201">
        <f t="shared" si="1"/>
        <v>0</v>
      </c>
      <c r="N16" s="197">
        <f t="shared" si="2"/>
        <v>0</v>
      </c>
      <c r="R16" s="198">
        <v>339.53947896266499</v>
      </c>
      <c r="S16" s="192"/>
      <c r="T16" s="192"/>
      <c r="U16" s="192"/>
    </row>
    <row r="17" spans="1:24" ht="17.45" customHeight="1" x14ac:dyDescent="0.25">
      <c r="A17" s="195"/>
      <c r="B17" s="358" t="s">
        <v>128</v>
      </c>
      <c r="C17" s="359" t="s">
        <v>156</v>
      </c>
      <c r="D17" s="146">
        <f>E17*D50/1000</f>
        <v>17200.156567170001</v>
      </c>
      <c r="E17" s="331">
        <f>[1]транспорт!D13</f>
        <v>132.83000000000001</v>
      </c>
      <c r="F17" s="147">
        <f>G17*F50/1000</f>
        <v>2914.1439122400002</v>
      </c>
      <c r="G17" s="150">
        <f>[1]транспорт!F13</f>
        <v>133.36000000000001</v>
      </c>
      <c r="H17" s="148">
        <f>I17*H50/1000</f>
        <v>3140.7000988299992</v>
      </c>
      <c r="I17" s="331">
        <f>[1]транспорт!H13</f>
        <v>133.90999999999997</v>
      </c>
      <c r="J17" s="146">
        <f>K17*J50/1000</f>
        <v>19.152546559999998</v>
      </c>
      <c r="K17" s="150">
        <f>[1]транспорт!K13</f>
        <v>129.91999999999999</v>
      </c>
      <c r="L17" s="332">
        <f>D17+F17+H17+J17</f>
        <v>23274.153124799999</v>
      </c>
      <c r="M17" s="201">
        <f t="shared" si="1"/>
        <v>9.477084715154277E-2</v>
      </c>
      <c r="N17" s="202">
        <f t="shared" si="2"/>
        <v>133.03853963948782</v>
      </c>
      <c r="R17" s="198">
        <v>68.569999999999993</v>
      </c>
      <c r="S17" s="192"/>
      <c r="T17" s="192"/>
      <c r="U17" s="192"/>
      <c r="X17" s="197"/>
    </row>
    <row r="18" spans="1:24" ht="15.6" customHeight="1" x14ac:dyDescent="0.25">
      <c r="A18" s="195" t="s">
        <v>194</v>
      </c>
      <c r="B18" s="358" t="s">
        <v>129</v>
      </c>
      <c r="C18" s="359" t="s">
        <v>157</v>
      </c>
      <c r="D18" s="148">
        <f>E18*D50/1000</f>
        <v>1396.426481820921</v>
      </c>
      <c r="E18" s="331">
        <f>[1]виробн!D17</f>
        <v>10.784048904200864</v>
      </c>
      <c r="F18" s="149">
        <f>G18*F50/1000</f>
        <v>235.64989849636615</v>
      </c>
      <c r="G18" s="333">
        <f>[1]виробн!F17</f>
        <v>10.784048904200864</v>
      </c>
      <c r="H18" s="148">
        <f>I18*H50/1000</f>
        <v>252.92706638198194</v>
      </c>
      <c r="I18" s="334">
        <f>[1]виробн!H17</f>
        <v>10.784048904200864</v>
      </c>
      <c r="J18" s="146">
        <f>K18*J50/1000</f>
        <v>1.589762921359483</v>
      </c>
      <c r="K18" s="150">
        <f>[1]виробн!J17</f>
        <v>10.784048904200864</v>
      </c>
      <c r="L18" s="332">
        <f t="shared" si="4"/>
        <v>1886.5932096206288</v>
      </c>
      <c r="M18" s="201">
        <f t="shared" si="1"/>
        <v>7.6820856057520466E-3</v>
      </c>
      <c r="N18" s="202">
        <f t="shared" si="2"/>
        <v>10.784048904200866</v>
      </c>
      <c r="R18" s="198">
        <v>10.550481948257023</v>
      </c>
      <c r="S18" s="192"/>
      <c r="T18" s="192"/>
      <c r="U18" s="192"/>
      <c r="X18" s="199"/>
    </row>
    <row r="19" spans="1:24" ht="15.75" customHeight="1" x14ac:dyDescent="0.25">
      <c r="A19" s="195" t="s">
        <v>195</v>
      </c>
      <c r="B19" s="358" t="s">
        <v>158</v>
      </c>
      <c r="C19" s="359" t="s">
        <v>159</v>
      </c>
      <c r="D19" s="148">
        <f>E19*D50/1000</f>
        <v>1008.0773636599669</v>
      </c>
      <c r="E19" s="331">
        <f>[1]виробн!D18</f>
        <v>7.7849824036215098</v>
      </c>
      <c r="F19" s="149">
        <f>G19*F50/1000</f>
        <v>170.11517005405776</v>
      </c>
      <c r="G19" s="333">
        <f>[1]виробн!F18</f>
        <v>7.7849824036215098</v>
      </c>
      <c r="H19" s="148">
        <f>I19*H50/1000</f>
        <v>182.58752150282939</v>
      </c>
      <c r="I19" s="334">
        <f>[1]виробн!H18</f>
        <v>7.7849824036215098</v>
      </c>
      <c r="J19" s="146">
        <f>K19*J50/1000</f>
        <v>1.1476465359770758</v>
      </c>
      <c r="K19" s="150">
        <f>[1]виробн!J18</f>
        <v>7.7849824036215098</v>
      </c>
      <c r="L19" s="332">
        <f t="shared" si="4"/>
        <v>1361.9277017528311</v>
      </c>
      <c r="M19" s="201">
        <f t="shared" si="1"/>
        <v>5.545681570546023E-3</v>
      </c>
      <c r="N19" s="202">
        <f t="shared" si="2"/>
        <v>7.7849824036215107</v>
      </c>
      <c r="R19" s="198">
        <v>5.3144574122558286</v>
      </c>
      <c r="S19" s="192"/>
      <c r="T19" s="192"/>
      <c r="U19" s="192"/>
      <c r="X19" s="199"/>
    </row>
    <row r="20" spans="1:24" ht="15.75" x14ac:dyDescent="0.25">
      <c r="A20" s="195" t="s">
        <v>21</v>
      </c>
      <c r="B20" s="351" t="s">
        <v>21</v>
      </c>
      <c r="C20" s="352" t="s">
        <v>22</v>
      </c>
      <c r="D20" s="353">
        <f>E20*D50/1000</f>
        <v>9554.7734228789286</v>
      </c>
      <c r="E20" s="354">
        <f>[1]виробн!D19+[1]постачання!D11</f>
        <v>73.787732617705316</v>
      </c>
      <c r="F20" s="355">
        <f>G20*F50/1000</f>
        <v>1612.3880609319046</v>
      </c>
      <c r="G20" s="356">
        <f>[1]виробн!F19+[1]постачання!F11</f>
        <v>73.787732617705316</v>
      </c>
      <c r="H20" s="353">
        <f>I20*H50/1000</f>
        <v>1730.603682509661</v>
      </c>
      <c r="I20" s="354">
        <f>[1]виробн!H19+[1]постачання!H11</f>
        <v>73.787732617705316</v>
      </c>
      <c r="J20" s="353">
        <f>K20*J50/1000</f>
        <v>10.877639967036883</v>
      </c>
      <c r="K20" s="356">
        <f>[1]виробн!J19+[1]постачання!K11</f>
        <v>73.787732617705316</v>
      </c>
      <c r="L20" s="357">
        <f t="shared" si="4"/>
        <v>12908.642806287531</v>
      </c>
      <c r="M20" s="201">
        <f t="shared" si="1"/>
        <v>5.2563159130588143E-2</v>
      </c>
      <c r="N20" s="202">
        <f t="shared" si="2"/>
        <v>73.787732617705331</v>
      </c>
      <c r="R20" s="198">
        <v>81.092827459373083</v>
      </c>
      <c r="S20" s="192"/>
      <c r="T20" s="192"/>
      <c r="U20" s="192"/>
      <c r="V20" s="142" t="s">
        <v>196</v>
      </c>
      <c r="W20" s="199"/>
      <c r="X20" s="205"/>
    </row>
    <row r="21" spans="1:24" ht="15.75" x14ac:dyDescent="0.25">
      <c r="A21" s="195" t="s">
        <v>23</v>
      </c>
      <c r="B21" s="351" t="s">
        <v>23</v>
      </c>
      <c r="C21" s="352" t="s">
        <v>160</v>
      </c>
      <c r="D21" s="353">
        <f>D22+D23+D24</f>
        <v>6652.7079760744764</v>
      </c>
      <c r="E21" s="354">
        <f t="shared" ref="E21:K21" si="5">E22+E23+E24</f>
        <v>51.376230036687829</v>
      </c>
      <c r="F21" s="355">
        <f t="shared" si="5"/>
        <v>1122.6584282787617</v>
      </c>
      <c r="G21" s="356">
        <f t="shared" si="5"/>
        <v>51.376230036687829</v>
      </c>
      <c r="H21" s="353">
        <f t="shared" si="5"/>
        <v>1204.9684919254594</v>
      </c>
      <c r="I21" s="354">
        <f t="shared" si="5"/>
        <v>51.376230036687829</v>
      </c>
      <c r="J21" s="353">
        <f t="shared" si="5"/>
        <v>7.5737810795484464</v>
      </c>
      <c r="K21" s="356">
        <f t="shared" si="5"/>
        <v>51.376230036687829</v>
      </c>
      <c r="L21" s="357">
        <f t="shared" si="4"/>
        <v>8987.9086773582458</v>
      </c>
      <c r="M21" s="201">
        <f t="shared" si="1"/>
        <v>3.6598183182283368E-2</v>
      </c>
      <c r="N21" s="202">
        <f t="shared" si="2"/>
        <v>51.376230036687829</v>
      </c>
      <c r="R21" s="198">
        <v>67.40630651537532</v>
      </c>
      <c r="S21" s="192"/>
      <c r="T21" s="192"/>
      <c r="U21" s="192"/>
      <c r="V21" s="142" t="s">
        <v>197</v>
      </c>
      <c r="W21" s="199"/>
      <c r="X21" s="205"/>
    </row>
    <row r="22" spans="1:24" ht="16.899999999999999" customHeight="1" x14ac:dyDescent="0.25">
      <c r="A22" s="195" t="s">
        <v>25</v>
      </c>
      <c r="B22" s="358" t="s">
        <v>25</v>
      </c>
      <c r="C22" s="359" t="s">
        <v>130</v>
      </c>
      <c r="D22" s="148">
        <f>E22*D50/1000</f>
        <v>2102.0501530333645</v>
      </c>
      <c r="E22" s="334">
        <f>[1]виробн!D21+[1]постачання!D13</f>
        <v>16.233301175895171</v>
      </c>
      <c r="F22" s="149">
        <f>G22*F50/1000</f>
        <v>354.72537340501907</v>
      </c>
      <c r="G22" s="333">
        <f>[1]виробн!F21+[1]постачання!F13</f>
        <v>16.233301175895171</v>
      </c>
      <c r="H22" s="148">
        <f>I22*H50/1000</f>
        <v>380.73281015212541</v>
      </c>
      <c r="I22" s="334">
        <f>[1]виробн!H21+[1]постачання!H13</f>
        <v>16.233301175895171</v>
      </c>
      <c r="J22" s="146">
        <f>K22*J50/1000</f>
        <v>2.3930807927481146</v>
      </c>
      <c r="K22" s="333">
        <f>[1]виробн!J21+[1]постачання!K13</f>
        <v>16.233301175895171</v>
      </c>
      <c r="L22" s="335">
        <f t="shared" si="4"/>
        <v>2839.901417383257</v>
      </c>
      <c r="M22" s="201">
        <f t="shared" si="1"/>
        <v>1.1563895008729392E-2</v>
      </c>
      <c r="N22" s="202">
        <f t="shared" si="2"/>
        <v>16.233301175895171</v>
      </c>
      <c r="R22" s="198">
        <v>17.840422058880616</v>
      </c>
      <c r="S22" s="192"/>
      <c r="T22" s="192"/>
      <c r="U22" s="192"/>
      <c r="V22" s="142" t="s">
        <v>198</v>
      </c>
      <c r="X22" s="199"/>
    </row>
    <row r="23" spans="1:24" ht="16.899999999999999" customHeight="1" x14ac:dyDescent="0.25">
      <c r="A23" s="195" t="s">
        <v>27</v>
      </c>
      <c r="B23" s="358" t="s">
        <v>27</v>
      </c>
      <c r="C23" s="359" t="s">
        <v>161</v>
      </c>
      <c r="D23" s="148">
        <f>E23*D50/1000</f>
        <v>1022.7624599869641</v>
      </c>
      <c r="E23" s="334">
        <f>[1]виробн!D22+[1]постачання!D14</f>
        <v>7.8983895890443563</v>
      </c>
      <c r="F23" s="149">
        <f>G23*F50/1000</f>
        <v>172.59331086842687</v>
      </c>
      <c r="G23" s="333">
        <f>[1]виробн!F22+[1]постачання!F14</f>
        <v>7.8983895890443563</v>
      </c>
      <c r="H23" s="148">
        <f>I23*H50/1000</f>
        <v>185.24735242259317</v>
      </c>
      <c r="I23" s="334">
        <f>[1]виробн!H22+[1]постачання!H14</f>
        <v>7.8983895890443563</v>
      </c>
      <c r="J23" s="146">
        <f>K23*J50/1000</f>
        <v>1.164364796437741</v>
      </c>
      <c r="K23" s="333">
        <f>[1]виробн!J22+[1]постачання!K14</f>
        <v>7.8983895890443563</v>
      </c>
      <c r="L23" s="335">
        <f t="shared" si="4"/>
        <v>1381.7674880744219</v>
      </c>
      <c r="M23" s="201">
        <f t="shared" si="1"/>
        <v>5.6264678980622422E-3</v>
      </c>
      <c r="N23" s="202">
        <f t="shared" si="2"/>
        <v>7.8983895890443572</v>
      </c>
      <c r="R23" s="198">
        <v>8.1159962148288294</v>
      </c>
      <c r="S23" s="192"/>
      <c r="T23" s="192"/>
      <c r="U23" s="192"/>
      <c r="X23" s="199"/>
    </row>
    <row r="24" spans="1:24" ht="15" customHeight="1" x14ac:dyDescent="0.25">
      <c r="A24" s="195" t="s">
        <v>199</v>
      </c>
      <c r="B24" s="358" t="s">
        <v>29</v>
      </c>
      <c r="C24" s="359" t="s">
        <v>162</v>
      </c>
      <c r="D24" s="148">
        <f>E24*D50/1000</f>
        <v>3527.8953630541482</v>
      </c>
      <c r="E24" s="334">
        <f>[1]виробн!D23+[1]постачання!D15</f>
        <v>27.244539271748302</v>
      </c>
      <c r="F24" s="149">
        <f>G24*F50/1000</f>
        <v>595.33974400531577</v>
      </c>
      <c r="G24" s="333">
        <f>[1]виробн!F23+[1]постачання!F15</f>
        <v>27.244539271748302</v>
      </c>
      <c r="H24" s="148">
        <f>I24*H50/1000</f>
        <v>638.98832935074074</v>
      </c>
      <c r="I24" s="334">
        <f>[1]виробн!H23+[1]постачання!H15</f>
        <v>27.244539271748302</v>
      </c>
      <c r="J24" s="146">
        <f>K24*J50/1000</f>
        <v>4.0163354903625912</v>
      </c>
      <c r="K24" s="333">
        <f>[1]виробн!J23+[1]постачання!K15</f>
        <v>27.244539271748302</v>
      </c>
      <c r="L24" s="335">
        <f t="shared" si="4"/>
        <v>4766.2397719005676</v>
      </c>
      <c r="M24" s="201">
        <f t="shared" si="1"/>
        <v>1.9407820275491736E-2</v>
      </c>
      <c r="N24" s="202">
        <f t="shared" si="2"/>
        <v>27.244539271748302</v>
      </c>
      <c r="R24" s="198">
        <v>41.449888241665882</v>
      </c>
      <c r="S24" s="192"/>
      <c r="T24" s="192"/>
      <c r="U24" s="192"/>
      <c r="X24" s="199"/>
    </row>
    <row r="25" spans="1:24" ht="15.75" x14ac:dyDescent="0.25">
      <c r="A25" s="195" t="s">
        <v>31</v>
      </c>
      <c r="B25" s="351" t="s">
        <v>31</v>
      </c>
      <c r="C25" s="352" t="s">
        <v>163</v>
      </c>
      <c r="D25" s="353">
        <f t="shared" ref="D25:K25" si="6">D26+D27+D28</f>
        <v>2501.520824774746</v>
      </c>
      <c r="E25" s="354">
        <f t="shared" si="6"/>
        <v>19.318255031994756</v>
      </c>
      <c r="F25" s="355">
        <f t="shared" si="6"/>
        <v>422.13688734693505</v>
      </c>
      <c r="G25" s="356">
        <f t="shared" si="6"/>
        <v>19.318255031994752</v>
      </c>
      <c r="H25" s="353">
        <f t="shared" si="6"/>
        <v>453.08674100671396</v>
      </c>
      <c r="I25" s="354">
        <f t="shared" si="6"/>
        <v>19.318255031994752</v>
      </c>
      <c r="J25" s="353">
        <f t="shared" si="6"/>
        <v>2.8478585203066027</v>
      </c>
      <c r="K25" s="356">
        <f t="shared" si="6"/>
        <v>19.318255031994752</v>
      </c>
      <c r="L25" s="357">
        <f>D25+F25+H25+J25</f>
        <v>3379.5923116487015</v>
      </c>
      <c r="M25" s="201">
        <f t="shared" si="1"/>
        <v>1.3761481446149955E-2</v>
      </c>
      <c r="N25" s="202">
        <f t="shared" si="2"/>
        <v>19.318255031994756</v>
      </c>
      <c r="O25" s="199">
        <f>L25-'[1]4_Структура пл.соб.'!C7/1000</f>
        <v>-914.21122456129842</v>
      </c>
      <c r="R25" s="198">
        <v>40.016238573605847</v>
      </c>
      <c r="S25" s="192"/>
      <c r="T25" s="192"/>
      <c r="U25" s="192"/>
      <c r="X25" s="205"/>
    </row>
    <row r="26" spans="1:24" ht="15.6" customHeight="1" x14ac:dyDescent="0.25">
      <c r="A26" s="195" t="s">
        <v>33</v>
      </c>
      <c r="B26" s="358" t="s">
        <v>33</v>
      </c>
      <c r="C26" s="359" t="s">
        <v>40</v>
      </c>
      <c r="D26" s="148">
        <f>E26*$D$50/1000</f>
        <v>1965.4044580078464</v>
      </c>
      <c r="E26" s="334">
        <f>[1]виробн!D25+[1]постачання!D17</f>
        <v>15.178040568274671</v>
      </c>
      <c r="F26" s="149">
        <f>G26*F50/1000</f>
        <v>331.66612568813269</v>
      </c>
      <c r="G26" s="333">
        <f>[1]виробн!F25+[1]постачання!F17</f>
        <v>15.178040568274669</v>
      </c>
      <c r="H26" s="148">
        <f>I26*H50/1000</f>
        <v>355.98292519472778</v>
      </c>
      <c r="I26" s="334">
        <f>[1]виробн!H25+[1]постачання!H17</f>
        <v>15.178040568274669</v>
      </c>
      <c r="J26" s="148">
        <f>K26*J50/1000</f>
        <v>2.2375163844939152</v>
      </c>
      <c r="K26" s="333">
        <f>[1]виробн!J25+[1]постачання!K17</f>
        <v>15.178040568274669</v>
      </c>
      <c r="L26" s="335">
        <f t="shared" si="4"/>
        <v>2655.2910252752008</v>
      </c>
      <c r="M26" s="201">
        <f t="shared" si="1"/>
        <v>1.0812173424736879E-2</v>
      </c>
      <c r="N26" s="202">
        <f t="shared" si="2"/>
        <v>15.178040568274671</v>
      </c>
      <c r="R26" s="198">
        <v>13.486771075165278</v>
      </c>
      <c r="S26" s="192"/>
      <c r="T26" s="192"/>
      <c r="U26" s="192"/>
      <c r="X26" s="199"/>
    </row>
    <row r="27" spans="1:24" ht="17.45" customHeight="1" x14ac:dyDescent="0.25">
      <c r="A27" s="195" t="s">
        <v>35</v>
      </c>
      <c r="B27" s="358" t="s">
        <v>35</v>
      </c>
      <c r="C27" s="359" t="s">
        <v>164</v>
      </c>
      <c r="D27" s="148">
        <f>E27*$D$50/1000</f>
        <v>432.38898076172615</v>
      </c>
      <c r="E27" s="334">
        <f>[1]виробн!D26+[1]постачання!D18</f>
        <v>3.3391689250204268</v>
      </c>
      <c r="F27" s="149">
        <f>G27*F50/1000</f>
        <v>72.966547651389178</v>
      </c>
      <c r="G27" s="333">
        <f>[1]виробн!F26+[1]постачання!F18</f>
        <v>3.3391689250204268</v>
      </c>
      <c r="H27" s="148">
        <f>I27*H50/1000</f>
        <v>78.316243542840112</v>
      </c>
      <c r="I27" s="334">
        <f>[1]виробн!H26+[1]постачання!H18</f>
        <v>3.3391689250204268</v>
      </c>
      <c r="J27" s="148">
        <f>K27*J50/1000</f>
        <v>0.4922536045886613</v>
      </c>
      <c r="K27" s="333">
        <f>[1]виробн!J26+[1]постачання!K18</f>
        <v>3.3391689250204268</v>
      </c>
      <c r="L27" s="335">
        <f t="shared" si="4"/>
        <v>584.16402556054413</v>
      </c>
      <c r="M27" s="201">
        <f t="shared" si="1"/>
        <v>2.3786781534421131E-3</v>
      </c>
      <c r="N27" s="202">
        <f t="shared" si="2"/>
        <v>3.3391689250204273</v>
      </c>
      <c r="R27" s="198">
        <v>2.9670896365363619</v>
      </c>
      <c r="S27" s="192"/>
      <c r="T27" s="192"/>
      <c r="U27" s="192"/>
      <c r="X27" s="199"/>
    </row>
    <row r="28" spans="1:24" ht="16.149999999999999" customHeight="1" x14ac:dyDescent="0.25">
      <c r="A28" s="195" t="s">
        <v>36</v>
      </c>
      <c r="B28" s="358" t="s">
        <v>36</v>
      </c>
      <c r="C28" s="359" t="s">
        <v>107</v>
      </c>
      <c r="D28" s="148">
        <f>E28*$D$50/1000</f>
        <v>103.72738600517309</v>
      </c>
      <c r="E28" s="334">
        <f>[1]виробн!D27+[1]постачання!D19</f>
        <v>0.80104553869965733</v>
      </c>
      <c r="F28" s="149">
        <f>G28*F50/1000</f>
        <v>17.504214007413147</v>
      </c>
      <c r="G28" s="333">
        <f>[1]виробн!F27+[1]постачання!F19</f>
        <v>0.80104553869965722</v>
      </c>
      <c r="H28" s="148">
        <f>I28*H50/1000</f>
        <v>18.787572269146022</v>
      </c>
      <c r="I28" s="334">
        <f>[1]виробн!H27+[1]постачання!H19</f>
        <v>0.80104553869965711</v>
      </c>
      <c r="J28" s="148">
        <f>K28*J50/1000</f>
        <v>0.11808853122402607</v>
      </c>
      <c r="K28" s="333">
        <f>[1]виробн!J27+[1]постачання!K19</f>
        <v>0.80104553869965722</v>
      </c>
      <c r="L28" s="335">
        <f t="shared" si="4"/>
        <v>140.13726081295627</v>
      </c>
      <c r="M28" s="201">
        <f t="shared" si="1"/>
        <v>5.706298679709614E-4</v>
      </c>
      <c r="N28" s="202">
        <f t="shared" si="2"/>
        <v>0.80104553869965722</v>
      </c>
      <c r="R28" s="198">
        <v>23.562377861904203</v>
      </c>
      <c r="S28" s="192"/>
      <c r="T28" s="192"/>
      <c r="U28" s="192"/>
      <c r="X28" s="199"/>
    </row>
    <row r="29" spans="1:24" ht="15.75" x14ac:dyDescent="0.25">
      <c r="A29" s="195">
        <v>2</v>
      </c>
      <c r="B29" s="351">
        <v>2</v>
      </c>
      <c r="C29" s="352" t="s">
        <v>165</v>
      </c>
      <c r="D29" s="353">
        <f t="shared" ref="D29:K29" si="7">D30+D31+D32</f>
        <v>318.18724552706158</v>
      </c>
      <c r="E29" s="354">
        <f t="shared" si="7"/>
        <v>2.4572341337886767</v>
      </c>
      <c r="F29" s="355">
        <f t="shared" si="7"/>
        <v>53.694765236417226</v>
      </c>
      <c r="G29" s="356">
        <f t="shared" si="7"/>
        <v>2.4572341337886767</v>
      </c>
      <c r="H29" s="353">
        <f t="shared" si="7"/>
        <v>57.631509871096611</v>
      </c>
      <c r="I29" s="354">
        <f t="shared" si="7"/>
        <v>2.4572341337886767</v>
      </c>
      <c r="J29" s="353">
        <f t="shared" si="7"/>
        <v>0.36224054153485918</v>
      </c>
      <c r="K29" s="356">
        <f t="shared" si="7"/>
        <v>2.4572341337886767</v>
      </c>
      <c r="L29" s="357">
        <f>D29+F29+H29+J29</f>
        <v>429.87576117611025</v>
      </c>
      <c r="M29" s="203">
        <f t="shared" si="1"/>
        <v>1.7504263136072467E-3</v>
      </c>
      <c r="N29" s="202">
        <f t="shared" si="2"/>
        <v>2.4572341337886767</v>
      </c>
      <c r="O29" s="197">
        <f>L29-'[1]4_Структура пл.соб.'!E7/1000</f>
        <v>-116.28539882388975</v>
      </c>
      <c r="R29" s="198">
        <v>2.0864856256854636</v>
      </c>
      <c r="S29" s="192"/>
      <c r="T29" s="192"/>
      <c r="U29" s="192"/>
      <c r="X29" s="205"/>
    </row>
    <row r="30" spans="1:24" ht="15.75" x14ac:dyDescent="0.25">
      <c r="A30" s="195" t="s">
        <v>39</v>
      </c>
      <c r="B30" s="358" t="s">
        <v>39</v>
      </c>
      <c r="C30" s="359" t="s">
        <v>40</v>
      </c>
      <c r="D30" s="148">
        <f>E30*$D$50/1000</f>
        <v>214.66058202839088</v>
      </c>
      <c r="E30" s="334">
        <f>[1]виробн!D29+[1]постачання!D21</f>
        <v>1.6577386955450581</v>
      </c>
      <c r="F30" s="149">
        <f>G30*F50/1000</f>
        <v>36.224423573090206</v>
      </c>
      <c r="G30" s="333">
        <f>[1]виробн!F29+[1]постачання!F21</f>
        <v>1.6577386955450581</v>
      </c>
      <c r="H30" s="148">
        <f>I30*H50/1000</f>
        <v>38.880293368177725</v>
      </c>
      <c r="I30" s="334">
        <f>[1]виробн!H29+[1]постачання!H21</f>
        <v>1.6577386955450581</v>
      </c>
      <c r="J30" s="151">
        <f>K30*J50/1000</f>
        <v>0.24438052301986138</v>
      </c>
      <c r="K30" s="333">
        <f>[1]виробн!J29+[1]постачання!K21</f>
        <v>1.6577386955450581</v>
      </c>
      <c r="L30" s="335">
        <f t="shared" si="4"/>
        <v>290.00967949267869</v>
      </c>
      <c r="M30" s="201">
        <f t="shared" si="1"/>
        <v>1.1809006695234906E-3</v>
      </c>
      <c r="N30" s="202">
        <f t="shared" si="2"/>
        <v>1.6577386955450584</v>
      </c>
      <c r="R30" s="198">
        <v>1.4962965580536034</v>
      </c>
      <c r="S30" s="192"/>
      <c r="T30" s="192"/>
      <c r="U30" s="192"/>
      <c r="X30" s="199"/>
    </row>
    <row r="31" spans="1:24" ht="15.75" x14ac:dyDescent="0.25">
      <c r="A31" s="195" t="s">
        <v>41</v>
      </c>
      <c r="B31" s="358" t="s">
        <v>41</v>
      </c>
      <c r="C31" s="359" t="s">
        <v>106</v>
      </c>
      <c r="D31" s="148">
        <f>E31*$D$50/1000</f>
        <v>47.225328046245991</v>
      </c>
      <c r="E31" s="334">
        <f>[1]виробн!D30+[1]постачання!D22</f>
        <v>0.36470251301991274</v>
      </c>
      <c r="F31" s="149">
        <f>G31*F50/1000</f>
        <v>7.969373186079844</v>
      </c>
      <c r="G31" s="333">
        <f>[1]виробн!F30+[1]постачання!F22</f>
        <v>0.36470251301991274</v>
      </c>
      <c r="H31" s="148">
        <f>I31*H50/1000</f>
        <v>8.5536645409990975</v>
      </c>
      <c r="I31" s="334">
        <f>[1]виробн!H30+[1]постачання!H22</f>
        <v>0.36470251301991274</v>
      </c>
      <c r="J31" s="151">
        <f>K31*J50/1000</f>
        <v>5.3763715064369506E-2</v>
      </c>
      <c r="K31" s="333">
        <f>[1]виробн!J30+[1]постачання!K22</f>
        <v>0.3647025130199128</v>
      </c>
      <c r="L31" s="335">
        <f t="shared" si="4"/>
        <v>63.802129488389305</v>
      </c>
      <c r="M31" s="201">
        <f t="shared" si="1"/>
        <v>2.5979814729516787E-4</v>
      </c>
      <c r="N31" s="202">
        <f t="shared" si="2"/>
        <v>0.3647025130199128</v>
      </c>
      <c r="R31" s="198">
        <v>0.32918524277179262</v>
      </c>
      <c r="S31" s="192"/>
      <c r="T31" s="192"/>
      <c r="U31" s="192"/>
      <c r="X31" s="199"/>
    </row>
    <row r="32" spans="1:24" ht="15.75" x14ac:dyDescent="0.25">
      <c r="A32" s="195" t="s">
        <v>42</v>
      </c>
      <c r="B32" s="358" t="s">
        <v>42</v>
      </c>
      <c r="C32" s="359" t="s">
        <v>107</v>
      </c>
      <c r="D32" s="148">
        <f>E32*$D$50/1000</f>
        <v>56.301335452424752</v>
      </c>
      <c r="E32" s="334">
        <f>[1]виробн!D31+[1]постачання!D23</f>
        <v>0.43479292522370594</v>
      </c>
      <c r="F32" s="149">
        <f>G32*F50/1000</f>
        <v>9.5009684772471807</v>
      </c>
      <c r="G32" s="333">
        <f>[1]виробн!F31+[1]постачання!F23</f>
        <v>0.43479292522370594</v>
      </c>
      <c r="H32" s="148">
        <f>I32*H50/1000</f>
        <v>10.197551961919782</v>
      </c>
      <c r="I32" s="334">
        <f>[1]виробн!H31+[1]постачання!H23</f>
        <v>0.43479292522370594</v>
      </c>
      <c r="J32" s="151">
        <f>K32*J50/1000</f>
        <v>6.4096303450628278E-2</v>
      </c>
      <c r="K32" s="333">
        <f>[1]виробн!J31+[1]постачання!K23</f>
        <v>0.43479292522370588</v>
      </c>
      <c r="L32" s="335">
        <f t="shared" si="4"/>
        <v>76.063952195042347</v>
      </c>
      <c r="M32" s="201">
        <f t="shared" si="1"/>
        <v>3.0972749678858871E-4</v>
      </c>
      <c r="N32" s="202">
        <f t="shared" si="2"/>
        <v>0.43479292522370594</v>
      </c>
      <c r="R32" s="198">
        <v>0.26100382486006751</v>
      </c>
      <c r="S32" s="192"/>
      <c r="T32" s="192"/>
      <c r="U32" s="192"/>
      <c r="X32" s="199"/>
    </row>
    <row r="33" spans="1:24" ht="15.75" x14ac:dyDescent="0.25">
      <c r="A33" s="195"/>
      <c r="B33" s="360" t="s">
        <v>43</v>
      </c>
      <c r="C33" s="361" t="s">
        <v>44</v>
      </c>
      <c r="D33" s="148"/>
      <c r="E33" s="336"/>
      <c r="F33" s="149"/>
      <c r="G33" s="337"/>
      <c r="H33" s="148"/>
      <c r="I33" s="336"/>
      <c r="J33" s="151"/>
      <c r="K33" s="333"/>
      <c r="L33" s="335"/>
      <c r="M33" s="201"/>
      <c r="N33" s="202"/>
      <c r="R33" s="198"/>
      <c r="S33" s="192"/>
      <c r="T33" s="192"/>
      <c r="U33" s="192"/>
      <c r="X33" s="199"/>
    </row>
    <row r="34" spans="1:24" ht="15.75" x14ac:dyDescent="0.25">
      <c r="A34" s="195"/>
      <c r="B34" s="362" t="s">
        <v>45</v>
      </c>
      <c r="C34" s="363" t="s">
        <v>40</v>
      </c>
      <c r="D34" s="148"/>
      <c r="E34" s="336"/>
      <c r="F34" s="149"/>
      <c r="G34" s="337"/>
      <c r="H34" s="148"/>
      <c r="I34" s="336"/>
      <c r="J34" s="151"/>
      <c r="K34" s="333"/>
      <c r="L34" s="335"/>
      <c r="M34" s="201"/>
      <c r="N34" s="202"/>
      <c r="R34" s="198"/>
      <c r="S34" s="192"/>
      <c r="T34" s="192"/>
      <c r="U34" s="192"/>
      <c r="X34" s="199"/>
    </row>
    <row r="35" spans="1:24" ht="15.75" x14ac:dyDescent="0.25">
      <c r="A35" s="195"/>
      <c r="B35" s="362" t="s">
        <v>46</v>
      </c>
      <c r="C35" s="363" t="s">
        <v>106</v>
      </c>
      <c r="D35" s="148"/>
      <c r="E35" s="336"/>
      <c r="F35" s="149"/>
      <c r="G35" s="337"/>
      <c r="H35" s="148"/>
      <c r="I35" s="336"/>
      <c r="J35" s="151"/>
      <c r="K35" s="333"/>
      <c r="L35" s="335"/>
      <c r="M35" s="201"/>
      <c r="N35" s="202"/>
      <c r="R35" s="198"/>
      <c r="S35" s="192"/>
      <c r="T35" s="192"/>
      <c r="U35" s="192"/>
      <c r="X35" s="199"/>
    </row>
    <row r="36" spans="1:24" ht="15.75" x14ac:dyDescent="0.25">
      <c r="A36" s="195"/>
      <c r="B36" s="362" t="s">
        <v>47</v>
      </c>
      <c r="C36" s="363" t="s">
        <v>107</v>
      </c>
      <c r="D36" s="148"/>
      <c r="E36" s="336"/>
      <c r="F36" s="149"/>
      <c r="G36" s="337"/>
      <c r="H36" s="148"/>
      <c r="I36" s="336"/>
      <c r="J36" s="151"/>
      <c r="K36" s="333"/>
      <c r="L36" s="335"/>
      <c r="M36" s="201"/>
      <c r="N36" s="202"/>
      <c r="R36" s="198"/>
      <c r="S36" s="192"/>
      <c r="T36" s="192"/>
      <c r="U36" s="192"/>
      <c r="X36" s="199"/>
    </row>
    <row r="37" spans="1:24" ht="15.75" x14ac:dyDescent="0.25">
      <c r="A37" s="195"/>
      <c r="B37" s="360" t="s">
        <v>48</v>
      </c>
      <c r="C37" s="361" t="s">
        <v>166</v>
      </c>
      <c r="D37" s="148"/>
      <c r="E37" s="336"/>
      <c r="F37" s="149"/>
      <c r="G37" s="337"/>
      <c r="H37" s="148"/>
      <c r="I37" s="336"/>
      <c r="J37" s="151"/>
      <c r="K37" s="333"/>
      <c r="L37" s="335"/>
      <c r="M37" s="201"/>
      <c r="N37" s="202"/>
      <c r="R37" s="198"/>
      <c r="S37" s="192"/>
      <c r="T37" s="192"/>
      <c r="U37" s="192"/>
      <c r="X37" s="199"/>
    </row>
    <row r="38" spans="1:24" ht="15.75" x14ac:dyDescent="0.25">
      <c r="A38" s="195"/>
      <c r="B38" s="360" t="s">
        <v>50</v>
      </c>
      <c r="C38" s="361" t="s">
        <v>167</v>
      </c>
      <c r="D38" s="148"/>
      <c r="E38" s="336"/>
      <c r="F38" s="149"/>
      <c r="G38" s="337"/>
      <c r="H38" s="148"/>
      <c r="I38" s="336"/>
      <c r="J38" s="151"/>
      <c r="K38" s="333"/>
      <c r="L38" s="335"/>
      <c r="M38" s="201"/>
      <c r="N38" s="202"/>
      <c r="R38" s="198"/>
      <c r="S38" s="192"/>
      <c r="T38" s="192"/>
      <c r="U38" s="192"/>
      <c r="X38" s="199"/>
    </row>
    <row r="39" spans="1:24" s="206" customFormat="1" ht="15.75" x14ac:dyDescent="0.25">
      <c r="A39" s="204">
        <v>6</v>
      </c>
      <c r="B39" s="351" t="s">
        <v>52</v>
      </c>
      <c r="C39" s="352" t="s">
        <v>168</v>
      </c>
      <c r="D39" s="353">
        <f>D11+D29</f>
        <v>138058.49917113766</v>
      </c>
      <c r="E39" s="354">
        <f>E11+E29</f>
        <v>1066.1711347386577</v>
      </c>
      <c r="F39" s="355">
        <f t="shared" ref="F39:K39" si="8">F11+F29</f>
        <v>23309.24365508663</v>
      </c>
      <c r="G39" s="356">
        <f t="shared" si="8"/>
        <v>1066.7011744979134</v>
      </c>
      <c r="H39" s="353">
        <f t="shared" si="8"/>
        <v>25031.108634673677</v>
      </c>
      <c r="I39" s="354">
        <f t="shared" si="8"/>
        <v>1067.2511388520784</v>
      </c>
      <c r="J39" s="353">
        <f>J11+J29</f>
        <v>156.74374551765146</v>
      </c>
      <c r="K39" s="356">
        <f t="shared" si="8"/>
        <v>1063.2605619235876</v>
      </c>
      <c r="L39" s="357">
        <f>D39+F39+H39+J39</f>
        <v>186555.59520641563</v>
      </c>
      <c r="M39" s="201">
        <f>L39/$L$48</f>
        <v>0.75964232527683984</v>
      </c>
      <c r="N39" s="197">
        <f>L39/$L$50*1000</f>
        <v>1066.3796794131579</v>
      </c>
      <c r="O39" s="205">
        <f>L39-'[1]4_Структура пл.соб.'!F7/1000</f>
        <v>-20894.998683384212</v>
      </c>
      <c r="R39" s="207">
        <v>1340.0866608812987</v>
      </c>
      <c r="S39" s="208"/>
      <c r="T39" s="208"/>
      <c r="U39" s="208"/>
      <c r="X39" s="199"/>
    </row>
    <row r="40" spans="1:24" s="206" customFormat="1" ht="31.5" x14ac:dyDescent="0.25">
      <c r="A40" s="204"/>
      <c r="B40" s="351" t="s">
        <v>54</v>
      </c>
      <c r="C40" s="352" t="s">
        <v>233</v>
      </c>
      <c r="D40" s="364">
        <f>E40*D50/1000</f>
        <v>33879.763338359997</v>
      </c>
      <c r="E40" s="365">
        <f>[1]транспорт!D36</f>
        <v>261.64</v>
      </c>
      <c r="F40" s="356">
        <f>G40*F50/1000</f>
        <v>5002.599148205999</v>
      </c>
      <c r="G40" s="365">
        <f>[1]транспорт!F36</f>
        <v>228.93399999999997</v>
      </c>
      <c r="H40" s="364">
        <f>I40*H50/1000</f>
        <v>4622.9810804300005</v>
      </c>
      <c r="I40" s="365">
        <f>[1]транспорт!H36</f>
        <v>197.11</v>
      </c>
      <c r="J40" s="364">
        <f>K40*J50/1000</f>
        <v>28.566660040000002</v>
      </c>
      <c r="K40" s="365">
        <f>[1]транспорт!K36</f>
        <v>193.78</v>
      </c>
      <c r="L40" s="357">
        <f>D40+F40+H40+J40</f>
        <v>43533.910227035994</v>
      </c>
      <c r="M40" s="201"/>
      <c r="N40" s="197"/>
      <c r="O40" s="205"/>
      <c r="R40" s="209"/>
      <c r="S40" s="210"/>
      <c r="T40" s="210"/>
      <c r="U40" s="210"/>
      <c r="X40" s="199"/>
    </row>
    <row r="41" spans="1:24" s="206" customFormat="1" ht="15.75" x14ac:dyDescent="0.25">
      <c r="A41" s="204"/>
      <c r="B41" s="351"/>
      <c r="C41" s="352" t="s">
        <v>234</v>
      </c>
      <c r="D41" s="364">
        <f>E41*D50/1000</f>
        <v>-1003.2468250587578</v>
      </c>
      <c r="E41" s="365">
        <f>[1]виробн!D40</f>
        <v>-7.7476780663096445</v>
      </c>
      <c r="F41" s="356">
        <f>G41*F50/1000</f>
        <v>-176.77324604836991</v>
      </c>
      <c r="G41" s="365">
        <f>[1]виробн!F40</f>
        <v>-8.0896760087904305</v>
      </c>
      <c r="H41" s="364">
        <f>I41*H50/1000</f>
        <v>-215.0305924145357</v>
      </c>
      <c r="I41" s="365">
        <f>[1]виробн!H40</f>
        <v>-9.1682573070116877</v>
      </c>
      <c r="J41" s="364">
        <f>K41*J50/1000</f>
        <v>-1.2133259759141075</v>
      </c>
      <c r="K41" s="366">
        <f>[1]виробн!J40</f>
        <v>-8.2305144277775266</v>
      </c>
      <c r="L41" s="357">
        <f>D41+F41+H41+J41</f>
        <v>-1396.2639894975775</v>
      </c>
      <c r="M41" s="201"/>
      <c r="N41" s="197"/>
      <c r="O41" s="205"/>
      <c r="R41" s="209"/>
      <c r="S41" s="210"/>
      <c r="T41" s="210"/>
      <c r="U41" s="210"/>
      <c r="X41" s="259"/>
    </row>
    <row r="42" spans="1:24" s="206" customFormat="1" ht="15.6" customHeight="1" x14ac:dyDescent="0.25">
      <c r="A42" s="204">
        <v>7</v>
      </c>
      <c r="B42" s="351" t="s">
        <v>56</v>
      </c>
      <c r="C42" s="352" t="s">
        <v>169</v>
      </c>
      <c r="D42" s="367">
        <f>D43+D44+D45+D46+D47</f>
        <v>11155.209877174293</v>
      </c>
      <c r="E42" s="368">
        <f>E43+E44+E45+E46+E47</f>
        <v>86.147269776211004</v>
      </c>
      <c r="F42" s="367">
        <f t="shared" ref="F42:K42" si="9">F43+F44+F45+F46+F47</f>
        <v>2748.8097804686877</v>
      </c>
      <c r="G42" s="368">
        <f t="shared" si="9"/>
        <v>111.39402155479006</v>
      </c>
      <c r="H42" s="367">
        <f t="shared" si="9"/>
        <v>2965.765363534008</v>
      </c>
      <c r="I42" s="368">
        <f t="shared" si="9"/>
        <v>120.26371998354062</v>
      </c>
      <c r="J42" s="367">
        <f t="shared" si="9"/>
        <v>20.439593620174641</v>
      </c>
      <c r="K42" s="369">
        <f t="shared" si="9"/>
        <v>112.55220852404248</v>
      </c>
      <c r="L42" s="357">
        <f t="shared" si="4"/>
        <v>16890.224614797164</v>
      </c>
      <c r="M42" s="201">
        <f>L42/$L$48</f>
        <v>6.8775902897129468E-2</v>
      </c>
      <c r="N42" s="197">
        <f>L42/$L$50*1000</f>
        <v>96.547049634264837</v>
      </c>
      <c r="O42" s="211"/>
      <c r="R42" s="212"/>
      <c r="X42" s="199"/>
    </row>
    <row r="43" spans="1:24" ht="15.75" x14ac:dyDescent="0.25">
      <c r="A43" s="195" t="s">
        <v>200</v>
      </c>
      <c r="B43" s="358" t="s">
        <v>58</v>
      </c>
      <c r="C43" s="359" t="s">
        <v>170</v>
      </c>
      <c r="D43" s="148">
        <f>E43*D50/1000</f>
        <v>2007.9377778913731</v>
      </c>
      <c r="E43" s="338">
        <f>виробництво!D44</f>
        <v>15.506508559717982</v>
      </c>
      <c r="F43" s="149">
        <f>'[1]Д3(вробн)'!X48</f>
        <v>549.14036681109201</v>
      </c>
      <c r="G43" s="152">
        <f>[1]виробн!F42</f>
        <v>20.050923879862207</v>
      </c>
      <c r="H43" s="148">
        <f>'[1]Д3(вробн)'!AB48</f>
        <v>561.47251874290782</v>
      </c>
      <c r="I43" s="338">
        <f>[1]виробн!H42</f>
        <v>21.647469597037318</v>
      </c>
      <c r="J43" s="148">
        <f>'[1]Д3(вробн)'!P48</f>
        <v>3.6791268516314353</v>
      </c>
      <c r="K43" s="333">
        <f>[1]виробн!J42</f>
        <v>20.25939753432765</v>
      </c>
      <c r="L43" s="335">
        <f>D43+F43+H43+J43</f>
        <v>3122.2297902970045</v>
      </c>
      <c r="M43" s="201">
        <f>L43/$L$48</f>
        <v>1.2713517894360487E-2</v>
      </c>
      <c r="N43" s="197">
        <f>L43/$L$50*1000</f>
        <v>17.847132374385254</v>
      </c>
      <c r="R43" s="197"/>
      <c r="X43" s="199"/>
    </row>
    <row r="44" spans="1:24" ht="15.75" x14ac:dyDescent="0.25">
      <c r="A44" s="195" t="s">
        <v>201</v>
      </c>
      <c r="B44" s="358" t="s">
        <v>60</v>
      </c>
      <c r="C44" s="359" t="s">
        <v>61</v>
      </c>
      <c r="D44" s="148">
        <f>[2]Д3!L38+[2]Д4!K38+[2]Д5!K33</f>
        <v>0</v>
      </c>
      <c r="E44" s="339">
        <f>D44/$D$50*1000</f>
        <v>0</v>
      </c>
      <c r="F44" s="149">
        <f>'[1]Д3(вробн)'!X49</f>
        <v>503.820729712</v>
      </c>
      <c r="G44" s="152">
        <f>[1]виробн!F43</f>
        <v>18.396154628397813</v>
      </c>
      <c r="H44" s="148">
        <f>'[1]Д3(вробн)'!AB49</f>
        <v>477.14282908199993</v>
      </c>
      <c r="I44" s="338">
        <f>[1]виробн!H43</f>
        <v>18.396153936656823</v>
      </c>
      <c r="J44" s="148">
        <f>'[1]Д3(вробн)'!P49</f>
        <v>3.3407603710000005</v>
      </c>
      <c r="K44" s="333">
        <f>[1]виробн!J43</f>
        <v>18.396156249139597</v>
      </c>
      <c r="L44" s="335">
        <f t="shared" si="4"/>
        <v>984.30431916499992</v>
      </c>
      <c r="M44" s="201">
        <f>L44/$L$48</f>
        <v>4.0080235651105429E-3</v>
      </c>
      <c r="N44" s="197">
        <f>L44/$L$50*1000</f>
        <v>5.6264306795771857</v>
      </c>
      <c r="X44" s="199"/>
    </row>
    <row r="45" spans="1:24" ht="15.75" x14ac:dyDescent="0.25">
      <c r="A45" s="195" t="s">
        <v>202</v>
      </c>
      <c r="B45" s="358" t="s">
        <v>62</v>
      </c>
      <c r="C45" s="359" t="s">
        <v>63</v>
      </c>
      <c r="D45" s="148">
        <f>[2]Д3!L39+[2]Д4!K39+[2]Д5!K34</f>
        <v>0</v>
      </c>
      <c r="E45" s="339">
        <f>D45/$D$50*1000</f>
        <v>0</v>
      </c>
      <c r="F45" s="149">
        <f>[2]Д3!P39+[2]Д4!O39+[2]Д5!O34</f>
        <v>0</v>
      </c>
      <c r="G45" s="340">
        <f>F45/$F$50*1000</f>
        <v>0</v>
      </c>
      <c r="H45" s="148">
        <f>'[1]Д3(вробн)'!AB50</f>
        <v>0</v>
      </c>
      <c r="I45" s="339">
        <f>H45/$H$50*1000</f>
        <v>0</v>
      </c>
      <c r="J45" s="148">
        <f>[2]Д3!X39+[2]Д4!W39+[2]Д5!W34</f>
        <v>0</v>
      </c>
      <c r="K45" s="333">
        <f>J45/$J$50*1000</f>
        <v>0</v>
      </c>
      <c r="L45" s="335">
        <f t="shared" si="4"/>
        <v>0</v>
      </c>
      <c r="M45" s="201">
        <f>L45/$L$48</f>
        <v>0</v>
      </c>
      <c r="N45" s="197">
        <f>L45/$L$50*1000</f>
        <v>0</v>
      </c>
      <c r="X45" s="199"/>
    </row>
    <row r="46" spans="1:24" ht="16.899999999999999" customHeight="1" x14ac:dyDescent="0.25">
      <c r="A46" s="195" t="s">
        <v>203</v>
      </c>
      <c r="B46" s="358" t="s">
        <v>64</v>
      </c>
      <c r="C46" s="359" t="s">
        <v>171</v>
      </c>
      <c r="D46" s="148">
        <f>E46*D50/1000</f>
        <v>6765.1541576540931</v>
      </c>
      <c r="E46" s="338">
        <f>виробництво!D47</f>
        <v>52.244607382027183</v>
      </c>
      <c r="F46" s="149">
        <f>G46*F50/1000</f>
        <v>1192.0279542335957</v>
      </c>
      <c r="G46" s="152">
        <f>[1]виробн!F45</f>
        <v>54.550788418132221</v>
      </c>
      <c r="H46" s="148">
        <f>I46*H50/1000</f>
        <v>1450.0071866271005</v>
      </c>
      <c r="I46" s="338">
        <f>[1]виробн!H45</f>
        <v>61.823942513189671</v>
      </c>
      <c r="J46" s="148">
        <f>'[1]Д3(вробн)'!P51</f>
        <v>10.078946026543205</v>
      </c>
      <c r="K46" s="333">
        <f>[1]виробн!J45</f>
        <v>55.50049849143565</v>
      </c>
      <c r="L46" s="335">
        <f t="shared" si="4"/>
        <v>9417.268244541332</v>
      </c>
      <c r="M46" s="201">
        <f>L46/$L$48</f>
        <v>3.8346507587316281E-2</v>
      </c>
      <c r="N46" s="197">
        <f>L46/$L$50*1000</f>
        <v>53.830513528421591</v>
      </c>
      <c r="X46" s="199"/>
    </row>
    <row r="47" spans="1:24" ht="16.899999999999999" customHeight="1" x14ac:dyDescent="0.25">
      <c r="A47" s="195"/>
      <c r="B47" s="358" t="s">
        <v>66</v>
      </c>
      <c r="C47" s="359" t="s">
        <v>134</v>
      </c>
      <c r="D47" s="148">
        <f>E47*D50/1000</f>
        <v>2382.1179416288264</v>
      </c>
      <c r="E47" s="338">
        <f>виробництво!D48</f>
        <v>18.396153834465828</v>
      </c>
      <c r="F47" s="149">
        <f>'[1]Д3(вробн)'!X52</f>
        <v>503.820729712</v>
      </c>
      <c r="G47" s="152">
        <f>[1]виробн!F46</f>
        <v>18.396154628397813</v>
      </c>
      <c r="H47" s="148">
        <f>'[1]Д3(вробн)'!AB52</f>
        <v>477.14282908199993</v>
      </c>
      <c r="I47" s="338">
        <f>[1]виробн!H46</f>
        <v>18.396153936656823</v>
      </c>
      <c r="J47" s="148">
        <f>'[1]Д3(вробн)'!P52</f>
        <v>3.3407603710000005</v>
      </c>
      <c r="K47" s="333">
        <f>[1]виробн!J46</f>
        <v>18.396156249139597</v>
      </c>
      <c r="L47" s="335">
        <f t="shared" si="4"/>
        <v>3366.4222607938268</v>
      </c>
      <c r="M47" s="201"/>
      <c r="N47" s="197"/>
      <c r="X47" s="199"/>
    </row>
    <row r="48" spans="1:24" s="206" customFormat="1" ht="31.5" x14ac:dyDescent="0.25">
      <c r="A48" s="204">
        <v>8</v>
      </c>
      <c r="B48" s="351" t="s">
        <v>68</v>
      </c>
      <c r="C48" s="352" t="s">
        <v>172</v>
      </c>
      <c r="D48" s="353">
        <f>D39+D42+D40+D41</f>
        <v>182090.22556161319</v>
      </c>
      <c r="E48" s="370">
        <f t="shared" ref="E48:K48" si="10">E39+E42+E40+E41</f>
        <v>1406.2107264485589</v>
      </c>
      <c r="F48" s="355">
        <f t="shared" si="10"/>
        <v>30883.879337712944</v>
      </c>
      <c r="G48" s="371">
        <f t="shared" si="10"/>
        <v>1398.939520043913</v>
      </c>
      <c r="H48" s="353">
        <f t="shared" si="10"/>
        <v>32404.824486223148</v>
      </c>
      <c r="I48" s="370">
        <f t="shared" si="10"/>
        <v>1375.4566015286071</v>
      </c>
      <c r="J48" s="353">
        <f t="shared" si="10"/>
        <v>204.53667320191201</v>
      </c>
      <c r="K48" s="371">
        <f t="shared" si="10"/>
        <v>1361.3622560198526</v>
      </c>
      <c r="L48" s="372">
        <f>D48+F48+H48+J48</f>
        <v>245583.46605875119</v>
      </c>
      <c r="M48" s="201">
        <f>L48/$L$48</f>
        <v>1</v>
      </c>
      <c r="N48" s="197">
        <f>L48/$L$50*1000</f>
        <v>1403.7918161346954</v>
      </c>
      <c r="O48" s="205">
        <f>'[1]4_Структура пл.соб.'!F7/1000-[1]структураТАРИФА!L45</f>
        <v>-38132.872168951348</v>
      </c>
      <c r="P48" s="206" t="s">
        <v>204</v>
      </c>
      <c r="X48" s="205"/>
    </row>
    <row r="49" spans="1:24" s="206" customFormat="1" ht="31.5" hidden="1" x14ac:dyDescent="0.25">
      <c r="A49" s="204">
        <v>9</v>
      </c>
      <c r="B49" s="358">
        <v>9</v>
      </c>
      <c r="C49" s="359" t="s">
        <v>173</v>
      </c>
      <c r="D49" s="373"/>
      <c r="E49" s="374"/>
      <c r="F49" s="375"/>
      <c r="G49" s="376"/>
      <c r="H49" s="373"/>
      <c r="I49" s="374"/>
      <c r="J49" s="348"/>
      <c r="K49" s="376"/>
      <c r="L49" s="377">
        <f t="shared" si="4"/>
        <v>0</v>
      </c>
      <c r="M49" s="201">
        <f>L49/$L$48</f>
        <v>0</v>
      </c>
      <c r="N49" s="197">
        <f>L49/$L$50*1000</f>
        <v>0</v>
      </c>
      <c r="X49" s="199"/>
    </row>
    <row r="50" spans="1:24" s="206" customFormat="1" ht="30.75" customHeight="1" x14ac:dyDescent="0.25">
      <c r="A50" s="204">
        <v>10</v>
      </c>
      <c r="B50" s="351" t="s">
        <v>70</v>
      </c>
      <c r="C50" s="352" t="s">
        <v>174</v>
      </c>
      <c r="D50" s="155">
        <f>'[1]Д3(вробн)'!L57</f>
        <v>129489.999</v>
      </c>
      <c r="E50" s="341"/>
      <c r="F50" s="156">
        <f>'[1]Д3(вробн)'!X57</f>
        <v>21851.708999999999</v>
      </c>
      <c r="G50" s="157"/>
      <c r="H50" s="155">
        <f>'[1]Д3(вробн)'!AB57</f>
        <v>23453.812999999998</v>
      </c>
      <c r="I50" s="158"/>
      <c r="J50" s="155">
        <f>'[1]Д3(вробн)'!P57</f>
        <v>147.41800000000001</v>
      </c>
      <c r="K50" s="159"/>
      <c r="L50" s="160">
        <f>D50+F50+H50+J50</f>
        <v>174942.93899999998</v>
      </c>
      <c r="M50" s="201"/>
      <c r="X50" s="199"/>
    </row>
    <row r="51" spans="1:24" s="206" customFormat="1" ht="16.899999999999999" hidden="1" customHeight="1" x14ac:dyDescent="0.2">
      <c r="A51" s="213"/>
      <c r="B51" s="153"/>
      <c r="C51" s="154"/>
      <c r="D51" s="161"/>
      <c r="E51" s="162"/>
      <c r="F51" s="163"/>
      <c r="G51" s="164"/>
      <c r="H51" s="161"/>
      <c r="I51" s="162"/>
      <c r="J51" s="161"/>
      <c r="K51" s="165"/>
      <c r="L51" s="166"/>
      <c r="M51" s="201"/>
    </row>
    <row r="52" spans="1:24" ht="15.75" thickBot="1" x14ac:dyDescent="0.3">
      <c r="B52" s="167" t="s">
        <v>72</v>
      </c>
      <c r="C52" s="168" t="s">
        <v>115</v>
      </c>
      <c r="D52" s="170">
        <f>'[1]5_Розрахунок тарифів'!E25</f>
        <v>10.573961674570771</v>
      </c>
      <c r="E52" s="171"/>
      <c r="F52" s="172">
        <f>'[1]5_Розрахунок тарифів'!G25</f>
        <v>13.088283162533623</v>
      </c>
      <c r="G52" s="173"/>
      <c r="H52" s="170">
        <f>'[1]5_Розрахунок тарифів'!H25</f>
        <v>12.461660478505825</v>
      </c>
      <c r="I52" s="174"/>
      <c r="J52" s="170">
        <f>'[1]5_Розрахунок тарифів'!F25</f>
        <v>13.040156970474673</v>
      </c>
      <c r="K52" s="169"/>
      <c r="L52" s="175"/>
      <c r="M52" s="194"/>
      <c r="O52" s="199">
        <f>L39+'[3]расчет послуги'!$C$4</f>
        <v>196015.83187231453</v>
      </c>
      <c r="Q52" s="199">
        <f>'[2]1_Структура по елементах'!AA2/1000+[1]структураТАРИФА!L39</f>
        <v>315861.14409816009</v>
      </c>
    </row>
    <row r="53" spans="1:24" hidden="1" x14ac:dyDescent="0.25">
      <c r="B53" s="214"/>
      <c r="C53" s="215" t="s">
        <v>205</v>
      </c>
      <c r="D53" s="216">
        <f>D20+D26+D30+D22+D27+D31</f>
        <v>14316.502924756503</v>
      </c>
      <c r="E53" s="216"/>
      <c r="F53" s="216">
        <f>F20+F26+F30+F22+F27+F31</f>
        <v>2415.9399044356155</v>
      </c>
      <c r="G53" s="216"/>
      <c r="H53" s="216">
        <f>H20+H26+H30+H22+H27+H31</f>
        <v>2593.0696193085314</v>
      </c>
      <c r="I53" s="216"/>
      <c r="J53" s="216">
        <f>J20+J26+J30+J22+J27+J31</f>
        <v>16.298634986951807</v>
      </c>
      <c r="K53" s="216"/>
      <c r="L53" s="216">
        <f>L20+L26+L30+L22+L27+L31</f>
        <v>19341.811083487606</v>
      </c>
      <c r="M53" s="217">
        <f>L53/$L$48%/100</f>
        <v>7.8758604534315213E-2</v>
      </c>
      <c r="N53" s="218">
        <v>2.3099999999999999E-2</v>
      </c>
      <c r="O53" s="142" t="s">
        <v>206</v>
      </c>
    </row>
    <row r="54" spans="1:24" hidden="1" x14ac:dyDescent="0.25">
      <c r="C54" s="192" t="s">
        <v>207</v>
      </c>
      <c r="D54" s="192"/>
      <c r="E54" s="192"/>
      <c r="F54" s="192"/>
      <c r="G54" s="192"/>
      <c r="H54" s="192"/>
      <c r="I54" s="192"/>
      <c r="J54" s="192"/>
      <c r="K54" s="192"/>
      <c r="L54" s="219">
        <f>('[2]1_Структура по елементах'!AL15+'[2]1_Структура по елементах'!AL16+'[2]1_Структура по елементах'!AM34)/1000</f>
        <v>2904.96783</v>
      </c>
      <c r="M54" s="192"/>
    </row>
    <row r="55" spans="1:24" hidden="1" x14ac:dyDescent="0.25">
      <c r="C55" s="192" t="s">
        <v>208</v>
      </c>
      <c r="D55" s="192"/>
      <c r="E55" s="192"/>
      <c r="F55" s="192"/>
      <c r="G55" s="192"/>
      <c r="H55" s="192"/>
      <c r="I55" s="192"/>
      <c r="J55" s="192"/>
      <c r="K55" s="192"/>
      <c r="L55" s="219">
        <f>L53+L54</f>
        <v>22246.778913487607</v>
      </c>
      <c r="M55" s="192"/>
    </row>
    <row r="56" spans="1:24" hidden="1" x14ac:dyDescent="0.25">
      <c r="C56" s="220"/>
      <c r="D56" s="220"/>
      <c r="E56" s="220"/>
      <c r="F56" s="220"/>
      <c r="G56" s="220"/>
      <c r="H56" s="220"/>
      <c r="I56" s="220"/>
      <c r="J56" s="220"/>
      <c r="K56" s="220"/>
      <c r="L56" s="221"/>
      <c r="M56" s="220"/>
    </row>
    <row r="57" spans="1:24" x14ac:dyDescent="0.25">
      <c r="C57" s="220"/>
      <c r="D57" s="220"/>
      <c r="E57" s="220"/>
      <c r="F57" s="220"/>
      <c r="G57" s="220"/>
      <c r="H57" s="220"/>
      <c r="I57" s="220"/>
      <c r="J57" s="220"/>
      <c r="K57" s="220"/>
      <c r="L57" s="221"/>
      <c r="M57" s="220"/>
    </row>
    <row r="58" spans="1:24" ht="10.5" customHeight="1" x14ac:dyDescent="0.25">
      <c r="C58" s="252"/>
      <c r="D58" s="65"/>
      <c r="E58" s="65"/>
      <c r="F58" s="385"/>
      <c r="G58" s="385"/>
      <c r="H58" s="220"/>
      <c r="I58" s="220"/>
      <c r="J58" s="220"/>
      <c r="K58" s="220"/>
      <c r="L58" s="221"/>
      <c r="M58" s="220"/>
    </row>
    <row r="59" spans="1:24" ht="15.75" x14ac:dyDescent="0.25">
      <c r="C59" s="258" t="s">
        <v>237</v>
      </c>
      <c r="D59" s="94"/>
      <c r="E59" s="94"/>
      <c r="F59" s="94"/>
      <c r="G59" s="94"/>
      <c r="H59" s="94"/>
      <c r="I59" s="94"/>
      <c r="J59" s="94"/>
      <c r="K59" s="220"/>
      <c r="L59" s="221"/>
      <c r="M59" s="220"/>
    </row>
    <row r="60" spans="1:24" ht="17.25" customHeight="1" x14ac:dyDescent="0.25">
      <c r="C60" s="258" t="s">
        <v>238</v>
      </c>
      <c r="D60" s="94"/>
      <c r="E60" s="94"/>
      <c r="F60" s="380" t="s">
        <v>239</v>
      </c>
      <c r="G60" s="381"/>
      <c r="H60" s="94"/>
      <c r="I60" s="380"/>
      <c r="J60" s="381"/>
    </row>
    <row r="61" spans="1:24" ht="18.75" x14ac:dyDescent="0.25">
      <c r="C61" s="257"/>
      <c r="D61"/>
      <c r="E61"/>
      <c r="F61"/>
      <c r="G61"/>
      <c r="H61"/>
      <c r="I61"/>
      <c r="J61"/>
    </row>
  </sheetData>
  <mergeCells count="17">
    <mergeCell ref="K3:L3"/>
    <mergeCell ref="A8:A9"/>
    <mergeCell ref="B8:B9"/>
    <mergeCell ref="C8:C9"/>
    <mergeCell ref="D8:E8"/>
    <mergeCell ref="F8:G8"/>
    <mergeCell ref="R7:S7"/>
    <mergeCell ref="H8:I8"/>
    <mergeCell ref="J8:K8"/>
    <mergeCell ref="L8:L9"/>
    <mergeCell ref="M8:M9"/>
    <mergeCell ref="I60:J60"/>
    <mergeCell ref="F60:G60"/>
    <mergeCell ref="C5:I5"/>
    <mergeCell ref="C6:I6"/>
    <mergeCell ref="C7:I7"/>
    <mergeCell ref="F58:G58"/>
  </mergeCells>
  <conditionalFormatting sqref="N6:O6">
    <cfRule type="cellIs" dxfId="0" priority="1" operator="equal">
      <formula>0</formula>
    </cfRule>
  </conditionalFormatting>
  <pageMargins left="0.70866141732283472" right="0.9055118110236221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W61"/>
  <sheetViews>
    <sheetView view="pageBreakPreview" zoomScale="60" zoomScaleNormal="100" workbookViewId="0">
      <selection activeCell="J5" sqref="J5"/>
    </sheetView>
  </sheetViews>
  <sheetFormatPr defaultColWidth="8.140625" defaultRowHeight="12.75" x14ac:dyDescent="0.2"/>
  <cols>
    <col min="1" max="1" width="8.28515625" style="68" customWidth="1"/>
    <col min="2" max="2" width="60.7109375" style="68" customWidth="1"/>
    <col min="3" max="3" width="13.5703125" style="68" customWidth="1"/>
    <col min="4" max="4" width="12.85546875" style="68" customWidth="1"/>
    <col min="5" max="5" width="13.7109375" style="68" customWidth="1"/>
    <col min="6" max="6" width="13.28515625" style="68" customWidth="1"/>
    <col min="7" max="7" width="14.5703125" style="68" customWidth="1"/>
    <col min="8" max="8" width="13" style="68" customWidth="1"/>
    <col min="9" max="9" width="18.140625" style="68" customWidth="1"/>
    <col min="10" max="10" width="14.7109375" style="68" customWidth="1"/>
    <col min="11" max="11" width="11.5703125" style="122" customWidth="1"/>
    <col min="12" max="237" width="11.5703125" style="68" customWidth="1"/>
    <col min="238" max="238" width="6.42578125" style="68" customWidth="1"/>
    <col min="239" max="239" width="65.7109375" style="68" customWidth="1"/>
    <col min="240" max="243" width="11.5703125" style="68" hidden="1" customWidth="1"/>
    <col min="244" max="244" width="14.85546875" style="68" customWidth="1"/>
    <col min="245" max="245" width="13.28515625" style="68" customWidth="1"/>
    <col min="246" max="246" width="14.5703125" style="68" customWidth="1"/>
    <col min="247" max="247" width="13" style="68" customWidth="1"/>
    <col min="248" max="257" width="11.5703125" style="68" hidden="1" customWidth="1"/>
    <col min="258" max="16384" width="8.140625" style="68"/>
  </cols>
  <sheetData>
    <row r="2" spans="1:81" ht="27.75" customHeight="1" x14ac:dyDescent="0.25">
      <c r="E2" s="4">
        <v>5</v>
      </c>
      <c r="I2" s="326" t="s">
        <v>116</v>
      </c>
      <c r="J2" s="327"/>
      <c r="K2" s="328"/>
      <c r="L2" s="329"/>
      <c r="M2" s="262"/>
    </row>
    <row r="3" spans="1:81" ht="18" customHeight="1" x14ac:dyDescent="0.3">
      <c r="A3" s="104"/>
      <c r="B3" s="4"/>
      <c r="C3" s="4"/>
      <c r="D3" s="4"/>
      <c r="E3" s="4"/>
      <c r="F3" s="5"/>
      <c r="I3" s="401" t="s">
        <v>235</v>
      </c>
      <c r="J3" s="402"/>
      <c r="K3" s="402"/>
      <c r="L3" s="402"/>
      <c r="M3" s="262"/>
    </row>
    <row r="4" spans="1:81" ht="18" customHeight="1" x14ac:dyDescent="0.3">
      <c r="A4" s="104"/>
      <c r="B4" s="4"/>
      <c r="C4" s="4"/>
      <c r="D4" s="4"/>
      <c r="E4" s="4"/>
      <c r="F4" s="5"/>
      <c r="I4" s="326" t="s">
        <v>236</v>
      </c>
      <c r="J4" s="330"/>
      <c r="K4" s="328"/>
      <c r="L4" s="329"/>
      <c r="M4" s="262"/>
    </row>
    <row r="5" spans="1:81" ht="19.899999999999999" customHeight="1" x14ac:dyDescent="0.25">
      <c r="A5" s="69"/>
      <c r="B5" s="383" t="s">
        <v>246</v>
      </c>
      <c r="C5" s="383"/>
      <c r="D5" s="383"/>
      <c r="E5" s="383"/>
      <c r="F5" s="383"/>
      <c r="G5" s="383"/>
      <c r="H5" s="383"/>
      <c r="I5" s="262"/>
      <c r="J5" s="262"/>
      <c r="K5" s="261"/>
      <c r="L5" s="262"/>
      <c r="M5" s="262"/>
    </row>
    <row r="6" spans="1:81" ht="24.95" customHeight="1" x14ac:dyDescent="0.2">
      <c r="B6" s="383" t="s">
        <v>243</v>
      </c>
      <c r="C6" s="383"/>
      <c r="D6" s="383"/>
      <c r="E6" s="383"/>
      <c r="F6" s="383"/>
      <c r="G6" s="383"/>
      <c r="H6" s="383"/>
    </row>
    <row r="7" spans="1:81" ht="15.75" x14ac:dyDescent="0.25">
      <c r="A7" s="103"/>
      <c r="B7" s="406"/>
      <c r="C7" s="406"/>
      <c r="D7" s="406"/>
      <c r="E7" s="406"/>
      <c r="F7" s="406"/>
      <c r="H7" s="105"/>
      <c r="J7" s="260" t="s">
        <v>117</v>
      </c>
    </row>
    <row r="8" spans="1:81" ht="49.9" customHeight="1" x14ac:dyDescent="0.2">
      <c r="A8" s="403" t="s">
        <v>2</v>
      </c>
      <c r="B8" s="403" t="s">
        <v>3</v>
      </c>
      <c r="C8" s="403" t="s">
        <v>4</v>
      </c>
      <c r="D8" s="403"/>
      <c r="E8" s="403" t="s">
        <v>118</v>
      </c>
      <c r="F8" s="403"/>
      <c r="G8" s="403" t="s">
        <v>6</v>
      </c>
      <c r="H8" s="403"/>
      <c r="I8" s="403" t="s">
        <v>119</v>
      </c>
      <c r="J8" s="403"/>
      <c r="K8" s="123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</row>
    <row r="9" spans="1:81" ht="22.15" customHeight="1" x14ac:dyDescent="0.2">
      <c r="A9" s="403"/>
      <c r="B9" s="403"/>
      <c r="C9" s="106" t="s">
        <v>8</v>
      </c>
      <c r="D9" s="106" t="s">
        <v>9</v>
      </c>
      <c r="E9" s="106" t="s">
        <v>8</v>
      </c>
      <c r="F9" s="106" t="s">
        <v>9</v>
      </c>
      <c r="G9" s="106" t="s">
        <v>8</v>
      </c>
      <c r="H9" s="106" t="s">
        <v>9</v>
      </c>
      <c r="I9" s="106" t="s">
        <v>8</v>
      </c>
      <c r="J9" s="106" t="s">
        <v>9</v>
      </c>
      <c r="K9" s="123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</row>
    <row r="10" spans="1:81" ht="15.75" customHeight="1" x14ac:dyDescent="0.25">
      <c r="A10" s="101">
        <v>1</v>
      </c>
      <c r="B10" s="101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107">
        <v>9</v>
      </c>
      <c r="J10" s="107">
        <v>10</v>
      </c>
      <c r="K10" s="123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</row>
    <row r="11" spans="1:81" s="125" customFormat="1" ht="15.75" customHeight="1" x14ac:dyDescent="0.25">
      <c r="A11" s="12">
        <v>1</v>
      </c>
      <c r="B11" s="13" t="s">
        <v>10</v>
      </c>
      <c r="C11" s="36">
        <f>C12+C21+C22+C26</f>
        <v>155457.4402147519</v>
      </c>
      <c r="D11" s="36">
        <f t="shared" ref="D11:J11" si="0">D12+D21+D22+D26</f>
        <v>917.38608815529085</v>
      </c>
      <c r="E11" s="36">
        <f t="shared" si="0"/>
        <v>25124.715340242139</v>
      </c>
      <c r="F11" s="36">
        <f t="shared" si="0"/>
        <v>917.38612791454659</v>
      </c>
      <c r="G11" s="36">
        <f t="shared" si="0"/>
        <v>23794.332061624522</v>
      </c>
      <c r="H11" s="36">
        <f t="shared" si="0"/>
        <v>917.38609226871154</v>
      </c>
      <c r="I11" s="36">
        <f t="shared" si="0"/>
        <v>166.59812697129945</v>
      </c>
      <c r="J11" s="15">
        <f t="shared" si="0"/>
        <v>917.38551534022088</v>
      </c>
      <c r="K11" s="124"/>
    </row>
    <row r="12" spans="1:81" s="125" customFormat="1" ht="20.45" customHeight="1" x14ac:dyDescent="0.25">
      <c r="A12" s="12" t="s">
        <v>11</v>
      </c>
      <c r="B12" s="13" t="s">
        <v>12</v>
      </c>
      <c r="C12" s="36">
        <f>C13+C14+C15+C17+C19+C20</f>
        <v>133261.22358461775</v>
      </c>
      <c r="D12" s="36">
        <f t="shared" ref="D12:J12" si="1">D13+D14+D15+D17+D19+D20</f>
        <v>786.40168291848113</v>
      </c>
      <c r="E12" s="36">
        <f t="shared" si="1"/>
        <v>21537.408103466139</v>
      </c>
      <c r="F12" s="36">
        <f t="shared" si="1"/>
        <v>786.40172267773687</v>
      </c>
      <c r="G12" s="36">
        <f t="shared" si="1"/>
        <v>20396.976837510083</v>
      </c>
      <c r="H12" s="36">
        <f t="shared" si="1"/>
        <v>786.40168703190182</v>
      </c>
      <c r="I12" s="36">
        <f t="shared" si="1"/>
        <v>142.81122799588957</v>
      </c>
      <c r="J12" s="36">
        <f t="shared" si="1"/>
        <v>786.40111010341116</v>
      </c>
      <c r="K12" s="124"/>
    </row>
    <row r="13" spans="1:81" s="128" customFormat="1" ht="34.15" customHeight="1" x14ac:dyDescent="0.25">
      <c r="A13" s="16" t="s">
        <v>13</v>
      </c>
      <c r="B13" s="13" t="s">
        <v>120</v>
      </c>
      <c r="C13" s="27">
        <f>'[1]Д3(вробн)'!L14</f>
        <v>114531.63226769998</v>
      </c>
      <c r="D13" s="31">
        <f t="shared" ref="D13:D21" si="2">C13/$C$55*1000</f>
        <v>675.8745412954197</v>
      </c>
      <c r="E13" s="31">
        <f>'[1]Д3(вробн)'!X14</f>
        <v>18510.369775599997</v>
      </c>
      <c r="F13" s="78">
        <f t="shared" ref="F13:F21" si="3">E13/$E$55*1000</f>
        <v>675.87458105467545</v>
      </c>
      <c r="G13" s="31">
        <f>'[1]Д3(вробн)'!AB14</f>
        <v>17530.223644099999</v>
      </c>
      <c r="H13" s="31">
        <f t="shared" ref="H13:H21" si="4">G13/$G$55*1000</f>
        <v>675.87454540884039</v>
      </c>
      <c r="I13" s="31">
        <f>'[1]Д3(вробн)'!P14</f>
        <v>122.73938855</v>
      </c>
      <c r="J13" s="31">
        <f t="shared" ref="J13:J21" si="5">I13/$I$55*1000</f>
        <v>675.87396848034973</v>
      </c>
      <c r="K13" s="126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</row>
    <row r="14" spans="1:81" s="128" customFormat="1" ht="15.75" customHeight="1" x14ac:dyDescent="0.25">
      <c r="A14" s="29" t="s">
        <v>15</v>
      </c>
      <c r="B14" s="26" t="s">
        <v>121</v>
      </c>
      <c r="C14" s="27">
        <f>'[1]Д3(вробн)'!L15</f>
        <v>15582.940074160959</v>
      </c>
      <c r="D14" s="31">
        <f t="shared" si="2"/>
        <v>91.958110315239082</v>
      </c>
      <c r="E14" s="75">
        <f>'[1]Д3(вробн)'!X15</f>
        <v>2518.4829752648925</v>
      </c>
      <c r="F14" s="75">
        <f t="shared" si="3"/>
        <v>91.958110315239082</v>
      </c>
      <c r="G14" s="75">
        <f>'[1]Д3(вробн)'!AB15</f>
        <v>2385.1264271830569</v>
      </c>
      <c r="H14" s="75">
        <f t="shared" si="4"/>
        <v>91.958110315239082</v>
      </c>
      <c r="I14" s="75">
        <f>'[1]Д3(вробн)'!P15</f>
        <v>16.699684791357733</v>
      </c>
      <c r="J14" s="75">
        <f t="shared" si="5"/>
        <v>91.958110315239082</v>
      </c>
      <c r="K14" s="126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</row>
    <row r="15" spans="1:81" s="128" customFormat="1" ht="18.600000000000001" customHeight="1" x14ac:dyDescent="0.25">
      <c r="A15" s="33" t="s">
        <v>17</v>
      </c>
      <c r="B15" s="34" t="s">
        <v>122</v>
      </c>
      <c r="C15" s="24">
        <f>'[1]Д3(вробн)'!L17</f>
        <v>0</v>
      </c>
      <c r="D15" s="31">
        <f t="shared" si="2"/>
        <v>0</v>
      </c>
      <c r="E15" s="75">
        <f>'[1]Д3(вробн)'!X17</f>
        <v>0</v>
      </c>
      <c r="F15" s="75">
        <f t="shared" si="3"/>
        <v>0</v>
      </c>
      <c r="G15" s="75">
        <f>'[1]Д3(вробн)'!AB17</f>
        <v>0</v>
      </c>
      <c r="H15" s="75">
        <f t="shared" si="4"/>
        <v>0</v>
      </c>
      <c r="I15" s="75">
        <f>'[1]Д3(вробн)'!P17</f>
        <v>0</v>
      </c>
      <c r="J15" s="75">
        <f t="shared" si="5"/>
        <v>0</v>
      </c>
      <c r="K15" s="126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</row>
    <row r="16" spans="1:81" s="128" customFormat="1" ht="31.5" hidden="1" x14ac:dyDescent="0.25">
      <c r="A16" s="17" t="s">
        <v>123</v>
      </c>
      <c r="B16" s="18" t="s">
        <v>124</v>
      </c>
      <c r="C16" s="20"/>
      <c r="D16" s="31">
        <f t="shared" si="2"/>
        <v>0</v>
      </c>
      <c r="E16" s="75">
        <f>'[1]Д3(вробн)'!X18</f>
        <v>2411.006416855329</v>
      </c>
      <c r="F16" s="75">
        <f t="shared" si="3"/>
        <v>88.033787097017068</v>
      </c>
      <c r="G16" s="75">
        <f>'[1]Д3(вробн)'!AB17</f>
        <v>0</v>
      </c>
      <c r="H16" s="75">
        <f t="shared" si="4"/>
        <v>0</v>
      </c>
      <c r="I16" s="75">
        <f>'[1]Д3(вробн)'!P17</f>
        <v>0</v>
      </c>
      <c r="J16" s="75">
        <f t="shared" si="5"/>
        <v>0</v>
      </c>
      <c r="K16" s="126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</row>
    <row r="17" spans="1:81" s="131" customFormat="1" ht="16.899999999999999" customHeight="1" x14ac:dyDescent="0.25">
      <c r="A17" s="16" t="s">
        <v>19</v>
      </c>
      <c r="B17" s="13" t="s">
        <v>125</v>
      </c>
      <c r="C17" s="27">
        <f>'[1]Д3(вробн)'!L16</f>
        <v>0</v>
      </c>
      <c r="D17" s="31">
        <f t="shared" si="2"/>
        <v>0</v>
      </c>
      <c r="E17" s="75">
        <f>'[1]Д3(вробн)'!X16</f>
        <v>0</v>
      </c>
      <c r="F17" s="75">
        <f t="shared" si="3"/>
        <v>0</v>
      </c>
      <c r="G17" s="75">
        <f>'[1]Д3(вробн)'!AB16</f>
        <v>0</v>
      </c>
      <c r="H17" s="75">
        <f t="shared" si="4"/>
        <v>0</v>
      </c>
      <c r="I17" s="75">
        <f>'[1]Д3(вробн)'!P16</f>
        <v>0</v>
      </c>
      <c r="J17" s="75">
        <f t="shared" si="5"/>
        <v>0</v>
      </c>
      <c r="K17" s="126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</row>
    <row r="18" spans="1:81" s="131" customFormat="1" ht="15.75" hidden="1" x14ac:dyDescent="0.25">
      <c r="A18" s="29" t="s">
        <v>126</v>
      </c>
      <c r="B18" s="26" t="s">
        <v>127</v>
      </c>
      <c r="C18" s="30"/>
      <c r="D18" s="31">
        <f t="shared" si="2"/>
        <v>0</v>
      </c>
      <c r="E18" s="75">
        <f>'[1]Д3(вробн)'!X17</f>
        <v>0</v>
      </c>
      <c r="F18" s="75">
        <f t="shared" si="3"/>
        <v>0</v>
      </c>
      <c r="G18" s="75">
        <f>'[1]Д3(вробн)'!AB19</f>
        <v>0</v>
      </c>
      <c r="H18" s="75">
        <f t="shared" si="4"/>
        <v>0</v>
      </c>
      <c r="I18" s="75">
        <f>'[1]Д3(вробн)'!P19</f>
        <v>15.98706879911221</v>
      </c>
      <c r="J18" s="75">
        <f t="shared" si="5"/>
        <v>88.034035049984354</v>
      </c>
      <c r="K18" s="129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</row>
    <row r="19" spans="1:81" s="128" customFormat="1" ht="15.75" x14ac:dyDescent="0.25">
      <c r="A19" s="29" t="s">
        <v>128</v>
      </c>
      <c r="B19" s="26" t="s">
        <v>18</v>
      </c>
      <c r="C19" s="27">
        <f>'[1]Д3(вробн)'!L21</f>
        <v>1827.4319389002806</v>
      </c>
      <c r="D19" s="31">
        <f t="shared" si="2"/>
        <v>10.784048904200864</v>
      </c>
      <c r="E19" s="75">
        <f>'[1]Д3(вробн)'!X21</f>
        <v>295.34582079328675</v>
      </c>
      <c r="F19" s="75">
        <f t="shared" si="3"/>
        <v>10.784048904200864</v>
      </c>
      <c r="G19" s="75">
        <f>'[1]Д3(вробн)'!AB21</f>
        <v>279.70692248100153</v>
      </c>
      <c r="H19" s="75">
        <f t="shared" si="4"/>
        <v>10.784048904200864</v>
      </c>
      <c r="I19" s="75">
        <f>'[1]Д3(вробн)'!P21</f>
        <v>1.9583940650517813</v>
      </c>
      <c r="J19" s="75">
        <f t="shared" si="5"/>
        <v>10.784048904200864</v>
      </c>
      <c r="K19" s="126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</row>
    <row r="20" spans="1:81" s="128" customFormat="1" ht="15.75" x14ac:dyDescent="0.25">
      <c r="A20" s="29" t="s">
        <v>129</v>
      </c>
      <c r="B20" s="26" t="s">
        <v>20</v>
      </c>
      <c r="C20" s="27">
        <f>'[1]Д3(вробн)'!L22</f>
        <v>1319.2193038565283</v>
      </c>
      <c r="D20" s="31">
        <f t="shared" si="2"/>
        <v>7.7849824036215098</v>
      </c>
      <c r="E20" s="75">
        <f>'[1]Д3(вробн)'!X22</f>
        <v>213.20953180796732</v>
      </c>
      <c r="F20" s="75">
        <f t="shared" si="3"/>
        <v>7.7849824036215098</v>
      </c>
      <c r="G20" s="75">
        <f>'[1]Д3(вробн)'!AB22</f>
        <v>201.91984374602427</v>
      </c>
      <c r="H20" s="75">
        <f t="shared" si="4"/>
        <v>7.7849824036215098</v>
      </c>
      <c r="I20" s="75">
        <f>'[1]Д3(вробн)'!P22</f>
        <v>1.4137605894800698</v>
      </c>
      <c r="J20" s="75">
        <f t="shared" si="5"/>
        <v>7.7849824036215098</v>
      </c>
      <c r="K20" s="126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</row>
    <row r="21" spans="1:81" s="125" customFormat="1" ht="15.75" x14ac:dyDescent="0.25">
      <c r="A21" s="12" t="s">
        <v>21</v>
      </c>
      <c r="B21" s="13" t="s">
        <v>22</v>
      </c>
      <c r="C21" s="36">
        <f>'[1]Д3(вробн)'!L23</f>
        <v>10732.159924719799</v>
      </c>
      <c r="D21" s="15">
        <f t="shared" si="2"/>
        <v>63.332666466107163</v>
      </c>
      <c r="E21" s="15">
        <f>'[1]Д3(вробн)'!X23</f>
        <v>1734.5097863172198</v>
      </c>
      <c r="F21" s="15">
        <f t="shared" si="3"/>
        <v>63.332666466107163</v>
      </c>
      <c r="G21" s="15">
        <f>'[1]Д3(вробн)'!AB23</f>
        <v>1642.6655134000687</v>
      </c>
      <c r="H21" s="15">
        <f t="shared" si="4"/>
        <v>63.332666466107163</v>
      </c>
      <c r="I21" s="15">
        <f>'[1]Д3(вробн)'!P23</f>
        <v>11.501275562911527</v>
      </c>
      <c r="J21" s="15">
        <f t="shared" si="5"/>
        <v>63.332666466107163</v>
      </c>
      <c r="K21" s="124"/>
    </row>
    <row r="22" spans="1:81" s="125" customFormat="1" ht="15.75" customHeight="1" x14ac:dyDescent="0.25">
      <c r="A22" s="12" t="s">
        <v>23</v>
      </c>
      <c r="B22" s="13" t="s">
        <v>24</v>
      </c>
      <c r="C22" s="14">
        <f>C24+C25+C23</f>
        <v>8237.9116641425917</v>
      </c>
      <c r="D22" s="36">
        <f t="shared" ref="D22:J22" si="6">D24+D25+D23</f>
        <v>48.613598330814867</v>
      </c>
      <c r="E22" s="36">
        <f t="shared" si="6"/>
        <v>1331.3944723615509</v>
      </c>
      <c r="F22" s="38">
        <f t="shared" si="6"/>
        <v>48.613598330814867</v>
      </c>
      <c r="G22" s="15">
        <f t="shared" si="6"/>
        <v>1260.8956154253833</v>
      </c>
      <c r="H22" s="38">
        <f t="shared" si="6"/>
        <v>48.613598330814867</v>
      </c>
      <c r="I22" s="15">
        <f t="shared" si="6"/>
        <v>8.82827807047431</v>
      </c>
      <c r="J22" s="38">
        <f t="shared" si="6"/>
        <v>48.613598330814867</v>
      </c>
      <c r="K22" s="124"/>
    </row>
    <row r="23" spans="1:81" s="125" customFormat="1" ht="15.75" customHeight="1" x14ac:dyDescent="0.25">
      <c r="A23" s="29" t="s">
        <v>25</v>
      </c>
      <c r="B23" s="26" t="s">
        <v>130</v>
      </c>
      <c r="C23" s="45">
        <f>'[1]Д3(вробн)'!L25</f>
        <v>2361.0751834383559</v>
      </c>
      <c r="D23" s="31">
        <f>C23/$C$55*1000</f>
        <v>13.933186622543577</v>
      </c>
      <c r="E23" s="27">
        <f>'[1]Д3(вробн)'!X25</f>
        <v>381.59215298978836</v>
      </c>
      <c r="F23" s="75">
        <f t="shared" ref="F23:F33" si="7">E23/$E$55*1000</f>
        <v>13.933186622543577</v>
      </c>
      <c r="G23" s="31">
        <f>'[1]Д3(вробн)'!AB25</f>
        <v>361.38641294801516</v>
      </c>
      <c r="H23" s="75">
        <f t="shared" ref="H23:H33" si="8">G23/$G$55*1000</f>
        <v>13.933186622543577</v>
      </c>
      <c r="I23" s="31">
        <f>'[1]Д3(вробн)'!P25</f>
        <v>2.530280623840536</v>
      </c>
      <c r="J23" s="75">
        <f t="shared" ref="J23:J33" si="9">I23/$I$55*1000</f>
        <v>13.933186622543577</v>
      </c>
      <c r="K23" s="124"/>
    </row>
    <row r="24" spans="1:81" s="128" customFormat="1" ht="15.75" customHeight="1" x14ac:dyDescent="0.25">
      <c r="A24" s="29" t="s">
        <v>27</v>
      </c>
      <c r="B24" s="26" t="s">
        <v>28</v>
      </c>
      <c r="C24" s="27">
        <f>'[1]Д3(вробн)'!L26</f>
        <v>1336.6492143591795</v>
      </c>
      <c r="D24" s="31">
        <f>C24/$C$55*1000</f>
        <v>7.8878398634564029</v>
      </c>
      <c r="E24" s="75">
        <f>'[1]Д3(вробн)'!X26</f>
        <v>216.02651837484157</v>
      </c>
      <c r="F24" s="38">
        <f t="shared" si="7"/>
        <v>7.8878398634564029</v>
      </c>
      <c r="G24" s="76">
        <f>'[1]Д3(вробн)'!AB26</f>
        <v>204.58766765893549</v>
      </c>
      <c r="H24" s="75">
        <f t="shared" si="8"/>
        <v>7.8878398634564029</v>
      </c>
      <c r="I24" s="75">
        <f>'[1]Д3(вробн)'!P26</f>
        <v>1.4324396070435461</v>
      </c>
      <c r="J24" s="75">
        <f t="shared" si="9"/>
        <v>7.8878398634564029</v>
      </c>
      <c r="K24" s="124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</row>
    <row r="25" spans="1:81" s="128" customFormat="1" ht="15.75" customHeight="1" x14ac:dyDescent="0.25">
      <c r="A25" s="29" t="s">
        <v>29</v>
      </c>
      <c r="B25" s="26" t="s">
        <v>30</v>
      </c>
      <c r="C25" s="27">
        <f>'[1]Д3(вробн)'!L27</f>
        <v>4540.1872663450567</v>
      </c>
      <c r="D25" s="31">
        <f>C25/$C$55*1000</f>
        <v>26.792571844814884</v>
      </c>
      <c r="E25" s="75">
        <f>'[1]Д3(вробн)'!X27</f>
        <v>733.77580099692091</v>
      </c>
      <c r="F25" s="75">
        <f t="shared" si="7"/>
        <v>26.792571844814884</v>
      </c>
      <c r="G25" s="76">
        <f>'[1]Д3(вробн)'!AB27</f>
        <v>694.92153481843263</v>
      </c>
      <c r="H25" s="75">
        <f t="shared" si="8"/>
        <v>26.792571844814884</v>
      </c>
      <c r="I25" s="75">
        <f>'[1]Д3(вробн)'!P27</f>
        <v>4.8655578395902275</v>
      </c>
      <c r="J25" s="75">
        <f t="shared" si="9"/>
        <v>26.792571844814884</v>
      </c>
      <c r="K25" s="124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</row>
    <row r="26" spans="1:81" s="125" customFormat="1" ht="15.75" customHeight="1" x14ac:dyDescent="0.25">
      <c r="A26" s="12" t="s">
        <v>31</v>
      </c>
      <c r="B26" s="13" t="s">
        <v>32</v>
      </c>
      <c r="C26" s="108">
        <f>C28+C29+C27</f>
        <v>3226.1450412717586</v>
      </c>
      <c r="D26" s="15">
        <f>D28+D29+D27</f>
        <v>19.03814043988767</v>
      </c>
      <c r="E26" s="15">
        <f>E28+E29+E27</f>
        <v>521.40297809722881</v>
      </c>
      <c r="F26" s="38">
        <f t="shared" si="7"/>
        <v>19.038140439887663</v>
      </c>
      <c r="G26" s="15">
        <f>G28+G29+G27</f>
        <v>493.79409528898907</v>
      </c>
      <c r="H26" s="38">
        <f t="shared" si="8"/>
        <v>19.038140439887666</v>
      </c>
      <c r="I26" s="15">
        <f>I28+I29+I27</f>
        <v>3.4573453420240399</v>
      </c>
      <c r="J26" s="38">
        <f t="shared" si="9"/>
        <v>19.038140439887666</v>
      </c>
      <c r="K26" s="124"/>
    </row>
    <row r="27" spans="1:81" s="125" customFormat="1" ht="15.75" customHeight="1" x14ac:dyDescent="0.25">
      <c r="A27" s="29" t="s">
        <v>33</v>
      </c>
      <c r="B27" s="26" t="s">
        <v>40</v>
      </c>
      <c r="C27" s="109">
        <f>'[1]Д3(вробн)'!L29</f>
        <v>2534.7299864538927</v>
      </c>
      <c r="D27" s="31">
        <f>C27/$C$55*1000</f>
        <v>14.957959063204694</v>
      </c>
      <c r="E27" s="15">
        <f>'[1]Д3(вробн)'!X29</f>
        <v>409.65788788231987</v>
      </c>
      <c r="F27" s="75">
        <f t="shared" si="7"/>
        <v>14.957959063204692</v>
      </c>
      <c r="G27" s="15">
        <f>'[1]Д3(вробн)'!AB29</f>
        <v>387.96603514436924</v>
      </c>
      <c r="H27" s="75">
        <f t="shared" si="8"/>
        <v>14.957959063204692</v>
      </c>
      <c r="I27" s="31">
        <f>'[1]Д3(вробн)'!P29</f>
        <v>2.716380323837035</v>
      </c>
      <c r="J27" s="75">
        <f t="shared" si="9"/>
        <v>14.957959063204692</v>
      </c>
      <c r="K27" s="124"/>
    </row>
    <row r="28" spans="1:81" s="128" customFormat="1" ht="15.75" x14ac:dyDescent="0.25">
      <c r="A28" s="29" t="s">
        <v>35</v>
      </c>
      <c r="B28" s="26" t="s">
        <v>105</v>
      </c>
      <c r="C28" s="27">
        <f>'[1]Д3(вробн)'!L30</f>
        <v>557.64059701985627</v>
      </c>
      <c r="D28" s="31">
        <f>C28/$C$55*1000</f>
        <v>3.2907509939050317</v>
      </c>
      <c r="E28" s="75">
        <f>'[1]Д3(вробн)'!X30</f>
        <v>90.124735334110355</v>
      </c>
      <c r="F28" s="75">
        <f t="shared" si="7"/>
        <v>3.2907509939050317</v>
      </c>
      <c r="G28" s="76">
        <f>'[1]Д3(вробн)'!AB30</f>
        <v>85.352527731761214</v>
      </c>
      <c r="H28" s="75">
        <f t="shared" si="8"/>
        <v>3.2907509939050317</v>
      </c>
      <c r="I28" s="75">
        <f>'[1]Д3(вробн)'!P30</f>
        <v>0.59760367124414759</v>
      </c>
      <c r="J28" s="75">
        <f t="shared" si="9"/>
        <v>3.2907509939050317</v>
      </c>
      <c r="K28" s="124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</row>
    <row r="29" spans="1:81" s="128" customFormat="1" ht="15.75" customHeight="1" x14ac:dyDescent="0.25">
      <c r="A29" s="29" t="s">
        <v>36</v>
      </c>
      <c r="B29" s="26" t="s">
        <v>37</v>
      </c>
      <c r="C29" s="27">
        <f>'[1]Д3(вробн)'!L31</f>
        <v>133.77445779800934</v>
      </c>
      <c r="D29" s="31">
        <f>C29/$C$55*1000</f>
        <v>0.78943038277794331</v>
      </c>
      <c r="E29" s="75">
        <f>'[1]Д3(вробн)'!X31</f>
        <v>21.620354880798622</v>
      </c>
      <c r="F29" s="75">
        <f t="shared" si="7"/>
        <v>0.7894303827779432</v>
      </c>
      <c r="G29" s="76">
        <f>'[1]Д3(вробн)'!AB31</f>
        <v>20.475532412858641</v>
      </c>
      <c r="H29" s="75">
        <f t="shared" si="8"/>
        <v>0.78943038277794308</v>
      </c>
      <c r="I29" s="75">
        <f>'[1]Д3(вробн)'!P31</f>
        <v>0.14336134694285727</v>
      </c>
      <c r="J29" s="75">
        <f t="shared" si="9"/>
        <v>0.7894303827779432</v>
      </c>
      <c r="K29" s="124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</row>
    <row r="30" spans="1:81" s="125" customFormat="1" ht="15.75" customHeight="1" x14ac:dyDescent="0.25">
      <c r="A30" s="12" t="s">
        <v>131</v>
      </c>
      <c r="B30" s="13" t="s">
        <v>38</v>
      </c>
      <c r="C30" s="15">
        <f>C31+C33+C32</f>
        <v>410.35764521087083</v>
      </c>
      <c r="D30" s="15">
        <f>D31+D33+D32</f>
        <v>2.4216042304863206</v>
      </c>
      <c r="E30" s="15">
        <f>E31+E33+E32</f>
        <v>66.321165217534556</v>
      </c>
      <c r="F30" s="38">
        <f t="shared" si="7"/>
        <v>2.421604230486321</v>
      </c>
      <c r="G30" s="15">
        <f>G31+G33+G32</f>
        <v>62.809383821734059</v>
      </c>
      <c r="H30" s="38">
        <f t="shared" si="8"/>
        <v>2.4216042304863206</v>
      </c>
      <c r="I30" s="15">
        <f>I31+I33+I32</f>
        <v>0.43976574986054634</v>
      </c>
      <c r="J30" s="38">
        <f t="shared" si="9"/>
        <v>2.421604230486321</v>
      </c>
      <c r="K30" s="124"/>
    </row>
    <row r="31" spans="1:81" s="128" customFormat="1" ht="15.75" x14ac:dyDescent="0.25">
      <c r="A31" s="29" t="s">
        <v>39</v>
      </c>
      <c r="B31" s="26" t="s">
        <v>40</v>
      </c>
      <c r="C31" s="27">
        <f>'[1]Д3(вробн)'!L33</f>
        <v>276.8420551076855</v>
      </c>
      <c r="D31" s="31">
        <f>C31/$C$55*1000</f>
        <v>1.6337014788180646</v>
      </c>
      <c r="E31" s="75">
        <f>'[1]Д3(вробн)'!X33</f>
        <v>44.7426480053118</v>
      </c>
      <c r="F31" s="75">
        <f t="shared" si="7"/>
        <v>1.6337014788180646</v>
      </c>
      <c r="G31" s="76">
        <f>'[1]Д3(вробн)'!AB33</f>
        <v>42.373473725147591</v>
      </c>
      <c r="H31" s="75">
        <f t="shared" si="8"/>
        <v>1.6337014788180646</v>
      </c>
      <c r="I31" s="75">
        <f>'[1]Д3(вробн)'!P33</f>
        <v>0.29668182225483936</v>
      </c>
      <c r="J31" s="75">
        <f t="shared" si="9"/>
        <v>1.6337014788180646</v>
      </c>
      <c r="K31" s="124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</row>
    <row r="32" spans="1:81" s="128" customFormat="1" ht="15.75" x14ac:dyDescent="0.25">
      <c r="A32" s="29" t="s">
        <v>41</v>
      </c>
      <c r="B32" s="26" t="s">
        <v>105</v>
      </c>
      <c r="C32" s="27">
        <f>'[1]Д3(вробн)'!L34</f>
        <v>60.905252123690815</v>
      </c>
      <c r="D32" s="31">
        <f t="shared" ref="D32:D33" si="10">C32/$C$55*1000</f>
        <v>0.35941432533997419</v>
      </c>
      <c r="E32" s="75">
        <f>'[1]Д3(вробн)'!X34</f>
        <v>9.8433825611685961</v>
      </c>
      <c r="F32" s="75">
        <f t="shared" si="7"/>
        <v>0.35941432533997419</v>
      </c>
      <c r="G32" s="76">
        <f>'[1]Д3(вробн)'!AB34</f>
        <v>9.3221642195324694</v>
      </c>
      <c r="H32" s="75">
        <f t="shared" si="8"/>
        <v>0.35941432533997419</v>
      </c>
      <c r="I32" s="75">
        <f>'[1]Д3(вробн)'!P34</f>
        <v>6.5270000896064662E-2</v>
      </c>
      <c r="J32" s="75">
        <f t="shared" si="9"/>
        <v>0.35941432533997425</v>
      </c>
      <c r="K32" s="124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</row>
    <row r="33" spans="1:81" s="128" customFormat="1" ht="15.75" customHeight="1" x14ac:dyDescent="0.25">
      <c r="A33" s="29" t="s">
        <v>42</v>
      </c>
      <c r="B33" s="26" t="s">
        <v>37</v>
      </c>
      <c r="C33" s="27">
        <f>'[1]Д3(вробн)'!L35</f>
        <v>72.610337979494489</v>
      </c>
      <c r="D33" s="31">
        <f t="shared" si="10"/>
        <v>0.42848842632828177</v>
      </c>
      <c r="E33" s="75">
        <f>'[1]Д3(вробн)'!X35</f>
        <v>11.735134651054157</v>
      </c>
      <c r="F33" s="75">
        <f t="shared" si="7"/>
        <v>0.42848842632828177</v>
      </c>
      <c r="G33" s="76">
        <f>'[1]Д3(вробн)'!AB35</f>
        <v>11.113745877053999</v>
      </c>
      <c r="H33" s="75">
        <f t="shared" si="8"/>
        <v>0.42848842632828177</v>
      </c>
      <c r="I33" s="75">
        <f>'[1]Д3(вробн)'!P35</f>
        <v>7.7813926709642295E-2</v>
      </c>
      <c r="J33" s="75">
        <f t="shared" si="9"/>
        <v>0.42848842632828171</v>
      </c>
      <c r="K33" s="124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</row>
    <row r="34" spans="1:81" s="128" customFormat="1" ht="15.75" customHeight="1" x14ac:dyDescent="0.25">
      <c r="A34" s="16" t="s">
        <v>43</v>
      </c>
      <c r="B34" s="13" t="s">
        <v>44</v>
      </c>
      <c r="C34" s="27"/>
      <c r="D34" s="31"/>
      <c r="E34" s="75"/>
      <c r="F34" s="75"/>
      <c r="G34" s="76"/>
      <c r="H34" s="75"/>
      <c r="I34" s="75"/>
      <c r="J34" s="75"/>
      <c r="K34" s="124"/>
      <c r="L34" s="125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</row>
    <row r="35" spans="1:81" s="128" customFormat="1" ht="15.75" customHeight="1" x14ac:dyDescent="0.25">
      <c r="A35" s="29" t="s">
        <v>45</v>
      </c>
      <c r="B35" s="26" t="s">
        <v>40</v>
      </c>
      <c r="C35" s="27"/>
      <c r="D35" s="31"/>
      <c r="E35" s="75"/>
      <c r="F35" s="75"/>
      <c r="G35" s="76"/>
      <c r="H35" s="75"/>
      <c r="I35" s="75"/>
      <c r="J35" s="75"/>
      <c r="K35" s="124"/>
      <c r="L35" s="125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</row>
    <row r="36" spans="1:81" s="128" customFormat="1" ht="15.75" customHeight="1" x14ac:dyDescent="0.25">
      <c r="A36" s="29" t="s">
        <v>46</v>
      </c>
      <c r="B36" s="26" t="s">
        <v>106</v>
      </c>
      <c r="C36" s="27"/>
      <c r="D36" s="31"/>
      <c r="E36" s="75"/>
      <c r="F36" s="75"/>
      <c r="G36" s="76"/>
      <c r="H36" s="75"/>
      <c r="I36" s="75"/>
      <c r="J36" s="75"/>
      <c r="K36" s="124"/>
      <c r="L36" s="125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</row>
    <row r="37" spans="1:81" s="128" customFormat="1" ht="15.75" customHeight="1" x14ac:dyDescent="0.25">
      <c r="A37" s="29" t="s">
        <v>47</v>
      </c>
      <c r="B37" s="26" t="s">
        <v>107</v>
      </c>
      <c r="C37" s="27"/>
      <c r="D37" s="31"/>
      <c r="E37" s="75"/>
      <c r="F37" s="75"/>
      <c r="G37" s="76"/>
      <c r="H37" s="75"/>
      <c r="I37" s="75"/>
      <c r="J37" s="75"/>
      <c r="K37" s="124"/>
      <c r="L37" s="125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</row>
    <row r="38" spans="1:81" s="125" customFormat="1" ht="15.75" customHeight="1" x14ac:dyDescent="0.25">
      <c r="A38" s="12">
        <v>4</v>
      </c>
      <c r="B38" s="13" t="s">
        <v>49</v>
      </c>
      <c r="C38" s="30"/>
      <c r="D38" s="31"/>
      <c r="E38" s="76"/>
      <c r="F38" s="75"/>
      <c r="G38" s="76"/>
      <c r="H38" s="75"/>
      <c r="I38" s="76"/>
      <c r="J38" s="75"/>
      <c r="K38" s="124"/>
    </row>
    <row r="39" spans="1:81" s="125" customFormat="1" ht="15.75" customHeight="1" x14ac:dyDescent="0.25">
      <c r="A39" s="12">
        <v>5</v>
      </c>
      <c r="B39" s="13" t="s">
        <v>51</v>
      </c>
      <c r="C39" s="30"/>
      <c r="D39" s="31"/>
      <c r="E39" s="76"/>
      <c r="F39" s="75"/>
      <c r="G39" s="76"/>
      <c r="H39" s="75"/>
      <c r="I39" s="76"/>
      <c r="J39" s="75"/>
      <c r="K39" s="124"/>
    </row>
    <row r="40" spans="1:81" s="125" customFormat="1" ht="15.75" customHeight="1" x14ac:dyDescent="0.25">
      <c r="A40" s="12">
        <v>6</v>
      </c>
      <c r="B40" s="13" t="s">
        <v>132</v>
      </c>
      <c r="C40" s="36">
        <f>C11+C30+C38+C39</f>
        <v>155867.79785996277</v>
      </c>
      <c r="D40" s="14">
        <f t="shared" ref="D40:D48" si="11">C40/$C$55*1000</f>
        <v>919.80769238577705</v>
      </c>
      <c r="E40" s="102">
        <f>E11+E30+E38+E39</f>
        <v>25191.036505459673</v>
      </c>
      <c r="F40" s="38">
        <f t="shared" ref="F40:F49" si="12">E40/$E$55*1000</f>
        <v>919.80773214503279</v>
      </c>
      <c r="G40" s="55">
        <f>G11+G30+G38+G39</f>
        <v>23857.141445446257</v>
      </c>
      <c r="H40" s="110">
        <f t="shared" ref="H40:H49" si="13">G40/$G$55*1000</f>
        <v>919.80769649919796</v>
      </c>
      <c r="I40" s="55">
        <f>I11+I30+I38+I39</f>
        <v>167.03789272116001</v>
      </c>
      <c r="J40" s="38">
        <f t="shared" ref="J40:J49" si="14">I40/$I$55*1000</f>
        <v>919.8071195707073</v>
      </c>
      <c r="K40" s="124"/>
    </row>
    <row r="41" spans="1:81" s="125" customFormat="1" ht="15.75" x14ac:dyDescent="0.25">
      <c r="A41" s="12">
        <v>7</v>
      </c>
      <c r="B41" s="13" t="s">
        <v>109</v>
      </c>
      <c r="C41" s="12"/>
      <c r="D41" s="45"/>
      <c r="E41" s="55"/>
      <c r="F41" s="38"/>
      <c r="G41" s="55"/>
      <c r="H41" s="110"/>
      <c r="I41" s="55"/>
      <c r="J41" s="38"/>
      <c r="K41" s="124"/>
    </row>
    <row r="42" spans="1:81" s="125" customFormat="1" ht="15.75" hidden="1" x14ac:dyDescent="0.25">
      <c r="A42" s="12"/>
      <c r="B42" s="13"/>
      <c r="C42" s="36">
        <f>'[1]Д3(вробн)'!L44</f>
        <v>-1312.8978249696274</v>
      </c>
      <c r="D42" s="111">
        <f>C42/C55*1000</f>
        <v>-7.7476780663096445</v>
      </c>
      <c r="E42" s="55">
        <f>'[1]Д3(вробн)'!X44</f>
        <v>-221.55426241040604</v>
      </c>
      <c r="F42" s="38">
        <f>E42/$E$55*1000</f>
        <v>-8.0896760087904305</v>
      </c>
      <c r="G42" s="55">
        <f>'[1]Д3(вробн)'!AB44</f>
        <v>-237.79797909292094</v>
      </c>
      <c r="H42" s="112">
        <f t="shared" si="13"/>
        <v>-9.1682573070116877</v>
      </c>
      <c r="I42" s="55">
        <f>'[1]Д3(вробн)'!P44</f>
        <v>-1.4946696505988266</v>
      </c>
      <c r="J42" s="38">
        <f t="shared" si="14"/>
        <v>-8.2305144277775266</v>
      </c>
      <c r="K42" s="124"/>
    </row>
    <row r="43" spans="1:81" s="125" customFormat="1" ht="15.75" customHeight="1" x14ac:dyDescent="0.25">
      <c r="A43" s="12">
        <v>8</v>
      </c>
      <c r="B43" s="113" t="s">
        <v>110</v>
      </c>
      <c r="C43" s="15">
        <f>SUM(C44:C48)</f>
        <v>14598.252811778471</v>
      </c>
      <c r="D43" s="45">
        <f t="shared" si="11"/>
        <v>86.147269776211004</v>
      </c>
      <c r="E43" s="102">
        <f>SUM(E44:E48)</f>
        <v>3050.7798156171784</v>
      </c>
      <c r="F43" s="75">
        <f t="shared" si="12"/>
        <v>111.39402155479006</v>
      </c>
      <c r="G43" s="55">
        <f>SUM(G44:G48)</f>
        <v>3119.2917707939318</v>
      </c>
      <c r="H43" s="75">
        <f t="shared" si="13"/>
        <v>120.26371998354062</v>
      </c>
      <c r="I43" s="55">
        <f>SUM(I44:I48)</f>
        <v>20.439593620174641</v>
      </c>
      <c r="J43" s="75">
        <f t="shared" si="14"/>
        <v>112.55220852404248</v>
      </c>
      <c r="K43" s="124"/>
    </row>
    <row r="44" spans="1:81" ht="15.75" customHeight="1" x14ac:dyDescent="0.25">
      <c r="A44" s="29" t="s">
        <v>58</v>
      </c>
      <c r="B44" s="26" t="s">
        <v>59</v>
      </c>
      <c r="C44" s="27">
        <f>'[1]Д3(вробн)'!L48</f>
        <v>2627.685506120125</v>
      </c>
      <c r="D44" s="45">
        <f>C44/$C$55*1000</f>
        <v>15.506508559717982</v>
      </c>
      <c r="E44" s="75">
        <f>'[1]Д3(вробн)'!X48</f>
        <v>549.14036681109201</v>
      </c>
      <c r="F44" s="75">
        <f t="shared" si="12"/>
        <v>20.050923879862207</v>
      </c>
      <c r="G44" s="75">
        <f>'[1]Д3(вробн)'!AB48</f>
        <v>561.47251874290782</v>
      </c>
      <c r="H44" s="75">
        <f t="shared" si="13"/>
        <v>21.647469597037318</v>
      </c>
      <c r="I44" s="76">
        <f>'[1]Д3(вробн)'!P48</f>
        <v>3.6791268516314353</v>
      </c>
      <c r="J44" s="75">
        <f t="shared" si="14"/>
        <v>20.25939753432765</v>
      </c>
      <c r="K44" s="124"/>
      <c r="L44" s="67"/>
      <c r="M44" s="67"/>
      <c r="N44" s="132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</row>
    <row r="45" spans="1:81" ht="15.75" customHeight="1" x14ac:dyDescent="0.25">
      <c r="A45" s="29" t="s">
        <v>60</v>
      </c>
      <c r="B45" s="26" t="s">
        <v>61</v>
      </c>
      <c r="C45" s="27">
        <f>'[1]Д3(вробн)'!L49</f>
        <v>0</v>
      </c>
      <c r="D45" s="45">
        <f>C45/$C$55*1000</f>
        <v>0</v>
      </c>
      <c r="E45" s="75">
        <f>'[1]Д3(вробн)'!X49</f>
        <v>503.820729712</v>
      </c>
      <c r="F45" s="75">
        <f t="shared" si="12"/>
        <v>18.396154628397813</v>
      </c>
      <c r="G45" s="75">
        <f>'[1]Д3(вробн)'!AB49</f>
        <v>477.14282908199993</v>
      </c>
      <c r="H45" s="75">
        <f t="shared" si="13"/>
        <v>18.396153936656823</v>
      </c>
      <c r="I45" s="76">
        <f>'[1]Д3(вробн)'!P49</f>
        <v>3.3407603710000005</v>
      </c>
      <c r="J45" s="75">
        <f t="shared" si="14"/>
        <v>18.396156249139597</v>
      </c>
      <c r="K45" s="124"/>
      <c r="L45" s="67"/>
      <c r="M45" s="67"/>
      <c r="N45" s="132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</row>
    <row r="46" spans="1:81" ht="15.75" customHeight="1" x14ac:dyDescent="0.25">
      <c r="A46" s="29" t="s">
        <v>62</v>
      </c>
      <c r="B46" s="26" t="s">
        <v>133</v>
      </c>
      <c r="C46" s="30"/>
      <c r="D46" s="45"/>
      <c r="E46" s="75"/>
      <c r="F46" s="75"/>
      <c r="G46" s="75"/>
      <c r="H46" s="75"/>
      <c r="I46" s="76"/>
      <c r="J46" s="75"/>
      <c r="K46" s="124"/>
      <c r="L46" s="67"/>
      <c r="M46" s="67"/>
      <c r="N46" s="132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</row>
    <row r="47" spans="1:81" ht="15.75" customHeight="1" x14ac:dyDescent="0.25">
      <c r="A47" s="29" t="s">
        <v>64</v>
      </c>
      <c r="B47" s="26" t="s">
        <v>65</v>
      </c>
      <c r="C47" s="27">
        <f>'[1]Д3(вробн)'!L51</f>
        <v>8853.211350704345</v>
      </c>
      <c r="D47" s="45">
        <f>C47/$C$55*1000</f>
        <v>52.244607382027183</v>
      </c>
      <c r="E47" s="75">
        <f>'[1]Д3(вробн)'!X51</f>
        <v>1493.9979893820862</v>
      </c>
      <c r="F47" s="75">
        <f t="shared" si="12"/>
        <v>54.550788418132221</v>
      </c>
      <c r="G47" s="75">
        <f>'[1]Д3(вробн)'!AB51</f>
        <v>1603.5335938870244</v>
      </c>
      <c r="H47" s="75">
        <f t="shared" si="13"/>
        <v>61.823942513189671</v>
      </c>
      <c r="I47" s="76">
        <f>'[1]Д3(вробн)'!P51</f>
        <v>10.078946026543205</v>
      </c>
      <c r="J47" s="75">
        <f t="shared" si="14"/>
        <v>55.50049849143565</v>
      </c>
      <c r="K47" s="124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</row>
    <row r="48" spans="1:81" ht="15.75" x14ac:dyDescent="0.25">
      <c r="A48" s="29" t="s">
        <v>66</v>
      </c>
      <c r="B48" s="26" t="s">
        <v>134</v>
      </c>
      <c r="C48" s="27">
        <f>'[1]Д3(вробн)'!L52</f>
        <v>3117.3559549539996</v>
      </c>
      <c r="D48" s="45">
        <f t="shared" si="11"/>
        <v>18.396153834465828</v>
      </c>
      <c r="E48" s="75">
        <f>'[1]Д3(вробн)'!X52</f>
        <v>503.820729712</v>
      </c>
      <c r="F48" s="75">
        <f>E48/$E$55*1000</f>
        <v>18.396154628397813</v>
      </c>
      <c r="G48" s="75">
        <f>'[1]Д3(вробн)'!AB52</f>
        <v>477.14282908199993</v>
      </c>
      <c r="H48" s="75">
        <f t="shared" si="13"/>
        <v>18.396153936656823</v>
      </c>
      <c r="I48" s="76">
        <f>'[1]Д3(вробн)'!P52</f>
        <v>3.3407603710000005</v>
      </c>
      <c r="J48" s="75">
        <f t="shared" si="14"/>
        <v>18.396156249139597</v>
      </c>
      <c r="K48" s="123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</row>
    <row r="49" spans="1:12" s="125" customFormat="1" ht="15.75" customHeight="1" x14ac:dyDescent="0.25">
      <c r="A49" s="46">
        <v>9</v>
      </c>
      <c r="B49" s="13" t="s">
        <v>135</v>
      </c>
      <c r="C49" s="36">
        <f>C40+C43+C42</f>
        <v>169153.15284677161</v>
      </c>
      <c r="D49" s="114">
        <f>C49/$C$55*1000</f>
        <v>998.20728409567846</v>
      </c>
      <c r="E49" s="115">
        <f>E40+E43+E42</f>
        <v>28020.262058666445</v>
      </c>
      <c r="F49" s="38">
        <f t="shared" si="12"/>
        <v>1023.1120776910323</v>
      </c>
      <c r="G49" s="55">
        <f>G40+G43+G42</f>
        <v>26738.635237147268</v>
      </c>
      <c r="H49" s="116">
        <f t="shared" si="13"/>
        <v>1030.9031591757266</v>
      </c>
      <c r="I49" s="55">
        <f>I40+I43+I42</f>
        <v>185.9828166907358</v>
      </c>
      <c r="J49" s="38">
        <f t="shared" si="14"/>
        <v>1024.1288136669721</v>
      </c>
      <c r="K49" s="124"/>
    </row>
    <row r="50" spans="1:12" s="125" customFormat="1" ht="15.75" customHeight="1" x14ac:dyDescent="0.25">
      <c r="A50" s="12">
        <v>10</v>
      </c>
      <c r="B50" s="13" t="s">
        <v>136</v>
      </c>
      <c r="C50" s="14">
        <f>C49/C55*1000</f>
        <v>998.20728409567846</v>
      </c>
      <c r="D50" s="45"/>
      <c r="E50" s="102">
        <f>E49/E55*1000</f>
        <v>1023.1120776910323</v>
      </c>
      <c r="F50" s="38"/>
      <c r="G50" s="102">
        <f>G49/G55*1000</f>
        <v>1030.9031591757266</v>
      </c>
      <c r="H50" s="75"/>
      <c r="I50" s="55">
        <f>I49/I55*1000</f>
        <v>1024.1288136669721</v>
      </c>
      <c r="J50" s="55"/>
      <c r="K50" s="124"/>
      <c r="L50" s="133"/>
    </row>
    <row r="51" spans="1:12" s="4" customFormat="1" ht="15.75" customHeight="1" x14ac:dyDescent="0.25">
      <c r="A51" s="29" t="s">
        <v>137</v>
      </c>
      <c r="B51" s="26" t="s">
        <v>138</v>
      </c>
      <c r="C51" s="30"/>
      <c r="D51" s="27">
        <f>D13</f>
        <v>675.8745412954197</v>
      </c>
      <c r="E51" s="27"/>
      <c r="F51" s="117">
        <f>F13</f>
        <v>675.87458105467545</v>
      </c>
      <c r="G51" s="27"/>
      <c r="H51" s="27">
        <f>H13</f>
        <v>675.87454540884039</v>
      </c>
      <c r="I51" s="27"/>
      <c r="J51" s="27">
        <f>J13</f>
        <v>675.87396848034973</v>
      </c>
      <c r="K51" s="134"/>
      <c r="L51" s="135"/>
    </row>
    <row r="52" spans="1:12" s="4" customFormat="1" ht="15.75" customHeight="1" x14ac:dyDescent="0.25">
      <c r="A52" s="29" t="s">
        <v>139</v>
      </c>
      <c r="B52" s="26" t="s">
        <v>140</v>
      </c>
      <c r="C52" s="30"/>
      <c r="D52" s="27">
        <f>D49-D51</f>
        <v>322.33274280025876</v>
      </c>
      <c r="E52" s="118"/>
      <c r="F52" s="118">
        <f>F49-F51</f>
        <v>347.23749663635681</v>
      </c>
      <c r="G52" s="118"/>
      <c r="H52" s="118">
        <f>H49-H51</f>
        <v>355.02861376688622</v>
      </c>
      <c r="I52" s="118"/>
      <c r="J52" s="118">
        <f>J49-J51</f>
        <v>348.25484518662233</v>
      </c>
      <c r="K52" s="134"/>
      <c r="L52" s="135"/>
    </row>
    <row r="53" spans="1:12" s="4" customFormat="1" ht="15.75" hidden="1" x14ac:dyDescent="0.25">
      <c r="A53" s="30" t="s">
        <v>70</v>
      </c>
      <c r="B53" s="26" t="s">
        <v>141</v>
      </c>
      <c r="C53" s="30"/>
      <c r="D53" s="27">
        <f>D51*100/D49</f>
        <v>67.708836838204945</v>
      </c>
      <c r="E53" s="118"/>
      <c r="F53" s="118">
        <f>F51*100/F49</f>
        <v>66.060659021834127</v>
      </c>
      <c r="G53" s="118"/>
      <c r="H53" s="118">
        <f>H51*100/H49</f>
        <v>65.561400156077269</v>
      </c>
      <c r="I53" s="118"/>
      <c r="J53" s="118">
        <f>J51*100/J49</f>
        <v>65.995015418063574</v>
      </c>
      <c r="K53" s="134"/>
      <c r="L53" s="135"/>
    </row>
    <row r="54" spans="1:12" s="4" customFormat="1" ht="15.75" hidden="1" x14ac:dyDescent="0.25">
      <c r="A54" s="30" t="s">
        <v>72</v>
      </c>
      <c r="B54" s="26" t="s">
        <v>142</v>
      </c>
      <c r="C54" s="30"/>
      <c r="D54" s="27">
        <f>100-D53</f>
        <v>32.291163161795055</v>
      </c>
      <c r="E54" s="118"/>
      <c r="F54" s="118">
        <f>100-F53</f>
        <v>33.939340978165873</v>
      </c>
      <c r="G54" s="118"/>
      <c r="H54" s="118">
        <f>100-H53</f>
        <v>34.438599843922731</v>
      </c>
      <c r="I54" s="118"/>
      <c r="J54" s="118">
        <f>100-J53</f>
        <v>34.004984581936426</v>
      </c>
      <c r="K54" s="134"/>
      <c r="L54" s="135"/>
    </row>
    <row r="55" spans="1:12" s="125" customFormat="1" ht="15.75" x14ac:dyDescent="0.25">
      <c r="A55" s="12">
        <v>11</v>
      </c>
      <c r="B55" s="119" t="s">
        <v>143</v>
      </c>
      <c r="C55" s="14">
        <f>'[1]5_Розрахунок тарифів'!J7</f>
        <v>169456.94099999999</v>
      </c>
      <c r="D55" s="12"/>
      <c r="E55" s="102">
        <f>'[1]5_Розрахунок тарифів'!L7</f>
        <v>27387.285</v>
      </c>
      <c r="F55" s="55"/>
      <c r="G55" s="55">
        <f>'[1]5_Розрахунок тарифів'!M7</f>
        <v>25937.097000000002</v>
      </c>
      <c r="H55" s="55"/>
      <c r="I55" s="55">
        <f>'[1]5_Розрахунок тарифів'!K7</f>
        <v>181.601</v>
      </c>
      <c r="J55" s="55"/>
      <c r="K55" s="124"/>
    </row>
    <row r="56" spans="1:12" s="128" customFormat="1" ht="15.75" customHeight="1" x14ac:dyDescent="0.25">
      <c r="A56" s="30">
        <v>12</v>
      </c>
      <c r="B56" s="120" t="s">
        <v>115</v>
      </c>
      <c r="C56" s="76">
        <f>'[1]5_Розрахунок тарифів'!J25</f>
        <v>9.3657913875369569</v>
      </c>
      <c r="D56" s="52"/>
      <c r="E56" s="76">
        <f>'[1]5_Розрахунок тарифів'!L25</f>
        <v>12.110576755610856</v>
      </c>
      <c r="F56" s="76"/>
      <c r="G56" s="76">
        <f>'[1]5_Розрахунок тарифів'!M25</f>
        <v>13.07487646810244</v>
      </c>
      <c r="H56" s="76"/>
      <c r="I56" s="76">
        <f>'[1]5_Розрахунок тарифів'!K25</f>
        <v>12.236526345052912</v>
      </c>
      <c r="J56" s="76"/>
      <c r="K56" s="136"/>
    </row>
    <row r="57" spans="1:12" s="138" customFormat="1" ht="14.25" customHeight="1" x14ac:dyDescent="0.3">
      <c r="A57" s="404"/>
      <c r="B57" s="404"/>
      <c r="C57" s="65"/>
      <c r="D57" s="65"/>
      <c r="E57" s="404"/>
      <c r="F57" s="404"/>
      <c r="G57" s="405"/>
      <c r="H57" s="405"/>
      <c r="I57" s="405"/>
      <c r="J57" s="121"/>
      <c r="K57" s="137"/>
    </row>
    <row r="58" spans="1:12" ht="10.5" customHeight="1" x14ac:dyDescent="0.2">
      <c r="B58" s="252"/>
      <c r="C58" s="65"/>
      <c r="D58" s="65"/>
      <c r="E58" s="385"/>
      <c r="F58" s="385"/>
    </row>
    <row r="59" spans="1:12" ht="15.75" x14ac:dyDescent="0.25">
      <c r="B59" s="258" t="s">
        <v>237</v>
      </c>
      <c r="C59" s="94"/>
      <c r="D59" s="94"/>
      <c r="E59" s="94"/>
      <c r="F59" s="94"/>
      <c r="G59" s="139"/>
    </row>
    <row r="60" spans="1:12" ht="15.75" x14ac:dyDescent="0.25">
      <c r="B60" s="258" t="s">
        <v>238</v>
      </c>
      <c r="C60" s="94"/>
      <c r="D60" s="94"/>
      <c r="E60" s="380" t="s">
        <v>239</v>
      </c>
      <c r="F60" s="381"/>
      <c r="G60" s="139"/>
      <c r="H60" s="139"/>
      <c r="I60" s="139"/>
      <c r="J60" s="139"/>
    </row>
    <row r="61" spans="1:12" ht="20.25" x14ac:dyDescent="0.3">
      <c r="A61" s="140"/>
      <c r="B61" s="140"/>
      <c r="C61" s="140"/>
      <c r="D61" s="140"/>
      <c r="E61" s="140"/>
      <c r="F61" s="140"/>
      <c r="G61" s="140"/>
      <c r="H61" s="140"/>
      <c r="I61" s="140"/>
      <c r="J61" s="140"/>
    </row>
  </sheetData>
  <mergeCells count="15">
    <mergeCell ref="E60:F60"/>
    <mergeCell ref="E58:F58"/>
    <mergeCell ref="I3:L3"/>
    <mergeCell ref="I8:J8"/>
    <mergeCell ref="A57:B57"/>
    <mergeCell ref="E57:F57"/>
    <mergeCell ref="G57:I57"/>
    <mergeCell ref="B5:H5"/>
    <mergeCell ref="B6:H6"/>
    <mergeCell ref="B7:F7"/>
    <mergeCell ref="A8:A9"/>
    <mergeCell ref="B8:B9"/>
    <mergeCell ref="C8:D8"/>
    <mergeCell ref="E8:F8"/>
    <mergeCell ref="G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9"/>
  <sheetViews>
    <sheetView view="pageBreakPreview" zoomScale="60" zoomScaleNormal="100" workbookViewId="0">
      <selection activeCell="E1" sqref="E1"/>
    </sheetView>
  </sheetViews>
  <sheetFormatPr defaultColWidth="0" defaultRowHeight="12.75" x14ac:dyDescent="0.2"/>
  <cols>
    <col min="1" max="1" width="7" style="4" customWidth="1"/>
    <col min="2" max="2" width="50.42578125" style="4" customWidth="1"/>
    <col min="3" max="3" width="13.85546875" style="4" bestFit="1" customWidth="1"/>
    <col min="4" max="4" width="10.7109375" style="4" customWidth="1"/>
    <col min="5" max="5" width="12.7109375" style="187" customWidth="1"/>
    <col min="6" max="6" width="10.28515625" style="187" customWidth="1"/>
    <col min="7" max="7" width="12.42578125" style="4" customWidth="1"/>
    <col min="8" max="8" width="10.28515625" style="4" customWidth="1"/>
    <col min="9" max="9" width="13.140625" style="4" bestFit="1" customWidth="1"/>
    <col min="10" max="10" width="13.5703125" style="4" hidden="1" customWidth="1"/>
    <col min="11" max="11" width="11.5703125" style="4" customWidth="1"/>
    <col min="12" max="12" width="12.42578125" style="4" bestFit="1" customWidth="1"/>
    <col min="13" max="244" width="11.5703125" style="4" customWidth="1"/>
    <col min="245" max="245" width="7" style="4" customWidth="1"/>
    <col min="246" max="246" width="65.7109375" style="4" customWidth="1"/>
    <col min="247" max="250" width="11.5703125" style="4" hidden="1" customWidth="1"/>
    <col min="251" max="251" width="14.42578125" style="4" customWidth="1"/>
    <col min="252" max="252" width="13.140625" style="4" customWidth="1"/>
    <col min="253" max="253" width="14.140625" style="4" customWidth="1"/>
    <col min="254" max="254" width="14" style="4" customWidth="1"/>
    <col min="255" max="255" width="11.5703125" style="4" hidden="1" customWidth="1"/>
    <col min="256" max="256" width="13.5703125" style="4" customWidth="1"/>
    <col min="257" max="16384" width="11.5703125" style="4" hidden="1"/>
  </cols>
  <sheetData>
    <row r="1" spans="1:15" x14ac:dyDescent="0.2">
      <c r="E1" s="435">
        <v>6</v>
      </c>
    </row>
    <row r="2" spans="1:15" ht="15.75" x14ac:dyDescent="0.25">
      <c r="H2" s="92" t="s">
        <v>0</v>
      </c>
      <c r="I2" s="92"/>
      <c r="J2" s="92"/>
    </row>
    <row r="3" spans="1:15" ht="15.75" x14ac:dyDescent="0.25">
      <c r="G3" s="263"/>
      <c r="H3" s="413" t="s">
        <v>240</v>
      </c>
      <c r="I3" s="414"/>
      <c r="J3" s="414"/>
      <c r="K3" s="414"/>
    </row>
    <row r="4" spans="1:15" ht="18" customHeight="1" x14ac:dyDescent="0.25">
      <c r="A4" s="1"/>
      <c r="B4" s="2"/>
      <c r="C4" s="2"/>
      <c r="D4" s="2"/>
      <c r="E4" s="3"/>
      <c r="F4" s="4"/>
      <c r="G4" s="263"/>
      <c r="H4" s="412" t="s">
        <v>241</v>
      </c>
      <c r="I4" s="381"/>
      <c r="J4" s="381"/>
      <c r="K4" s="381"/>
    </row>
    <row r="5" spans="1:15" ht="18" customHeight="1" x14ac:dyDescent="0.3">
      <c r="A5" s="1"/>
      <c r="B5" s="2"/>
      <c r="C5" s="2"/>
      <c r="D5" s="2"/>
      <c r="E5" s="3"/>
      <c r="F5" s="4"/>
      <c r="G5" s="263"/>
      <c r="H5" s="5"/>
      <c r="I5" s="95"/>
      <c r="J5" s="95"/>
      <c r="K5" s="95"/>
    </row>
    <row r="6" spans="1:15" ht="20.25" x14ac:dyDescent="0.2">
      <c r="A6" s="407" t="s">
        <v>247</v>
      </c>
      <c r="B6" s="407"/>
      <c r="C6" s="407"/>
      <c r="D6" s="407"/>
      <c r="E6" s="407"/>
      <c r="F6" s="407"/>
      <c r="G6" s="407"/>
      <c r="H6" s="407"/>
      <c r="I6" s="407"/>
      <c r="J6" s="6"/>
    </row>
    <row r="7" spans="1:15" ht="24.95" customHeight="1" x14ac:dyDescent="0.2">
      <c r="A7" s="407" t="s">
        <v>244</v>
      </c>
      <c r="B7" s="407"/>
      <c r="C7" s="407"/>
      <c r="D7" s="407"/>
      <c r="E7" s="407"/>
      <c r="F7" s="407"/>
      <c r="G7" s="407"/>
      <c r="H7" s="407"/>
      <c r="I7" s="407"/>
      <c r="J7" s="6"/>
    </row>
    <row r="8" spans="1:15" ht="20.25" customHeight="1" x14ac:dyDescent="0.3">
      <c r="B8" s="408"/>
      <c r="C8" s="408"/>
      <c r="D8" s="408"/>
      <c r="E8" s="408"/>
      <c r="F8" s="408"/>
      <c r="I8" s="409" t="s">
        <v>1</v>
      </c>
      <c r="J8" s="409"/>
      <c r="K8" s="409"/>
    </row>
    <row r="9" spans="1:15" ht="12.75" customHeight="1" x14ac:dyDescent="0.2">
      <c r="A9" s="403" t="s">
        <v>2</v>
      </c>
      <c r="B9" s="403" t="s">
        <v>3</v>
      </c>
      <c r="C9" s="403" t="s">
        <v>4</v>
      </c>
      <c r="D9" s="403"/>
      <c r="E9" s="403" t="s">
        <v>5</v>
      </c>
      <c r="F9" s="403"/>
      <c r="G9" s="403" t="s">
        <v>6</v>
      </c>
      <c r="H9" s="403"/>
      <c r="I9" s="403" t="s">
        <v>7</v>
      </c>
      <c r="J9" s="403"/>
      <c r="K9" s="403"/>
    </row>
    <row r="10" spans="1:15" ht="36.75" customHeight="1" x14ac:dyDescent="0.2">
      <c r="A10" s="403"/>
      <c r="B10" s="403"/>
      <c r="C10" s="403"/>
      <c r="D10" s="403"/>
      <c r="E10" s="403"/>
      <c r="F10" s="403"/>
      <c r="G10" s="403"/>
      <c r="H10" s="403"/>
      <c r="I10" s="403"/>
      <c r="J10" s="403"/>
      <c r="K10" s="403"/>
    </row>
    <row r="11" spans="1:15" ht="15.6" customHeight="1" x14ac:dyDescent="0.2">
      <c r="A11" s="403"/>
      <c r="B11" s="403"/>
      <c r="C11" s="7" t="s">
        <v>8</v>
      </c>
      <c r="D11" s="7" t="s">
        <v>9</v>
      </c>
      <c r="E11" s="7" t="s">
        <v>8</v>
      </c>
      <c r="F11" s="7" t="s">
        <v>9</v>
      </c>
      <c r="G11" s="7" t="s">
        <v>8</v>
      </c>
      <c r="H11" s="7" t="s">
        <v>9</v>
      </c>
      <c r="I11" s="7" t="s">
        <v>8</v>
      </c>
      <c r="J11" s="7" t="s">
        <v>9</v>
      </c>
      <c r="K11" s="7" t="s">
        <v>9</v>
      </c>
    </row>
    <row r="12" spans="1:15" ht="15.75" customHeight="1" x14ac:dyDescent="0.2">
      <c r="A12" s="8">
        <v>1</v>
      </c>
      <c r="B12" s="8">
        <v>2</v>
      </c>
      <c r="C12" s="9">
        <v>3</v>
      </c>
      <c r="D12" s="9">
        <v>4</v>
      </c>
      <c r="E12" s="9">
        <v>5</v>
      </c>
      <c r="F12" s="10">
        <v>6</v>
      </c>
      <c r="G12" s="11">
        <v>7</v>
      </c>
      <c r="H12" s="10">
        <v>8</v>
      </c>
      <c r="I12" s="10">
        <v>9</v>
      </c>
      <c r="J12" s="11"/>
      <c r="K12" s="10">
        <v>10</v>
      </c>
    </row>
    <row r="13" spans="1:15" s="125" customFormat="1" ht="15.75" customHeight="1" x14ac:dyDescent="0.25">
      <c r="A13" s="12">
        <v>1</v>
      </c>
      <c r="B13" s="13" t="s">
        <v>10</v>
      </c>
      <c r="C13" s="14">
        <f t="shared" ref="C13:K13" si="0">C14+C19+C20+C24</f>
        <v>17200.156567170001</v>
      </c>
      <c r="D13" s="15">
        <f t="shared" si="0"/>
        <v>132.83000000000001</v>
      </c>
      <c r="E13" s="14">
        <f t="shared" si="0"/>
        <v>2914.1439122400002</v>
      </c>
      <c r="F13" s="15">
        <f t="shared" si="0"/>
        <v>133.36000000000001</v>
      </c>
      <c r="G13" s="15">
        <f t="shared" si="0"/>
        <v>3140.7000988299997</v>
      </c>
      <c r="H13" s="15">
        <f t="shared" si="0"/>
        <v>133.90999999999997</v>
      </c>
      <c r="I13" s="15">
        <f t="shared" si="0"/>
        <v>19.152546559999998</v>
      </c>
      <c r="J13" s="13">
        <f t="shared" si="0"/>
        <v>0</v>
      </c>
      <c r="K13" s="14">
        <f t="shared" si="0"/>
        <v>129.91999999999999</v>
      </c>
    </row>
    <row r="14" spans="1:15" s="125" customFormat="1" ht="15.75" customHeight="1" x14ac:dyDescent="0.25">
      <c r="A14" s="16" t="s">
        <v>11</v>
      </c>
      <c r="B14" s="13" t="s">
        <v>12</v>
      </c>
      <c r="C14" s="14">
        <f>C15+C16+C17+C18</f>
        <v>17200.156567170001</v>
      </c>
      <c r="D14" s="15">
        <f t="shared" ref="D14:K14" si="1">D15+D16+D17+D18</f>
        <v>132.83000000000001</v>
      </c>
      <c r="E14" s="14">
        <f t="shared" si="1"/>
        <v>2914.1439122400002</v>
      </c>
      <c r="F14" s="15">
        <f t="shared" si="1"/>
        <v>133.36000000000001</v>
      </c>
      <c r="G14" s="15">
        <f t="shared" si="1"/>
        <v>3140.7000988299997</v>
      </c>
      <c r="H14" s="15">
        <f t="shared" si="1"/>
        <v>133.90999999999997</v>
      </c>
      <c r="I14" s="15">
        <f t="shared" si="1"/>
        <v>19.152546559999998</v>
      </c>
      <c r="J14" s="13">
        <f t="shared" si="1"/>
        <v>0</v>
      </c>
      <c r="K14" s="14">
        <f t="shared" si="1"/>
        <v>129.91999999999999</v>
      </c>
      <c r="O14" s="177"/>
    </row>
    <row r="15" spans="1:15" s="178" customFormat="1" ht="15.75" customHeight="1" x14ac:dyDescent="0.25">
      <c r="A15" s="17" t="s">
        <v>13</v>
      </c>
      <c r="B15" s="18" t="s">
        <v>14</v>
      </c>
      <c r="C15" s="19">
        <f>[2]Д4!K12</f>
        <v>0</v>
      </c>
      <c r="D15" s="20"/>
      <c r="E15" s="21"/>
      <c r="F15" s="21"/>
      <c r="G15" s="21"/>
      <c r="H15" s="21"/>
      <c r="I15" s="21"/>
      <c r="J15" s="21"/>
      <c r="K15" s="22"/>
    </row>
    <row r="16" spans="1:15" s="178" customFormat="1" ht="31.5" customHeight="1" x14ac:dyDescent="0.25">
      <c r="A16" s="17" t="s">
        <v>15</v>
      </c>
      <c r="B16" s="18" t="s">
        <v>16</v>
      </c>
      <c r="C16" s="19">
        <f>'[1]Д4(транспорт)'!K15</f>
        <v>17200.156567170001</v>
      </c>
      <c r="D16" s="23">
        <f>C16/$C$54*1000</f>
        <v>132.83000000000001</v>
      </c>
      <c r="E16" s="19">
        <f>'[1]Д4(транспорт)'!S15</f>
        <v>2914.1439122400002</v>
      </c>
      <c r="F16" s="23">
        <f>E16/$E$54*1000</f>
        <v>133.36000000000001</v>
      </c>
      <c r="G16" s="23">
        <f>'[1]Д4(транспорт)'!W15</f>
        <v>3140.7000988299997</v>
      </c>
      <c r="H16" s="23">
        <f>G16/$G$54*1000</f>
        <v>133.90999999999997</v>
      </c>
      <c r="I16" s="23">
        <f>'[1]Д4(транспорт)'!O15</f>
        <v>19.152546559999998</v>
      </c>
      <c r="J16" s="23"/>
      <c r="K16" s="19">
        <f>I16/$I$54*1000</f>
        <v>129.91999999999999</v>
      </c>
    </row>
    <row r="17" spans="1:13" s="178" customFormat="1" ht="15.75" customHeight="1" x14ac:dyDescent="0.25">
      <c r="A17" s="17" t="s">
        <v>17</v>
      </c>
      <c r="B17" s="18" t="s">
        <v>18</v>
      </c>
      <c r="C17" s="24"/>
      <c r="D17" s="23"/>
      <c r="E17" s="21"/>
      <c r="F17" s="21"/>
      <c r="G17" s="21"/>
      <c r="H17" s="21"/>
      <c r="I17" s="21"/>
      <c r="J17" s="21"/>
      <c r="K17" s="25"/>
    </row>
    <row r="18" spans="1:13" s="178" customFormat="1" ht="15.75" customHeight="1" x14ac:dyDescent="0.25">
      <c r="A18" s="17" t="s">
        <v>19</v>
      </c>
      <c r="B18" s="18" t="s">
        <v>20</v>
      </c>
      <c r="C18" s="24"/>
      <c r="D18" s="23"/>
      <c r="E18" s="21"/>
      <c r="F18" s="21"/>
      <c r="G18" s="21"/>
      <c r="H18" s="21"/>
      <c r="I18" s="21"/>
      <c r="J18" s="21"/>
      <c r="K18" s="25"/>
    </row>
    <row r="19" spans="1:13" ht="15.75" x14ac:dyDescent="0.25">
      <c r="A19" s="17" t="s">
        <v>21</v>
      </c>
      <c r="B19" s="26" t="s">
        <v>22</v>
      </c>
      <c r="C19" s="27"/>
      <c r="D19" s="23"/>
      <c r="E19" s="28"/>
      <c r="F19" s="21"/>
      <c r="G19" s="28"/>
      <c r="H19" s="21"/>
      <c r="I19" s="28"/>
      <c r="J19" s="28"/>
      <c r="K19" s="25"/>
    </row>
    <row r="20" spans="1:13" ht="15.75" customHeight="1" x14ac:dyDescent="0.25">
      <c r="A20" s="29" t="s">
        <v>23</v>
      </c>
      <c r="B20" s="26" t="s">
        <v>24</v>
      </c>
      <c r="C20" s="30"/>
      <c r="D20" s="23"/>
      <c r="E20" s="30"/>
      <c r="F20" s="21"/>
      <c r="G20" s="30"/>
      <c r="H20" s="21"/>
      <c r="I20" s="31"/>
      <c r="J20" s="26">
        <f t="shared" ref="J20" si="2">J22+J23</f>
        <v>0</v>
      </c>
      <c r="K20" s="25"/>
    </row>
    <row r="21" spans="1:13" ht="15.75" x14ac:dyDescent="0.25">
      <c r="A21" s="17" t="s">
        <v>25</v>
      </c>
      <c r="B21" s="26" t="s">
        <v>26</v>
      </c>
      <c r="C21" s="27"/>
      <c r="D21" s="23"/>
      <c r="E21" s="28"/>
      <c r="F21" s="21"/>
      <c r="G21" s="28"/>
      <c r="H21" s="21"/>
      <c r="I21" s="28"/>
      <c r="J21" s="28"/>
      <c r="K21" s="25"/>
    </row>
    <row r="22" spans="1:13" s="178" customFormat="1" ht="15.75" customHeight="1" x14ac:dyDescent="0.25">
      <c r="A22" s="17" t="s">
        <v>27</v>
      </c>
      <c r="B22" s="32" t="s">
        <v>28</v>
      </c>
      <c r="C22" s="20"/>
      <c r="D22" s="23"/>
      <c r="E22" s="21"/>
      <c r="F22" s="21"/>
      <c r="G22" s="21"/>
      <c r="H22" s="21"/>
      <c r="I22" s="21"/>
      <c r="J22" s="21"/>
      <c r="K22" s="25"/>
      <c r="M22" s="179"/>
    </row>
    <row r="23" spans="1:13" s="178" customFormat="1" ht="15.75" customHeight="1" x14ac:dyDescent="0.25">
      <c r="A23" s="17" t="s">
        <v>29</v>
      </c>
      <c r="B23" s="18" t="s">
        <v>30</v>
      </c>
      <c r="C23" s="20"/>
      <c r="D23" s="23"/>
      <c r="E23" s="21"/>
      <c r="F23" s="21"/>
      <c r="G23" s="21"/>
      <c r="H23" s="21"/>
      <c r="I23" s="21"/>
      <c r="J23" s="21"/>
      <c r="K23" s="25"/>
    </row>
    <row r="24" spans="1:13" s="125" customFormat="1" ht="15.75" customHeight="1" x14ac:dyDescent="0.25">
      <c r="A24" s="16" t="s">
        <v>31</v>
      </c>
      <c r="B24" s="13" t="s">
        <v>32</v>
      </c>
      <c r="C24" s="31">
        <f>C25+C27</f>
        <v>0</v>
      </c>
      <c r="D24" s="23">
        <f>C24/$C$54*1000</f>
        <v>0</v>
      </c>
      <c r="E24" s="31">
        <f>E25+E27</f>
        <v>0</v>
      </c>
      <c r="F24" s="21">
        <f>E24/$E$54*1000</f>
        <v>0</v>
      </c>
      <c r="G24" s="31">
        <f>G25+G27</f>
        <v>0</v>
      </c>
      <c r="H24" s="21">
        <f>G24/$G$54*1000</f>
        <v>0</v>
      </c>
      <c r="I24" s="31">
        <f t="shared" ref="I24:K24" si="3">I25+I27</f>
        <v>0</v>
      </c>
      <c r="J24" s="31">
        <f t="shared" si="3"/>
        <v>0</v>
      </c>
      <c r="K24" s="31">
        <f t="shared" si="3"/>
        <v>0</v>
      </c>
      <c r="L24" s="133"/>
    </row>
    <row r="25" spans="1:13" s="178" customFormat="1" ht="15.75" customHeight="1" x14ac:dyDescent="0.2">
      <c r="A25" s="17" t="s">
        <v>33</v>
      </c>
      <c r="B25" s="18" t="s">
        <v>34</v>
      </c>
      <c r="C25" s="24"/>
      <c r="D25" s="23"/>
      <c r="E25" s="21"/>
      <c r="F25" s="21"/>
      <c r="G25" s="21"/>
      <c r="H25" s="21"/>
      <c r="I25" s="21"/>
      <c r="J25" s="21"/>
      <c r="K25" s="25"/>
      <c r="L25" s="133"/>
    </row>
    <row r="26" spans="1:13" s="178" customFormat="1" ht="15.75" customHeight="1" x14ac:dyDescent="0.2">
      <c r="A26" s="17" t="s">
        <v>35</v>
      </c>
      <c r="B26" s="18" t="s">
        <v>26</v>
      </c>
      <c r="C26" s="24"/>
      <c r="D26" s="23"/>
      <c r="E26" s="21"/>
      <c r="F26" s="21"/>
      <c r="G26" s="21"/>
      <c r="H26" s="21"/>
      <c r="I26" s="21"/>
      <c r="J26" s="21"/>
      <c r="K26" s="25"/>
      <c r="L26" s="133"/>
    </row>
    <row r="27" spans="1:13" s="178" customFormat="1" ht="15.75" customHeight="1" x14ac:dyDescent="0.2">
      <c r="A27" s="17" t="s">
        <v>36</v>
      </c>
      <c r="B27" s="18" t="s">
        <v>37</v>
      </c>
      <c r="C27" s="24"/>
      <c r="D27" s="23"/>
      <c r="E27" s="21"/>
      <c r="F27" s="21"/>
      <c r="G27" s="21"/>
      <c r="H27" s="21"/>
      <c r="I27" s="21"/>
      <c r="J27" s="21"/>
      <c r="K27" s="25"/>
      <c r="L27" s="133"/>
    </row>
    <row r="28" spans="1:13" s="125" customFormat="1" ht="15.75" customHeight="1" x14ac:dyDescent="0.25">
      <c r="A28" s="16">
        <v>2</v>
      </c>
      <c r="B28" s="13" t="s">
        <v>38</v>
      </c>
      <c r="C28" s="31">
        <f>C29+C31</f>
        <v>0</v>
      </c>
      <c r="D28" s="23">
        <f>C28/$C$54*1000</f>
        <v>0</v>
      </c>
      <c r="E28" s="31">
        <f t="shared" ref="E28:K28" si="4">E29+E31</f>
        <v>0</v>
      </c>
      <c r="F28" s="21">
        <f>E28/$E$54*1000</f>
        <v>0</v>
      </c>
      <c r="G28" s="31">
        <f t="shared" si="4"/>
        <v>0</v>
      </c>
      <c r="H28" s="21">
        <f>G28/$G$54*1000</f>
        <v>0</v>
      </c>
      <c r="I28" s="31">
        <f t="shared" si="4"/>
        <v>0</v>
      </c>
      <c r="J28" s="31">
        <f t="shared" si="4"/>
        <v>0</v>
      </c>
      <c r="K28" s="31">
        <f t="shared" si="4"/>
        <v>0</v>
      </c>
      <c r="L28" s="133"/>
    </row>
    <row r="29" spans="1:13" s="178" customFormat="1" ht="15.75" customHeight="1" x14ac:dyDescent="0.2">
      <c r="A29" s="17" t="s">
        <v>39</v>
      </c>
      <c r="B29" s="18" t="s">
        <v>40</v>
      </c>
      <c r="C29" s="24"/>
      <c r="D29" s="23"/>
      <c r="E29" s="21"/>
      <c r="F29" s="21"/>
      <c r="G29" s="21"/>
      <c r="H29" s="21"/>
      <c r="I29" s="21"/>
      <c r="J29" s="21"/>
      <c r="K29" s="25"/>
      <c r="L29" s="133"/>
    </row>
    <row r="30" spans="1:13" s="178" customFormat="1" ht="15.75" customHeight="1" x14ac:dyDescent="0.2">
      <c r="A30" s="17" t="s">
        <v>41</v>
      </c>
      <c r="B30" s="18" t="s">
        <v>26</v>
      </c>
      <c r="C30" s="24"/>
      <c r="D30" s="23"/>
      <c r="E30" s="21"/>
      <c r="F30" s="21"/>
      <c r="G30" s="21"/>
      <c r="H30" s="21"/>
      <c r="I30" s="21"/>
      <c r="J30" s="21"/>
      <c r="K30" s="25"/>
      <c r="L30" s="133"/>
    </row>
    <row r="31" spans="1:13" s="178" customFormat="1" ht="15.75" customHeight="1" x14ac:dyDescent="0.25">
      <c r="A31" s="17" t="s">
        <v>42</v>
      </c>
      <c r="B31" s="18" t="s">
        <v>37</v>
      </c>
      <c r="C31" s="24"/>
      <c r="D31" s="23"/>
      <c r="E31" s="21"/>
      <c r="F31" s="21"/>
      <c r="G31" s="21"/>
      <c r="H31" s="21"/>
      <c r="I31" s="21"/>
      <c r="J31" s="21"/>
      <c r="K31" s="25"/>
    </row>
    <row r="32" spans="1:13" s="178" customFormat="1" ht="15.75" customHeight="1" x14ac:dyDescent="0.25">
      <c r="A32" s="33" t="s">
        <v>43</v>
      </c>
      <c r="B32" s="34" t="s">
        <v>44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2" s="178" customFormat="1" ht="15.75" customHeight="1" x14ac:dyDescent="0.25">
      <c r="A33" s="17" t="s">
        <v>45</v>
      </c>
      <c r="B33" s="18" t="s">
        <v>34</v>
      </c>
      <c r="C33" s="24"/>
      <c r="D33" s="23"/>
      <c r="E33" s="21"/>
      <c r="F33" s="21"/>
      <c r="G33" s="21"/>
      <c r="H33" s="21"/>
      <c r="I33" s="21"/>
      <c r="J33" s="21"/>
      <c r="K33" s="25"/>
    </row>
    <row r="34" spans="1:12" s="178" customFormat="1" ht="15.75" customHeight="1" x14ac:dyDescent="0.25">
      <c r="A34" s="17" t="s">
        <v>46</v>
      </c>
      <c r="B34" s="18" t="s">
        <v>26</v>
      </c>
      <c r="C34" s="24"/>
      <c r="D34" s="23"/>
      <c r="E34" s="21"/>
      <c r="F34" s="21"/>
      <c r="G34" s="21"/>
      <c r="H34" s="21"/>
      <c r="I34" s="21"/>
      <c r="J34" s="21"/>
      <c r="K34" s="25"/>
    </row>
    <row r="35" spans="1:12" s="178" customFormat="1" ht="15.75" customHeight="1" x14ac:dyDescent="0.25">
      <c r="A35" s="17" t="s">
        <v>47</v>
      </c>
      <c r="B35" s="18" t="s">
        <v>37</v>
      </c>
      <c r="C35" s="24"/>
      <c r="D35" s="23"/>
      <c r="E35" s="21"/>
      <c r="F35" s="21"/>
      <c r="G35" s="21"/>
      <c r="H35" s="21"/>
      <c r="I35" s="21"/>
      <c r="J35" s="21"/>
      <c r="K35" s="25"/>
    </row>
    <row r="36" spans="1:12" s="125" customFormat="1" ht="15.75" customHeight="1" x14ac:dyDescent="0.25">
      <c r="A36" s="16" t="s">
        <v>48</v>
      </c>
      <c r="B36" s="13" t="s">
        <v>49</v>
      </c>
      <c r="C36" s="12"/>
      <c r="D36" s="23"/>
      <c r="E36" s="35"/>
      <c r="F36" s="21"/>
      <c r="G36" s="35"/>
      <c r="H36" s="21"/>
      <c r="I36" s="35"/>
      <c r="J36" s="35"/>
      <c r="K36" s="25"/>
    </row>
    <row r="37" spans="1:12" s="125" customFormat="1" ht="15.75" customHeight="1" x14ac:dyDescent="0.25">
      <c r="A37" s="16" t="s">
        <v>50</v>
      </c>
      <c r="B37" s="13" t="s">
        <v>51</v>
      </c>
      <c r="C37" s="12"/>
      <c r="D37" s="23"/>
      <c r="E37" s="35"/>
      <c r="F37" s="21"/>
      <c r="G37" s="35"/>
      <c r="H37" s="35"/>
      <c r="I37" s="35"/>
      <c r="J37" s="35"/>
      <c r="K37" s="25"/>
    </row>
    <row r="38" spans="1:12" s="125" customFormat="1" ht="15.75" customHeight="1" x14ac:dyDescent="0.25">
      <c r="A38" s="16" t="s">
        <v>52</v>
      </c>
      <c r="B38" s="13" t="s">
        <v>53</v>
      </c>
      <c r="C38" s="14">
        <f t="shared" ref="C38:K38" si="5">C13+C28+C36+C37</f>
        <v>17200.156567170001</v>
      </c>
      <c r="D38" s="15">
        <f t="shared" si="5"/>
        <v>132.83000000000001</v>
      </c>
      <c r="E38" s="15">
        <f t="shared" si="5"/>
        <v>2914.1439122400002</v>
      </c>
      <c r="F38" s="15">
        <f t="shared" si="5"/>
        <v>133.36000000000001</v>
      </c>
      <c r="G38" s="15">
        <f t="shared" si="5"/>
        <v>3140.7000988299997</v>
      </c>
      <c r="H38" s="15">
        <f t="shared" si="5"/>
        <v>133.90999999999997</v>
      </c>
      <c r="I38" s="15">
        <f t="shared" si="5"/>
        <v>19.152546559999998</v>
      </c>
      <c r="J38" s="13">
        <f t="shared" si="5"/>
        <v>0</v>
      </c>
      <c r="K38" s="14">
        <f t="shared" si="5"/>
        <v>129.91999999999999</v>
      </c>
      <c r="L38" s="180"/>
    </row>
    <row r="39" spans="1:12" s="125" customFormat="1" ht="15.75" customHeight="1" x14ac:dyDescent="0.25">
      <c r="A39" s="16" t="s">
        <v>54</v>
      </c>
      <c r="B39" s="13" t="s">
        <v>55</v>
      </c>
      <c r="C39" s="36">
        <f>'[1]Д4(транспорт)'!K38</f>
        <v>33879.763338359997</v>
      </c>
      <c r="D39" s="37">
        <f>C39/C54*1000</f>
        <v>261.64</v>
      </c>
      <c r="E39" s="38">
        <f>'[1]Д4(транспорт)'!S38</f>
        <v>5002.599148205999</v>
      </c>
      <c r="F39" s="38">
        <f>E39/E54*1000</f>
        <v>228.93399999999997</v>
      </c>
      <c r="G39" s="38">
        <f>'[1]Д4(транспорт)'!W38</f>
        <v>4622.9810804300005</v>
      </c>
      <c r="H39" s="38">
        <f>G39/G54*1000</f>
        <v>197.11</v>
      </c>
      <c r="I39" s="38">
        <f>'[1]Д4(транспорт)'!O38</f>
        <v>28.566660040000002</v>
      </c>
      <c r="J39" s="38"/>
      <c r="K39" s="39">
        <f>I39/I54*1000</f>
        <v>193.78</v>
      </c>
      <c r="L39" s="180"/>
    </row>
    <row r="40" spans="1:12" s="125" customFormat="1" ht="15.75" customHeight="1" x14ac:dyDescent="0.25">
      <c r="A40" s="16" t="s">
        <v>56</v>
      </c>
      <c r="B40" s="13" t="s">
        <v>57</v>
      </c>
      <c r="C40" s="12">
        <f>C41+C43+C44+C45</f>
        <v>0</v>
      </c>
      <c r="D40" s="12">
        <f t="shared" ref="D40:K40" si="6">D41+D43+D44+D45</f>
        <v>0</v>
      </c>
      <c r="E40" s="12">
        <f t="shared" si="6"/>
        <v>0</v>
      </c>
      <c r="F40" s="12">
        <f t="shared" si="6"/>
        <v>0</v>
      </c>
      <c r="G40" s="12">
        <f t="shared" si="6"/>
        <v>0</v>
      </c>
      <c r="H40" s="40">
        <f t="shared" si="6"/>
        <v>0</v>
      </c>
      <c r="I40" s="40">
        <f t="shared" si="6"/>
        <v>0</v>
      </c>
      <c r="J40" s="40">
        <f t="shared" si="6"/>
        <v>0</v>
      </c>
      <c r="K40" s="40">
        <f t="shared" si="6"/>
        <v>0</v>
      </c>
    </row>
    <row r="41" spans="1:12" s="178" customFormat="1" ht="15.75" customHeight="1" x14ac:dyDescent="0.25">
      <c r="A41" s="17" t="s">
        <v>58</v>
      </c>
      <c r="B41" s="18" t="s">
        <v>59</v>
      </c>
      <c r="C41" s="20"/>
      <c r="D41" s="20"/>
      <c r="E41" s="21"/>
      <c r="F41" s="21"/>
      <c r="G41" s="21"/>
      <c r="H41" s="21"/>
      <c r="I41" s="21"/>
      <c r="J41" s="21"/>
      <c r="K41" s="22"/>
    </row>
    <row r="42" spans="1:12" s="178" customFormat="1" ht="15.75" customHeight="1" x14ac:dyDescent="0.25">
      <c r="A42" s="17" t="s">
        <v>60</v>
      </c>
      <c r="B42" s="18" t="s">
        <v>61</v>
      </c>
      <c r="C42" s="20"/>
      <c r="D42" s="20"/>
      <c r="E42" s="21"/>
      <c r="F42" s="21"/>
      <c r="G42" s="21"/>
      <c r="H42" s="21"/>
      <c r="I42" s="21"/>
      <c r="J42" s="21"/>
      <c r="K42" s="22"/>
    </row>
    <row r="43" spans="1:12" s="178" customFormat="1" ht="15.75" customHeight="1" x14ac:dyDescent="0.25">
      <c r="A43" s="17" t="s">
        <v>62</v>
      </c>
      <c r="B43" s="18" t="s">
        <v>63</v>
      </c>
      <c r="C43" s="20"/>
      <c r="D43" s="20"/>
      <c r="E43" s="21"/>
      <c r="F43" s="21"/>
      <c r="G43" s="21"/>
      <c r="H43" s="21"/>
      <c r="I43" s="21"/>
      <c r="J43" s="21"/>
      <c r="K43" s="22"/>
    </row>
    <row r="44" spans="1:12" s="181" customFormat="1" ht="15.75" customHeight="1" x14ac:dyDescent="0.25">
      <c r="A44" s="17" t="s">
        <v>64</v>
      </c>
      <c r="B44" s="18" t="s">
        <v>65</v>
      </c>
      <c r="C44" s="20"/>
      <c r="D44" s="20"/>
      <c r="E44" s="21"/>
      <c r="F44" s="21"/>
      <c r="G44" s="21"/>
      <c r="H44" s="21"/>
      <c r="I44" s="21"/>
      <c r="J44" s="21"/>
      <c r="K44" s="41"/>
    </row>
    <row r="45" spans="1:12" s="178" customFormat="1" ht="15.75" customHeight="1" x14ac:dyDescent="0.25">
      <c r="A45" s="17" t="s">
        <v>66</v>
      </c>
      <c r="B45" s="18" t="s">
        <v>67</v>
      </c>
      <c r="C45" s="20"/>
      <c r="D45" s="20"/>
      <c r="E45" s="21"/>
      <c r="F45" s="21"/>
      <c r="G45" s="21"/>
      <c r="H45" s="21"/>
      <c r="I45" s="21"/>
      <c r="J45" s="21"/>
      <c r="K45" s="22"/>
    </row>
    <row r="46" spans="1:12" s="125" customFormat="1" ht="31.5" customHeight="1" x14ac:dyDescent="0.25">
      <c r="A46" s="33" t="s">
        <v>68</v>
      </c>
      <c r="B46" s="13" t="s">
        <v>69</v>
      </c>
      <c r="C46" s="14">
        <f>C38+C40+C39</f>
        <v>51079.919905529998</v>
      </c>
      <c r="D46" s="15">
        <f>D38+D39+D40</f>
        <v>394.47</v>
      </c>
      <c r="E46" s="15">
        <f>E38+E40+E39</f>
        <v>7916.7430604459987</v>
      </c>
      <c r="F46" s="15">
        <f>F38+F40+F39</f>
        <v>362.29399999999998</v>
      </c>
      <c r="G46" s="15">
        <f>G38+G40+G39</f>
        <v>7763.6811792600001</v>
      </c>
      <c r="H46" s="15">
        <f>H38+H40+H39</f>
        <v>331.02</v>
      </c>
      <c r="I46" s="15">
        <f>I38+I40+I39</f>
        <v>47.7192066</v>
      </c>
      <c r="J46" s="13">
        <f t="shared" ref="J46" si="7">J38+J40</f>
        <v>0</v>
      </c>
      <c r="K46" s="14">
        <f>K38+K40+K39</f>
        <v>323.7</v>
      </c>
      <c r="L46" s="182"/>
    </row>
    <row r="47" spans="1:12" s="125" customFormat="1" ht="33.75" customHeight="1" x14ac:dyDescent="0.25">
      <c r="A47" s="16" t="s">
        <v>70</v>
      </c>
      <c r="B47" s="13" t="s">
        <v>71</v>
      </c>
      <c r="C47" s="14">
        <f>C46/C54*1000</f>
        <v>394.46999999999997</v>
      </c>
      <c r="D47" s="12"/>
      <c r="E47" s="15">
        <f>E46/E54*1000</f>
        <v>362.29399999999993</v>
      </c>
      <c r="F47" s="12"/>
      <c r="G47" s="15">
        <f>G46/G54*1000</f>
        <v>331.02</v>
      </c>
      <c r="H47" s="15"/>
      <c r="I47" s="15">
        <f>I46/I54*1000</f>
        <v>323.7</v>
      </c>
      <c r="J47" s="13" t="e">
        <f t="shared" ref="J47" si="8">J46/J54*1000</f>
        <v>#DIV/0!</v>
      </c>
      <c r="K47" s="14"/>
    </row>
    <row r="48" spans="1:12" s="125" customFormat="1" ht="31.5" x14ac:dyDescent="0.25">
      <c r="A48" s="29" t="s">
        <v>72</v>
      </c>
      <c r="B48" s="42" t="s">
        <v>73</v>
      </c>
      <c r="C48" s="14">
        <f>[1]виробн!C53</f>
        <v>169456.94099999999</v>
      </c>
      <c r="D48" s="12"/>
      <c r="E48" s="15">
        <f>[1]виробн!E53</f>
        <v>27387.285</v>
      </c>
      <c r="F48" s="12"/>
      <c r="G48" s="15">
        <f>[1]виробн!G53</f>
        <v>25937.097000000002</v>
      </c>
      <c r="H48" s="15"/>
      <c r="I48" s="15">
        <f>[1]виробн!I53</f>
        <v>181.601</v>
      </c>
      <c r="J48" s="13"/>
      <c r="K48" s="14"/>
      <c r="L48" s="180"/>
    </row>
    <row r="49" spans="1:12" s="125" customFormat="1" ht="15.75" x14ac:dyDescent="0.25">
      <c r="A49" s="43" t="s">
        <v>74</v>
      </c>
      <c r="B49" s="44" t="s">
        <v>75</v>
      </c>
      <c r="C49" s="14">
        <v>169456.94099999999</v>
      </c>
      <c r="D49" s="12"/>
      <c r="E49" s="15">
        <v>27387.285</v>
      </c>
      <c r="F49" s="12"/>
      <c r="G49" s="15">
        <v>25937.097000000002</v>
      </c>
      <c r="H49" s="15"/>
      <c r="I49" s="15">
        <v>181.601</v>
      </c>
      <c r="J49" s="13"/>
      <c r="K49" s="14"/>
    </row>
    <row r="50" spans="1:12" s="125" customFormat="1" ht="31.5" x14ac:dyDescent="0.25">
      <c r="A50" s="43" t="s">
        <v>76</v>
      </c>
      <c r="B50" s="44" t="s">
        <v>77</v>
      </c>
      <c r="C50" s="14"/>
      <c r="D50" s="12"/>
      <c r="E50" s="15"/>
      <c r="F50" s="12"/>
      <c r="G50" s="15"/>
      <c r="H50" s="15"/>
      <c r="I50" s="15"/>
      <c r="J50" s="13"/>
      <c r="K50" s="14"/>
    </row>
    <row r="51" spans="1:12" s="125" customFormat="1" ht="31.5" x14ac:dyDescent="0.25">
      <c r="A51" s="43" t="s">
        <v>78</v>
      </c>
      <c r="B51" s="44" t="s">
        <v>79</v>
      </c>
      <c r="C51" s="14">
        <f>C48-C54</f>
        <v>39966.941999999995</v>
      </c>
      <c r="D51" s="14"/>
      <c r="E51" s="14">
        <f t="shared" ref="E51:I51" si="9">E48-E54</f>
        <v>5535.5760000000009</v>
      </c>
      <c r="F51" s="14"/>
      <c r="G51" s="14">
        <f t="shared" si="9"/>
        <v>2483.2839999999997</v>
      </c>
      <c r="H51" s="14"/>
      <c r="I51" s="14">
        <f t="shared" si="9"/>
        <v>34.182999999999993</v>
      </c>
      <c r="J51" s="13"/>
      <c r="K51" s="14"/>
    </row>
    <row r="52" spans="1:12" s="125" customFormat="1" ht="15.75" x14ac:dyDescent="0.25">
      <c r="A52" s="43" t="s">
        <v>80</v>
      </c>
      <c r="B52" s="44" t="s">
        <v>75</v>
      </c>
      <c r="C52" s="14">
        <v>39966.941999999995</v>
      </c>
      <c r="D52" s="12"/>
      <c r="E52" s="15">
        <v>5535.5760000000009</v>
      </c>
      <c r="F52" s="12"/>
      <c r="G52" s="15">
        <v>2483.2839999999997</v>
      </c>
      <c r="H52" s="15"/>
      <c r="I52" s="15">
        <v>34.182999999999993</v>
      </c>
      <c r="J52" s="13"/>
      <c r="K52" s="14"/>
    </row>
    <row r="53" spans="1:12" s="125" customFormat="1" ht="15.75" x14ac:dyDescent="0.25">
      <c r="A53" s="43" t="s">
        <v>81</v>
      </c>
      <c r="B53" s="44" t="s">
        <v>82</v>
      </c>
      <c r="C53" s="14"/>
      <c r="D53" s="12"/>
      <c r="E53" s="15"/>
      <c r="F53" s="12"/>
      <c r="G53" s="15"/>
      <c r="H53" s="15"/>
      <c r="I53" s="15"/>
      <c r="J53" s="13"/>
      <c r="K53" s="14"/>
    </row>
    <row r="54" spans="1:12" s="184" customFormat="1" ht="31.5" customHeight="1" x14ac:dyDescent="0.25">
      <c r="A54" s="46">
        <v>13</v>
      </c>
      <c r="B54" s="47" t="s">
        <v>83</v>
      </c>
      <c r="C54" s="48">
        <f>'[1]Д3(вробн)'!L57</f>
        <v>129489.999</v>
      </c>
      <c r="D54" s="46"/>
      <c r="E54" s="48">
        <f>'[1]Д3(вробн)'!X57</f>
        <v>21851.708999999999</v>
      </c>
      <c r="F54" s="35"/>
      <c r="G54" s="48">
        <f>'[1]Д4(транспорт)'!W61</f>
        <v>23453.813000000002</v>
      </c>
      <c r="H54" s="35"/>
      <c r="I54" s="48">
        <f>[1]Д2!F34</f>
        <v>147.41800000000001</v>
      </c>
      <c r="J54" s="35"/>
      <c r="K54" s="49"/>
      <c r="L54" s="183"/>
    </row>
    <row r="55" spans="1:12" s="125" customFormat="1" ht="15.75" x14ac:dyDescent="0.25">
      <c r="A55" s="43" t="s">
        <v>84</v>
      </c>
      <c r="B55" s="44" t="s">
        <v>85</v>
      </c>
      <c r="C55" s="50"/>
      <c r="D55" s="12"/>
      <c r="E55" s="50"/>
      <c r="F55" s="35"/>
      <c r="G55" s="50"/>
      <c r="H55" s="35"/>
      <c r="I55" s="50"/>
      <c r="J55" s="35"/>
      <c r="K55" s="51"/>
    </row>
    <row r="56" spans="1:12" s="125" customFormat="1" ht="31.5" x14ac:dyDescent="0.25">
      <c r="A56" s="43" t="s">
        <v>86</v>
      </c>
      <c r="B56" s="44" t="s">
        <v>87</v>
      </c>
      <c r="C56" s="50"/>
      <c r="D56" s="12"/>
      <c r="E56" s="50"/>
      <c r="F56" s="35"/>
      <c r="G56" s="50"/>
      <c r="H56" s="35"/>
      <c r="I56" s="50"/>
      <c r="J56" s="35"/>
      <c r="K56" s="51"/>
    </row>
    <row r="57" spans="1:12" s="125" customFormat="1" ht="31.5" hidden="1" x14ac:dyDescent="0.25">
      <c r="A57" s="43" t="s">
        <v>88</v>
      </c>
      <c r="B57" s="44" t="s">
        <v>89</v>
      </c>
      <c r="C57" s="50"/>
      <c r="D57" s="12"/>
      <c r="E57" s="50"/>
      <c r="F57" s="35"/>
      <c r="G57" s="50"/>
      <c r="H57" s="35"/>
      <c r="I57" s="50"/>
      <c r="J57" s="35"/>
      <c r="K57" s="51"/>
    </row>
    <row r="58" spans="1:12" s="125" customFormat="1" ht="15.75" hidden="1" x14ac:dyDescent="0.25">
      <c r="A58" s="43" t="s">
        <v>90</v>
      </c>
      <c r="B58" s="44" t="s">
        <v>91</v>
      </c>
      <c r="C58" s="50">
        <f>C54</f>
        <v>129489.999</v>
      </c>
      <c r="D58" s="12"/>
      <c r="E58" s="50"/>
      <c r="F58" s="35"/>
      <c r="G58" s="50"/>
      <c r="H58" s="35"/>
      <c r="I58" s="50"/>
      <c r="J58" s="35"/>
      <c r="K58" s="51"/>
    </row>
    <row r="59" spans="1:12" s="125" customFormat="1" ht="15.75" hidden="1" x14ac:dyDescent="0.25">
      <c r="A59" s="43" t="s">
        <v>92</v>
      </c>
      <c r="B59" s="44" t="s">
        <v>93</v>
      </c>
      <c r="C59" s="50"/>
      <c r="D59" s="12"/>
      <c r="E59" s="50"/>
      <c r="F59" s="35"/>
      <c r="G59" s="50"/>
      <c r="H59" s="35"/>
      <c r="I59" s="50">
        <f>I54</f>
        <v>147.41800000000001</v>
      </c>
      <c r="J59" s="35"/>
      <c r="K59" s="51"/>
    </row>
    <row r="60" spans="1:12" s="125" customFormat="1" ht="15.75" hidden="1" x14ac:dyDescent="0.25">
      <c r="A60" s="43" t="s">
        <v>94</v>
      </c>
      <c r="B60" s="44" t="s">
        <v>95</v>
      </c>
      <c r="C60" s="50"/>
      <c r="D60" s="12"/>
      <c r="E60" s="50">
        <f>E54</f>
        <v>21851.708999999999</v>
      </c>
      <c r="F60" s="35"/>
      <c r="G60" s="50"/>
      <c r="H60" s="35"/>
      <c r="I60" s="50"/>
      <c r="J60" s="35"/>
      <c r="K60" s="51"/>
    </row>
    <row r="61" spans="1:12" s="125" customFormat="1" ht="15.75" hidden="1" x14ac:dyDescent="0.25">
      <c r="A61" s="43" t="s">
        <v>96</v>
      </c>
      <c r="B61" s="44" t="s">
        <v>97</v>
      </c>
      <c r="C61" s="50"/>
      <c r="D61" s="12"/>
      <c r="E61" s="50"/>
      <c r="F61" s="35"/>
      <c r="G61" s="50">
        <f>G54</f>
        <v>23453.813000000002</v>
      </c>
      <c r="H61" s="35"/>
      <c r="I61" s="50"/>
      <c r="J61" s="35"/>
      <c r="K61" s="51"/>
    </row>
    <row r="62" spans="1:12" s="125" customFormat="1" ht="47.25" x14ac:dyDescent="0.25">
      <c r="A62" s="43" t="s">
        <v>98</v>
      </c>
      <c r="B62" s="44" t="s">
        <v>99</v>
      </c>
      <c r="C62" s="50">
        <v>129489.999</v>
      </c>
      <c r="D62" s="12"/>
      <c r="E62" s="50">
        <v>21851.708999999999</v>
      </c>
      <c r="F62" s="35"/>
      <c r="G62" s="50">
        <f>'[1]Д4(транспорт)'!W61</f>
        <v>23453.813000000002</v>
      </c>
      <c r="H62" s="35"/>
      <c r="I62" s="50">
        <v>147.41800000000001</v>
      </c>
      <c r="J62" s="35"/>
      <c r="K62" s="51"/>
    </row>
    <row r="63" spans="1:12" ht="31.5" x14ac:dyDescent="0.25">
      <c r="A63" s="52">
        <v>14</v>
      </c>
      <c r="B63" s="44" t="s">
        <v>100</v>
      </c>
      <c r="C63" s="53"/>
      <c r="D63" s="54">
        <f>C47</f>
        <v>394.46999999999997</v>
      </c>
      <c r="E63" s="55"/>
      <c r="F63" s="55">
        <f>E47</f>
        <v>362.29399999999993</v>
      </c>
      <c r="G63" s="55"/>
      <c r="H63" s="55">
        <f>G47</f>
        <v>331.02</v>
      </c>
      <c r="I63" s="28"/>
      <c r="J63" s="28"/>
      <c r="K63" s="56">
        <f>I47</f>
        <v>323.7</v>
      </c>
    </row>
    <row r="64" spans="1:12" ht="15.75" x14ac:dyDescent="0.25">
      <c r="A64" s="57"/>
      <c r="B64" s="58"/>
      <c r="C64" s="59"/>
      <c r="D64" s="60"/>
      <c r="E64" s="61"/>
      <c r="F64" s="61"/>
      <c r="G64" s="61"/>
      <c r="H64" s="61"/>
      <c r="I64" s="62"/>
      <c r="J64" s="62"/>
      <c r="K64" s="63"/>
    </row>
    <row r="65" spans="1:11" ht="6" customHeight="1" x14ac:dyDescent="0.25">
      <c r="A65" s="57"/>
      <c r="B65" s="58"/>
      <c r="C65" s="64"/>
      <c r="D65" s="60"/>
      <c r="E65" s="61"/>
      <c r="F65" s="61"/>
      <c r="G65" s="61"/>
      <c r="H65" s="61"/>
      <c r="I65" s="62"/>
      <c r="J65" s="62"/>
      <c r="K65" s="63"/>
    </row>
    <row r="66" spans="1:11" ht="3" customHeight="1" x14ac:dyDescent="0.2">
      <c r="B66" s="385"/>
      <c r="C66" s="385"/>
      <c r="D66" s="65"/>
      <c r="E66" s="65"/>
      <c r="F66" s="385"/>
      <c r="G66" s="385"/>
      <c r="K66" s="66"/>
    </row>
    <row r="67" spans="1:11" s="138" customFormat="1" ht="3.75" customHeight="1" x14ac:dyDescent="0.3">
      <c r="A67" s="410"/>
      <c r="B67" s="410"/>
      <c r="C67" s="185"/>
      <c r="D67" s="185"/>
      <c r="G67" s="411"/>
      <c r="H67" s="411"/>
      <c r="I67" s="411"/>
      <c r="J67" s="186"/>
    </row>
    <row r="68" spans="1:11" ht="15.75" x14ac:dyDescent="0.25">
      <c r="B68" s="258" t="s">
        <v>237</v>
      </c>
      <c r="C68" s="94"/>
      <c r="D68" s="94"/>
      <c r="E68" s="94"/>
      <c r="F68" s="94"/>
    </row>
    <row r="69" spans="1:11" ht="15.75" x14ac:dyDescent="0.25">
      <c r="B69" s="258" t="s">
        <v>238</v>
      </c>
      <c r="C69" s="94"/>
      <c r="D69" s="94"/>
      <c r="E69" s="380" t="s">
        <v>239</v>
      </c>
      <c r="F69" s="381"/>
    </row>
  </sheetData>
  <mergeCells count="17">
    <mergeCell ref="H4:K4"/>
    <mergeCell ref="H3:K3"/>
    <mergeCell ref="I9:K10"/>
    <mergeCell ref="B66:C66"/>
    <mergeCell ref="F66:G66"/>
    <mergeCell ref="B9:B11"/>
    <mergeCell ref="C9:D10"/>
    <mergeCell ref="E9:F10"/>
    <mergeCell ref="G9:H10"/>
    <mergeCell ref="E69:F69"/>
    <mergeCell ref="A6:I6"/>
    <mergeCell ref="A7:I7"/>
    <mergeCell ref="B8:F8"/>
    <mergeCell ref="I8:K8"/>
    <mergeCell ref="A67:B67"/>
    <mergeCell ref="G67:I67"/>
    <mergeCell ref="A9:A11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view="pageBreakPreview" zoomScale="60" zoomScaleNormal="100" workbookViewId="0">
      <selection activeCell="H3" sqref="H3:K3"/>
    </sheetView>
  </sheetViews>
  <sheetFormatPr defaultRowHeight="15.75" x14ac:dyDescent="0.25"/>
  <cols>
    <col min="1" max="1" width="9.140625" style="94"/>
    <col min="2" max="2" width="38.5703125" style="94" customWidth="1"/>
    <col min="3" max="3" width="11" style="94" customWidth="1"/>
    <col min="4" max="4" width="9.140625" style="94" customWidth="1"/>
    <col min="5" max="5" width="11.5703125" style="94" customWidth="1"/>
    <col min="6" max="6" width="9.140625" style="94"/>
    <col min="7" max="7" width="12.28515625" style="94" customWidth="1"/>
    <col min="8" max="8" width="9.140625" style="94"/>
    <col min="9" max="9" width="11.42578125" style="94" customWidth="1"/>
    <col min="10" max="10" width="9.140625" style="94"/>
    <col min="11" max="11" width="9.140625" style="94" customWidth="1"/>
    <col min="12" max="16384" width="9.140625" style="94"/>
  </cols>
  <sheetData>
    <row r="1" spans="1:13" x14ac:dyDescent="0.25">
      <c r="E1" s="436">
        <v>7</v>
      </c>
    </row>
    <row r="2" spans="1:13" x14ac:dyDescent="0.25">
      <c r="A2" s="318"/>
      <c r="B2" s="319"/>
      <c r="C2" s="320"/>
      <c r="D2" s="319"/>
      <c r="E2" s="321"/>
      <c r="F2" s="321"/>
      <c r="G2" s="264"/>
      <c r="H2" s="438" t="s">
        <v>101</v>
      </c>
      <c r="I2" s="438"/>
      <c r="J2" s="438"/>
      <c r="K2" s="324"/>
      <c r="L2" s="325"/>
    </row>
    <row r="3" spans="1:13" ht="15.75" customHeight="1" x14ac:dyDescent="0.25">
      <c r="A3" s="318"/>
      <c r="B3" s="319"/>
      <c r="C3" s="320"/>
      <c r="D3" s="319"/>
      <c r="E3" s="321"/>
      <c r="F3" s="321"/>
      <c r="G3" s="264"/>
      <c r="H3" s="439" t="s">
        <v>235</v>
      </c>
      <c r="I3" s="439"/>
      <c r="J3" s="439"/>
      <c r="K3" s="439"/>
      <c r="L3" s="378"/>
    </row>
    <row r="4" spans="1:13" ht="15.75" customHeight="1" x14ac:dyDescent="0.25">
      <c r="A4" s="318"/>
      <c r="B4" s="319"/>
      <c r="C4" s="320"/>
      <c r="D4" s="319"/>
      <c r="E4" s="321"/>
      <c r="F4" s="321"/>
      <c r="G4" s="264"/>
      <c r="H4" s="439" t="s">
        <v>236</v>
      </c>
      <c r="I4" s="439"/>
      <c r="J4" s="439"/>
      <c r="K4" s="379"/>
      <c r="L4" s="325"/>
    </row>
    <row r="5" spans="1:13" ht="11.25" customHeight="1" x14ac:dyDescent="0.25">
      <c r="A5" s="318"/>
      <c r="B5" s="319"/>
      <c r="C5" s="320"/>
      <c r="D5" s="319"/>
      <c r="E5" s="321"/>
      <c r="F5" s="321"/>
      <c r="G5" s="264"/>
      <c r="H5" s="93"/>
      <c r="I5" s="264"/>
      <c r="J5" s="323"/>
      <c r="K5" s="253"/>
      <c r="L5" s="322"/>
      <c r="M5" s="323"/>
    </row>
    <row r="6" spans="1:13" x14ac:dyDescent="0.25">
      <c r="A6" s="383" t="s">
        <v>248</v>
      </c>
      <c r="B6" s="383"/>
      <c r="C6" s="383"/>
      <c r="D6" s="383"/>
      <c r="E6" s="383"/>
      <c r="F6" s="383"/>
      <c r="G6" s="383"/>
      <c r="H6" s="383"/>
      <c r="I6" s="383"/>
      <c r="J6" s="321"/>
      <c r="K6" s="323"/>
      <c r="L6" s="323"/>
      <c r="M6" s="323"/>
    </row>
    <row r="7" spans="1:13" x14ac:dyDescent="0.25">
      <c r="A7" s="383" t="s">
        <v>243</v>
      </c>
      <c r="B7" s="383"/>
      <c r="C7" s="383"/>
      <c r="D7" s="383"/>
      <c r="E7" s="383"/>
      <c r="F7" s="383"/>
      <c r="G7" s="383"/>
      <c r="H7" s="383"/>
      <c r="I7" s="383"/>
      <c r="J7" s="91"/>
    </row>
    <row r="8" spans="1:13" x14ac:dyDescent="0.25">
      <c r="A8" s="95"/>
      <c r="B8" s="406"/>
      <c r="C8" s="406"/>
      <c r="D8" s="406"/>
      <c r="E8" s="406"/>
      <c r="F8" s="406"/>
      <c r="G8" s="91"/>
      <c r="H8" s="91"/>
      <c r="I8" s="91"/>
      <c r="J8" s="70" t="s">
        <v>1</v>
      </c>
    </row>
    <row r="9" spans="1:13" ht="60" customHeight="1" x14ac:dyDescent="0.25">
      <c r="A9" s="403" t="s">
        <v>2</v>
      </c>
      <c r="B9" s="403" t="s">
        <v>3</v>
      </c>
      <c r="C9" s="403" t="s">
        <v>4</v>
      </c>
      <c r="D9" s="403"/>
      <c r="E9" s="403" t="s">
        <v>102</v>
      </c>
      <c r="F9" s="403"/>
      <c r="G9" s="403" t="s">
        <v>6</v>
      </c>
      <c r="H9" s="403"/>
      <c r="I9" s="403" t="s">
        <v>7</v>
      </c>
      <c r="J9" s="403"/>
    </row>
    <row r="10" spans="1:13" ht="31.5" x14ac:dyDescent="0.25">
      <c r="A10" s="403"/>
      <c r="B10" s="403"/>
      <c r="C10" s="75" t="s">
        <v>8</v>
      </c>
      <c r="D10" s="72" t="s">
        <v>9</v>
      </c>
      <c r="E10" s="72" t="s">
        <v>8</v>
      </c>
      <c r="F10" s="72" t="s">
        <v>9</v>
      </c>
      <c r="G10" s="72" t="s">
        <v>8</v>
      </c>
      <c r="H10" s="72" t="s">
        <v>9</v>
      </c>
      <c r="I10" s="72" t="s">
        <v>8</v>
      </c>
      <c r="J10" s="72" t="s">
        <v>9</v>
      </c>
    </row>
    <row r="11" spans="1:13" x14ac:dyDescent="0.25">
      <c r="A11" s="30">
        <v>1</v>
      </c>
      <c r="B11" s="30">
        <v>2</v>
      </c>
      <c r="C11" s="31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3" x14ac:dyDescent="0.25">
      <c r="A12" s="12">
        <v>1</v>
      </c>
      <c r="B12" s="13" t="s">
        <v>10</v>
      </c>
      <c r="C12" s="71">
        <f>C13+C14+C15+C19</f>
        <v>1747.8317205980691</v>
      </c>
      <c r="D12" s="15">
        <f t="shared" ref="D12:H12" si="0">D13+D14+D15+D19</f>
        <v>13.497812449578202</v>
      </c>
      <c r="E12" s="15">
        <f t="shared" si="0"/>
        <v>294.95026978476005</v>
      </c>
      <c r="F12" s="15">
        <f t="shared" si="0"/>
        <v>13.497812449578202</v>
      </c>
      <c r="G12" s="15">
        <f t="shared" si="0"/>
        <v>316.5751691014791</v>
      </c>
      <c r="H12" s="15">
        <f t="shared" si="0"/>
        <v>13.497812449578202</v>
      </c>
      <c r="I12" s="15">
        <f>I13+I14+I15+I19</f>
        <v>1.9898205156919195</v>
      </c>
      <c r="J12" s="15">
        <f>J13+J14+J15+J19</f>
        <v>13.497812449578202</v>
      </c>
      <c r="K12" s="223"/>
    </row>
    <row r="13" spans="1:13" x14ac:dyDescent="0.25">
      <c r="A13" s="72" t="s">
        <v>11</v>
      </c>
      <c r="B13" s="73" t="s">
        <v>103</v>
      </c>
      <c r="C13" s="74">
        <f>'[1]Д5(постачанняя)'!K12</f>
        <v>0</v>
      </c>
      <c r="D13" s="75">
        <f>C13/$C$43*1000</f>
        <v>0</v>
      </c>
      <c r="E13" s="76">
        <f>'[1]Д5(постачанняя)'!S12</f>
        <v>0</v>
      </c>
      <c r="F13" s="76">
        <f>E13/$E$43*1000</f>
        <v>0</v>
      </c>
      <c r="G13" s="76">
        <f>'[1]Д5(постачанняя)'!W12</f>
        <v>0</v>
      </c>
      <c r="H13" s="76">
        <f>G13/$G$43*1000</f>
        <v>0</v>
      </c>
      <c r="I13" s="76">
        <f>'[1]Д5(постачанняя)'!O12</f>
        <v>0</v>
      </c>
      <c r="J13" s="76">
        <f>I13/$I$43*1000</f>
        <v>0</v>
      </c>
      <c r="K13" s="222"/>
    </row>
    <row r="14" spans="1:13" x14ac:dyDescent="0.25">
      <c r="A14" s="77" t="s">
        <v>21</v>
      </c>
      <c r="B14" s="13" t="s">
        <v>104</v>
      </c>
      <c r="C14" s="78">
        <f>'[1]Д5(постачанняя)'!K13</f>
        <v>1353.8265055153784</v>
      </c>
      <c r="D14" s="31">
        <f>C14/$C$43*1000</f>
        <v>10.455066151598151</v>
      </c>
      <c r="E14" s="76">
        <f>'[1]Д5(постачанняя)'!S13</f>
        <v>228.46106312047269</v>
      </c>
      <c r="F14" s="76">
        <f>E14/$E$43*1000</f>
        <v>10.455066151598151</v>
      </c>
      <c r="G14" s="76">
        <f>'[1]Д5(постачанняя)'!W13</f>
        <v>245.21116642221267</v>
      </c>
      <c r="H14" s="55">
        <f>G14/$G$43*1000</f>
        <v>10.455066151598151</v>
      </c>
      <c r="I14" s="76">
        <f>'[1]Д5(постачанняя)'!O13</f>
        <v>1.5412649419362963</v>
      </c>
      <c r="J14" s="76">
        <f>I14/$I$43*1000</f>
        <v>10.455066151598151</v>
      </c>
      <c r="K14" s="223"/>
    </row>
    <row r="15" spans="1:13" x14ac:dyDescent="0.25">
      <c r="A15" s="12" t="s">
        <v>23</v>
      </c>
      <c r="B15" s="13" t="s">
        <v>24</v>
      </c>
      <c r="C15" s="71">
        <f>C17+C18+C16</f>
        <v>357.7331768308585</v>
      </c>
      <c r="D15" s="71">
        <f>D17+D18+D16</f>
        <v>2.7626317058729652</v>
      </c>
      <c r="E15" s="71">
        <f t="shared" ref="E15:J15" si="1">E17+E18+E16</f>
        <v>60.368224110909622</v>
      </c>
      <c r="F15" s="71">
        <f t="shared" si="1"/>
        <v>2.7626317058729652</v>
      </c>
      <c r="G15" s="71">
        <f t="shared" si="1"/>
        <v>64.794247417415519</v>
      </c>
      <c r="H15" s="71">
        <f t="shared" si="1"/>
        <v>2.7626317058729652</v>
      </c>
      <c r="I15" s="71">
        <f t="shared" si="1"/>
        <v>0.40726164081638072</v>
      </c>
      <c r="J15" s="71">
        <f t="shared" si="1"/>
        <v>2.7626317058729652</v>
      </c>
      <c r="K15" s="222"/>
    </row>
    <row r="16" spans="1:13" x14ac:dyDescent="0.25">
      <c r="A16" s="30" t="s">
        <v>25</v>
      </c>
      <c r="B16" s="26" t="s">
        <v>26</v>
      </c>
      <c r="C16" s="78">
        <f>'[1]Д5(постачанняя)'!K15</f>
        <v>297.84183121338327</v>
      </c>
      <c r="D16" s="23">
        <f>C16/$C$43*1000</f>
        <v>2.3001145533515936</v>
      </c>
      <c r="E16" s="31">
        <f>'[1]Д5(постачанняя)'!S15</f>
        <v>50.261433886503994</v>
      </c>
      <c r="F16" s="79">
        <f>E16/$E$43*1000</f>
        <v>2.3001145533515936</v>
      </c>
      <c r="G16" s="31">
        <f>'[1]Д5(постачанняя)'!W15</f>
        <v>53.946456612886792</v>
      </c>
      <c r="H16" s="79">
        <f>G16/$G$43*1000</f>
        <v>2.3001145533515936</v>
      </c>
      <c r="I16" s="31">
        <f>'[1]Д5(постачанняя)'!O15</f>
        <v>0.33907828722598521</v>
      </c>
      <c r="J16" s="79">
        <f>I16/$I$43*1000</f>
        <v>2.3001145533515936</v>
      </c>
      <c r="K16" s="222"/>
    </row>
    <row r="17" spans="1:11" x14ac:dyDescent="0.25">
      <c r="A17" s="17" t="s">
        <v>27</v>
      </c>
      <c r="B17" s="18" t="s">
        <v>28</v>
      </c>
      <c r="C17" s="80">
        <f>'[1]Д5(постачанняя)'!K16</f>
        <v>1.3660839558343079</v>
      </c>
      <c r="D17" s="23">
        <f>C17/$C$43*1000</f>
        <v>1.0549725587952996E-2</v>
      </c>
      <c r="E17" s="79">
        <f>'[1]Д5(постачанняя)'!S16</f>
        <v>0.23052953357780276</v>
      </c>
      <c r="F17" s="79">
        <f>E17/$E$43*1000</f>
        <v>1.0549725587952996E-2</v>
      </c>
      <c r="G17" s="79">
        <f>'[1]Д5(постачанняя)'!W16</f>
        <v>0.24743129114116461</v>
      </c>
      <c r="H17" s="79">
        <f>G17/$G$43*1000</f>
        <v>1.0549725587952996E-2</v>
      </c>
      <c r="I17" s="79">
        <f>'[1]Д5(постачанняя)'!O16</f>
        <v>1.5552194467248549E-3</v>
      </c>
      <c r="J17" s="79">
        <f>I17/$I$43*1000</f>
        <v>1.0549725587952996E-2</v>
      </c>
      <c r="K17" s="222"/>
    </row>
    <row r="18" spans="1:11" x14ac:dyDescent="0.25">
      <c r="A18" s="17" t="s">
        <v>29</v>
      </c>
      <c r="B18" s="18" t="s">
        <v>30</v>
      </c>
      <c r="C18" s="80">
        <f>'[1]Д5(постачанняя)'!K17</f>
        <v>58.52526166164094</v>
      </c>
      <c r="D18" s="23">
        <f>C18/$C$43*1000</f>
        <v>0.45196742693341851</v>
      </c>
      <c r="E18" s="79">
        <f>'[1]Д5(постачанняя)'!S17</f>
        <v>9.8762606908278237</v>
      </c>
      <c r="F18" s="79">
        <f>E18/$E$43*1000</f>
        <v>0.45196742693341851</v>
      </c>
      <c r="G18" s="79">
        <f>'[1]Д5(постачанняя)'!W17</f>
        <v>10.600359513387561</v>
      </c>
      <c r="H18" s="79">
        <f>G18/$G$43*1000</f>
        <v>0.45196742693341851</v>
      </c>
      <c r="I18" s="79">
        <f>'[1]Д5(постачанняя)'!O17</f>
        <v>6.6628134143670692E-2</v>
      </c>
      <c r="J18" s="79">
        <f>I18/$I$43*1000</f>
        <v>0.45196742693341851</v>
      </c>
      <c r="K18" s="222"/>
    </row>
    <row r="19" spans="1:11" x14ac:dyDescent="0.25">
      <c r="A19" s="12" t="s">
        <v>31</v>
      </c>
      <c r="B19" s="13" t="s">
        <v>32</v>
      </c>
      <c r="C19" s="71">
        <f>C20+C22+C21</f>
        <v>36.272038251832107</v>
      </c>
      <c r="D19" s="71">
        <f t="shared" ref="D19:J19" si="2">D20+D22+D21</f>
        <v>0.280114592107087</v>
      </c>
      <c r="E19" s="71">
        <f t="shared" si="2"/>
        <v>6.1209825533777629</v>
      </c>
      <c r="F19" s="71">
        <f t="shared" si="2"/>
        <v>0.280114592107087</v>
      </c>
      <c r="G19" s="71">
        <f t="shared" si="2"/>
        <v>6.5697552618508936</v>
      </c>
      <c r="H19" s="71">
        <f t="shared" si="2"/>
        <v>0.28011459210708695</v>
      </c>
      <c r="I19" s="71">
        <f t="shared" si="2"/>
        <v>4.129393293924255E-2</v>
      </c>
      <c r="J19" s="71">
        <f t="shared" si="2"/>
        <v>0.280114592107087</v>
      </c>
      <c r="K19" s="223"/>
    </row>
    <row r="20" spans="1:11" x14ac:dyDescent="0.25">
      <c r="A20" s="17" t="s">
        <v>33</v>
      </c>
      <c r="B20" s="18" t="s">
        <v>34</v>
      </c>
      <c r="C20" s="80">
        <f>'[1]Д5(постачанняя)'!K19</f>
        <v>28.498353871429927</v>
      </c>
      <c r="D20" s="23">
        <f>C20/$C$43*1000</f>
        <v>0.22008150506997784</v>
      </c>
      <c r="E20" s="79">
        <f>'[1]Д5(постачанняя)'!S19</f>
        <v>4.8091570050711807</v>
      </c>
      <c r="F20" s="79">
        <f>E20/$E$43*1000</f>
        <v>0.22008150506997787</v>
      </c>
      <c r="G20" s="79">
        <f>'[1]Д5(постачанняя)'!W19</f>
        <v>5.1617504646698116</v>
      </c>
      <c r="H20" s="79">
        <f>G20/$G$43*1000</f>
        <v>0.22008150506997781</v>
      </c>
      <c r="I20" s="79">
        <f>'[1]Д5(постачанняя)'!O19</f>
        <v>3.2443975314405994E-2</v>
      </c>
      <c r="J20" s="79">
        <f>I20/$I$43*1000</f>
        <v>0.22008150506997784</v>
      </c>
      <c r="K20" s="222"/>
    </row>
    <row r="21" spans="1:11" x14ac:dyDescent="0.25">
      <c r="A21" s="17" t="s">
        <v>35</v>
      </c>
      <c r="B21" s="18" t="s">
        <v>105</v>
      </c>
      <c r="C21" s="80">
        <f>'[1]Д5(постачанняя)'!K20</f>
        <v>6.2696378517145828</v>
      </c>
      <c r="D21" s="23">
        <f>C21/$C$43*1000</f>
        <v>4.8417931115395121E-2</v>
      </c>
      <c r="E21" s="79">
        <f>'[1]Д5(постачанняя)'!S20</f>
        <v>1.0580145411156596</v>
      </c>
      <c r="F21" s="79">
        <f>E21/$E$43*1000</f>
        <v>4.8417931115395121E-2</v>
      </c>
      <c r="G21" s="79">
        <f>'[1]Д5(постачанняя)'!W20</f>
        <v>1.1355851022273584</v>
      </c>
      <c r="H21" s="79">
        <f>G21/$G$43*1000</f>
        <v>4.8417931115395114E-2</v>
      </c>
      <c r="I21" s="79">
        <f>'[1]Д5(постачанняя)'!O20</f>
        <v>7.1376745691693185E-3</v>
      </c>
      <c r="J21" s="79">
        <f>I21/$I$43*1000</f>
        <v>4.8417931115395121E-2</v>
      </c>
      <c r="K21" s="222"/>
    </row>
    <row r="22" spans="1:11" x14ac:dyDescent="0.25">
      <c r="A22" s="17" t="s">
        <v>36</v>
      </c>
      <c r="B22" s="18" t="s">
        <v>37</v>
      </c>
      <c r="C22" s="80">
        <f>'[1]Д5(постачанняя)'!K21</f>
        <v>1.5040465286875948</v>
      </c>
      <c r="D22" s="23">
        <f>C22/$C$43*1000</f>
        <v>1.1615155921714039E-2</v>
      </c>
      <c r="E22" s="79">
        <f>'[1]Д5(постачанняя)'!S21</f>
        <v>0.25381100719092192</v>
      </c>
      <c r="F22" s="79">
        <f>E22/$E$43*1000</f>
        <v>1.1615155921714039E-2</v>
      </c>
      <c r="G22" s="79">
        <f>'[1]Д5(постачанняя)'!W21</f>
        <v>0.2724196949537237</v>
      </c>
      <c r="H22" s="79">
        <f>G22/$G$43*1000</f>
        <v>1.161515592171404E-2</v>
      </c>
      <c r="I22" s="79">
        <f>'[1]Д5(постачанняя)'!O21</f>
        <v>1.7122830556672401E-3</v>
      </c>
      <c r="J22" s="79">
        <f>I22/$I$43*1000</f>
        <v>1.1615155921714039E-2</v>
      </c>
      <c r="K22" s="222"/>
    </row>
    <row r="23" spans="1:11" x14ac:dyDescent="0.25">
      <c r="A23" s="12">
        <v>2</v>
      </c>
      <c r="B23" s="13" t="s">
        <v>38</v>
      </c>
      <c r="C23" s="71">
        <f>C24+C26+C25</f>
        <v>4.6137161429922022</v>
      </c>
      <c r="D23" s="81">
        <f>D24+D26+D25</f>
        <v>3.5629903302356207E-2</v>
      </c>
      <c r="E23" s="81">
        <f t="shared" ref="E23:J23" si="3">E24+E26+E25</f>
        <v>0.77857427866122675</v>
      </c>
      <c r="F23" s="81">
        <f t="shared" si="3"/>
        <v>3.5629903302356207E-2</v>
      </c>
      <c r="G23" s="81">
        <f t="shared" si="3"/>
        <v>0.83565708926154492</v>
      </c>
      <c r="H23" s="81">
        <f t="shared" si="3"/>
        <v>3.5629903302356214E-2</v>
      </c>
      <c r="I23" s="81">
        <f t="shared" si="3"/>
        <v>5.2524890850267469E-3</v>
      </c>
      <c r="J23" s="81">
        <f t="shared" si="3"/>
        <v>3.5629903302356207E-2</v>
      </c>
      <c r="K23" s="223"/>
    </row>
    <row r="24" spans="1:11" x14ac:dyDescent="0.25">
      <c r="A24" s="17" t="s">
        <v>39</v>
      </c>
      <c r="B24" s="18" t="s">
        <v>34</v>
      </c>
      <c r="C24" s="80">
        <f>'[1]Д5(постачанняя)'!K23</f>
        <v>3.1125791699411698</v>
      </c>
      <c r="D24" s="23">
        <f>C24/$C$43*1000</f>
        <v>2.4037216726993486E-2</v>
      </c>
      <c r="E24" s="79">
        <f>'[1]Д5(постачанняя)'!S23</f>
        <v>0.52525426508819406</v>
      </c>
      <c r="F24" s="79">
        <f>E24/$E$43*1000</f>
        <v>2.4037216726993486E-2</v>
      </c>
      <c r="G24" s="79">
        <f>'[1]Д5(постачанняя)'!W23</f>
        <v>0.56376438615537727</v>
      </c>
      <c r="H24" s="79">
        <f>G24/$G$43*1000</f>
        <v>2.403721672699349E-2</v>
      </c>
      <c r="I24" s="79">
        <f>'[1]Д5(постачанняя)'!O23</f>
        <v>3.5435184154599259E-3</v>
      </c>
      <c r="J24" s="79">
        <f>I24/$I$43*1000</f>
        <v>2.4037216726993486E-2</v>
      </c>
      <c r="K24" s="222"/>
    </row>
    <row r="25" spans="1:11" x14ac:dyDescent="0.25">
      <c r="A25" s="17" t="s">
        <v>41</v>
      </c>
      <c r="B25" s="18" t="s">
        <v>105</v>
      </c>
      <c r="C25" s="80">
        <f>'[1]Д5(постачанняя)'!K24</f>
        <v>0.68476741738705738</v>
      </c>
      <c r="D25" s="23">
        <f>C25/$C$43*1000</f>
        <v>5.288187679938567E-3</v>
      </c>
      <c r="E25" s="79">
        <f>+'[1]Д5(постачанняя)'!S24</f>
        <v>0.1155559383194027</v>
      </c>
      <c r="F25" s="79">
        <f>E25/$E$43*1000</f>
        <v>5.288187679938567E-3</v>
      </c>
      <c r="G25" s="79">
        <f>'[1]Д5(постачанняя)'!W24</f>
        <v>0.12402816495418299</v>
      </c>
      <c r="H25" s="79">
        <f>G25/$G$43*1000</f>
        <v>5.288187679938567E-3</v>
      </c>
      <c r="I25" s="79">
        <f>'[1]Д5(постачанняя)'!O24</f>
        <v>7.7957405140118377E-4</v>
      </c>
      <c r="J25" s="79">
        <f>I25/$I$43*1000</f>
        <v>5.288187679938567E-3</v>
      </c>
      <c r="K25" s="222"/>
    </row>
    <row r="26" spans="1:11" x14ac:dyDescent="0.25">
      <c r="A26" s="17" t="s">
        <v>42</v>
      </c>
      <c r="B26" s="18" t="s">
        <v>37</v>
      </c>
      <c r="C26" s="80">
        <f>'[1]Д5(постачанняя)'!K25</f>
        <v>0.81636955566397473</v>
      </c>
      <c r="D26" s="23">
        <f>C26/$C$43*1000</f>
        <v>6.3044988954241536E-3</v>
      </c>
      <c r="E26" s="79">
        <f>'[1]Д5(постачанняя)'!S25</f>
        <v>0.13776407525363002</v>
      </c>
      <c r="F26" s="79">
        <f>E26/$E$43*1000</f>
        <v>6.3044988954241528E-3</v>
      </c>
      <c r="G26" s="79">
        <f>'[1]Д5(постачанняя)'!W25</f>
        <v>0.14786453815198464</v>
      </c>
      <c r="H26" s="79">
        <f>G26/$G$43*1000</f>
        <v>6.3044988954241536E-3</v>
      </c>
      <c r="I26" s="79">
        <f>'[1]Д5(постачанняя)'!O25</f>
        <v>9.293966181656379E-4</v>
      </c>
      <c r="J26" s="79">
        <f>I26/$I$43*1000</f>
        <v>6.3044988954241536E-3</v>
      </c>
      <c r="K26" s="222"/>
    </row>
    <row r="27" spans="1:11" x14ac:dyDescent="0.25">
      <c r="A27" s="96" t="s">
        <v>43</v>
      </c>
      <c r="B27" s="97" t="s">
        <v>44</v>
      </c>
      <c r="C27" s="80"/>
      <c r="D27" s="23"/>
      <c r="E27" s="79"/>
      <c r="F27" s="79"/>
      <c r="G27" s="79"/>
      <c r="H27" s="79"/>
      <c r="I27" s="79"/>
      <c r="J27" s="79"/>
      <c r="K27" s="222"/>
    </row>
    <row r="28" spans="1:11" x14ac:dyDescent="0.25">
      <c r="A28" s="98" t="s">
        <v>45</v>
      </c>
      <c r="B28" s="99" t="s">
        <v>40</v>
      </c>
      <c r="C28" s="80"/>
      <c r="D28" s="23"/>
      <c r="E28" s="79"/>
      <c r="F28" s="79"/>
      <c r="G28" s="79"/>
      <c r="H28" s="79"/>
      <c r="I28" s="79"/>
      <c r="J28" s="79"/>
      <c r="K28" s="222"/>
    </row>
    <row r="29" spans="1:11" x14ac:dyDescent="0.25">
      <c r="A29" s="98" t="s">
        <v>46</v>
      </c>
      <c r="B29" s="99" t="s">
        <v>106</v>
      </c>
      <c r="C29" s="80"/>
      <c r="D29" s="23"/>
      <c r="E29" s="79"/>
      <c r="F29" s="79"/>
      <c r="G29" s="79"/>
      <c r="H29" s="79"/>
      <c r="I29" s="79"/>
      <c r="J29" s="79"/>
      <c r="K29" s="222"/>
    </row>
    <row r="30" spans="1:11" x14ac:dyDescent="0.25">
      <c r="A30" s="98" t="s">
        <v>47</v>
      </c>
      <c r="B30" s="99" t="s">
        <v>107</v>
      </c>
      <c r="C30" s="80"/>
      <c r="D30" s="23"/>
      <c r="E30" s="79"/>
      <c r="F30" s="79"/>
      <c r="G30" s="79"/>
      <c r="H30" s="79"/>
      <c r="I30" s="79"/>
      <c r="J30" s="79"/>
      <c r="K30" s="222"/>
    </row>
    <row r="31" spans="1:11" x14ac:dyDescent="0.25">
      <c r="A31" s="12">
        <v>4</v>
      </c>
      <c r="B31" s="13" t="s">
        <v>108</v>
      </c>
      <c r="C31" s="71"/>
      <c r="D31" s="15"/>
      <c r="E31" s="55"/>
      <c r="F31" s="55"/>
      <c r="G31" s="55"/>
      <c r="H31" s="55"/>
      <c r="I31" s="55"/>
      <c r="J31" s="53"/>
      <c r="K31" s="222"/>
    </row>
    <row r="32" spans="1:11" x14ac:dyDescent="0.25">
      <c r="A32" s="12">
        <v>5</v>
      </c>
      <c r="B32" s="13" t="s">
        <v>51</v>
      </c>
      <c r="C32" s="71"/>
      <c r="D32" s="15"/>
      <c r="E32" s="55"/>
      <c r="F32" s="55"/>
      <c r="G32" s="55"/>
      <c r="H32" s="55"/>
      <c r="I32" s="55"/>
      <c r="J32" s="53"/>
      <c r="K32" s="222"/>
    </row>
    <row r="33" spans="1:11" x14ac:dyDescent="0.25">
      <c r="A33" s="12">
        <v>6</v>
      </c>
      <c r="B33" s="13" t="s">
        <v>53</v>
      </c>
      <c r="C33" s="71">
        <f t="shared" ref="C33:J33" si="4">C12+C23+C31+C32</f>
        <v>1752.4454367410613</v>
      </c>
      <c r="D33" s="15">
        <f t="shared" si="4"/>
        <v>13.533442352880558</v>
      </c>
      <c r="E33" s="15">
        <f t="shared" si="4"/>
        <v>295.72884406342126</v>
      </c>
      <c r="F33" s="15">
        <f t="shared" si="4"/>
        <v>13.533442352880558</v>
      </c>
      <c r="G33" s="15">
        <f t="shared" si="4"/>
        <v>317.41082619074064</v>
      </c>
      <c r="H33" s="15">
        <f t="shared" si="4"/>
        <v>13.533442352880558</v>
      </c>
      <c r="I33" s="15">
        <f t="shared" si="4"/>
        <v>1.9950730047769463</v>
      </c>
      <c r="J33" s="15">
        <f t="shared" si="4"/>
        <v>13.533442352880558</v>
      </c>
      <c r="K33" s="222"/>
    </row>
    <row r="34" spans="1:11" x14ac:dyDescent="0.25">
      <c r="A34" s="12">
        <v>7</v>
      </c>
      <c r="B34" s="13" t="s">
        <v>109</v>
      </c>
      <c r="C34" s="71"/>
      <c r="D34" s="15"/>
      <c r="E34" s="55"/>
      <c r="F34" s="55"/>
      <c r="G34" s="55"/>
      <c r="H34" s="55"/>
      <c r="I34" s="55"/>
      <c r="J34" s="53"/>
      <c r="K34" s="222"/>
    </row>
    <row r="35" spans="1:11" x14ac:dyDescent="0.25">
      <c r="A35" s="12">
        <v>8</v>
      </c>
      <c r="B35" s="13" t="s">
        <v>110</v>
      </c>
      <c r="C35" s="71">
        <f>C36+C38+C39+C40</f>
        <v>0</v>
      </c>
      <c r="D35" s="15">
        <f t="shared" ref="D35:J35" si="5">D36+D38+D39+D40</f>
        <v>0</v>
      </c>
      <c r="E35" s="12">
        <f t="shared" si="5"/>
        <v>0</v>
      </c>
      <c r="F35" s="15">
        <f t="shared" si="5"/>
        <v>0</v>
      </c>
      <c r="G35" s="12">
        <f t="shared" si="5"/>
        <v>0</v>
      </c>
      <c r="H35" s="12">
        <f t="shared" si="5"/>
        <v>0</v>
      </c>
      <c r="I35" s="12">
        <f t="shared" si="5"/>
        <v>0</v>
      </c>
      <c r="J35" s="12">
        <f t="shared" si="5"/>
        <v>0</v>
      </c>
      <c r="K35" s="222"/>
    </row>
    <row r="36" spans="1:11" x14ac:dyDescent="0.25">
      <c r="A36" s="98" t="s">
        <v>58</v>
      </c>
      <c r="B36" s="18" t="s">
        <v>59</v>
      </c>
      <c r="C36" s="80"/>
      <c r="D36" s="23"/>
      <c r="E36" s="79"/>
      <c r="F36" s="79"/>
      <c r="G36" s="79"/>
      <c r="H36" s="79"/>
      <c r="I36" s="79"/>
      <c r="J36" s="82"/>
      <c r="K36" s="222"/>
    </row>
    <row r="37" spans="1:11" x14ac:dyDescent="0.25">
      <c r="A37" s="98" t="s">
        <v>60</v>
      </c>
      <c r="B37" s="18" t="s">
        <v>61</v>
      </c>
      <c r="C37" s="80"/>
      <c r="D37" s="23"/>
      <c r="E37" s="79"/>
      <c r="F37" s="79"/>
      <c r="G37" s="79"/>
      <c r="H37" s="79"/>
      <c r="I37" s="79"/>
      <c r="J37" s="82"/>
      <c r="K37" s="222"/>
    </row>
    <row r="38" spans="1:11" ht="31.5" x14ac:dyDescent="0.25">
      <c r="A38" s="98" t="s">
        <v>62</v>
      </c>
      <c r="B38" s="18" t="s">
        <v>111</v>
      </c>
      <c r="C38" s="80"/>
      <c r="D38" s="23"/>
      <c r="E38" s="79"/>
      <c r="F38" s="79"/>
      <c r="G38" s="79"/>
      <c r="H38" s="79"/>
      <c r="I38" s="79"/>
      <c r="J38" s="82"/>
      <c r="K38" s="222"/>
    </row>
    <row r="39" spans="1:11" ht="31.5" x14ac:dyDescent="0.25">
      <c r="A39" s="98" t="s">
        <v>64</v>
      </c>
      <c r="B39" s="18" t="s">
        <v>65</v>
      </c>
      <c r="C39" s="80"/>
      <c r="D39" s="23"/>
      <c r="E39" s="79"/>
      <c r="F39" s="79"/>
      <c r="G39" s="79"/>
      <c r="H39" s="79"/>
      <c r="I39" s="79"/>
      <c r="J39" s="83"/>
      <c r="K39" s="222"/>
    </row>
    <row r="40" spans="1:11" x14ac:dyDescent="0.25">
      <c r="A40" s="98" t="s">
        <v>66</v>
      </c>
      <c r="B40" s="18" t="s">
        <v>67</v>
      </c>
      <c r="C40" s="80"/>
      <c r="D40" s="23"/>
      <c r="E40" s="79"/>
      <c r="F40" s="79"/>
      <c r="G40" s="79"/>
      <c r="H40" s="79"/>
      <c r="I40" s="79"/>
      <c r="J40" s="83"/>
      <c r="K40" s="222"/>
    </row>
    <row r="41" spans="1:11" ht="31.5" x14ac:dyDescent="0.25">
      <c r="A41" s="98" t="s">
        <v>66</v>
      </c>
      <c r="B41" s="13" t="s">
        <v>112</v>
      </c>
      <c r="C41" s="71">
        <f>C33+C35</f>
        <v>1752.4454367410613</v>
      </c>
      <c r="D41" s="15">
        <f>D33+D35</f>
        <v>13.533442352880558</v>
      </c>
      <c r="E41" s="15">
        <f t="shared" ref="E41:J41" si="6">E33+E35</f>
        <v>295.72884406342126</v>
      </c>
      <c r="F41" s="15">
        <f t="shared" si="6"/>
        <v>13.533442352880558</v>
      </c>
      <c r="G41" s="15">
        <f t="shared" si="6"/>
        <v>317.41082619074064</v>
      </c>
      <c r="H41" s="15">
        <f t="shared" si="6"/>
        <v>13.533442352880558</v>
      </c>
      <c r="I41" s="15">
        <f t="shared" si="6"/>
        <v>1.9950730047769463</v>
      </c>
      <c r="J41" s="15">
        <f t="shared" si="6"/>
        <v>13.533442352880558</v>
      </c>
      <c r="K41" s="222"/>
    </row>
    <row r="42" spans="1:11" ht="31.5" x14ac:dyDescent="0.25">
      <c r="A42" s="12">
        <v>9</v>
      </c>
      <c r="B42" s="13" t="s">
        <v>113</v>
      </c>
      <c r="C42" s="71"/>
      <c r="D42" s="15"/>
      <c r="E42" s="38"/>
      <c r="F42" s="38"/>
      <c r="G42" s="38"/>
      <c r="H42" s="38"/>
      <c r="I42" s="38"/>
      <c r="J42" s="53"/>
    </row>
    <row r="43" spans="1:11" ht="31.5" x14ac:dyDescent="0.25">
      <c r="A43" s="12">
        <v>10</v>
      </c>
      <c r="B43" s="13" t="s">
        <v>114</v>
      </c>
      <c r="C43" s="84">
        <f>'[1]Д3(вробн)'!L57</f>
        <v>129489.999</v>
      </c>
      <c r="D43" s="36"/>
      <c r="E43" s="85">
        <f>'[1]Д3(вробн)'!X57</f>
        <v>21851.708999999999</v>
      </c>
      <c r="F43" s="86"/>
      <c r="G43" s="85">
        <f>'[1]Д3(вробн)'!AB57</f>
        <v>23453.812999999998</v>
      </c>
      <c r="H43" s="86"/>
      <c r="I43" s="86">
        <f>[1]Д2!F34</f>
        <v>147.41800000000001</v>
      </c>
      <c r="J43" s="53"/>
    </row>
    <row r="44" spans="1:11" x14ac:dyDescent="0.25">
      <c r="A44" s="87">
        <v>11</v>
      </c>
      <c r="B44" s="53" t="s">
        <v>115</v>
      </c>
      <c r="C44" s="88"/>
      <c r="D44" s="89"/>
      <c r="E44" s="55"/>
      <c r="F44" s="55"/>
      <c r="G44" s="55"/>
      <c r="H44" s="55"/>
      <c r="I44" s="55"/>
      <c r="J44" s="90"/>
    </row>
    <row r="45" spans="1:11" x14ac:dyDescent="0.25">
      <c r="A45" s="95"/>
      <c r="B45" s="95"/>
      <c r="C45" s="100"/>
      <c r="D45" s="95"/>
      <c r="E45" s="95"/>
      <c r="F45" s="95"/>
      <c r="G45" s="95"/>
      <c r="H45" s="91"/>
      <c r="I45" s="91"/>
      <c r="J45" s="91"/>
    </row>
    <row r="46" spans="1:11" ht="12" customHeight="1" x14ac:dyDescent="0.25">
      <c r="A46" s="95"/>
      <c r="B46" s="385"/>
      <c r="C46" s="385"/>
      <c r="D46" s="65"/>
      <c r="E46" s="65"/>
      <c r="F46" s="385"/>
      <c r="G46" s="385"/>
      <c r="H46" s="91"/>
      <c r="I46" s="91"/>
      <c r="J46" s="91"/>
    </row>
    <row r="47" spans="1:11" x14ac:dyDescent="0.25">
      <c r="B47" s="258" t="s">
        <v>237</v>
      </c>
    </row>
    <row r="48" spans="1:11" x14ac:dyDescent="0.25">
      <c r="B48" s="258" t="s">
        <v>238</v>
      </c>
      <c r="E48" s="380" t="s">
        <v>239</v>
      </c>
      <c r="F48" s="381"/>
    </row>
  </sheetData>
  <mergeCells count="15">
    <mergeCell ref="H2:J2"/>
    <mergeCell ref="H4:J4"/>
    <mergeCell ref="H3:K3"/>
    <mergeCell ref="E48:F48"/>
    <mergeCell ref="B46:C46"/>
    <mergeCell ref="F46:G46"/>
    <mergeCell ref="A6:I6"/>
    <mergeCell ref="A7:I7"/>
    <mergeCell ref="B8:F8"/>
    <mergeCell ref="A9:A10"/>
    <mergeCell ref="B9:B10"/>
    <mergeCell ref="C9:D9"/>
    <mergeCell ref="E9:F9"/>
    <mergeCell ref="G9:H9"/>
    <mergeCell ref="I9:J9"/>
  </mergeCells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BreakPreview" zoomScale="60" zoomScaleNormal="100" workbookViewId="0">
      <selection activeCell="K26" sqref="K26"/>
    </sheetView>
  </sheetViews>
  <sheetFormatPr defaultColWidth="9.140625" defaultRowHeight="15" x14ac:dyDescent="0.25"/>
  <cols>
    <col min="1" max="1" width="9.140625" style="224"/>
    <col min="2" max="2" width="68.28515625" style="225" customWidth="1"/>
    <col min="3" max="3" width="3.5703125" style="226" hidden="1" customWidth="1"/>
    <col min="4" max="4" width="17.5703125" style="225" hidden="1" customWidth="1"/>
    <col min="5" max="5" width="14.28515625" style="225" customWidth="1"/>
    <col min="6" max="6" width="14.5703125" style="225" customWidth="1"/>
    <col min="7" max="7" width="14.7109375" style="225" customWidth="1"/>
    <col min="8" max="246" width="9.140625" style="225"/>
    <col min="247" max="247" width="46.7109375" style="225" customWidth="1"/>
    <col min="248" max="248" width="13.42578125" style="225" customWidth="1"/>
    <col min="249" max="249" width="13.28515625" style="225" customWidth="1"/>
    <col min="250" max="251" width="15.85546875" style="225" customWidth="1"/>
    <col min="252" max="257" width="9.140625" style="225"/>
    <col min="258" max="258" width="55.5703125" style="225" customWidth="1"/>
    <col min="259" max="259" width="17.85546875" style="225" customWidth="1"/>
    <col min="260" max="260" width="17.5703125" style="225" customWidth="1"/>
    <col min="261" max="261" width="17.28515625" style="225" customWidth="1"/>
    <col min="262" max="262" width="18" style="225" customWidth="1"/>
    <col min="263" max="502" width="9.140625" style="225"/>
    <col min="503" max="503" width="46.7109375" style="225" customWidth="1"/>
    <col min="504" max="504" width="13.42578125" style="225" customWidth="1"/>
    <col min="505" max="505" width="13.28515625" style="225" customWidth="1"/>
    <col min="506" max="507" width="15.85546875" style="225" customWidth="1"/>
    <col min="508" max="513" width="9.140625" style="225"/>
    <col min="514" max="514" width="55.5703125" style="225" customWidth="1"/>
    <col min="515" max="515" width="17.85546875" style="225" customWidth="1"/>
    <col min="516" max="516" width="17.5703125" style="225" customWidth="1"/>
    <col min="517" max="517" width="17.28515625" style="225" customWidth="1"/>
    <col min="518" max="518" width="18" style="225" customWidth="1"/>
    <col min="519" max="758" width="9.140625" style="225"/>
    <col min="759" max="759" width="46.7109375" style="225" customWidth="1"/>
    <col min="760" max="760" width="13.42578125" style="225" customWidth="1"/>
    <col min="761" max="761" width="13.28515625" style="225" customWidth="1"/>
    <col min="762" max="763" width="15.85546875" style="225" customWidth="1"/>
    <col min="764" max="769" width="9.140625" style="225"/>
    <col min="770" max="770" width="55.5703125" style="225" customWidth="1"/>
    <col min="771" max="771" width="17.85546875" style="225" customWidth="1"/>
    <col min="772" max="772" width="17.5703125" style="225" customWidth="1"/>
    <col min="773" max="773" width="17.28515625" style="225" customWidth="1"/>
    <col min="774" max="774" width="18" style="225" customWidth="1"/>
    <col min="775" max="1014" width="9.140625" style="225"/>
    <col min="1015" max="1015" width="46.7109375" style="225" customWidth="1"/>
    <col min="1016" max="1016" width="13.42578125" style="225" customWidth="1"/>
    <col min="1017" max="1017" width="13.28515625" style="225" customWidth="1"/>
    <col min="1018" max="1019" width="15.85546875" style="225" customWidth="1"/>
    <col min="1020" max="1025" width="9.140625" style="225"/>
    <col min="1026" max="1026" width="55.5703125" style="225" customWidth="1"/>
    <col min="1027" max="1027" width="17.85546875" style="225" customWidth="1"/>
    <col min="1028" max="1028" width="17.5703125" style="225" customWidth="1"/>
    <col min="1029" max="1029" width="17.28515625" style="225" customWidth="1"/>
    <col min="1030" max="1030" width="18" style="225" customWidth="1"/>
    <col min="1031" max="1270" width="9.140625" style="225"/>
    <col min="1271" max="1271" width="46.7109375" style="225" customWidth="1"/>
    <col min="1272" max="1272" width="13.42578125" style="225" customWidth="1"/>
    <col min="1273" max="1273" width="13.28515625" style="225" customWidth="1"/>
    <col min="1274" max="1275" width="15.85546875" style="225" customWidth="1"/>
    <col min="1276" max="1281" width="9.140625" style="225"/>
    <col min="1282" max="1282" width="55.5703125" style="225" customWidth="1"/>
    <col min="1283" max="1283" width="17.85546875" style="225" customWidth="1"/>
    <col min="1284" max="1284" width="17.5703125" style="225" customWidth="1"/>
    <col min="1285" max="1285" width="17.28515625" style="225" customWidth="1"/>
    <col min="1286" max="1286" width="18" style="225" customWidth="1"/>
    <col min="1287" max="1526" width="9.140625" style="225"/>
    <col min="1527" max="1527" width="46.7109375" style="225" customWidth="1"/>
    <col min="1528" max="1528" width="13.42578125" style="225" customWidth="1"/>
    <col min="1529" max="1529" width="13.28515625" style="225" customWidth="1"/>
    <col min="1530" max="1531" width="15.85546875" style="225" customWidth="1"/>
    <col min="1532" max="1537" width="9.140625" style="225"/>
    <col min="1538" max="1538" width="55.5703125" style="225" customWidth="1"/>
    <col min="1539" max="1539" width="17.85546875" style="225" customWidth="1"/>
    <col min="1540" max="1540" width="17.5703125" style="225" customWidth="1"/>
    <col min="1541" max="1541" width="17.28515625" style="225" customWidth="1"/>
    <col min="1542" max="1542" width="18" style="225" customWidth="1"/>
    <col min="1543" max="1782" width="9.140625" style="225"/>
    <col min="1783" max="1783" width="46.7109375" style="225" customWidth="1"/>
    <col min="1784" max="1784" width="13.42578125" style="225" customWidth="1"/>
    <col min="1785" max="1785" width="13.28515625" style="225" customWidth="1"/>
    <col min="1786" max="1787" width="15.85546875" style="225" customWidth="1"/>
    <col min="1788" max="1793" width="9.140625" style="225"/>
    <col min="1794" max="1794" width="55.5703125" style="225" customWidth="1"/>
    <col min="1795" max="1795" width="17.85546875" style="225" customWidth="1"/>
    <col min="1796" max="1796" width="17.5703125" style="225" customWidth="1"/>
    <col min="1797" max="1797" width="17.28515625" style="225" customWidth="1"/>
    <col min="1798" max="1798" width="18" style="225" customWidth="1"/>
    <col min="1799" max="2038" width="9.140625" style="225"/>
    <col min="2039" max="2039" width="46.7109375" style="225" customWidth="1"/>
    <col min="2040" max="2040" width="13.42578125" style="225" customWidth="1"/>
    <col min="2041" max="2041" width="13.28515625" style="225" customWidth="1"/>
    <col min="2042" max="2043" width="15.85546875" style="225" customWidth="1"/>
    <col min="2044" max="2049" width="9.140625" style="225"/>
    <col min="2050" max="2050" width="55.5703125" style="225" customWidth="1"/>
    <col min="2051" max="2051" width="17.85546875" style="225" customWidth="1"/>
    <col min="2052" max="2052" width="17.5703125" style="225" customWidth="1"/>
    <col min="2053" max="2053" width="17.28515625" style="225" customWidth="1"/>
    <col min="2054" max="2054" width="18" style="225" customWidth="1"/>
    <col min="2055" max="2294" width="9.140625" style="225"/>
    <col min="2295" max="2295" width="46.7109375" style="225" customWidth="1"/>
    <col min="2296" max="2296" width="13.42578125" style="225" customWidth="1"/>
    <col min="2297" max="2297" width="13.28515625" style="225" customWidth="1"/>
    <col min="2298" max="2299" width="15.85546875" style="225" customWidth="1"/>
    <col min="2300" max="2305" width="9.140625" style="225"/>
    <col min="2306" max="2306" width="55.5703125" style="225" customWidth="1"/>
    <col min="2307" max="2307" width="17.85546875" style="225" customWidth="1"/>
    <col min="2308" max="2308" width="17.5703125" style="225" customWidth="1"/>
    <col min="2309" max="2309" width="17.28515625" style="225" customWidth="1"/>
    <col min="2310" max="2310" width="18" style="225" customWidth="1"/>
    <col min="2311" max="2550" width="9.140625" style="225"/>
    <col min="2551" max="2551" width="46.7109375" style="225" customWidth="1"/>
    <col min="2552" max="2552" width="13.42578125" style="225" customWidth="1"/>
    <col min="2553" max="2553" width="13.28515625" style="225" customWidth="1"/>
    <col min="2554" max="2555" width="15.85546875" style="225" customWidth="1"/>
    <col min="2556" max="2561" width="9.140625" style="225"/>
    <col min="2562" max="2562" width="55.5703125" style="225" customWidth="1"/>
    <col min="2563" max="2563" width="17.85546875" style="225" customWidth="1"/>
    <col min="2564" max="2564" width="17.5703125" style="225" customWidth="1"/>
    <col min="2565" max="2565" width="17.28515625" style="225" customWidth="1"/>
    <col min="2566" max="2566" width="18" style="225" customWidth="1"/>
    <col min="2567" max="2806" width="9.140625" style="225"/>
    <col min="2807" max="2807" width="46.7109375" style="225" customWidth="1"/>
    <col min="2808" max="2808" width="13.42578125" style="225" customWidth="1"/>
    <col min="2809" max="2809" width="13.28515625" style="225" customWidth="1"/>
    <col min="2810" max="2811" width="15.85546875" style="225" customWidth="1"/>
    <col min="2812" max="2817" width="9.140625" style="225"/>
    <col min="2818" max="2818" width="55.5703125" style="225" customWidth="1"/>
    <col min="2819" max="2819" width="17.85546875" style="225" customWidth="1"/>
    <col min="2820" max="2820" width="17.5703125" style="225" customWidth="1"/>
    <col min="2821" max="2821" width="17.28515625" style="225" customWidth="1"/>
    <col min="2822" max="2822" width="18" style="225" customWidth="1"/>
    <col min="2823" max="3062" width="9.140625" style="225"/>
    <col min="3063" max="3063" width="46.7109375" style="225" customWidth="1"/>
    <col min="3064" max="3064" width="13.42578125" style="225" customWidth="1"/>
    <col min="3065" max="3065" width="13.28515625" style="225" customWidth="1"/>
    <col min="3066" max="3067" width="15.85546875" style="225" customWidth="1"/>
    <col min="3068" max="3073" width="9.140625" style="225"/>
    <col min="3074" max="3074" width="55.5703125" style="225" customWidth="1"/>
    <col min="3075" max="3075" width="17.85546875" style="225" customWidth="1"/>
    <col min="3076" max="3076" width="17.5703125" style="225" customWidth="1"/>
    <col min="3077" max="3077" width="17.28515625" style="225" customWidth="1"/>
    <col min="3078" max="3078" width="18" style="225" customWidth="1"/>
    <col min="3079" max="3318" width="9.140625" style="225"/>
    <col min="3319" max="3319" width="46.7109375" style="225" customWidth="1"/>
    <col min="3320" max="3320" width="13.42578125" style="225" customWidth="1"/>
    <col min="3321" max="3321" width="13.28515625" style="225" customWidth="1"/>
    <col min="3322" max="3323" width="15.85546875" style="225" customWidth="1"/>
    <col min="3324" max="3329" width="9.140625" style="225"/>
    <col min="3330" max="3330" width="55.5703125" style="225" customWidth="1"/>
    <col min="3331" max="3331" width="17.85546875" style="225" customWidth="1"/>
    <col min="3332" max="3332" width="17.5703125" style="225" customWidth="1"/>
    <col min="3333" max="3333" width="17.28515625" style="225" customWidth="1"/>
    <col min="3334" max="3334" width="18" style="225" customWidth="1"/>
    <col min="3335" max="3574" width="9.140625" style="225"/>
    <col min="3575" max="3575" width="46.7109375" style="225" customWidth="1"/>
    <col min="3576" max="3576" width="13.42578125" style="225" customWidth="1"/>
    <col min="3577" max="3577" width="13.28515625" style="225" customWidth="1"/>
    <col min="3578" max="3579" width="15.85546875" style="225" customWidth="1"/>
    <col min="3580" max="3585" width="9.140625" style="225"/>
    <col min="3586" max="3586" width="55.5703125" style="225" customWidth="1"/>
    <col min="3587" max="3587" width="17.85546875" style="225" customWidth="1"/>
    <col min="3588" max="3588" width="17.5703125" style="225" customWidth="1"/>
    <col min="3589" max="3589" width="17.28515625" style="225" customWidth="1"/>
    <col min="3590" max="3590" width="18" style="225" customWidth="1"/>
    <col min="3591" max="3830" width="9.140625" style="225"/>
    <col min="3831" max="3831" width="46.7109375" style="225" customWidth="1"/>
    <col min="3832" max="3832" width="13.42578125" style="225" customWidth="1"/>
    <col min="3833" max="3833" width="13.28515625" style="225" customWidth="1"/>
    <col min="3834" max="3835" width="15.85546875" style="225" customWidth="1"/>
    <col min="3836" max="3841" width="9.140625" style="225"/>
    <col min="3842" max="3842" width="55.5703125" style="225" customWidth="1"/>
    <col min="3843" max="3843" width="17.85546875" style="225" customWidth="1"/>
    <col min="3844" max="3844" width="17.5703125" style="225" customWidth="1"/>
    <col min="3845" max="3845" width="17.28515625" style="225" customWidth="1"/>
    <col min="3846" max="3846" width="18" style="225" customWidth="1"/>
    <col min="3847" max="4086" width="9.140625" style="225"/>
    <col min="4087" max="4087" width="46.7109375" style="225" customWidth="1"/>
    <col min="4088" max="4088" width="13.42578125" style="225" customWidth="1"/>
    <col min="4089" max="4089" width="13.28515625" style="225" customWidth="1"/>
    <col min="4090" max="4091" width="15.85546875" style="225" customWidth="1"/>
    <col min="4092" max="4097" width="9.140625" style="225"/>
    <col min="4098" max="4098" width="55.5703125" style="225" customWidth="1"/>
    <col min="4099" max="4099" width="17.85546875" style="225" customWidth="1"/>
    <col min="4100" max="4100" width="17.5703125" style="225" customWidth="1"/>
    <col min="4101" max="4101" width="17.28515625" style="225" customWidth="1"/>
    <col min="4102" max="4102" width="18" style="225" customWidth="1"/>
    <col min="4103" max="4342" width="9.140625" style="225"/>
    <col min="4343" max="4343" width="46.7109375" style="225" customWidth="1"/>
    <col min="4344" max="4344" width="13.42578125" style="225" customWidth="1"/>
    <col min="4345" max="4345" width="13.28515625" style="225" customWidth="1"/>
    <col min="4346" max="4347" width="15.85546875" style="225" customWidth="1"/>
    <col min="4348" max="4353" width="9.140625" style="225"/>
    <col min="4354" max="4354" width="55.5703125" style="225" customWidth="1"/>
    <col min="4355" max="4355" width="17.85546875" style="225" customWidth="1"/>
    <col min="4356" max="4356" width="17.5703125" style="225" customWidth="1"/>
    <col min="4357" max="4357" width="17.28515625" style="225" customWidth="1"/>
    <col min="4358" max="4358" width="18" style="225" customWidth="1"/>
    <col min="4359" max="4598" width="9.140625" style="225"/>
    <col min="4599" max="4599" width="46.7109375" style="225" customWidth="1"/>
    <col min="4600" max="4600" width="13.42578125" style="225" customWidth="1"/>
    <col min="4601" max="4601" width="13.28515625" style="225" customWidth="1"/>
    <col min="4602" max="4603" width="15.85546875" style="225" customWidth="1"/>
    <col min="4604" max="4609" width="9.140625" style="225"/>
    <col min="4610" max="4610" width="55.5703125" style="225" customWidth="1"/>
    <col min="4611" max="4611" width="17.85546875" style="225" customWidth="1"/>
    <col min="4612" max="4612" width="17.5703125" style="225" customWidth="1"/>
    <col min="4613" max="4613" width="17.28515625" style="225" customWidth="1"/>
    <col min="4614" max="4614" width="18" style="225" customWidth="1"/>
    <col min="4615" max="4854" width="9.140625" style="225"/>
    <col min="4855" max="4855" width="46.7109375" style="225" customWidth="1"/>
    <col min="4856" max="4856" width="13.42578125" style="225" customWidth="1"/>
    <col min="4857" max="4857" width="13.28515625" style="225" customWidth="1"/>
    <col min="4858" max="4859" width="15.85546875" style="225" customWidth="1"/>
    <col min="4860" max="4865" width="9.140625" style="225"/>
    <col min="4866" max="4866" width="55.5703125" style="225" customWidth="1"/>
    <col min="4867" max="4867" width="17.85546875" style="225" customWidth="1"/>
    <col min="4868" max="4868" width="17.5703125" style="225" customWidth="1"/>
    <col min="4869" max="4869" width="17.28515625" style="225" customWidth="1"/>
    <col min="4870" max="4870" width="18" style="225" customWidth="1"/>
    <col min="4871" max="5110" width="9.140625" style="225"/>
    <col min="5111" max="5111" width="46.7109375" style="225" customWidth="1"/>
    <col min="5112" max="5112" width="13.42578125" style="225" customWidth="1"/>
    <col min="5113" max="5113" width="13.28515625" style="225" customWidth="1"/>
    <col min="5114" max="5115" width="15.85546875" style="225" customWidth="1"/>
    <col min="5116" max="5121" width="9.140625" style="225"/>
    <col min="5122" max="5122" width="55.5703125" style="225" customWidth="1"/>
    <col min="5123" max="5123" width="17.85546875" style="225" customWidth="1"/>
    <col min="5124" max="5124" width="17.5703125" style="225" customWidth="1"/>
    <col min="5125" max="5125" width="17.28515625" style="225" customWidth="1"/>
    <col min="5126" max="5126" width="18" style="225" customWidth="1"/>
    <col min="5127" max="5366" width="9.140625" style="225"/>
    <col min="5367" max="5367" width="46.7109375" style="225" customWidth="1"/>
    <col min="5368" max="5368" width="13.42578125" style="225" customWidth="1"/>
    <col min="5369" max="5369" width="13.28515625" style="225" customWidth="1"/>
    <col min="5370" max="5371" width="15.85546875" style="225" customWidth="1"/>
    <col min="5372" max="5377" width="9.140625" style="225"/>
    <col min="5378" max="5378" width="55.5703125" style="225" customWidth="1"/>
    <col min="5379" max="5379" width="17.85546875" style="225" customWidth="1"/>
    <col min="5380" max="5380" width="17.5703125" style="225" customWidth="1"/>
    <col min="5381" max="5381" width="17.28515625" style="225" customWidth="1"/>
    <col min="5382" max="5382" width="18" style="225" customWidth="1"/>
    <col min="5383" max="5622" width="9.140625" style="225"/>
    <col min="5623" max="5623" width="46.7109375" style="225" customWidth="1"/>
    <col min="5624" max="5624" width="13.42578125" style="225" customWidth="1"/>
    <col min="5625" max="5625" width="13.28515625" style="225" customWidth="1"/>
    <col min="5626" max="5627" width="15.85546875" style="225" customWidth="1"/>
    <col min="5628" max="5633" width="9.140625" style="225"/>
    <col min="5634" max="5634" width="55.5703125" style="225" customWidth="1"/>
    <col min="5635" max="5635" width="17.85546875" style="225" customWidth="1"/>
    <col min="5636" max="5636" width="17.5703125" style="225" customWidth="1"/>
    <col min="5637" max="5637" width="17.28515625" style="225" customWidth="1"/>
    <col min="5638" max="5638" width="18" style="225" customWidth="1"/>
    <col min="5639" max="5878" width="9.140625" style="225"/>
    <col min="5879" max="5879" width="46.7109375" style="225" customWidth="1"/>
    <col min="5880" max="5880" width="13.42578125" style="225" customWidth="1"/>
    <col min="5881" max="5881" width="13.28515625" style="225" customWidth="1"/>
    <col min="5882" max="5883" width="15.85546875" style="225" customWidth="1"/>
    <col min="5884" max="5889" width="9.140625" style="225"/>
    <col min="5890" max="5890" width="55.5703125" style="225" customWidth="1"/>
    <col min="5891" max="5891" width="17.85546875" style="225" customWidth="1"/>
    <col min="5892" max="5892" width="17.5703125" style="225" customWidth="1"/>
    <col min="5893" max="5893" width="17.28515625" style="225" customWidth="1"/>
    <col min="5894" max="5894" width="18" style="225" customWidth="1"/>
    <col min="5895" max="6134" width="9.140625" style="225"/>
    <col min="6135" max="6135" width="46.7109375" style="225" customWidth="1"/>
    <col min="6136" max="6136" width="13.42578125" style="225" customWidth="1"/>
    <col min="6137" max="6137" width="13.28515625" style="225" customWidth="1"/>
    <col min="6138" max="6139" width="15.85546875" style="225" customWidth="1"/>
    <col min="6140" max="6145" width="9.140625" style="225"/>
    <col min="6146" max="6146" width="55.5703125" style="225" customWidth="1"/>
    <col min="6147" max="6147" width="17.85546875" style="225" customWidth="1"/>
    <col min="6148" max="6148" width="17.5703125" style="225" customWidth="1"/>
    <col min="6149" max="6149" width="17.28515625" style="225" customWidth="1"/>
    <col min="6150" max="6150" width="18" style="225" customWidth="1"/>
    <col min="6151" max="6390" width="9.140625" style="225"/>
    <col min="6391" max="6391" width="46.7109375" style="225" customWidth="1"/>
    <col min="6392" max="6392" width="13.42578125" style="225" customWidth="1"/>
    <col min="6393" max="6393" width="13.28515625" style="225" customWidth="1"/>
    <col min="6394" max="6395" width="15.85546875" style="225" customWidth="1"/>
    <col min="6396" max="6401" width="9.140625" style="225"/>
    <col min="6402" max="6402" width="55.5703125" style="225" customWidth="1"/>
    <col min="6403" max="6403" width="17.85546875" style="225" customWidth="1"/>
    <col min="6404" max="6404" width="17.5703125" style="225" customWidth="1"/>
    <col min="6405" max="6405" width="17.28515625" style="225" customWidth="1"/>
    <col min="6406" max="6406" width="18" style="225" customWidth="1"/>
    <col min="6407" max="6646" width="9.140625" style="225"/>
    <col min="6647" max="6647" width="46.7109375" style="225" customWidth="1"/>
    <col min="6648" max="6648" width="13.42578125" style="225" customWidth="1"/>
    <col min="6649" max="6649" width="13.28515625" style="225" customWidth="1"/>
    <col min="6650" max="6651" width="15.85546875" style="225" customWidth="1"/>
    <col min="6652" max="6657" width="9.140625" style="225"/>
    <col min="6658" max="6658" width="55.5703125" style="225" customWidth="1"/>
    <col min="6659" max="6659" width="17.85546875" style="225" customWidth="1"/>
    <col min="6660" max="6660" width="17.5703125" style="225" customWidth="1"/>
    <col min="6661" max="6661" width="17.28515625" style="225" customWidth="1"/>
    <col min="6662" max="6662" width="18" style="225" customWidth="1"/>
    <col min="6663" max="6902" width="9.140625" style="225"/>
    <col min="6903" max="6903" width="46.7109375" style="225" customWidth="1"/>
    <col min="6904" max="6904" width="13.42578125" style="225" customWidth="1"/>
    <col min="6905" max="6905" width="13.28515625" style="225" customWidth="1"/>
    <col min="6906" max="6907" width="15.85546875" style="225" customWidth="1"/>
    <col min="6908" max="6913" width="9.140625" style="225"/>
    <col min="6914" max="6914" width="55.5703125" style="225" customWidth="1"/>
    <col min="6915" max="6915" width="17.85546875" style="225" customWidth="1"/>
    <col min="6916" max="6916" width="17.5703125" style="225" customWidth="1"/>
    <col min="6917" max="6917" width="17.28515625" style="225" customWidth="1"/>
    <col min="6918" max="6918" width="18" style="225" customWidth="1"/>
    <col min="6919" max="7158" width="9.140625" style="225"/>
    <col min="7159" max="7159" width="46.7109375" style="225" customWidth="1"/>
    <col min="7160" max="7160" width="13.42578125" style="225" customWidth="1"/>
    <col min="7161" max="7161" width="13.28515625" style="225" customWidth="1"/>
    <col min="7162" max="7163" width="15.85546875" style="225" customWidth="1"/>
    <col min="7164" max="7169" width="9.140625" style="225"/>
    <col min="7170" max="7170" width="55.5703125" style="225" customWidth="1"/>
    <col min="7171" max="7171" width="17.85546875" style="225" customWidth="1"/>
    <col min="7172" max="7172" width="17.5703125" style="225" customWidth="1"/>
    <col min="7173" max="7173" width="17.28515625" style="225" customWidth="1"/>
    <col min="7174" max="7174" width="18" style="225" customWidth="1"/>
    <col min="7175" max="7414" width="9.140625" style="225"/>
    <col min="7415" max="7415" width="46.7109375" style="225" customWidth="1"/>
    <col min="7416" max="7416" width="13.42578125" style="225" customWidth="1"/>
    <col min="7417" max="7417" width="13.28515625" style="225" customWidth="1"/>
    <col min="7418" max="7419" width="15.85546875" style="225" customWidth="1"/>
    <col min="7420" max="7425" width="9.140625" style="225"/>
    <col min="7426" max="7426" width="55.5703125" style="225" customWidth="1"/>
    <col min="7427" max="7427" width="17.85546875" style="225" customWidth="1"/>
    <col min="7428" max="7428" width="17.5703125" style="225" customWidth="1"/>
    <col min="7429" max="7429" width="17.28515625" style="225" customWidth="1"/>
    <col min="7430" max="7430" width="18" style="225" customWidth="1"/>
    <col min="7431" max="7670" width="9.140625" style="225"/>
    <col min="7671" max="7671" width="46.7109375" style="225" customWidth="1"/>
    <col min="7672" max="7672" width="13.42578125" style="225" customWidth="1"/>
    <col min="7673" max="7673" width="13.28515625" style="225" customWidth="1"/>
    <col min="7674" max="7675" width="15.85546875" style="225" customWidth="1"/>
    <col min="7676" max="7681" width="9.140625" style="225"/>
    <col min="7682" max="7682" width="55.5703125" style="225" customWidth="1"/>
    <col min="7683" max="7683" width="17.85546875" style="225" customWidth="1"/>
    <col min="7684" max="7684" width="17.5703125" style="225" customWidth="1"/>
    <col min="7685" max="7685" width="17.28515625" style="225" customWidth="1"/>
    <col min="7686" max="7686" width="18" style="225" customWidth="1"/>
    <col min="7687" max="7926" width="9.140625" style="225"/>
    <col min="7927" max="7927" width="46.7109375" style="225" customWidth="1"/>
    <col min="7928" max="7928" width="13.42578125" style="225" customWidth="1"/>
    <col min="7929" max="7929" width="13.28515625" style="225" customWidth="1"/>
    <col min="7930" max="7931" width="15.85546875" style="225" customWidth="1"/>
    <col min="7932" max="7937" width="9.140625" style="225"/>
    <col min="7938" max="7938" width="55.5703125" style="225" customWidth="1"/>
    <col min="7939" max="7939" width="17.85546875" style="225" customWidth="1"/>
    <col min="7940" max="7940" width="17.5703125" style="225" customWidth="1"/>
    <col min="7941" max="7941" width="17.28515625" style="225" customWidth="1"/>
    <col min="7942" max="7942" width="18" style="225" customWidth="1"/>
    <col min="7943" max="8182" width="9.140625" style="225"/>
    <col min="8183" max="8183" width="46.7109375" style="225" customWidth="1"/>
    <col min="8184" max="8184" width="13.42578125" style="225" customWidth="1"/>
    <col min="8185" max="8185" width="13.28515625" style="225" customWidth="1"/>
    <col min="8186" max="8187" width="15.85546875" style="225" customWidth="1"/>
    <col min="8188" max="8193" width="9.140625" style="225"/>
    <col min="8194" max="8194" width="55.5703125" style="225" customWidth="1"/>
    <col min="8195" max="8195" width="17.85546875" style="225" customWidth="1"/>
    <col min="8196" max="8196" width="17.5703125" style="225" customWidth="1"/>
    <col min="8197" max="8197" width="17.28515625" style="225" customWidth="1"/>
    <col min="8198" max="8198" width="18" style="225" customWidth="1"/>
    <col min="8199" max="8438" width="9.140625" style="225"/>
    <col min="8439" max="8439" width="46.7109375" style="225" customWidth="1"/>
    <col min="8440" max="8440" width="13.42578125" style="225" customWidth="1"/>
    <col min="8441" max="8441" width="13.28515625" style="225" customWidth="1"/>
    <col min="8442" max="8443" width="15.85546875" style="225" customWidth="1"/>
    <col min="8444" max="8449" width="9.140625" style="225"/>
    <col min="8450" max="8450" width="55.5703125" style="225" customWidth="1"/>
    <col min="8451" max="8451" width="17.85546875" style="225" customWidth="1"/>
    <col min="8452" max="8452" width="17.5703125" style="225" customWidth="1"/>
    <col min="8453" max="8453" width="17.28515625" style="225" customWidth="1"/>
    <col min="8454" max="8454" width="18" style="225" customWidth="1"/>
    <col min="8455" max="8694" width="9.140625" style="225"/>
    <col min="8695" max="8695" width="46.7109375" style="225" customWidth="1"/>
    <col min="8696" max="8696" width="13.42578125" style="225" customWidth="1"/>
    <col min="8697" max="8697" width="13.28515625" style="225" customWidth="1"/>
    <col min="8698" max="8699" width="15.85546875" style="225" customWidth="1"/>
    <col min="8700" max="8705" width="9.140625" style="225"/>
    <col min="8706" max="8706" width="55.5703125" style="225" customWidth="1"/>
    <col min="8707" max="8707" width="17.85546875" style="225" customWidth="1"/>
    <col min="8708" max="8708" width="17.5703125" style="225" customWidth="1"/>
    <col min="8709" max="8709" width="17.28515625" style="225" customWidth="1"/>
    <col min="8710" max="8710" width="18" style="225" customWidth="1"/>
    <col min="8711" max="8950" width="9.140625" style="225"/>
    <col min="8951" max="8951" width="46.7109375" style="225" customWidth="1"/>
    <col min="8952" max="8952" width="13.42578125" style="225" customWidth="1"/>
    <col min="8953" max="8953" width="13.28515625" style="225" customWidth="1"/>
    <col min="8954" max="8955" width="15.85546875" style="225" customWidth="1"/>
    <col min="8956" max="8961" width="9.140625" style="225"/>
    <col min="8962" max="8962" width="55.5703125" style="225" customWidth="1"/>
    <col min="8963" max="8963" width="17.85546875" style="225" customWidth="1"/>
    <col min="8964" max="8964" width="17.5703125" style="225" customWidth="1"/>
    <col min="8965" max="8965" width="17.28515625" style="225" customWidth="1"/>
    <col min="8966" max="8966" width="18" style="225" customWidth="1"/>
    <col min="8967" max="9206" width="9.140625" style="225"/>
    <col min="9207" max="9207" width="46.7109375" style="225" customWidth="1"/>
    <col min="9208" max="9208" width="13.42578125" style="225" customWidth="1"/>
    <col min="9209" max="9209" width="13.28515625" style="225" customWidth="1"/>
    <col min="9210" max="9211" width="15.85546875" style="225" customWidth="1"/>
    <col min="9212" max="9217" width="9.140625" style="225"/>
    <col min="9218" max="9218" width="55.5703125" style="225" customWidth="1"/>
    <col min="9219" max="9219" width="17.85546875" style="225" customWidth="1"/>
    <col min="9220" max="9220" width="17.5703125" style="225" customWidth="1"/>
    <col min="9221" max="9221" width="17.28515625" style="225" customWidth="1"/>
    <col min="9222" max="9222" width="18" style="225" customWidth="1"/>
    <col min="9223" max="9462" width="9.140625" style="225"/>
    <col min="9463" max="9463" width="46.7109375" style="225" customWidth="1"/>
    <col min="9464" max="9464" width="13.42578125" style="225" customWidth="1"/>
    <col min="9465" max="9465" width="13.28515625" style="225" customWidth="1"/>
    <col min="9466" max="9467" width="15.85546875" style="225" customWidth="1"/>
    <col min="9468" max="9473" width="9.140625" style="225"/>
    <col min="9474" max="9474" width="55.5703125" style="225" customWidth="1"/>
    <col min="9475" max="9475" width="17.85546875" style="225" customWidth="1"/>
    <col min="9476" max="9476" width="17.5703125" style="225" customWidth="1"/>
    <col min="9477" max="9477" width="17.28515625" style="225" customWidth="1"/>
    <col min="9478" max="9478" width="18" style="225" customWidth="1"/>
    <col min="9479" max="9718" width="9.140625" style="225"/>
    <col min="9719" max="9719" width="46.7109375" style="225" customWidth="1"/>
    <col min="9720" max="9720" width="13.42578125" style="225" customWidth="1"/>
    <col min="9721" max="9721" width="13.28515625" style="225" customWidth="1"/>
    <col min="9722" max="9723" width="15.85546875" style="225" customWidth="1"/>
    <col min="9724" max="9729" width="9.140625" style="225"/>
    <col min="9730" max="9730" width="55.5703125" style="225" customWidth="1"/>
    <col min="9731" max="9731" width="17.85546875" style="225" customWidth="1"/>
    <col min="9732" max="9732" width="17.5703125" style="225" customWidth="1"/>
    <col min="9733" max="9733" width="17.28515625" style="225" customWidth="1"/>
    <col min="9734" max="9734" width="18" style="225" customWidth="1"/>
    <col min="9735" max="9974" width="9.140625" style="225"/>
    <col min="9975" max="9975" width="46.7109375" style="225" customWidth="1"/>
    <col min="9976" max="9976" width="13.42578125" style="225" customWidth="1"/>
    <col min="9977" max="9977" width="13.28515625" style="225" customWidth="1"/>
    <col min="9978" max="9979" width="15.85546875" style="225" customWidth="1"/>
    <col min="9980" max="9985" width="9.140625" style="225"/>
    <col min="9986" max="9986" width="55.5703125" style="225" customWidth="1"/>
    <col min="9987" max="9987" width="17.85546875" style="225" customWidth="1"/>
    <col min="9988" max="9988" width="17.5703125" style="225" customWidth="1"/>
    <col min="9989" max="9989" width="17.28515625" style="225" customWidth="1"/>
    <col min="9990" max="9990" width="18" style="225" customWidth="1"/>
    <col min="9991" max="10230" width="9.140625" style="225"/>
    <col min="10231" max="10231" width="46.7109375" style="225" customWidth="1"/>
    <col min="10232" max="10232" width="13.42578125" style="225" customWidth="1"/>
    <col min="10233" max="10233" width="13.28515625" style="225" customWidth="1"/>
    <col min="10234" max="10235" width="15.85546875" style="225" customWidth="1"/>
    <col min="10236" max="10241" width="9.140625" style="225"/>
    <col min="10242" max="10242" width="55.5703125" style="225" customWidth="1"/>
    <col min="10243" max="10243" width="17.85546875" style="225" customWidth="1"/>
    <col min="10244" max="10244" width="17.5703125" style="225" customWidth="1"/>
    <col min="10245" max="10245" width="17.28515625" style="225" customWidth="1"/>
    <col min="10246" max="10246" width="18" style="225" customWidth="1"/>
    <col min="10247" max="10486" width="9.140625" style="225"/>
    <col min="10487" max="10487" width="46.7109375" style="225" customWidth="1"/>
    <col min="10488" max="10488" width="13.42578125" style="225" customWidth="1"/>
    <col min="10489" max="10489" width="13.28515625" style="225" customWidth="1"/>
    <col min="10490" max="10491" width="15.85546875" style="225" customWidth="1"/>
    <col min="10492" max="10497" width="9.140625" style="225"/>
    <col min="10498" max="10498" width="55.5703125" style="225" customWidth="1"/>
    <col min="10499" max="10499" width="17.85546875" style="225" customWidth="1"/>
    <col min="10500" max="10500" width="17.5703125" style="225" customWidth="1"/>
    <col min="10501" max="10501" width="17.28515625" style="225" customWidth="1"/>
    <col min="10502" max="10502" width="18" style="225" customWidth="1"/>
    <col min="10503" max="10742" width="9.140625" style="225"/>
    <col min="10743" max="10743" width="46.7109375" style="225" customWidth="1"/>
    <col min="10744" max="10744" width="13.42578125" style="225" customWidth="1"/>
    <col min="10745" max="10745" width="13.28515625" style="225" customWidth="1"/>
    <col min="10746" max="10747" width="15.85546875" style="225" customWidth="1"/>
    <col min="10748" max="10753" width="9.140625" style="225"/>
    <col min="10754" max="10754" width="55.5703125" style="225" customWidth="1"/>
    <col min="10755" max="10755" width="17.85546875" style="225" customWidth="1"/>
    <col min="10756" max="10756" width="17.5703125" style="225" customWidth="1"/>
    <col min="10757" max="10757" width="17.28515625" style="225" customWidth="1"/>
    <col min="10758" max="10758" width="18" style="225" customWidth="1"/>
    <col min="10759" max="10998" width="9.140625" style="225"/>
    <col min="10999" max="10999" width="46.7109375" style="225" customWidth="1"/>
    <col min="11000" max="11000" width="13.42578125" style="225" customWidth="1"/>
    <col min="11001" max="11001" width="13.28515625" style="225" customWidth="1"/>
    <col min="11002" max="11003" width="15.85546875" style="225" customWidth="1"/>
    <col min="11004" max="11009" width="9.140625" style="225"/>
    <col min="11010" max="11010" width="55.5703125" style="225" customWidth="1"/>
    <col min="11011" max="11011" width="17.85546875" style="225" customWidth="1"/>
    <col min="11012" max="11012" width="17.5703125" style="225" customWidth="1"/>
    <col min="11013" max="11013" width="17.28515625" style="225" customWidth="1"/>
    <col min="11014" max="11014" width="18" style="225" customWidth="1"/>
    <col min="11015" max="11254" width="9.140625" style="225"/>
    <col min="11255" max="11255" width="46.7109375" style="225" customWidth="1"/>
    <col min="11256" max="11256" width="13.42578125" style="225" customWidth="1"/>
    <col min="11257" max="11257" width="13.28515625" style="225" customWidth="1"/>
    <col min="11258" max="11259" width="15.85546875" style="225" customWidth="1"/>
    <col min="11260" max="11265" width="9.140625" style="225"/>
    <col min="11266" max="11266" width="55.5703125" style="225" customWidth="1"/>
    <col min="11267" max="11267" width="17.85546875" style="225" customWidth="1"/>
    <col min="11268" max="11268" width="17.5703125" style="225" customWidth="1"/>
    <col min="11269" max="11269" width="17.28515625" style="225" customWidth="1"/>
    <col min="11270" max="11270" width="18" style="225" customWidth="1"/>
    <col min="11271" max="11510" width="9.140625" style="225"/>
    <col min="11511" max="11511" width="46.7109375" style="225" customWidth="1"/>
    <col min="11512" max="11512" width="13.42578125" style="225" customWidth="1"/>
    <col min="11513" max="11513" width="13.28515625" style="225" customWidth="1"/>
    <col min="11514" max="11515" width="15.85546875" style="225" customWidth="1"/>
    <col min="11516" max="11521" width="9.140625" style="225"/>
    <col min="11522" max="11522" width="55.5703125" style="225" customWidth="1"/>
    <col min="11523" max="11523" width="17.85546875" style="225" customWidth="1"/>
    <col min="11524" max="11524" width="17.5703125" style="225" customWidth="1"/>
    <col min="11525" max="11525" width="17.28515625" style="225" customWidth="1"/>
    <col min="11526" max="11526" width="18" style="225" customWidth="1"/>
    <col min="11527" max="11766" width="9.140625" style="225"/>
    <col min="11767" max="11767" width="46.7109375" style="225" customWidth="1"/>
    <col min="11768" max="11768" width="13.42578125" style="225" customWidth="1"/>
    <col min="11769" max="11769" width="13.28515625" style="225" customWidth="1"/>
    <col min="11770" max="11771" width="15.85546875" style="225" customWidth="1"/>
    <col min="11772" max="11777" width="9.140625" style="225"/>
    <col min="11778" max="11778" width="55.5703125" style="225" customWidth="1"/>
    <col min="11779" max="11779" width="17.85546875" style="225" customWidth="1"/>
    <col min="11780" max="11780" width="17.5703125" style="225" customWidth="1"/>
    <col min="11781" max="11781" width="17.28515625" style="225" customWidth="1"/>
    <col min="11782" max="11782" width="18" style="225" customWidth="1"/>
    <col min="11783" max="12022" width="9.140625" style="225"/>
    <col min="12023" max="12023" width="46.7109375" style="225" customWidth="1"/>
    <col min="12024" max="12024" width="13.42578125" style="225" customWidth="1"/>
    <col min="12025" max="12025" width="13.28515625" style="225" customWidth="1"/>
    <col min="12026" max="12027" width="15.85546875" style="225" customWidth="1"/>
    <col min="12028" max="12033" width="9.140625" style="225"/>
    <col min="12034" max="12034" width="55.5703125" style="225" customWidth="1"/>
    <col min="12035" max="12035" width="17.85546875" style="225" customWidth="1"/>
    <col min="12036" max="12036" width="17.5703125" style="225" customWidth="1"/>
    <col min="12037" max="12037" width="17.28515625" style="225" customWidth="1"/>
    <col min="12038" max="12038" width="18" style="225" customWidth="1"/>
    <col min="12039" max="12278" width="9.140625" style="225"/>
    <col min="12279" max="12279" width="46.7109375" style="225" customWidth="1"/>
    <col min="12280" max="12280" width="13.42578125" style="225" customWidth="1"/>
    <col min="12281" max="12281" width="13.28515625" style="225" customWidth="1"/>
    <col min="12282" max="12283" width="15.85546875" style="225" customWidth="1"/>
    <col min="12284" max="12289" width="9.140625" style="225"/>
    <col min="12290" max="12290" width="55.5703125" style="225" customWidth="1"/>
    <col min="12291" max="12291" width="17.85546875" style="225" customWidth="1"/>
    <col min="12292" max="12292" width="17.5703125" style="225" customWidth="1"/>
    <col min="12293" max="12293" width="17.28515625" style="225" customWidth="1"/>
    <col min="12294" max="12294" width="18" style="225" customWidth="1"/>
    <col min="12295" max="12534" width="9.140625" style="225"/>
    <col min="12535" max="12535" width="46.7109375" style="225" customWidth="1"/>
    <col min="12536" max="12536" width="13.42578125" style="225" customWidth="1"/>
    <col min="12537" max="12537" width="13.28515625" style="225" customWidth="1"/>
    <col min="12538" max="12539" width="15.85546875" style="225" customWidth="1"/>
    <col min="12540" max="12545" width="9.140625" style="225"/>
    <col min="12546" max="12546" width="55.5703125" style="225" customWidth="1"/>
    <col min="12547" max="12547" width="17.85546875" style="225" customWidth="1"/>
    <col min="12548" max="12548" width="17.5703125" style="225" customWidth="1"/>
    <col min="12549" max="12549" width="17.28515625" style="225" customWidth="1"/>
    <col min="12550" max="12550" width="18" style="225" customWidth="1"/>
    <col min="12551" max="12790" width="9.140625" style="225"/>
    <col min="12791" max="12791" width="46.7109375" style="225" customWidth="1"/>
    <col min="12792" max="12792" width="13.42578125" style="225" customWidth="1"/>
    <col min="12793" max="12793" width="13.28515625" style="225" customWidth="1"/>
    <col min="12794" max="12795" width="15.85546875" style="225" customWidth="1"/>
    <col min="12796" max="12801" width="9.140625" style="225"/>
    <col min="12802" max="12802" width="55.5703125" style="225" customWidth="1"/>
    <col min="12803" max="12803" width="17.85546875" style="225" customWidth="1"/>
    <col min="12804" max="12804" width="17.5703125" style="225" customWidth="1"/>
    <col min="12805" max="12805" width="17.28515625" style="225" customWidth="1"/>
    <col min="12806" max="12806" width="18" style="225" customWidth="1"/>
    <col min="12807" max="13046" width="9.140625" style="225"/>
    <col min="13047" max="13047" width="46.7109375" style="225" customWidth="1"/>
    <col min="13048" max="13048" width="13.42578125" style="225" customWidth="1"/>
    <col min="13049" max="13049" width="13.28515625" style="225" customWidth="1"/>
    <col min="13050" max="13051" width="15.85546875" style="225" customWidth="1"/>
    <col min="13052" max="13057" width="9.140625" style="225"/>
    <col min="13058" max="13058" width="55.5703125" style="225" customWidth="1"/>
    <col min="13059" max="13059" width="17.85546875" style="225" customWidth="1"/>
    <col min="13060" max="13060" width="17.5703125" style="225" customWidth="1"/>
    <col min="13061" max="13061" width="17.28515625" style="225" customWidth="1"/>
    <col min="13062" max="13062" width="18" style="225" customWidth="1"/>
    <col min="13063" max="13302" width="9.140625" style="225"/>
    <col min="13303" max="13303" width="46.7109375" style="225" customWidth="1"/>
    <col min="13304" max="13304" width="13.42578125" style="225" customWidth="1"/>
    <col min="13305" max="13305" width="13.28515625" style="225" customWidth="1"/>
    <col min="13306" max="13307" width="15.85546875" style="225" customWidth="1"/>
    <col min="13308" max="13313" width="9.140625" style="225"/>
    <col min="13314" max="13314" width="55.5703125" style="225" customWidth="1"/>
    <col min="13315" max="13315" width="17.85546875" style="225" customWidth="1"/>
    <col min="13316" max="13316" width="17.5703125" style="225" customWidth="1"/>
    <col min="13317" max="13317" width="17.28515625" style="225" customWidth="1"/>
    <col min="13318" max="13318" width="18" style="225" customWidth="1"/>
    <col min="13319" max="13558" width="9.140625" style="225"/>
    <col min="13559" max="13559" width="46.7109375" style="225" customWidth="1"/>
    <col min="13560" max="13560" width="13.42578125" style="225" customWidth="1"/>
    <col min="13561" max="13561" width="13.28515625" style="225" customWidth="1"/>
    <col min="13562" max="13563" width="15.85546875" style="225" customWidth="1"/>
    <col min="13564" max="13569" width="9.140625" style="225"/>
    <col min="13570" max="13570" width="55.5703125" style="225" customWidth="1"/>
    <col min="13571" max="13571" width="17.85546875" style="225" customWidth="1"/>
    <col min="13572" max="13572" width="17.5703125" style="225" customWidth="1"/>
    <col min="13573" max="13573" width="17.28515625" style="225" customWidth="1"/>
    <col min="13574" max="13574" width="18" style="225" customWidth="1"/>
    <col min="13575" max="13814" width="9.140625" style="225"/>
    <col min="13815" max="13815" width="46.7109375" style="225" customWidth="1"/>
    <col min="13816" max="13816" width="13.42578125" style="225" customWidth="1"/>
    <col min="13817" max="13817" width="13.28515625" style="225" customWidth="1"/>
    <col min="13818" max="13819" width="15.85546875" style="225" customWidth="1"/>
    <col min="13820" max="13825" width="9.140625" style="225"/>
    <col min="13826" max="13826" width="55.5703125" style="225" customWidth="1"/>
    <col min="13827" max="13827" width="17.85546875" style="225" customWidth="1"/>
    <col min="13828" max="13828" width="17.5703125" style="225" customWidth="1"/>
    <col min="13829" max="13829" width="17.28515625" style="225" customWidth="1"/>
    <col min="13830" max="13830" width="18" style="225" customWidth="1"/>
    <col min="13831" max="14070" width="9.140625" style="225"/>
    <col min="14071" max="14071" width="46.7109375" style="225" customWidth="1"/>
    <col min="14072" max="14072" width="13.42578125" style="225" customWidth="1"/>
    <col min="14073" max="14073" width="13.28515625" style="225" customWidth="1"/>
    <col min="14074" max="14075" width="15.85546875" style="225" customWidth="1"/>
    <col min="14076" max="14081" width="9.140625" style="225"/>
    <col min="14082" max="14082" width="55.5703125" style="225" customWidth="1"/>
    <col min="14083" max="14083" width="17.85546875" style="225" customWidth="1"/>
    <col min="14084" max="14084" width="17.5703125" style="225" customWidth="1"/>
    <col min="14085" max="14085" width="17.28515625" style="225" customWidth="1"/>
    <col min="14086" max="14086" width="18" style="225" customWidth="1"/>
    <col min="14087" max="14326" width="9.140625" style="225"/>
    <col min="14327" max="14327" width="46.7109375" style="225" customWidth="1"/>
    <col min="14328" max="14328" width="13.42578125" style="225" customWidth="1"/>
    <col min="14329" max="14329" width="13.28515625" style="225" customWidth="1"/>
    <col min="14330" max="14331" width="15.85546875" style="225" customWidth="1"/>
    <col min="14332" max="14337" width="9.140625" style="225"/>
    <col min="14338" max="14338" width="55.5703125" style="225" customWidth="1"/>
    <col min="14339" max="14339" width="17.85546875" style="225" customWidth="1"/>
    <col min="14340" max="14340" width="17.5703125" style="225" customWidth="1"/>
    <col min="14341" max="14341" width="17.28515625" style="225" customWidth="1"/>
    <col min="14342" max="14342" width="18" style="225" customWidth="1"/>
    <col min="14343" max="14582" width="9.140625" style="225"/>
    <col min="14583" max="14583" width="46.7109375" style="225" customWidth="1"/>
    <col min="14584" max="14584" width="13.42578125" style="225" customWidth="1"/>
    <col min="14585" max="14585" width="13.28515625" style="225" customWidth="1"/>
    <col min="14586" max="14587" width="15.85546875" style="225" customWidth="1"/>
    <col min="14588" max="14593" width="9.140625" style="225"/>
    <col min="14594" max="14594" width="55.5703125" style="225" customWidth="1"/>
    <col min="14595" max="14595" width="17.85546875" style="225" customWidth="1"/>
    <col min="14596" max="14596" width="17.5703125" style="225" customWidth="1"/>
    <col min="14597" max="14597" width="17.28515625" style="225" customWidth="1"/>
    <col min="14598" max="14598" width="18" style="225" customWidth="1"/>
    <col min="14599" max="14838" width="9.140625" style="225"/>
    <col min="14839" max="14839" width="46.7109375" style="225" customWidth="1"/>
    <col min="14840" max="14840" width="13.42578125" style="225" customWidth="1"/>
    <col min="14841" max="14841" width="13.28515625" style="225" customWidth="1"/>
    <col min="14842" max="14843" width="15.85546875" style="225" customWidth="1"/>
    <col min="14844" max="14849" width="9.140625" style="225"/>
    <col min="14850" max="14850" width="55.5703125" style="225" customWidth="1"/>
    <col min="14851" max="14851" width="17.85546875" style="225" customWidth="1"/>
    <col min="14852" max="14852" width="17.5703125" style="225" customWidth="1"/>
    <col min="14853" max="14853" width="17.28515625" style="225" customWidth="1"/>
    <col min="14854" max="14854" width="18" style="225" customWidth="1"/>
    <col min="14855" max="15094" width="9.140625" style="225"/>
    <col min="15095" max="15095" width="46.7109375" style="225" customWidth="1"/>
    <col min="15096" max="15096" width="13.42578125" style="225" customWidth="1"/>
    <col min="15097" max="15097" width="13.28515625" style="225" customWidth="1"/>
    <col min="15098" max="15099" width="15.85546875" style="225" customWidth="1"/>
    <col min="15100" max="15105" width="9.140625" style="225"/>
    <col min="15106" max="15106" width="55.5703125" style="225" customWidth="1"/>
    <col min="15107" max="15107" width="17.85546875" style="225" customWidth="1"/>
    <col min="15108" max="15108" width="17.5703125" style="225" customWidth="1"/>
    <col min="15109" max="15109" width="17.28515625" style="225" customWidth="1"/>
    <col min="15110" max="15110" width="18" style="225" customWidth="1"/>
    <col min="15111" max="15350" width="9.140625" style="225"/>
    <col min="15351" max="15351" width="46.7109375" style="225" customWidth="1"/>
    <col min="15352" max="15352" width="13.42578125" style="225" customWidth="1"/>
    <col min="15353" max="15353" width="13.28515625" style="225" customWidth="1"/>
    <col min="15354" max="15355" width="15.85546875" style="225" customWidth="1"/>
    <col min="15356" max="15361" width="9.140625" style="225"/>
    <col min="15362" max="15362" width="55.5703125" style="225" customWidth="1"/>
    <col min="15363" max="15363" width="17.85546875" style="225" customWidth="1"/>
    <col min="15364" max="15364" width="17.5703125" style="225" customWidth="1"/>
    <col min="15365" max="15365" width="17.28515625" style="225" customWidth="1"/>
    <col min="15366" max="15366" width="18" style="225" customWidth="1"/>
    <col min="15367" max="15606" width="9.140625" style="225"/>
    <col min="15607" max="15607" width="46.7109375" style="225" customWidth="1"/>
    <col min="15608" max="15608" width="13.42578125" style="225" customWidth="1"/>
    <col min="15609" max="15609" width="13.28515625" style="225" customWidth="1"/>
    <col min="15610" max="15611" width="15.85546875" style="225" customWidth="1"/>
    <col min="15612" max="15617" width="9.140625" style="225"/>
    <col min="15618" max="15618" width="55.5703125" style="225" customWidth="1"/>
    <col min="15619" max="15619" width="17.85546875" style="225" customWidth="1"/>
    <col min="15620" max="15620" width="17.5703125" style="225" customWidth="1"/>
    <col min="15621" max="15621" width="17.28515625" style="225" customWidth="1"/>
    <col min="15622" max="15622" width="18" style="225" customWidth="1"/>
    <col min="15623" max="15862" width="9.140625" style="225"/>
    <col min="15863" max="15863" width="46.7109375" style="225" customWidth="1"/>
    <col min="15864" max="15864" width="13.42578125" style="225" customWidth="1"/>
    <col min="15865" max="15865" width="13.28515625" style="225" customWidth="1"/>
    <col min="15866" max="15867" width="15.85546875" style="225" customWidth="1"/>
    <col min="15868" max="15873" width="9.140625" style="225"/>
    <col min="15874" max="15874" width="55.5703125" style="225" customWidth="1"/>
    <col min="15875" max="15875" width="17.85546875" style="225" customWidth="1"/>
    <col min="15876" max="15876" width="17.5703125" style="225" customWidth="1"/>
    <col min="15877" max="15877" width="17.28515625" style="225" customWidth="1"/>
    <col min="15878" max="15878" width="18" style="225" customWidth="1"/>
    <col min="15879" max="16118" width="9.140625" style="225"/>
    <col min="16119" max="16119" width="46.7109375" style="225" customWidth="1"/>
    <col min="16120" max="16120" width="13.42578125" style="225" customWidth="1"/>
    <col min="16121" max="16121" width="13.28515625" style="225" customWidth="1"/>
    <col min="16122" max="16123" width="15.85546875" style="225" customWidth="1"/>
    <col min="16124" max="16129" width="9.140625" style="225"/>
    <col min="16130" max="16130" width="55.5703125" style="225" customWidth="1"/>
    <col min="16131" max="16131" width="17.85546875" style="225" customWidth="1"/>
    <col min="16132" max="16132" width="17.5703125" style="225" customWidth="1"/>
    <col min="16133" max="16133" width="17.28515625" style="225" customWidth="1"/>
    <col min="16134" max="16134" width="18" style="225" customWidth="1"/>
    <col min="16135" max="16374" width="9.140625" style="225"/>
    <col min="16375" max="16375" width="46.7109375" style="225" customWidth="1"/>
    <col min="16376" max="16376" width="13.42578125" style="225" customWidth="1"/>
    <col min="16377" max="16377" width="13.28515625" style="225" customWidth="1"/>
    <col min="16378" max="16379" width="15.85546875" style="225" customWidth="1"/>
    <col min="16380" max="16384" width="9.140625" style="225"/>
  </cols>
  <sheetData>
    <row r="1" spans="1:7" x14ac:dyDescent="0.25">
      <c r="B1" s="437">
        <v>8</v>
      </c>
      <c r="E1" s="437"/>
    </row>
    <row r="3" spans="1:7" x14ac:dyDescent="0.25">
      <c r="E3" s="416" t="s">
        <v>209</v>
      </c>
      <c r="F3" s="416"/>
      <c r="G3" s="416"/>
    </row>
    <row r="4" spans="1:7" ht="11.25" customHeight="1" x14ac:dyDescent="0.25">
      <c r="E4" s="417" t="s">
        <v>240</v>
      </c>
      <c r="F4" s="417"/>
      <c r="G4" s="417"/>
    </row>
    <row r="5" spans="1:7" x14ac:dyDescent="0.25">
      <c r="E5" s="225" t="s">
        <v>242</v>
      </c>
    </row>
    <row r="8" spans="1:7" ht="40.5" customHeight="1" x14ac:dyDescent="0.25">
      <c r="A8" s="418" t="s">
        <v>249</v>
      </c>
      <c r="B8" s="418"/>
      <c r="C8" s="418"/>
      <c r="D8" s="418"/>
      <c r="E8" s="418"/>
      <c r="F8" s="418"/>
      <c r="G8" s="418"/>
    </row>
    <row r="9" spans="1:7" ht="4.5" customHeight="1" x14ac:dyDescent="0.25">
      <c r="A9" s="265"/>
      <c r="B9" s="265"/>
      <c r="C9" s="265"/>
      <c r="D9" s="265"/>
      <c r="E9" s="265"/>
      <c r="F9" s="265"/>
      <c r="G9" s="265"/>
    </row>
    <row r="10" spans="1:7" ht="16.5" thickBot="1" x14ac:dyDescent="0.3">
      <c r="A10" s="266"/>
      <c r="B10" s="419"/>
      <c r="C10" s="419"/>
      <c r="D10" s="419"/>
      <c r="E10" s="420"/>
      <c r="F10" s="420"/>
      <c r="G10" s="251"/>
    </row>
    <row r="11" spans="1:7" ht="16.5" thickBot="1" x14ac:dyDescent="0.3">
      <c r="A11" s="421" t="s">
        <v>145</v>
      </c>
      <c r="B11" s="424" t="s">
        <v>175</v>
      </c>
      <c r="C11" s="427" t="s">
        <v>210</v>
      </c>
      <c r="D11" s="428"/>
      <c r="E11" s="429" t="s">
        <v>211</v>
      </c>
      <c r="F11" s="430"/>
      <c r="G11" s="431"/>
    </row>
    <row r="12" spans="1:7" ht="16.5" customHeight="1" x14ac:dyDescent="0.25">
      <c r="A12" s="422"/>
      <c r="B12" s="425"/>
      <c r="C12" s="432" t="s">
        <v>212</v>
      </c>
      <c r="D12" s="227" t="s">
        <v>213</v>
      </c>
      <c r="E12" s="228" t="s">
        <v>91</v>
      </c>
      <c r="F12" s="229" t="s">
        <v>176</v>
      </c>
      <c r="G12" s="230" t="s">
        <v>177</v>
      </c>
    </row>
    <row r="13" spans="1:7" ht="15.75" hidden="1" x14ac:dyDescent="0.25">
      <c r="A13" s="422"/>
      <c r="B13" s="425"/>
      <c r="C13" s="433"/>
      <c r="D13" s="227"/>
      <c r="E13" s="228"/>
      <c r="F13" s="229"/>
      <c r="G13" s="231"/>
    </row>
    <row r="14" spans="1:7" ht="15.75" hidden="1" x14ac:dyDescent="0.25">
      <c r="A14" s="422"/>
      <c r="B14" s="425"/>
      <c r="C14" s="433"/>
      <c r="D14" s="227"/>
      <c r="E14" s="228"/>
      <c r="F14" s="229"/>
      <c r="G14" s="231"/>
    </row>
    <row r="15" spans="1:7" ht="34.5" customHeight="1" thickBot="1" x14ac:dyDescent="0.3">
      <c r="A15" s="423"/>
      <c r="B15" s="426"/>
      <c r="C15" s="232" t="s">
        <v>9</v>
      </c>
      <c r="D15" s="233" t="s">
        <v>214</v>
      </c>
      <c r="E15" s="234" t="s">
        <v>215</v>
      </c>
      <c r="F15" s="235" t="s">
        <v>215</v>
      </c>
      <c r="G15" s="236" t="s">
        <v>215</v>
      </c>
    </row>
    <row r="16" spans="1:7" ht="15.75" x14ac:dyDescent="0.25">
      <c r="A16" s="267">
        <v>1</v>
      </c>
      <c r="B16" s="267">
        <v>2</v>
      </c>
      <c r="C16" s="268">
        <v>3</v>
      </c>
      <c r="D16" s="269">
        <v>4</v>
      </c>
      <c r="E16" s="270">
        <v>5</v>
      </c>
      <c r="F16" s="271">
        <v>6</v>
      </c>
      <c r="G16" s="272"/>
    </row>
    <row r="17" spans="1:7" ht="47.25" x14ac:dyDescent="0.25">
      <c r="A17" s="273">
        <v>1</v>
      </c>
      <c r="B17" s="274" t="s">
        <v>216</v>
      </c>
      <c r="C17" s="275">
        <f>[1]Д6_послугаТариф!C34</f>
        <v>1066.171136267611</v>
      </c>
      <c r="D17" s="276">
        <f>[1]Д6_послугаТариф!I11</f>
        <v>183.41350310150622</v>
      </c>
      <c r="E17" s="277">
        <f>[1]ГВП!M13</f>
        <v>65.883607305654621</v>
      </c>
      <c r="F17" s="278">
        <f>[1]ГВП!O13</f>
        <v>64.274809269521583</v>
      </c>
      <c r="G17" s="279">
        <f>[1]ГВП!Q13</f>
        <v>62.711107413236306</v>
      </c>
    </row>
    <row r="18" spans="1:7" ht="15.75" hidden="1" x14ac:dyDescent="0.25">
      <c r="A18" s="280" t="s">
        <v>11</v>
      </c>
      <c r="B18" s="274" t="s">
        <v>217</v>
      </c>
      <c r="C18" s="275"/>
      <c r="D18" s="276"/>
      <c r="E18" s="277"/>
      <c r="F18" s="278"/>
      <c r="G18" s="279"/>
    </row>
    <row r="19" spans="1:7" ht="15.75" hidden="1" x14ac:dyDescent="0.25">
      <c r="A19" s="273">
        <v>2</v>
      </c>
      <c r="B19" s="274" t="s">
        <v>178</v>
      </c>
      <c r="C19" s="281">
        <f>C20+C22</f>
        <v>22.22548006414026</v>
      </c>
      <c r="D19" s="282">
        <f>D20+D22</f>
        <v>4.1552492136658827</v>
      </c>
      <c r="E19" s="281"/>
      <c r="F19" s="283"/>
      <c r="G19" s="231"/>
    </row>
    <row r="20" spans="1:7" ht="15.75" hidden="1" x14ac:dyDescent="0.25">
      <c r="A20" s="273" t="s">
        <v>179</v>
      </c>
      <c r="B20" s="274" t="s">
        <v>34</v>
      </c>
      <c r="C20" s="284">
        <f>[1]Д6_послугаТариф!G13+[1]Д6_послугаТариф!G14</f>
        <v>20.256948104445687</v>
      </c>
      <c r="D20" s="285">
        <f>[1]Д6_послугаТариф!I13+[1]Д6_послугаТариф!I14</f>
        <v>3.8166025082609556</v>
      </c>
      <c r="E20" s="281"/>
      <c r="F20" s="283"/>
      <c r="G20" s="231"/>
    </row>
    <row r="21" spans="1:7" ht="15.75" hidden="1" x14ac:dyDescent="0.25">
      <c r="A21" s="273" t="s">
        <v>180</v>
      </c>
      <c r="B21" s="274" t="s">
        <v>218</v>
      </c>
      <c r="C21" s="284"/>
      <c r="D21" s="285"/>
      <c r="E21" s="281"/>
      <c r="F21" s="283"/>
      <c r="G21" s="231"/>
    </row>
    <row r="22" spans="1:7" ht="15.75" hidden="1" x14ac:dyDescent="0.25">
      <c r="A22" s="273" t="s">
        <v>181</v>
      </c>
      <c r="B22" s="274" t="s">
        <v>182</v>
      </c>
      <c r="C22" s="284">
        <f>[1]Д6_послугаТариф!G15</f>
        <v>1.9685319596945716</v>
      </c>
      <c r="D22" s="285">
        <f>[1]Д6_послугаТариф!I15</f>
        <v>0.33864670540492747</v>
      </c>
      <c r="E22" s="281"/>
      <c r="F22" s="283"/>
      <c r="G22" s="231"/>
    </row>
    <row r="23" spans="1:7" ht="47.25" hidden="1" x14ac:dyDescent="0.25">
      <c r="A23" s="273">
        <v>3</v>
      </c>
      <c r="B23" s="274" t="s">
        <v>219</v>
      </c>
      <c r="C23" s="284">
        <v>0</v>
      </c>
      <c r="D23" s="285" t="s">
        <v>220</v>
      </c>
      <c r="E23" s="281">
        <v>0</v>
      </c>
      <c r="F23" s="283">
        <v>0</v>
      </c>
      <c r="G23" s="231"/>
    </row>
    <row r="24" spans="1:7" ht="31.5" x14ac:dyDescent="0.25">
      <c r="A24" s="273">
        <v>2</v>
      </c>
      <c r="B24" s="274" t="s">
        <v>221</v>
      </c>
      <c r="C24" s="284" t="s">
        <v>220</v>
      </c>
      <c r="D24" s="285" t="s">
        <v>220</v>
      </c>
      <c r="E24" s="281">
        <f>[1]ГВП!M18</f>
        <v>14.352812795256961</v>
      </c>
      <c r="F24" s="283">
        <f>[1]ГВП!O18</f>
        <v>12.52591648783751</v>
      </c>
      <c r="G24" s="279">
        <f>[1]ГВП!Q18</f>
        <v>13.117422809381358</v>
      </c>
    </row>
    <row r="25" spans="1:7" ht="31.5" hidden="1" x14ac:dyDescent="0.25">
      <c r="A25" s="273">
        <v>4</v>
      </c>
      <c r="B25" s="274" t="s">
        <v>183</v>
      </c>
      <c r="C25" s="284">
        <f>[1]Д6_послугаТариф!G17</f>
        <v>-818.30330822077713</v>
      </c>
      <c r="D25" s="285">
        <f>[1]Д6_послугаТариф!I17</f>
        <v>-140.77278145583935</v>
      </c>
      <c r="E25" s="281">
        <f>[1]ГВП!M19</f>
        <v>0</v>
      </c>
      <c r="F25" s="283">
        <f>[1]ГВП!O19</f>
        <v>0</v>
      </c>
      <c r="G25" s="286">
        <f>[1]ГВП!Q19</f>
        <v>0</v>
      </c>
    </row>
    <row r="26" spans="1:7" ht="31.5" x14ac:dyDescent="0.25">
      <c r="A26" s="273">
        <v>3</v>
      </c>
      <c r="B26" s="274" t="s">
        <v>184</v>
      </c>
      <c r="C26" s="284">
        <f>[1]Д6_послугаТариф!G18</f>
        <v>270.09330811097408</v>
      </c>
      <c r="D26" s="285">
        <f>[1]Д6_послугаТариф!I18</f>
        <v>46.795970859332769</v>
      </c>
      <c r="E26" s="287">
        <f>E17+E24+E25</f>
        <v>80.236420100911587</v>
      </c>
      <c r="F26" s="283">
        <f t="shared" ref="F26:G26" si="0">F17+F24+F25</f>
        <v>76.800725757359089</v>
      </c>
      <c r="G26" s="288">
        <f t="shared" si="0"/>
        <v>75.828530222617658</v>
      </c>
    </row>
    <row r="27" spans="1:7" ht="23.25" customHeight="1" x14ac:dyDescent="0.25">
      <c r="A27" s="273">
        <v>4</v>
      </c>
      <c r="B27" s="274" t="s">
        <v>222</v>
      </c>
      <c r="C27" s="284">
        <f>[1]Д6_послугаТариф!G23</f>
        <v>3.0538924823433509</v>
      </c>
      <c r="D27" s="285">
        <f>[1]Д6_послугаТариф!I23</f>
        <v>0.52800816507145587</v>
      </c>
      <c r="E27" s="281">
        <f>[1]ГВП!M22</f>
        <v>5.6368263667136462</v>
      </c>
      <c r="F27" s="289">
        <f>[1]ГВП!O22</f>
        <v>6.9806435176698978</v>
      </c>
      <c r="G27" s="286">
        <f>[1]ГВП!Q22</f>
        <v>6.6498606661397268</v>
      </c>
    </row>
    <row r="28" spans="1:7" ht="31.5" hidden="1" x14ac:dyDescent="0.25">
      <c r="A28" s="280" t="s">
        <v>186</v>
      </c>
      <c r="B28" s="274" t="s">
        <v>187</v>
      </c>
      <c r="C28" s="284"/>
      <c r="D28" s="285"/>
      <c r="E28" s="287">
        <f>E27-E29</f>
        <v>4.6221976207051902</v>
      </c>
      <c r="F28" s="283">
        <f t="shared" ref="F28:G28" si="1">F27-F29</f>
        <v>5.7241276844893161</v>
      </c>
      <c r="G28" s="288">
        <f t="shared" si="1"/>
        <v>5.4528857462345757</v>
      </c>
    </row>
    <row r="29" spans="1:7" ht="15.75" hidden="1" x14ac:dyDescent="0.25">
      <c r="A29" s="280" t="s">
        <v>188</v>
      </c>
      <c r="B29" s="274" t="s">
        <v>170</v>
      </c>
      <c r="C29" s="284"/>
      <c r="D29" s="285"/>
      <c r="E29" s="281">
        <f>[1]ГВП!M24</f>
        <v>1.0146287460084562</v>
      </c>
      <c r="F29" s="290">
        <f>[1]ГВП!O24</f>
        <v>1.2565158331805817</v>
      </c>
      <c r="G29" s="286">
        <f>[1]ГВП!Q24</f>
        <v>1.1969749199051509</v>
      </c>
    </row>
    <row r="30" spans="1:7" ht="15.75" hidden="1" x14ac:dyDescent="0.25">
      <c r="A30" s="273">
        <v>7</v>
      </c>
      <c r="B30" s="274" t="s">
        <v>223</v>
      </c>
      <c r="C30" s="284">
        <f>[1]Д6_послугаТариф!G24</f>
        <v>273.14720059331745</v>
      </c>
      <c r="D30" s="285">
        <f>[1]Д6_послугаТариф!I24</f>
        <v>47.323979024404224</v>
      </c>
      <c r="E30" s="287">
        <f>E26+E27</f>
        <v>85.873246467625236</v>
      </c>
      <c r="F30" s="283">
        <f t="shared" ref="F30:G30" si="2">F26+F27</f>
        <v>83.781369275028993</v>
      </c>
      <c r="G30" s="288">
        <f t="shared" si="2"/>
        <v>82.478390888757389</v>
      </c>
    </row>
    <row r="31" spans="1:7" ht="15.75" hidden="1" x14ac:dyDescent="0.25">
      <c r="A31" s="273">
        <v>9</v>
      </c>
      <c r="B31" s="274" t="s">
        <v>185</v>
      </c>
      <c r="C31" s="291">
        <f>[1]Д6_послугаТариф!G21</f>
        <v>92.443952414103791</v>
      </c>
      <c r="D31" s="292">
        <f>[1]Д6_послугаТариф!I21</f>
        <v>15.903140289631573</v>
      </c>
      <c r="E31" s="293"/>
      <c r="F31" s="294"/>
      <c r="G31" s="286"/>
    </row>
    <row r="32" spans="1:7" ht="15.75" hidden="1" x14ac:dyDescent="0.25">
      <c r="A32" s="273" t="s">
        <v>224</v>
      </c>
      <c r="B32" s="274" t="s">
        <v>225</v>
      </c>
      <c r="C32" s="291">
        <v>0</v>
      </c>
      <c r="D32" s="292">
        <v>0</v>
      </c>
      <c r="E32" s="293"/>
      <c r="F32" s="294"/>
      <c r="G32" s="231"/>
    </row>
    <row r="33" spans="1:7" ht="15.75" hidden="1" x14ac:dyDescent="0.25">
      <c r="A33" s="273" t="s">
        <v>226</v>
      </c>
      <c r="B33" s="274" t="s">
        <v>170</v>
      </c>
      <c r="C33" s="291">
        <f>[1]Д6_послугаТариф!G22</f>
        <v>20.292574920169123</v>
      </c>
      <c r="D33" s="292">
        <f>[1]Д6_послугаТариф!I22</f>
        <v>3.4909332343093693</v>
      </c>
      <c r="E33" s="293"/>
      <c r="F33" s="294"/>
      <c r="G33" s="231"/>
    </row>
    <row r="34" spans="1:7" ht="21" customHeight="1" x14ac:dyDescent="0.25">
      <c r="A34" s="295">
        <v>5</v>
      </c>
      <c r="B34" s="296" t="s">
        <v>227</v>
      </c>
      <c r="C34" s="297">
        <f>C30+C31+C33</f>
        <v>385.88372792759031</v>
      </c>
      <c r="D34" s="298">
        <f>D30+D31+D33</f>
        <v>66.71805254834517</v>
      </c>
      <c r="E34" s="299">
        <f>E30+E31+E33</f>
        <v>85.873246467625236</v>
      </c>
      <c r="F34" s="300">
        <f>F30+F31+F33</f>
        <v>83.781369275028993</v>
      </c>
      <c r="G34" s="301">
        <f>G30+G31+G33</f>
        <v>82.478390888757389</v>
      </c>
    </row>
    <row r="35" spans="1:7" ht="14.25" customHeight="1" x14ac:dyDescent="0.25">
      <c r="A35" s="273">
        <v>6</v>
      </c>
      <c r="B35" s="274" t="s">
        <v>228</v>
      </c>
      <c r="C35" s="302">
        <f>C34*20%</f>
        <v>77.176745585518063</v>
      </c>
      <c r="D35" s="303">
        <f>D34*20%</f>
        <v>13.343610509669034</v>
      </c>
      <c r="E35" s="304">
        <f>E34*20%</f>
        <v>17.174649293525047</v>
      </c>
      <c r="F35" s="305">
        <f>F34*20%</f>
        <v>16.756273855005798</v>
      </c>
      <c r="G35" s="306">
        <f>G34*20%</f>
        <v>16.495678177751479</v>
      </c>
    </row>
    <row r="36" spans="1:7" ht="24" customHeight="1" thickBot="1" x14ac:dyDescent="0.3">
      <c r="A36" s="307">
        <v>7</v>
      </c>
      <c r="B36" s="308" t="s">
        <v>229</v>
      </c>
      <c r="C36" s="309">
        <f>C34+C35</f>
        <v>463.06047351310838</v>
      </c>
      <c r="D36" s="310">
        <f>D34+D35</f>
        <v>80.061663058014204</v>
      </c>
      <c r="E36" s="309">
        <f>E34+E35</f>
        <v>103.04789576115029</v>
      </c>
      <c r="F36" s="311">
        <f>F34+F35</f>
        <v>100.53764313003479</v>
      </c>
      <c r="G36" s="312">
        <f>G34+G35</f>
        <v>98.974069066508861</v>
      </c>
    </row>
    <row r="37" spans="1:7" ht="34.5" hidden="1" x14ac:dyDescent="0.25">
      <c r="A37" s="238">
        <v>13</v>
      </c>
      <c r="B37" s="239" t="s">
        <v>230</v>
      </c>
      <c r="C37" s="237" t="s">
        <v>231</v>
      </c>
      <c r="D37" s="240">
        <f>C36*0.0279</f>
        <v>12.919387211015724</v>
      </c>
      <c r="E37" s="237" t="s">
        <v>231</v>
      </c>
      <c r="F37" s="241" t="s">
        <v>231</v>
      </c>
      <c r="G37" s="242"/>
    </row>
    <row r="38" spans="1:7" ht="32.25" hidden="1" thickBot="1" x14ac:dyDescent="0.3">
      <c r="A38" s="243">
        <v>14</v>
      </c>
      <c r="B38" s="244" t="s">
        <v>232</v>
      </c>
      <c r="C38" s="245">
        <v>187</v>
      </c>
      <c r="D38" s="246">
        <v>187</v>
      </c>
      <c r="E38" s="247" t="s">
        <v>231</v>
      </c>
      <c r="F38" s="248" t="s">
        <v>231</v>
      </c>
      <c r="G38" s="249"/>
    </row>
    <row r="39" spans="1:7" ht="18.75" x14ac:dyDescent="0.25">
      <c r="A39" s="313"/>
      <c r="B39" s="314"/>
      <c r="C39" s="315"/>
      <c r="D39" s="316"/>
      <c r="E39" s="315"/>
      <c r="F39" s="315"/>
      <c r="G39" s="317"/>
    </row>
    <row r="40" spans="1:7" ht="5.25" customHeight="1" x14ac:dyDescent="0.25"/>
    <row r="41" spans="1:7" ht="15.75" x14ac:dyDescent="0.25">
      <c r="B41" s="258" t="s">
        <v>237</v>
      </c>
      <c r="C41" s="94"/>
      <c r="D41" s="94"/>
      <c r="E41" s="94"/>
      <c r="F41" s="94"/>
    </row>
    <row r="42" spans="1:7" ht="15.75" customHeight="1" x14ac:dyDescent="0.25">
      <c r="B42" s="258" t="s">
        <v>238</v>
      </c>
      <c r="C42" s="94"/>
      <c r="D42" s="94"/>
      <c r="E42" s="380" t="s">
        <v>239</v>
      </c>
      <c r="F42" s="380"/>
    </row>
    <row r="43" spans="1:7" s="251" customFormat="1" ht="18.75" x14ac:dyDescent="0.25">
      <c r="A43" s="415"/>
      <c r="B43" s="415"/>
      <c r="C43" s="415"/>
      <c r="D43" s="250"/>
      <c r="F43" s="415"/>
      <c r="G43" s="415"/>
    </row>
  </sheetData>
  <mergeCells count="12">
    <mergeCell ref="E42:F42"/>
    <mergeCell ref="A43:C43"/>
    <mergeCell ref="F43:G43"/>
    <mergeCell ref="E3:G3"/>
    <mergeCell ref="E4:G4"/>
    <mergeCell ref="A8:G8"/>
    <mergeCell ref="B10:F10"/>
    <mergeCell ref="A11:A15"/>
    <mergeCell ref="B11:B15"/>
    <mergeCell ref="C11:D11"/>
    <mergeCell ref="E11:G11"/>
    <mergeCell ref="C12:C14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тариф</vt:lpstr>
      <vt:lpstr>виробництво</vt:lpstr>
      <vt:lpstr>транспортування</vt:lpstr>
      <vt:lpstr>постачання</vt:lpstr>
      <vt:lpstr>ГВП</vt:lpstr>
      <vt:lpstr>постачання!Область_печати</vt:lpstr>
      <vt:lpstr>тариф!Область_печати</vt:lpstr>
    </vt:vector>
  </TitlesOfParts>
  <Company>PAO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Коновалова Виктория Геннадьевна</dc:creator>
  <cp:lastModifiedBy>Волкова Юлія Володимирівна</cp:lastModifiedBy>
  <cp:lastPrinted>2020-07-15T07:35:05Z</cp:lastPrinted>
  <dcterms:created xsi:type="dcterms:W3CDTF">2020-06-26T10:37:12Z</dcterms:created>
  <dcterms:modified xsi:type="dcterms:W3CDTF">2020-07-15T07:35:43Z</dcterms:modified>
</cp:coreProperties>
</file>