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Звіт бюджету Сумської ОТГ\за І півріччя\МВК\"/>
    </mc:Choice>
  </mc:AlternateContent>
  <bookViews>
    <workbookView xWindow="0" yWindow="0" windowWidth="19200" windowHeight="11460" tabRatio="495"/>
  </bookViews>
  <sheets>
    <sheet name="дод 2" sheetId="1" r:id="rId1"/>
    <sheet name="дод 3" sheetId="3" r:id="rId2"/>
  </sheets>
  <definedNames>
    <definedName name="_xlnm.Print_Titles" localSheetId="0">'дод 2'!$11:$14</definedName>
    <definedName name="_xlnm.Print_Titles" localSheetId="1">'дод 3'!$14:$17</definedName>
    <definedName name="_xlnm.Print_Area" localSheetId="0">'дод 2'!$A$1:$Z$218</definedName>
    <definedName name="_xlnm.Print_Area" localSheetId="1">'дод 3'!$A$1:$Y$174</definedName>
  </definedNames>
  <calcPr calcId="162913"/>
</workbook>
</file>

<file path=xl/calcChain.xml><?xml version="1.0" encoding="utf-8"?>
<calcChain xmlns="http://schemas.openxmlformats.org/spreadsheetml/2006/main">
  <c r="D147" i="1" l="1"/>
  <c r="B147" i="1"/>
  <c r="V74" i="3" l="1"/>
  <c r="H19" i="3" l="1"/>
  <c r="V151" i="3" l="1"/>
  <c r="U151" i="3"/>
  <c r="T151" i="3"/>
  <c r="S151" i="3"/>
  <c r="R151" i="3"/>
  <c r="P151" i="3"/>
  <c r="O151" i="3"/>
  <c r="N151" i="3"/>
  <c r="M151" i="3"/>
  <c r="L151" i="3"/>
  <c r="K151" i="3"/>
  <c r="V150" i="3"/>
  <c r="V149" i="3" s="1"/>
  <c r="U150" i="3"/>
  <c r="T150" i="3"/>
  <c r="T149" i="3" s="1"/>
  <c r="S150" i="3"/>
  <c r="R150" i="3"/>
  <c r="R149" i="3" s="1"/>
  <c r="O150" i="3"/>
  <c r="N150" i="3"/>
  <c r="N149" i="3" s="1"/>
  <c r="M150" i="3"/>
  <c r="K150" i="3"/>
  <c r="K149" i="3" s="1"/>
  <c r="U149" i="3"/>
  <c r="S149" i="3"/>
  <c r="O149" i="3"/>
  <c r="M149" i="3"/>
  <c r="V148" i="3"/>
  <c r="V147" i="3" s="1"/>
  <c r="U148" i="3"/>
  <c r="T148" i="3"/>
  <c r="T147" i="3" s="1"/>
  <c r="S148" i="3"/>
  <c r="S147" i="3" s="1"/>
  <c r="S146" i="3" s="1"/>
  <c r="R148" i="3"/>
  <c r="R147" i="3" s="1"/>
  <c r="P148" i="3"/>
  <c r="P147" i="3" s="1"/>
  <c r="O148" i="3"/>
  <c r="O147" i="3" s="1"/>
  <c r="O146" i="3" s="1"/>
  <c r="N148" i="3"/>
  <c r="N147" i="3" s="1"/>
  <c r="M148" i="3"/>
  <c r="M147" i="3" s="1"/>
  <c r="L148" i="3"/>
  <c r="L147" i="3" s="1"/>
  <c r="K148" i="3"/>
  <c r="K147" i="3" s="1"/>
  <c r="U147" i="3"/>
  <c r="U146" i="3" s="1"/>
  <c r="V145" i="3"/>
  <c r="U145" i="3"/>
  <c r="T145" i="3"/>
  <c r="S145" i="3"/>
  <c r="R145" i="3"/>
  <c r="P145" i="3"/>
  <c r="O145" i="3"/>
  <c r="N145" i="3"/>
  <c r="M145" i="3"/>
  <c r="L145" i="3"/>
  <c r="K145" i="3"/>
  <c r="V144" i="3"/>
  <c r="U144" i="3"/>
  <c r="T144" i="3"/>
  <c r="S144" i="3"/>
  <c r="R144" i="3"/>
  <c r="P144" i="3"/>
  <c r="O144" i="3"/>
  <c r="N144" i="3"/>
  <c r="M144" i="3"/>
  <c r="L144" i="3"/>
  <c r="K144" i="3"/>
  <c r="V143" i="3"/>
  <c r="V142" i="3" s="1"/>
  <c r="U143" i="3"/>
  <c r="U142" i="3" s="1"/>
  <c r="T143" i="3"/>
  <c r="S143" i="3"/>
  <c r="S142" i="3" s="1"/>
  <c r="R143" i="3"/>
  <c r="R142" i="3" s="1"/>
  <c r="P143" i="3"/>
  <c r="P142" i="3" s="1"/>
  <c r="O143" i="3"/>
  <c r="N143" i="3"/>
  <c r="N142" i="3" s="1"/>
  <c r="M143" i="3"/>
  <c r="M142" i="3" s="1"/>
  <c r="L143" i="3"/>
  <c r="L142" i="3" s="1"/>
  <c r="K143" i="3"/>
  <c r="T142" i="3"/>
  <c r="O142" i="3"/>
  <c r="K142" i="3"/>
  <c r="V141" i="3"/>
  <c r="U141" i="3"/>
  <c r="T141" i="3"/>
  <c r="S141" i="3"/>
  <c r="R141" i="3"/>
  <c r="O141" i="3"/>
  <c r="N141" i="3"/>
  <c r="L141" i="3"/>
  <c r="K141" i="3"/>
  <c r="V140" i="3"/>
  <c r="U140" i="3"/>
  <c r="T140" i="3"/>
  <c r="S140" i="3"/>
  <c r="R140" i="3"/>
  <c r="P140" i="3"/>
  <c r="O140" i="3"/>
  <c r="O139" i="3" s="1"/>
  <c r="N140" i="3"/>
  <c r="M140" i="3"/>
  <c r="L140" i="3"/>
  <c r="K140" i="3"/>
  <c r="V138" i="3"/>
  <c r="V137" i="3" s="1"/>
  <c r="U138" i="3"/>
  <c r="U137" i="3" s="1"/>
  <c r="T138" i="3"/>
  <c r="T137" i="3" s="1"/>
  <c r="S138" i="3"/>
  <c r="S137" i="3" s="1"/>
  <c r="R138" i="3"/>
  <c r="R137" i="3" s="1"/>
  <c r="P138" i="3"/>
  <c r="P137" i="3" s="1"/>
  <c r="O138" i="3"/>
  <c r="N138" i="3"/>
  <c r="N137" i="3" s="1"/>
  <c r="M138" i="3"/>
  <c r="M137" i="3" s="1"/>
  <c r="L138" i="3"/>
  <c r="L137" i="3" s="1"/>
  <c r="K138" i="3"/>
  <c r="K137" i="3" s="1"/>
  <c r="O137" i="3"/>
  <c r="V136" i="3"/>
  <c r="U136" i="3"/>
  <c r="T136" i="3"/>
  <c r="S136" i="3"/>
  <c r="R136" i="3"/>
  <c r="P136" i="3"/>
  <c r="O136" i="3"/>
  <c r="N136" i="3"/>
  <c r="M136" i="3"/>
  <c r="L136" i="3"/>
  <c r="K136" i="3"/>
  <c r="V135" i="3"/>
  <c r="U135" i="3"/>
  <c r="T135" i="3"/>
  <c r="S135" i="3"/>
  <c r="R135" i="3"/>
  <c r="O135" i="3"/>
  <c r="N135" i="3"/>
  <c r="M135" i="3"/>
  <c r="M134" i="3" s="1"/>
  <c r="K135" i="3"/>
  <c r="O134" i="3"/>
  <c r="V132" i="3"/>
  <c r="V131" i="3" s="1"/>
  <c r="U132" i="3"/>
  <c r="T132" i="3"/>
  <c r="T131" i="3" s="1"/>
  <c r="S132" i="3"/>
  <c r="S131" i="3" s="1"/>
  <c r="R132" i="3"/>
  <c r="R131" i="3" s="1"/>
  <c r="P132" i="3"/>
  <c r="P131" i="3" s="1"/>
  <c r="O132" i="3"/>
  <c r="O131" i="3" s="1"/>
  <c r="N132" i="3"/>
  <c r="N131" i="3" s="1"/>
  <c r="M132" i="3"/>
  <c r="M131" i="3" s="1"/>
  <c r="L132" i="3"/>
  <c r="L131" i="3" s="1"/>
  <c r="K132" i="3"/>
  <c r="K131" i="3" s="1"/>
  <c r="U131" i="3"/>
  <c r="V130" i="3"/>
  <c r="U130" i="3"/>
  <c r="T130" i="3"/>
  <c r="S130" i="3"/>
  <c r="R130" i="3"/>
  <c r="P130" i="3"/>
  <c r="O130" i="3"/>
  <c r="N130" i="3"/>
  <c r="M130" i="3"/>
  <c r="L130" i="3"/>
  <c r="K130" i="3"/>
  <c r="V129" i="3"/>
  <c r="U129" i="3"/>
  <c r="T129" i="3"/>
  <c r="S129" i="3"/>
  <c r="R129" i="3"/>
  <c r="O129" i="3"/>
  <c r="N129" i="3"/>
  <c r="L129" i="3"/>
  <c r="K129" i="3"/>
  <c r="V128" i="3"/>
  <c r="U128" i="3"/>
  <c r="T128" i="3"/>
  <c r="S128" i="3"/>
  <c r="R128" i="3"/>
  <c r="P128" i="3"/>
  <c r="O128" i="3"/>
  <c r="N128" i="3"/>
  <c r="M128" i="3"/>
  <c r="L128" i="3"/>
  <c r="K128" i="3"/>
  <c r="V127" i="3"/>
  <c r="U127" i="3"/>
  <c r="T127" i="3"/>
  <c r="S127" i="3"/>
  <c r="R127" i="3"/>
  <c r="O127" i="3"/>
  <c r="N127" i="3"/>
  <c r="M127" i="3"/>
  <c r="K127" i="3"/>
  <c r="V126" i="3"/>
  <c r="U126" i="3"/>
  <c r="T126" i="3"/>
  <c r="S126" i="3"/>
  <c r="R126" i="3"/>
  <c r="P126" i="3"/>
  <c r="O126" i="3"/>
  <c r="N126" i="3"/>
  <c r="M126" i="3"/>
  <c r="L126" i="3"/>
  <c r="K126" i="3"/>
  <c r="V125" i="3"/>
  <c r="U125" i="3"/>
  <c r="T125" i="3"/>
  <c r="S125" i="3"/>
  <c r="R125" i="3"/>
  <c r="P125" i="3"/>
  <c r="O125" i="3"/>
  <c r="N125" i="3"/>
  <c r="M125" i="3"/>
  <c r="L125" i="3"/>
  <c r="K125" i="3"/>
  <c r="V124" i="3"/>
  <c r="U124" i="3"/>
  <c r="T124" i="3"/>
  <c r="S124" i="3"/>
  <c r="R124" i="3"/>
  <c r="O124" i="3"/>
  <c r="N124" i="3"/>
  <c r="M124" i="3"/>
  <c r="K124" i="3"/>
  <c r="V123" i="3"/>
  <c r="U123" i="3"/>
  <c r="T123" i="3"/>
  <c r="S123" i="3"/>
  <c r="R123" i="3"/>
  <c r="P123" i="3"/>
  <c r="O123" i="3"/>
  <c r="N123" i="3"/>
  <c r="M123" i="3"/>
  <c r="L123" i="3"/>
  <c r="K123" i="3"/>
  <c r="S122" i="3"/>
  <c r="V121" i="3"/>
  <c r="V120" i="3" s="1"/>
  <c r="U121" i="3"/>
  <c r="U120" i="3" s="1"/>
  <c r="T121" i="3"/>
  <c r="S121" i="3"/>
  <c r="S120" i="3" s="1"/>
  <c r="R121" i="3"/>
  <c r="R120" i="3" s="1"/>
  <c r="O121" i="3"/>
  <c r="O120" i="3" s="1"/>
  <c r="N121" i="3"/>
  <c r="M121" i="3"/>
  <c r="M120" i="3" s="1"/>
  <c r="K121" i="3"/>
  <c r="K120" i="3" s="1"/>
  <c r="T120" i="3"/>
  <c r="N120" i="3"/>
  <c r="V119" i="3"/>
  <c r="V114" i="3" s="1"/>
  <c r="U119" i="3"/>
  <c r="U114" i="3" s="1"/>
  <c r="T119" i="3"/>
  <c r="T114" i="3" s="1"/>
  <c r="S119" i="3"/>
  <c r="S114" i="3" s="1"/>
  <c r="R119" i="3"/>
  <c r="R114" i="3" s="1"/>
  <c r="P119" i="3"/>
  <c r="P114" i="3" s="1"/>
  <c r="O119" i="3"/>
  <c r="O114" i="3" s="1"/>
  <c r="N119" i="3"/>
  <c r="N114" i="3" s="1"/>
  <c r="M119" i="3"/>
  <c r="M114" i="3" s="1"/>
  <c r="L119" i="3"/>
  <c r="L114" i="3" s="1"/>
  <c r="K119" i="3"/>
  <c r="K114" i="3" s="1"/>
  <c r="V118" i="3"/>
  <c r="U118" i="3"/>
  <c r="T118" i="3"/>
  <c r="S118" i="3"/>
  <c r="R118" i="3"/>
  <c r="P118" i="3"/>
  <c r="O118" i="3"/>
  <c r="N118" i="3"/>
  <c r="M118" i="3"/>
  <c r="L118" i="3"/>
  <c r="K118" i="3"/>
  <c r="V117" i="3"/>
  <c r="U117" i="3"/>
  <c r="T117" i="3"/>
  <c r="S117" i="3"/>
  <c r="R117" i="3"/>
  <c r="P117" i="3"/>
  <c r="O117" i="3"/>
  <c r="N117" i="3"/>
  <c r="M117" i="3"/>
  <c r="L117" i="3"/>
  <c r="K117" i="3"/>
  <c r="V116" i="3"/>
  <c r="U116" i="3"/>
  <c r="T116" i="3"/>
  <c r="S116" i="3"/>
  <c r="R116" i="3"/>
  <c r="P116" i="3"/>
  <c r="O116" i="3"/>
  <c r="N116" i="3"/>
  <c r="M116" i="3"/>
  <c r="L116" i="3"/>
  <c r="K116" i="3"/>
  <c r="V115" i="3"/>
  <c r="U115" i="3"/>
  <c r="T115" i="3"/>
  <c r="S115" i="3"/>
  <c r="R115" i="3"/>
  <c r="P115" i="3"/>
  <c r="O115" i="3"/>
  <c r="N115" i="3"/>
  <c r="M115" i="3"/>
  <c r="L115" i="3"/>
  <c r="K115" i="3"/>
  <c r="V112" i="3"/>
  <c r="V102" i="3" s="1"/>
  <c r="U112" i="3"/>
  <c r="U102" i="3" s="1"/>
  <c r="T112" i="3"/>
  <c r="S112" i="3"/>
  <c r="S102" i="3" s="1"/>
  <c r="R112" i="3"/>
  <c r="R102" i="3" s="1"/>
  <c r="P112" i="3"/>
  <c r="P102" i="3" s="1"/>
  <c r="O112" i="3"/>
  <c r="N112" i="3"/>
  <c r="N102" i="3" s="1"/>
  <c r="M112" i="3"/>
  <c r="M102" i="3" s="1"/>
  <c r="L112" i="3"/>
  <c r="L102" i="3" s="1"/>
  <c r="K112" i="3"/>
  <c r="V111" i="3"/>
  <c r="U111" i="3"/>
  <c r="T111" i="3"/>
  <c r="S111" i="3"/>
  <c r="R111" i="3"/>
  <c r="O111" i="3"/>
  <c r="N111" i="3"/>
  <c r="M111" i="3"/>
  <c r="K111" i="3"/>
  <c r="V110" i="3"/>
  <c r="U110" i="3"/>
  <c r="T110" i="3"/>
  <c r="S110" i="3"/>
  <c r="R110" i="3"/>
  <c r="P110" i="3"/>
  <c r="O110" i="3"/>
  <c r="N110" i="3"/>
  <c r="M110" i="3"/>
  <c r="L110" i="3"/>
  <c r="K110" i="3"/>
  <c r="V109" i="3"/>
  <c r="U109" i="3"/>
  <c r="T109" i="3"/>
  <c r="S109" i="3"/>
  <c r="R109" i="3"/>
  <c r="P109" i="3"/>
  <c r="O109" i="3"/>
  <c r="N109" i="3"/>
  <c r="M109" i="3"/>
  <c r="L109" i="3"/>
  <c r="K109" i="3"/>
  <c r="V108" i="3"/>
  <c r="U108" i="3"/>
  <c r="T108" i="3"/>
  <c r="S108" i="3"/>
  <c r="R108" i="3"/>
  <c r="P108" i="3"/>
  <c r="O108" i="3"/>
  <c r="N108" i="3"/>
  <c r="M108" i="3"/>
  <c r="L108" i="3"/>
  <c r="K108" i="3"/>
  <c r="V107" i="3"/>
  <c r="U107" i="3"/>
  <c r="T107" i="3"/>
  <c r="S107" i="3"/>
  <c r="R107" i="3"/>
  <c r="O107" i="3"/>
  <c r="N107" i="3"/>
  <c r="M107" i="3"/>
  <c r="K107" i="3"/>
  <c r="V106" i="3"/>
  <c r="U106" i="3"/>
  <c r="T106" i="3"/>
  <c r="S106" i="3"/>
  <c r="R106" i="3"/>
  <c r="O106" i="3"/>
  <c r="N106" i="3"/>
  <c r="M106" i="3"/>
  <c r="K106" i="3"/>
  <c r="V105" i="3"/>
  <c r="U105" i="3"/>
  <c r="T105" i="3"/>
  <c r="S105" i="3"/>
  <c r="R105" i="3"/>
  <c r="O105" i="3"/>
  <c r="N105" i="3"/>
  <c r="M105" i="3"/>
  <c r="K105" i="3"/>
  <c r="V104" i="3"/>
  <c r="U104" i="3"/>
  <c r="T104" i="3"/>
  <c r="S104" i="3"/>
  <c r="R104" i="3"/>
  <c r="O104" i="3"/>
  <c r="N104" i="3"/>
  <c r="M104" i="3"/>
  <c r="K104" i="3"/>
  <c r="V103" i="3"/>
  <c r="U103" i="3"/>
  <c r="T103" i="3"/>
  <c r="S103" i="3"/>
  <c r="R103" i="3"/>
  <c r="O103" i="3"/>
  <c r="N103" i="3"/>
  <c r="M103" i="3"/>
  <c r="K103" i="3"/>
  <c r="T102" i="3"/>
  <c r="O102" i="3"/>
  <c r="K102" i="3"/>
  <c r="V100" i="3"/>
  <c r="V99" i="3" s="1"/>
  <c r="U100" i="3"/>
  <c r="U99" i="3" s="1"/>
  <c r="T100" i="3"/>
  <c r="T99" i="3" s="1"/>
  <c r="S100" i="3"/>
  <c r="S99" i="3" s="1"/>
  <c r="R100" i="3"/>
  <c r="R99" i="3" s="1"/>
  <c r="P100" i="3"/>
  <c r="P99" i="3" s="1"/>
  <c r="O100" i="3"/>
  <c r="O99" i="3" s="1"/>
  <c r="N100" i="3"/>
  <c r="N99" i="3" s="1"/>
  <c r="M100" i="3"/>
  <c r="M99" i="3" s="1"/>
  <c r="L100" i="3"/>
  <c r="L99" i="3" s="1"/>
  <c r="K100" i="3"/>
  <c r="K99" i="3" s="1"/>
  <c r="V96" i="3"/>
  <c r="U96" i="3"/>
  <c r="T96" i="3"/>
  <c r="S96" i="3"/>
  <c r="R96" i="3"/>
  <c r="O96" i="3"/>
  <c r="N96" i="3"/>
  <c r="M96" i="3"/>
  <c r="K96" i="3"/>
  <c r="V95" i="3"/>
  <c r="U95" i="3"/>
  <c r="T95" i="3"/>
  <c r="S95" i="3"/>
  <c r="R95" i="3"/>
  <c r="O95" i="3"/>
  <c r="N95" i="3"/>
  <c r="M95" i="3"/>
  <c r="L95" i="3"/>
  <c r="K95" i="3"/>
  <c r="V94" i="3"/>
  <c r="U94" i="3"/>
  <c r="T94" i="3"/>
  <c r="S94" i="3"/>
  <c r="R94" i="3"/>
  <c r="O94" i="3"/>
  <c r="N94" i="3"/>
  <c r="M94" i="3"/>
  <c r="K94" i="3"/>
  <c r="V93" i="3"/>
  <c r="U93" i="3"/>
  <c r="T93" i="3"/>
  <c r="S93" i="3"/>
  <c r="R93" i="3"/>
  <c r="O93" i="3"/>
  <c r="N93" i="3"/>
  <c r="M93" i="3"/>
  <c r="K93" i="3"/>
  <c r="V92" i="3"/>
  <c r="U92" i="3"/>
  <c r="T92" i="3"/>
  <c r="S92" i="3"/>
  <c r="R92" i="3"/>
  <c r="P92" i="3"/>
  <c r="O92" i="3"/>
  <c r="N92" i="3"/>
  <c r="M92" i="3"/>
  <c r="L92" i="3"/>
  <c r="K92" i="3"/>
  <c r="V91" i="3"/>
  <c r="U91" i="3"/>
  <c r="T91" i="3"/>
  <c r="S91" i="3"/>
  <c r="R91" i="3"/>
  <c r="O91" i="3"/>
  <c r="N91" i="3"/>
  <c r="M91" i="3"/>
  <c r="K91" i="3"/>
  <c r="V90" i="3"/>
  <c r="U90" i="3"/>
  <c r="T90" i="3"/>
  <c r="S90" i="3"/>
  <c r="R90" i="3"/>
  <c r="O90" i="3"/>
  <c r="N90" i="3"/>
  <c r="M90" i="3"/>
  <c r="K90" i="3"/>
  <c r="V89" i="3"/>
  <c r="U89" i="3"/>
  <c r="T89" i="3"/>
  <c r="S89" i="3"/>
  <c r="R89" i="3"/>
  <c r="O89" i="3"/>
  <c r="N89" i="3"/>
  <c r="M89" i="3"/>
  <c r="K89" i="3"/>
  <c r="V87" i="3"/>
  <c r="U87" i="3"/>
  <c r="T87" i="3"/>
  <c r="S87" i="3"/>
  <c r="R87" i="3"/>
  <c r="P87" i="3"/>
  <c r="O87" i="3"/>
  <c r="N87" i="3"/>
  <c r="M87" i="3"/>
  <c r="L87" i="3"/>
  <c r="K87" i="3"/>
  <c r="V86" i="3"/>
  <c r="U86" i="3"/>
  <c r="T86" i="3"/>
  <c r="S86" i="3"/>
  <c r="R86" i="3"/>
  <c r="P86" i="3"/>
  <c r="O86" i="3"/>
  <c r="N86" i="3"/>
  <c r="M86" i="3"/>
  <c r="L86" i="3"/>
  <c r="K86" i="3"/>
  <c r="V85" i="3"/>
  <c r="U85" i="3"/>
  <c r="T85" i="3"/>
  <c r="S85" i="3"/>
  <c r="R85" i="3"/>
  <c r="O85" i="3"/>
  <c r="N85" i="3"/>
  <c r="M85" i="3"/>
  <c r="K85" i="3"/>
  <c r="V84" i="3"/>
  <c r="U84" i="3"/>
  <c r="T84" i="3"/>
  <c r="S84" i="3"/>
  <c r="R84" i="3"/>
  <c r="O84" i="3"/>
  <c r="N84" i="3"/>
  <c r="M84" i="3"/>
  <c r="K84" i="3"/>
  <c r="V83" i="3"/>
  <c r="U83" i="3"/>
  <c r="T83" i="3"/>
  <c r="S83" i="3"/>
  <c r="R83" i="3"/>
  <c r="P83" i="3"/>
  <c r="O83" i="3"/>
  <c r="N83" i="3"/>
  <c r="M83" i="3"/>
  <c r="L83" i="3"/>
  <c r="K83" i="3"/>
  <c r="V82" i="3"/>
  <c r="U82" i="3"/>
  <c r="T82" i="3"/>
  <c r="S82" i="3"/>
  <c r="R82" i="3"/>
  <c r="P82" i="3"/>
  <c r="O82" i="3"/>
  <c r="N82" i="3"/>
  <c r="M82" i="3"/>
  <c r="L82" i="3"/>
  <c r="K82" i="3"/>
  <c r="V80" i="3"/>
  <c r="U80" i="3"/>
  <c r="T80" i="3"/>
  <c r="S80" i="3"/>
  <c r="R80" i="3"/>
  <c r="P80" i="3"/>
  <c r="O80" i="3"/>
  <c r="N80" i="3"/>
  <c r="M80" i="3"/>
  <c r="L80" i="3"/>
  <c r="K80" i="3"/>
  <c r="V79" i="3"/>
  <c r="U79" i="3"/>
  <c r="T79" i="3"/>
  <c r="S79" i="3"/>
  <c r="R79" i="3"/>
  <c r="P79" i="3"/>
  <c r="O79" i="3"/>
  <c r="N79" i="3"/>
  <c r="M79" i="3"/>
  <c r="L79" i="3"/>
  <c r="K79" i="3"/>
  <c r="V78" i="3"/>
  <c r="U78" i="3"/>
  <c r="T78" i="3"/>
  <c r="S78" i="3"/>
  <c r="R78" i="3"/>
  <c r="P78" i="3"/>
  <c r="O78" i="3"/>
  <c r="N78" i="3"/>
  <c r="M78" i="3"/>
  <c r="L78" i="3"/>
  <c r="K78" i="3"/>
  <c r="V77" i="3"/>
  <c r="U77" i="3"/>
  <c r="T77" i="3"/>
  <c r="S77" i="3"/>
  <c r="R77" i="3"/>
  <c r="O77" i="3"/>
  <c r="N77" i="3"/>
  <c r="M77" i="3"/>
  <c r="K77" i="3"/>
  <c r="V75" i="3"/>
  <c r="U75" i="3"/>
  <c r="T75" i="3"/>
  <c r="S75" i="3"/>
  <c r="R75" i="3"/>
  <c r="P75" i="3"/>
  <c r="O75" i="3"/>
  <c r="N75" i="3"/>
  <c r="M75" i="3"/>
  <c r="L75" i="3"/>
  <c r="K75" i="3"/>
  <c r="U74" i="3"/>
  <c r="T74" i="3"/>
  <c r="S74" i="3"/>
  <c r="R74" i="3"/>
  <c r="O74" i="3"/>
  <c r="N74" i="3"/>
  <c r="M74" i="3"/>
  <c r="K74" i="3"/>
  <c r="V73" i="3"/>
  <c r="U73" i="3"/>
  <c r="T73" i="3"/>
  <c r="S73" i="3"/>
  <c r="R73" i="3"/>
  <c r="P73" i="3"/>
  <c r="O73" i="3"/>
  <c r="N73" i="3"/>
  <c r="M73" i="3"/>
  <c r="L73" i="3"/>
  <c r="K73" i="3"/>
  <c r="V72" i="3"/>
  <c r="U72" i="3"/>
  <c r="T72" i="3"/>
  <c r="S72" i="3"/>
  <c r="R72" i="3"/>
  <c r="P72" i="3"/>
  <c r="O72" i="3"/>
  <c r="N72" i="3"/>
  <c r="M72" i="3"/>
  <c r="L72" i="3"/>
  <c r="K72" i="3"/>
  <c r="V71" i="3"/>
  <c r="U71" i="3"/>
  <c r="T71" i="3"/>
  <c r="S71" i="3"/>
  <c r="R71" i="3"/>
  <c r="P71" i="3"/>
  <c r="O71" i="3"/>
  <c r="N71" i="3"/>
  <c r="M71" i="3"/>
  <c r="L71" i="3"/>
  <c r="K71" i="3"/>
  <c r="V70" i="3"/>
  <c r="U70" i="3"/>
  <c r="T70" i="3"/>
  <c r="S70" i="3"/>
  <c r="R70" i="3"/>
  <c r="P70" i="3"/>
  <c r="O70" i="3"/>
  <c r="N70" i="3"/>
  <c r="M70" i="3"/>
  <c r="L70" i="3"/>
  <c r="K70" i="3"/>
  <c r="V69" i="3"/>
  <c r="U69" i="3"/>
  <c r="T69" i="3"/>
  <c r="S69" i="3"/>
  <c r="R69" i="3"/>
  <c r="P69" i="3"/>
  <c r="O69" i="3"/>
  <c r="N69" i="3"/>
  <c r="M69" i="3"/>
  <c r="L69" i="3"/>
  <c r="K69" i="3"/>
  <c r="V68" i="3"/>
  <c r="U68" i="3"/>
  <c r="T68" i="3"/>
  <c r="S68" i="3"/>
  <c r="R68" i="3"/>
  <c r="P68" i="3"/>
  <c r="O68" i="3"/>
  <c r="N68" i="3"/>
  <c r="M68" i="3"/>
  <c r="L68" i="3"/>
  <c r="K68" i="3"/>
  <c r="V67" i="3"/>
  <c r="U67" i="3"/>
  <c r="T67" i="3"/>
  <c r="S67" i="3"/>
  <c r="R67" i="3"/>
  <c r="P67" i="3"/>
  <c r="O67" i="3"/>
  <c r="N67" i="3"/>
  <c r="M67" i="3"/>
  <c r="L67" i="3"/>
  <c r="K67" i="3"/>
  <c r="V66" i="3"/>
  <c r="U66" i="3"/>
  <c r="T66" i="3"/>
  <c r="S66" i="3"/>
  <c r="R66" i="3"/>
  <c r="P66" i="3"/>
  <c r="O66" i="3"/>
  <c r="N66" i="3"/>
  <c r="M66" i="3"/>
  <c r="L66" i="3"/>
  <c r="K66" i="3"/>
  <c r="V65" i="3"/>
  <c r="U65" i="3"/>
  <c r="T65" i="3"/>
  <c r="S65" i="3"/>
  <c r="R65" i="3"/>
  <c r="P65" i="3"/>
  <c r="O65" i="3"/>
  <c r="N65" i="3"/>
  <c r="M65" i="3"/>
  <c r="L65" i="3"/>
  <c r="K65" i="3"/>
  <c r="V64" i="3"/>
  <c r="U64" i="3"/>
  <c r="T64" i="3"/>
  <c r="S64" i="3"/>
  <c r="R64" i="3"/>
  <c r="P64" i="3"/>
  <c r="O64" i="3"/>
  <c r="N64" i="3"/>
  <c r="M64" i="3"/>
  <c r="L64" i="3"/>
  <c r="K64" i="3"/>
  <c r="V63" i="3"/>
  <c r="U63" i="3"/>
  <c r="T63" i="3"/>
  <c r="S63" i="3"/>
  <c r="R63" i="3"/>
  <c r="P63" i="3"/>
  <c r="O63" i="3"/>
  <c r="N63" i="3"/>
  <c r="M63" i="3"/>
  <c r="L63" i="3"/>
  <c r="K63" i="3"/>
  <c r="V62" i="3"/>
  <c r="U62" i="3"/>
  <c r="T62" i="3"/>
  <c r="S62" i="3"/>
  <c r="R62" i="3"/>
  <c r="P62" i="3"/>
  <c r="O62" i="3"/>
  <c r="N62" i="3"/>
  <c r="M62" i="3"/>
  <c r="L62" i="3"/>
  <c r="K62" i="3"/>
  <c r="V61" i="3"/>
  <c r="U61" i="3"/>
  <c r="T61" i="3"/>
  <c r="S61" i="3"/>
  <c r="R61" i="3"/>
  <c r="P61" i="3"/>
  <c r="O61" i="3"/>
  <c r="N61" i="3"/>
  <c r="M61" i="3"/>
  <c r="L61" i="3"/>
  <c r="K61" i="3"/>
  <c r="V60" i="3"/>
  <c r="U60" i="3"/>
  <c r="T60" i="3"/>
  <c r="S60" i="3"/>
  <c r="R60" i="3"/>
  <c r="O60" i="3"/>
  <c r="N60" i="3"/>
  <c r="M60" i="3"/>
  <c r="K60" i="3"/>
  <c r="V59" i="3"/>
  <c r="U59" i="3"/>
  <c r="T59" i="3"/>
  <c r="S59" i="3"/>
  <c r="R59" i="3"/>
  <c r="P59" i="3"/>
  <c r="O59" i="3"/>
  <c r="N59" i="3"/>
  <c r="M59" i="3"/>
  <c r="L59" i="3"/>
  <c r="K59" i="3"/>
  <c r="V58" i="3"/>
  <c r="U58" i="3"/>
  <c r="T58" i="3"/>
  <c r="S58" i="3"/>
  <c r="R58" i="3"/>
  <c r="P58" i="3"/>
  <c r="O58" i="3"/>
  <c r="N58" i="3"/>
  <c r="M58" i="3"/>
  <c r="L58" i="3"/>
  <c r="K58" i="3"/>
  <c r="V57" i="3"/>
  <c r="U57" i="3"/>
  <c r="T57" i="3"/>
  <c r="S57" i="3"/>
  <c r="R57" i="3"/>
  <c r="P57" i="3"/>
  <c r="O57" i="3"/>
  <c r="N57" i="3"/>
  <c r="M57" i="3"/>
  <c r="L57" i="3"/>
  <c r="K57" i="3"/>
  <c r="V56" i="3"/>
  <c r="U56" i="3"/>
  <c r="T56" i="3"/>
  <c r="S56" i="3"/>
  <c r="R56" i="3"/>
  <c r="P56" i="3"/>
  <c r="O56" i="3"/>
  <c r="N56" i="3"/>
  <c r="M56" i="3"/>
  <c r="L56" i="3"/>
  <c r="K56" i="3"/>
  <c r="V55" i="3"/>
  <c r="U55" i="3"/>
  <c r="T55" i="3"/>
  <c r="S55" i="3"/>
  <c r="R55" i="3"/>
  <c r="P55" i="3"/>
  <c r="O55" i="3"/>
  <c r="N55" i="3"/>
  <c r="M55" i="3"/>
  <c r="L55" i="3"/>
  <c r="K55" i="3"/>
  <c r="V54" i="3"/>
  <c r="U54" i="3"/>
  <c r="T54" i="3"/>
  <c r="S54" i="3"/>
  <c r="R54" i="3"/>
  <c r="P54" i="3"/>
  <c r="O54" i="3"/>
  <c r="N54" i="3"/>
  <c r="M54" i="3"/>
  <c r="L54" i="3"/>
  <c r="K54" i="3"/>
  <c r="V53" i="3"/>
  <c r="U53" i="3"/>
  <c r="T53" i="3"/>
  <c r="S53" i="3"/>
  <c r="R53" i="3"/>
  <c r="O53" i="3"/>
  <c r="N53" i="3"/>
  <c r="M53" i="3"/>
  <c r="K53" i="3"/>
  <c r="V51" i="3"/>
  <c r="U51" i="3"/>
  <c r="T51" i="3"/>
  <c r="S51" i="3"/>
  <c r="R51" i="3"/>
  <c r="O51" i="3"/>
  <c r="N51" i="3"/>
  <c r="M51" i="3"/>
  <c r="K51" i="3"/>
  <c r="V50" i="3"/>
  <c r="U50" i="3"/>
  <c r="T50" i="3"/>
  <c r="S50" i="3"/>
  <c r="R50" i="3"/>
  <c r="P50" i="3"/>
  <c r="O50" i="3"/>
  <c r="N50" i="3"/>
  <c r="M50" i="3"/>
  <c r="L50" i="3"/>
  <c r="K50" i="3"/>
  <c r="V49" i="3"/>
  <c r="U49" i="3"/>
  <c r="T49" i="3"/>
  <c r="S49" i="3"/>
  <c r="R49" i="3"/>
  <c r="P49" i="3"/>
  <c r="O49" i="3"/>
  <c r="N49" i="3"/>
  <c r="M49" i="3"/>
  <c r="L49" i="3"/>
  <c r="K49" i="3"/>
  <c r="V48" i="3"/>
  <c r="U48" i="3"/>
  <c r="T48" i="3"/>
  <c r="S48" i="3"/>
  <c r="R48" i="3"/>
  <c r="P48" i="3"/>
  <c r="O48" i="3"/>
  <c r="N48" i="3"/>
  <c r="M48" i="3"/>
  <c r="L48" i="3"/>
  <c r="K48" i="3"/>
  <c r="V47" i="3"/>
  <c r="U47" i="3"/>
  <c r="T47" i="3"/>
  <c r="S47" i="3"/>
  <c r="R47" i="3"/>
  <c r="P47" i="3"/>
  <c r="O47" i="3"/>
  <c r="N47" i="3"/>
  <c r="M47" i="3"/>
  <c r="L47" i="3"/>
  <c r="K47" i="3"/>
  <c r="V46" i="3"/>
  <c r="U46" i="3"/>
  <c r="T46" i="3"/>
  <c r="S46" i="3"/>
  <c r="R46" i="3"/>
  <c r="P46" i="3"/>
  <c r="O46" i="3"/>
  <c r="N46" i="3"/>
  <c r="M46" i="3"/>
  <c r="L46" i="3"/>
  <c r="K46" i="3"/>
  <c r="V45" i="3"/>
  <c r="U45" i="3"/>
  <c r="T45" i="3"/>
  <c r="S45" i="3"/>
  <c r="R45" i="3"/>
  <c r="P45" i="3"/>
  <c r="O45" i="3"/>
  <c r="N45" i="3"/>
  <c r="M45" i="3"/>
  <c r="L45" i="3"/>
  <c r="K45" i="3"/>
  <c r="V44" i="3"/>
  <c r="U44" i="3"/>
  <c r="T44" i="3"/>
  <c r="S44" i="3"/>
  <c r="R44" i="3"/>
  <c r="O44" i="3"/>
  <c r="N44" i="3"/>
  <c r="M44" i="3"/>
  <c r="K44" i="3"/>
  <c r="V43" i="3"/>
  <c r="U43" i="3"/>
  <c r="T43" i="3"/>
  <c r="S43" i="3"/>
  <c r="R43" i="3"/>
  <c r="P43" i="3"/>
  <c r="O43" i="3"/>
  <c r="N43" i="3"/>
  <c r="M43" i="3"/>
  <c r="L43" i="3"/>
  <c r="K43" i="3"/>
  <c r="V42" i="3"/>
  <c r="U42" i="3"/>
  <c r="T42" i="3"/>
  <c r="S42" i="3"/>
  <c r="R42" i="3"/>
  <c r="P42" i="3"/>
  <c r="O42" i="3"/>
  <c r="N42" i="3"/>
  <c r="M42" i="3"/>
  <c r="L42" i="3"/>
  <c r="K42" i="3"/>
  <c r="V41" i="3"/>
  <c r="U41" i="3"/>
  <c r="U39" i="3" s="1"/>
  <c r="T41" i="3"/>
  <c r="S41" i="3"/>
  <c r="S39" i="3" s="1"/>
  <c r="R41" i="3"/>
  <c r="P41" i="3"/>
  <c r="P39" i="3" s="1"/>
  <c r="O41" i="3"/>
  <c r="N41" i="3"/>
  <c r="N39" i="3" s="1"/>
  <c r="M41" i="3"/>
  <c r="M39" i="3" s="1"/>
  <c r="L41" i="3"/>
  <c r="L39" i="3" s="1"/>
  <c r="K41" i="3"/>
  <c r="K39" i="3" s="1"/>
  <c r="V40" i="3"/>
  <c r="U40" i="3"/>
  <c r="T40" i="3"/>
  <c r="S40" i="3"/>
  <c r="R40" i="3"/>
  <c r="O40" i="3"/>
  <c r="N40" i="3"/>
  <c r="M40" i="3"/>
  <c r="K40" i="3"/>
  <c r="O39" i="3"/>
  <c r="V37" i="3"/>
  <c r="U37" i="3"/>
  <c r="T37" i="3"/>
  <c r="S37" i="3"/>
  <c r="R37" i="3"/>
  <c r="P37" i="3"/>
  <c r="O37" i="3"/>
  <c r="N37" i="3"/>
  <c r="M37" i="3"/>
  <c r="L37" i="3"/>
  <c r="K37" i="3"/>
  <c r="V36" i="3"/>
  <c r="U36" i="3"/>
  <c r="T36" i="3"/>
  <c r="S36" i="3"/>
  <c r="R36" i="3"/>
  <c r="P36" i="3"/>
  <c r="O36" i="3"/>
  <c r="N36" i="3"/>
  <c r="M36" i="3"/>
  <c r="L36" i="3"/>
  <c r="K36" i="3"/>
  <c r="V35" i="3"/>
  <c r="U35" i="3"/>
  <c r="T35" i="3"/>
  <c r="S35" i="3"/>
  <c r="R35" i="3"/>
  <c r="P35" i="3"/>
  <c r="O35" i="3"/>
  <c r="N35" i="3"/>
  <c r="M35" i="3"/>
  <c r="L35" i="3"/>
  <c r="K35" i="3"/>
  <c r="V34" i="3"/>
  <c r="U34" i="3"/>
  <c r="T34" i="3"/>
  <c r="S34" i="3"/>
  <c r="R34" i="3"/>
  <c r="O34" i="3"/>
  <c r="N34" i="3"/>
  <c r="M34" i="3"/>
  <c r="K34" i="3"/>
  <c r="V33" i="3"/>
  <c r="U33" i="3"/>
  <c r="T33" i="3"/>
  <c r="S33" i="3"/>
  <c r="R33" i="3"/>
  <c r="P33" i="3"/>
  <c r="O33" i="3"/>
  <c r="N33" i="3"/>
  <c r="M33" i="3"/>
  <c r="L33" i="3"/>
  <c r="K33" i="3"/>
  <c r="V32" i="3"/>
  <c r="U32" i="3"/>
  <c r="T32" i="3"/>
  <c r="S32" i="3"/>
  <c r="R32" i="3"/>
  <c r="P32" i="3"/>
  <c r="O32" i="3"/>
  <c r="N32" i="3"/>
  <c r="M32" i="3"/>
  <c r="L32" i="3"/>
  <c r="K32" i="3"/>
  <c r="V31" i="3"/>
  <c r="U31" i="3"/>
  <c r="T31" i="3"/>
  <c r="S31" i="3"/>
  <c r="R31" i="3"/>
  <c r="P31" i="3"/>
  <c r="O31" i="3"/>
  <c r="N31" i="3"/>
  <c r="M31" i="3"/>
  <c r="L31" i="3"/>
  <c r="K31" i="3"/>
  <c r="V30" i="3"/>
  <c r="U30" i="3"/>
  <c r="T30" i="3"/>
  <c r="S30" i="3"/>
  <c r="R30" i="3"/>
  <c r="O30" i="3"/>
  <c r="N30" i="3"/>
  <c r="M30" i="3"/>
  <c r="K30" i="3"/>
  <c r="V29" i="3"/>
  <c r="U29" i="3"/>
  <c r="T29" i="3"/>
  <c r="S29" i="3"/>
  <c r="R29" i="3"/>
  <c r="P29" i="3"/>
  <c r="O29" i="3"/>
  <c r="N29" i="3"/>
  <c r="M29" i="3"/>
  <c r="L29" i="3"/>
  <c r="K29" i="3"/>
  <c r="V28" i="3"/>
  <c r="U28" i="3"/>
  <c r="T28" i="3"/>
  <c r="S28" i="3"/>
  <c r="R28" i="3"/>
  <c r="P28" i="3"/>
  <c r="O28" i="3"/>
  <c r="N28" i="3"/>
  <c r="M28" i="3"/>
  <c r="L28" i="3"/>
  <c r="K28" i="3"/>
  <c r="V27" i="3"/>
  <c r="U27" i="3"/>
  <c r="T27" i="3"/>
  <c r="S27" i="3"/>
  <c r="R27" i="3"/>
  <c r="O27" i="3"/>
  <c r="N27" i="3"/>
  <c r="M27" i="3"/>
  <c r="K27" i="3"/>
  <c r="V26" i="3"/>
  <c r="U26" i="3"/>
  <c r="T26" i="3"/>
  <c r="S26" i="3"/>
  <c r="R26" i="3"/>
  <c r="O26" i="3"/>
  <c r="N26" i="3"/>
  <c r="M26" i="3"/>
  <c r="K26" i="3"/>
  <c r="V25" i="3"/>
  <c r="U25" i="3"/>
  <c r="T25" i="3"/>
  <c r="S25" i="3"/>
  <c r="R25" i="3"/>
  <c r="O25" i="3"/>
  <c r="N25" i="3"/>
  <c r="M25" i="3"/>
  <c r="K25" i="3"/>
  <c r="V24" i="3"/>
  <c r="U24" i="3"/>
  <c r="T24" i="3"/>
  <c r="S24" i="3"/>
  <c r="R24" i="3"/>
  <c r="O24" i="3"/>
  <c r="N24" i="3"/>
  <c r="M24" i="3"/>
  <c r="K24" i="3"/>
  <c r="V23" i="3"/>
  <c r="U23" i="3"/>
  <c r="T23" i="3"/>
  <c r="S23" i="3"/>
  <c r="R23" i="3"/>
  <c r="O23" i="3"/>
  <c r="N23" i="3"/>
  <c r="M23" i="3"/>
  <c r="K23" i="3"/>
  <c r="V20" i="3"/>
  <c r="U20" i="3"/>
  <c r="T20" i="3"/>
  <c r="S20" i="3"/>
  <c r="R20" i="3"/>
  <c r="P20" i="3"/>
  <c r="O20" i="3"/>
  <c r="N20" i="3"/>
  <c r="M20" i="3"/>
  <c r="L20" i="3"/>
  <c r="K20" i="3"/>
  <c r="V19" i="3"/>
  <c r="U19" i="3"/>
  <c r="T19" i="3"/>
  <c r="S19" i="3"/>
  <c r="R19" i="3"/>
  <c r="P19" i="3"/>
  <c r="O19" i="3"/>
  <c r="N19" i="3"/>
  <c r="M19" i="3"/>
  <c r="L19" i="3"/>
  <c r="K19" i="3"/>
  <c r="I151" i="3"/>
  <c r="I150" i="3"/>
  <c r="I149" i="3" s="1"/>
  <c r="I148" i="3"/>
  <c r="I147" i="3" s="1"/>
  <c r="I145" i="3"/>
  <c r="I144" i="3"/>
  <c r="I143" i="3"/>
  <c r="I142" i="3" s="1"/>
  <c r="I141" i="3"/>
  <c r="I140" i="3"/>
  <c r="I138" i="3"/>
  <c r="I137" i="3" s="1"/>
  <c r="I136" i="3"/>
  <c r="I135" i="3"/>
  <c r="I132" i="3"/>
  <c r="I131" i="3" s="1"/>
  <c r="I130" i="3"/>
  <c r="I129" i="3"/>
  <c r="I128" i="3"/>
  <c r="I127" i="3"/>
  <c r="I126" i="3"/>
  <c r="I125" i="3"/>
  <c r="I124" i="3"/>
  <c r="I123" i="3"/>
  <c r="I121" i="3"/>
  <c r="I120" i="3" s="1"/>
  <c r="I119" i="3"/>
  <c r="I114" i="3" s="1"/>
  <c r="I118" i="3"/>
  <c r="I117" i="3"/>
  <c r="I116" i="3"/>
  <c r="I115" i="3"/>
  <c r="I112" i="3"/>
  <c r="I111" i="3"/>
  <c r="I110" i="3"/>
  <c r="I109" i="3"/>
  <c r="I108" i="3"/>
  <c r="I107" i="3"/>
  <c r="I106" i="3"/>
  <c r="I105" i="3"/>
  <c r="I104" i="3"/>
  <c r="I103" i="3"/>
  <c r="I102" i="3"/>
  <c r="I100" i="3"/>
  <c r="I99" i="3" s="1"/>
  <c r="I96" i="3"/>
  <c r="I95" i="3"/>
  <c r="I94" i="3"/>
  <c r="I93" i="3"/>
  <c r="I92" i="3"/>
  <c r="I91" i="3"/>
  <c r="I90" i="3"/>
  <c r="I89" i="3"/>
  <c r="I87" i="3"/>
  <c r="I86" i="3"/>
  <c r="I85" i="3"/>
  <c r="I84" i="3"/>
  <c r="I83" i="3"/>
  <c r="I82" i="3"/>
  <c r="I80" i="3"/>
  <c r="I79" i="3"/>
  <c r="I78" i="3"/>
  <c r="I77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0" i="3"/>
  <c r="I19" i="3"/>
  <c r="H151" i="3"/>
  <c r="H150" i="3"/>
  <c r="H149" i="3" s="1"/>
  <c r="H148" i="3"/>
  <c r="H147" i="3" s="1"/>
  <c r="H145" i="3"/>
  <c r="H144" i="3"/>
  <c r="H143" i="3"/>
  <c r="H142" i="3" s="1"/>
  <c r="H141" i="3"/>
  <c r="H140" i="3"/>
  <c r="H138" i="3"/>
  <c r="H137" i="3" s="1"/>
  <c r="H136" i="3"/>
  <c r="H135" i="3"/>
  <c r="H132" i="3"/>
  <c r="H131" i="3" s="1"/>
  <c r="H130" i="3"/>
  <c r="H129" i="3"/>
  <c r="H128" i="3"/>
  <c r="H127" i="3"/>
  <c r="H126" i="3"/>
  <c r="H125" i="3"/>
  <c r="H124" i="3"/>
  <c r="H123" i="3"/>
  <c r="H121" i="3"/>
  <c r="H120" i="3" s="1"/>
  <c r="H119" i="3"/>
  <c r="H114" i="3" s="1"/>
  <c r="H118" i="3"/>
  <c r="H117" i="3"/>
  <c r="H116" i="3"/>
  <c r="H115" i="3"/>
  <c r="H112" i="3"/>
  <c r="H111" i="3"/>
  <c r="H110" i="3"/>
  <c r="H109" i="3"/>
  <c r="H108" i="3"/>
  <c r="H107" i="3"/>
  <c r="H106" i="3"/>
  <c r="H105" i="3"/>
  <c r="H104" i="3"/>
  <c r="H103" i="3"/>
  <c r="H102" i="3"/>
  <c r="H100" i="3"/>
  <c r="H99" i="3" s="1"/>
  <c r="H96" i="3"/>
  <c r="H95" i="3"/>
  <c r="H94" i="3"/>
  <c r="H93" i="3"/>
  <c r="H92" i="3"/>
  <c r="H91" i="3"/>
  <c r="H90" i="3"/>
  <c r="H89" i="3"/>
  <c r="H87" i="3"/>
  <c r="H86" i="3"/>
  <c r="H85" i="3"/>
  <c r="H84" i="3"/>
  <c r="H83" i="3"/>
  <c r="H82" i="3"/>
  <c r="H80" i="3"/>
  <c r="H79" i="3"/>
  <c r="H78" i="3"/>
  <c r="H77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0" i="3"/>
  <c r="H18" i="3" s="1"/>
  <c r="G151" i="3"/>
  <c r="G150" i="3"/>
  <c r="G148" i="3"/>
  <c r="G145" i="3"/>
  <c r="G144" i="3"/>
  <c r="G143" i="3"/>
  <c r="G141" i="3"/>
  <c r="G140" i="3"/>
  <c r="G138" i="3"/>
  <c r="G136" i="3"/>
  <c r="G135" i="3"/>
  <c r="G132" i="3"/>
  <c r="G130" i="3"/>
  <c r="G129" i="3"/>
  <c r="G128" i="3"/>
  <c r="G127" i="3"/>
  <c r="G126" i="3"/>
  <c r="G125" i="3"/>
  <c r="G124" i="3"/>
  <c r="G123" i="3"/>
  <c r="G121" i="3"/>
  <c r="G119" i="3"/>
  <c r="G118" i="3"/>
  <c r="G117" i="3"/>
  <c r="G116" i="3"/>
  <c r="G115" i="3"/>
  <c r="G112" i="3"/>
  <c r="G111" i="3"/>
  <c r="G110" i="3"/>
  <c r="G109" i="3"/>
  <c r="G108" i="3"/>
  <c r="G107" i="3"/>
  <c r="G106" i="3"/>
  <c r="G105" i="3"/>
  <c r="G104" i="3"/>
  <c r="G103" i="3"/>
  <c r="G102" i="3"/>
  <c r="G100" i="3"/>
  <c r="G96" i="3"/>
  <c r="G95" i="3"/>
  <c r="G94" i="3"/>
  <c r="G93" i="3"/>
  <c r="G92" i="3"/>
  <c r="G91" i="3"/>
  <c r="G90" i="3"/>
  <c r="G89" i="3"/>
  <c r="G87" i="3"/>
  <c r="G86" i="3"/>
  <c r="G85" i="3"/>
  <c r="G84" i="3"/>
  <c r="G83" i="3"/>
  <c r="G82" i="3"/>
  <c r="G80" i="3"/>
  <c r="G79" i="3"/>
  <c r="G78" i="3"/>
  <c r="G77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F151" i="3"/>
  <c r="F150" i="3"/>
  <c r="F149" i="3" s="1"/>
  <c r="F148" i="3"/>
  <c r="F147" i="3" s="1"/>
  <c r="F145" i="3"/>
  <c r="F144" i="3"/>
  <c r="F143" i="3"/>
  <c r="F142" i="3" s="1"/>
  <c r="F141" i="3"/>
  <c r="F140" i="3"/>
  <c r="F138" i="3"/>
  <c r="F137" i="3" s="1"/>
  <c r="F136" i="3"/>
  <c r="F135" i="3"/>
  <c r="F132" i="3"/>
  <c r="F131" i="3" s="1"/>
  <c r="F130" i="3"/>
  <c r="F129" i="3"/>
  <c r="F128" i="3"/>
  <c r="F127" i="3"/>
  <c r="F126" i="3"/>
  <c r="F125" i="3"/>
  <c r="F124" i="3"/>
  <c r="F123" i="3"/>
  <c r="F121" i="3"/>
  <c r="F120" i="3" s="1"/>
  <c r="F119" i="3"/>
  <c r="F114" i="3" s="1"/>
  <c r="F118" i="3"/>
  <c r="F117" i="3"/>
  <c r="F116" i="3"/>
  <c r="F115" i="3"/>
  <c r="F112" i="3"/>
  <c r="F111" i="3"/>
  <c r="F110" i="3"/>
  <c r="F109" i="3"/>
  <c r="F108" i="3"/>
  <c r="F107" i="3"/>
  <c r="F106" i="3"/>
  <c r="F105" i="3"/>
  <c r="F104" i="3"/>
  <c r="F103" i="3"/>
  <c r="F102" i="3"/>
  <c r="F100" i="3"/>
  <c r="F99" i="3" s="1"/>
  <c r="F96" i="3"/>
  <c r="F95" i="3"/>
  <c r="F94" i="3"/>
  <c r="F93" i="3"/>
  <c r="F92" i="3"/>
  <c r="F91" i="3"/>
  <c r="F90" i="3"/>
  <c r="F89" i="3"/>
  <c r="F87" i="3"/>
  <c r="F86" i="3"/>
  <c r="F85" i="3"/>
  <c r="F84" i="3"/>
  <c r="F83" i="3"/>
  <c r="F82" i="3"/>
  <c r="F80" i="3"/>
  <c r="F79" i="3"/>
  <c r="F78" i="3"/>
  <c r="F77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0" i="3"/>
  <c r="F19" i="3"/>
  <c r="E151" i="3"/>
  <c r="E150" i="3"/>
  <c r="E149" i="3" s="1"/>
  <c r="E148" i="3"/>
  <c r="E147" i="3" s="1"/>
  <c r="E145" i="3"/>
  <c r="E144" i="3"/>
  <c r="E143" i="3"/>
  <c r="E142" i="3" s="1"/>
  <c r="E141" i="3"/>
  <c r="E140" i="3"/>
  <c r="E138" i="3"/>
  <c r="E137" i="3" s="1"/>
  <c r="E136" i="3"/>
  <c r="E135" i="3"/>
  <c r="E132" i="3"/>
  <c r="E131" i="3" s="1"/>
  <c r="E130" i="3"/>
  <c r="E129" i="3"/>
  <c r="E128" i="3"/>
  <c r="E127" i="3"/>
  <c r="E126" i="3"/>
  <c r="E125" i="3"/>
  <c r="E124" i="3"/>
  <c r="E123" i="3"/>
  <c r="E121" i="3"/>
  <c r="E120" i="3" s="1"/>
  <c r="E119" i="3"/>
  <c r="E114" i="3" s="1"/>
  <c r="E118" i="3"/>
  <c r="E117" i="3"/>
  <c r="E116" i="3"/>
  <c r="E115" i="3"/>
  <c r="E112" i="3"/>
  <c r="E111" i="3"/>
  <c r="E110" i="3"/>
  <c r="E109" i="3"/>
  <c r="E108" i="3"/>
  <c r="E107" i="3"/>
  <c r="E106" i="3"/>
  <c r="E105" i="3"/>
  <c r="E104" i="3"/>
  <c r="E103" i="3"/>
  <c r="E102" i="3"/>
  <c r="E100" i="3"/>
  <c r="E99" i="3" s="1"/>
  <c r="E96" i="3"/>
  <c r="E95" i="3"/>
  <c r="E94" i="3"/>
  <c r="E93" i="3"/>
  <c r="E92" i="3"/>
  <c r="E91" i="3"/>
  <c r="E90" i="3"/>
  <c r="E89" i="3"/>
  <c r="E87" i="3"/>
  <c r="E86" i="3"/>
  <c r="E85" i="3"/>
  <c r="E84" i="3"/>
  <c r="E83" i="3"/>
  <c r="E82" i="3"/>
  <c r="E80" i="3"/>
  <c r="E79" i="3"/>
  <c r="E78" i="3"/>
  <c r="E77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0" i="3"/>
  <c r="E19" i="3"/>
  <c r="R18" i="3" l="1"/>
  <c r="S101" i="3"/>
  <c r="M98" i="3"/>
  <c r="L113" i="3"/>
  <c r="K122" i="3"/>
  <c r="K98" i="3"/>
  <c r="O98" i="3"/>
  <c r="T98" i="3"/>
  <c r="F88" i="3"/>
  <c r="I98" i="3"/>
  <c r="I122" i="3"/>
  <c r="N18" i="3"/>
  <c r="N52" i="3"/>
  <c r="F18" i="3"/>
  <c r="H98" i="3"/>
  <c r="I134" i="3"/>
  <c r="T21" i="3"/>
  <c r="M21" i="3"/>
  <c r="O21" i="3"/>
  <c r="K22" i="3"/>
  <c r="K153" i="3" s="1"/>
  <c r="R22" i="3"/>
  <c r="K38" i="3"/>
  <c r="R38" i="3"/>
  <c r="T38" i="3"/>
  <c r="V38" i="3"/>
  <c r="M38" i="3"/>
  <c r="M22" i="3"/>
  <c r="M153" i="3" s="1"/>
  <c r="P113" i="3"/>
  <c r="E38" i="3"/>
  <c r="E76" i="3"/>
  <c r="E88" i="3"/>
  <c r="E98" i="3"/>
  <c r="E122" i="3"/>
  <c r="F38" i="3"/>
  <c r="F76" i="3"/>
  <c r="F81" i="3"/>
  <c r="F134" i="3"/>
  <c r="G38" i="3"/>
  <c r="G76" i="3"/>
  <c r="H76" i="3"/>
  <c r="H88" i="3"/>
  <c r="H101" i="3"/>
  <c r="H134" i="3"/>
  <c r="I88" i="3"/>
  <c r="I139" i="3"/>
  <c r="I146" i="3"/>
  <c r="U81" i="3"/>
  <c r="T88" i="3"/>
  <c r="K134" i="3"/>
  <c r="R134" i="3"/>
  <c r="V134" i="3"/>
  <c r="R98" i="3"/>
  <c r="N146" i="3"/>
  <c r="T18" i="3"/>
  <c r="V18" i="3"/>
  <c r="L18" i="3"/>
  <c r="P18" i="3"/>
  <c r="U18" i="3"/>
  <c r="K52" i="3"/>
  <c r="S52" i="3"/>
  <c r="K76" i="3"/>
  <c r="T76" i="3"/>
  <c r="N81" i="3"/>
  <c r="S81" i="3"/>
  <c r="N113" i="3"/>
  <c r="S113" i="3"/>
  <c r="S97" i="3" s="1"/>
  <c r="U113" i="3"/>
  <c r="V113" i="3"/>
  <c r="O122" i="3"/>
  <c r="U122" i="3"/>
  <c r="K139" i="3"/>
  <c r="R139" i="3"/>
  <c r="R133" i="3" s="1"/>
  <c r="T139" i="3"/>
  <c r="V139" i="3"/>
  <c r="M146" i="3"/>
  <c r="K146" i="3"/>
  <c r="R146" i="3"/>
  <c r="T146" i="3"/>
  <c r="V146" i="3"/>
  <c r="G22" i="3"/>
  <c r="G52" i="3"/>
  <c r="S18" i="3"/>
  <c r="U52" i="3"/>
  <c r="M88" i="3"/>
  <c r="O88" i="3"/>
  <c r="V98" i="3"/>
  <c r="K113" i="3"/>
  <c r="M113" i="3"/>
  <c r="O113" i="3"/>
  <c r="N122" i="3"/>
  <c r="S76" i="3"/>
  <c r="U76" i="3"/>
  <c r="E22" i="3"/>
  <c r="E52" i="3"/>
  <c r="F98" i="3"/>
  <c r="F122" i="3"/>
  <c r="H22" i="3"/>
  <c r="H153" i="3" s="1"/>
  <c r="I18" i="3"/>
  <c r="I22" i="3"/>
  <c r="I52" i="3"/>
  <c r="K133" i="3"/>
  <c r="E18" i="3"/>
  <c r="E21" i="3"/>
  <c r="E101" i="3"/>
  <c r="E134" i="3"/>
  <c r="F22" i="3"/>
  <c r="F52" i="3"/>
  <c r="F139" i="3"/>
  <c r="H38" i="3"/>
  <c r="H122" i="3"/>
  <c r="I38" i="3"/>
  <c r="I76" i="3"/>
  <c r="I81" i="3"/>
  <c r="K18" i="3"/>
  <c r="M18" i="3"/>
  <c r="O18" i="3"/>
  <c r="T22" i="3"/>
  <c r="K21" i="3"/>
  <c r="O38" i="3"/>
  <c r="S38" i="3"/>
  <c r="U38" i="3"/>
  <c r="R52" i="3"/>
  <c r="T52" i="3"/>
  <c r="V52" i="3"/>
  <c r="K81" i="3"/>
  <c r="S88" i="3"/>
  <c r="U88" i="3"/>
  <c r="K101" i="3"/>
  <c r="N134" i="3"/>
  <c r="S134" i="3"/>
  <c r="U134" i="3"/>
  <c r="L139" i="3"/>
  <c r="S139" i="3"/>
  <c r="U139" i="3"/>
  <c r="O22" i="3"/>
  <c r="O153" i="3" s="1"/>
  <c r="S22" i="3"/>
  <c r="N22" i="3"/>
  <c r="N76" i="3"/>
  <c r="N88" i="3"/>
  <c r="M101" i="3"/>
  <c r="O101" i="3"/>
  <c r="O97" i="3" s="1"/>
  <c r="R113" i="3"/>
  <c r="T113" i="3"/>
  <c r="F113" i="3"/>
  <c r="G21" i="3"/>
  <c r="G101" i="3"/>
  <c r="G120" i="3"/>
  <c r="G134" i="3"/>
  <c r="G137" i="3"/>
  <c r="I113" i="3"/>
  <c r="E81" i="3"/>
  <c r="E113" i="3"/>
  <c r="E139" i="3"/>
  <c r="F21" i="3"/>
  <c r="F101" i="3"/>
  <c r="G18" i="3"/>
  <c r="G81" i="3"/>
  <c r="G88" i="3"/>
  <c r="G99" i="3"/>
  <c r="G114" i="3"/>
  <c r="G122" i="3"/>
  <c r="G131" i="3"/>
  <c r="G142" i="3"/>
  <c r="G149" i="3"/>
  <c r="N21" i="3"/>
  <c r="U21" i="3"/>
  <c r="V22" i="3"/>
  <c r="R39" i="3"/>
  <c r="T39" i="3"/>
  <c r="V39" i="3"/>
  <c r="N38" i="3"/>
  <c r="M52" i="3"/>
  <c r="O52" i="3"/>
  <c r="M76" i="3"/>
  <c r="O76" i="3"/>
  <c r="M81" i="3"/>
  <c r="O81" i="3"/>
  <c r="R81" i="3"/>
  <c r="T81" i="3"/>
  <c r="V81" i="3"/>
  <c r="U101" i="3"/>
  <c r="L98" i="3"/>
  <c r="N98" i="3"/>
  <c r="P98" i="3"/>
  <c r="S98" i="3"/>
  <c r="U98" i="3"/>
  <c r="O133" i="3"/>
  <c r="G113" i="3"/>
  <c r="G139" i="3"/>
  <c r="G147" i="3"/>
  <c r="H21" i="3"/>
  <c r="H52" i="3"/>
  <c r="H81" i="3"/>
  <c r="H113" i="3"/>
  <c r="H139" i="3"/>
  <c r="H146" i="3"/>
  <c r="I21" i="3"/>
  <c r="I101" i="3"/>
  <c r="R21" i="3"/>
  <c r="U22" i="3"/>
  <c r="U153" i="3" s="1"/>
  <c r="R76" i="3"/>
  <c r="K88" i="3"/>
  <c r="N101" i="3"/>
  <c r="T101" i="3"/>
  <c r="T122" i="3"/>
  <c r="N139" i="3"/>
  <c r="R88" i="3"/>
  <c r="V122" i="3"/>
  <c r="R122" i="3"/>
  <c r="V101" i="3"/>
  <c r="R101" i="3"/>
  <c r="V88" i="3"/>
  <c r="V76" i="3"/>
  <c r="S21" i="3"/>
  <c r="V21" i="3"/>
  <c r="T134" i="3"/>
  <c r="F146" i="3"/>
  <c r="E146" i="3"/>
  <c r="D25" i="3"/>
  <c r="S153" i="3" l="1"/>
  <c r="V97" i="3"/>
  <c r="V152" i="3" s="1"/>
  <c r="R153" i="3"/>
  <c r="F97" i="3"/>
  <c r="F152" i="3" s="1"/>
  <c r="S133" i="3"/>
  <c r="I153" i="3"/>
  <c r="E153" i="3"/>
  <c r="I133" i="3"/>
  <c r="E133" i="3"/>
  <c r="T133" i="3"/>
  <c r="N97" i="3"/>
  <c r="H133" i="3"/>
  <c r="N153" i="3"/>
  <c r="U97" i="3"/>
  <c r="T153" i="3"/>
  <c r="K97" i="3"/>
  <c r="K152" i="3" s="1"/>
  <c r="F133" i="3"/>
  <c r="F153" i="3"/>
  <c r="V133" i="3"/>
  <c r="G133" i="3"/>
  <c r="R97" i="3"/>
  <c r="R152" i="3" s="1"/>
  <c r="N133" i="3"/>
  <c r="N152" i="3" s="1"/>
  <c r="V153" i="3"/>
  <c r="E97" i="3"/>
  <c r="E152" i="3" s="1"/>
  <c r="I97" i="3"/>
  <c r="H97" i="3"/>
  <c r="U133" i="3"/>
  <c r="O152" i="3"/>
  <c r="G98" i="3"/>
  <c r="G146" i="3"/>
  <c r="G97" i="3"/>
  <c r="S152" i="3"/>
  <c r="T97" i="3"/>
  <c r="L195" i="1"/>
  <c r="L194" i="1" s="1"/>
  <c r="L187" i="1"/>
  <c r="L186" i="1" s="1"/>
  <c r="L184" i="1"/>
  <c r="L183" i="1" s="1"/>
  <c r="L179" i="1"/>
  <c r="L178" i="1" s="1"/>
  <c r="L165" i="1"/>
  <c r="L164" i="1" s="1"/>
  <c r="L124" i="1"/>
  <c r="L123" i="1" s="1"/>
  <c r="L97" i="1"/>
  <c r="L96" i="1" s="1"/>
  <c r="L79" i="1"/>
  <c r="L78" i="1"/>
  <c r="L77" i="1" s="1"/>
  <c r="L52" i="1"/>
  <c r="L205" i="1" s="1"/>
  <c r="L207" i="1" s="1"/>
  <c r="L51" i="1"/>
  <c r="L50" i="1" s="1"/>
  <c r="L16" i="1"/>
  <c r="L15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3" i="1"/>
  <c r="K44" i="1"/>
  <c r="K45" i="1"/>
  <c r="K46" i="1"/>
  <c r="K48" i="1"/>
  <c r="K49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4" i="1"/>
  <c r="K76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20" i="1"/>
  <c r="K122" i="1"/>
  <c r="K125" i="1"/>
  <c r="K126" i="1"/>
  <c r="K127" i="1"/>
  <c r="K128" i="1"/>
  <c r="K129" i="1"/>
  <c r="K130" i="1"/>
  <c r="K136" i="1"/>
  <c r="K137" i="1"/>
  <c r="K139" i="1"/>
  <c r="K140" i="1"/>
  <c r="K141" i="1"/>
  <c r="K142" i="1"/>
  <c r="K143" i="1"/>
  <c r="K144" i="1"/>
  <c r="K154" i="1"/>
  <c r="K157" i="1"/>
  <c r="K158" i="1"/>
  <c r="K160" i="1"/>
  <c r="K163" i="1"/>
  <c r="K166" i="1"/>
  <c r="K168" i="1"/>
  <c r="K176" i="1"/>
  <c r="K180" i="1"/>
  <c r="K181" i="1"/>
  <c r="K185" i="1"/>
  <c r="K188" i="1"/>
  <c r="K189" i="1"/>
  <c r="K190" i="1"/>
  <c r="K193" i="1"/>
  <c r="K196" i="1"/>
  <c r="K197" i="1"/>
  <c r="K198" i="1"/>
  <c r="K199" i="1"/>
  <c r="K201" i="1"/>
  <c r="K202" i="1"/>
  <c r="K203" i="1"/>
  <c r="R203" i="1"/>
  <c r="R202" i="1"/>
  <c r="R201" i="1"/>
  <c r="R200" i="1"/>
  <c r="Y200" i="1" s="1"/>
  <c r="R199" i="1"/>
  <c r="R198" i="1"/>
  <c r="Y198" i="1" s="1"/>
  <c r="R197" i="1"/>
  <c r="Y197" i="1" s="1"/>
  <c r="R196" i="1"/>
  <c r="Y196" i="1" s="1"/>
  <c r="R193" i="1"/>
  <c r="Y193" i="1" s="1"/>
  <c r="R192" i="1"/>
  <c r="R191" i="1"/>
  <c r="R190" i="1"/>
  <c r="Y190" i="1" s="1"/>
  <c r="R189" i="1"/>
  <c r="R188" i="1"/>
  <c r="Y188" i="1" s="1"/>
  <c r="R185" i="1"/>
  <c r="R182" i="1"/>
  <c r="R181" i="1"/>
  <c r="Y181" i="1" s="1"/>
  <c r="R180" i="1"/>
  <c r="Y180" i="1" s="1"/>
  <c r="R177" i="1"/>
  <c r="R176" i="1"/>
  <c r="R175" i="1"/>
  <c r="R174" i="1"/>
  <c r="R173" i="1"/>
  <c r="R172" i="1"/>
  <c r="Y172" i="1" s="1"/>
  <c r="R171" i="1"/>
  <c r="Y171" i="1" s="1"/>
  <c r="R170" i="1"/>
  <c r="R169" i="1"/>
  <c r="R168" i="1"/>
  <c r="R167" i="1"/>
  <c r="R166" i="1"/>
  <c r="R163" i="1"/>
  <c r="R155" i="1"/>
  <c r="Y155" i="1" s="1"/>
  <c r="R156" i="1"/>
  <c r="R157" i="1"/>
  <c r="Y157" i="1" s="1"/>
  <c r="R158" i="1"/>
  <c r="R159" i="1"/>
  <c r="R160" i="1"/>
  <c r="R144" i="1"/>
  <c r="R145" i="1"/>
  <c r="R146" i="1"/>
  <c r="Y146" i="1" s="1"/>
  <c r="R147" i="1"/>
  <c r="R148" i="1"/>
  <c r="Y148" i="1" s="1"/>
  <c r="R149" i="1"/>
  <c r="R150" i="1"/>
  <c r="R151" i="1"/>
  <c r="R152" i="1"/>
  <c r="R153" i="1"/>
  <c r="Y153" i="1" s="1"/>
  <c r="R154" i="1"/>
  <c r="Y154" i="1" s="1"/>
  <c r="R143" i="1"/>
  <c r="Y143" i="1" s="1"/>
  <c r="R142" i="1"/>
  <c r="Y142" i="1" s="1"/>
  <c r="R141" i="1"/>
  <c r="R140" i="1"/>
  <c r="R139" i="1"/>
  <c r="R138" i="1"/>
  <c r="Y138" i="1" s="1"/>
  <c r="R137" i="1"/>
  <c r="Y137" i="1" s="1"/>
  <c r="R136" i="1"/>
  <c r="Y136" i="1" s="1"/>
  <c r="R135" i="1"/>
  <c r="X135" i="1" s="1"/>
  <c r="R132" i="1"/>
  <c r="Y132" i="1" s="1"/>
  <c r="R131" i="1"/>
  <c r="R130" i="1"/>
  <c r="Y130" i="1" s="1"/>
  <c r="R129" i="1"/>
  <c r="Y129" i="1" s="1"/>
  <c r="R128" i="1"/>
  <c r="R127" i="1"/>
  <c r="Y127" i="1" s="1"/>
  <c r="R126" i="1"/>
  <c r="Y126" i="1" s="1"/>
  <c r="R125" i="1"/>
  <c r="Y125" i="1" s="1"/>
  <c r="R122" i="1"/>
  <c r="R121" i="1"/>
  <c r="Y121" i="1" s="1"/>
  <c r="R120" i="1"/>
  <c r="Y120" i="1" s="1"/>
  <c r="R112" i="1"/>
  <c r="R113" i="1"/>
  <c r="R114" i="1"/>
  <c r="R115" i="1"/>
  <c r="Y115" i="1" s="1"/>
  <c r="R116" i="1"/>
  <c r="Y116" i="1" s="1"/>
  <c r="R117" i="1"/>
  <c r="Y117" i="1" s="1"/>
  <c r="R107" i="1"/>
  <c r="R108" i="1"/>
  <c r="R109" i="1"/>
  <c r="R110" i="1"/>
  <c r="R111" i="1"/>
  <c r="R99" i="1"/>
  <c r="R100" i="1"/>
  <c r="R101" i="1"/>
  <c r="R102" i="1"/>
  <c r="R103" i="1"/>
  <c r="R104" i="1"/>
  <c r="R105" i="1"/>
  <c r="R106" i="1"/>
  <c r="Y106" i="1" s="1"/>
  <c r="R98" i="1"/>
  <c r="Y98" i="1" s="1"/>
  <c r="R95" i="1"/>
  <c r="R81" i="1"/>
  <c r="Y81" i="1" s="1"/>
  <c r="R82" i="1"/>
  <c r="R83" i="1"/>
  <c r="Y83" i="1" s="1"/>
  <c r="R84" i="1"/>
  <c r="R85" i="1"/>
  <c r="Y85" i="1" s="1"/>
  <c r="R86" i="1"/>
  <c r="R87" i="1"/>
  <c r="R88" i="1"/>
  <c r="R89" i="1"/>
  <c r="R90" i="1"/>
  <c r="R91" i="1"/>
  <c r="Y91" i="1" s="1"/>
  <c r="R92" i="1"/>
  <c r="R93" i="1"/>
  <c r="Y93" i="1" s="1"/>
  <c r="R94" i="1"/>
  <c r="R80" i="1"/>
  <c r="Y80" i="1" s="1"/>
  <c r="R79" i="1"/>
  <c r="R76" i="1"/>
  <c r="R75" i="1"/>
  <c r="R74" i="1"/>
  <c r="Y74" i="1" s="1"/>
  <c r="R73" i="1"/>
  <c r="Y73" i="1" s="1"/>
  <c r="R72" i="1"/>
  <c r="Y72" i="1" s="1"/>
  <c r="R71" i="1"/>
  <c r="Y71" i="1" s="1"/>
  <c r="R70" i="1"/>
  <c r="Y70" i="1" s="1"/>
  <c r="R69" i="1"/>
  <c r="R68" i="1"/>
  <c r="Y68" i="1" s="1"/>
  <c r="R67" i="1"/>
  <c r="R66" i="1"/>
  <c r="Y66" i="1" s="1"/>
  <c r="R65" i="1"/>
  <c r="R64" i="1"/>
  <c r="Y64" i="1" s="1"/>
  <c r="R63" i="1"/>
  <c r="Y63" i="1" s="1"/>
  <c r="R62" i="1"/>
  <c r="R61" i="1"/>
  <c r="Y61" i="1" s="1"/>
  <c r="R60" i="1"/>
  <c r="Y60" i="1" s="1"/>
  <c r="R59" i="1"/>
  <c r="R58" i="1"/>
  <c r="Y58" i="1" s="1"/>
  <c r="R57" i="1"/>
  <c r="R56" i="1"/>
  <c r="Y56" i="1" s="1"/>
  <c r="R55" i="1"/>
  <c r="Y55" i="1" s="1"/>
  <c r="R54" i="1"/>
  <c r="Y54" i="1" s="1"/>
  <c r="R53" i="1"/>
  <c r="Y53" i="1" s="1"/>
  <c r="R49" i="1"/>
  <c r="Y49" i="1" s="1"/>
  <c r="R48" i="1"/>
  <c r="R47" i="1"/>
  <c r="Y47" i="1" s="1"/>
  <c r="R46" i="1"/>
  <c r="R45" i="1"/>
  <c r="Y45" i="1" s="1"/>
  <c r="R44" i="1"/>
  <c r="R43" i="1"/>
  <c r="R42" i="1"/>
  <c r="Y42" i="1" s="1"/>
  <c r="R41" i="1"/>
  <c r="R40" i="1"/>
  <c r="R39" i="1"/>
  <c r="R38" i="1"/>
  <c r="R37" i="1"/>
  <c r="R36" i="1"/>
  <c r="R35" i="1"/>
  <c r="R34" i="1"/>
  <c r="R33" i="1"/>
  <c r="Y33" i="1" s="1"/>
  <c r="R32" i="1"/>
  <c r="R31" i="1"/>
  <c r="R30" i="1"/>
  <c r="R29" i="1"/>
  <c r="R28" i="1"/>
  <c r="R27" i="1"/>
  <c r="Y27" i="1" s="1"/>
  <c r="R26" i="1"/>
  <c r="Y26" i="1" s="1"/>
  <c r="R25" i="1"/>
  <c r="Y25" i="1" s="1"/>
  <c r="R24" i="1"/>
  <c r="Y24" i="1" s="1"/>
  <c r="R23" i="1"/>
  <c r="Y23" i="1" s="1"/>
  <c r="R22" i="1"/>
  <c r="R21" i="1"/>
  <c r="R20" i="1"/>
  <c r="Y20" i="1" s="1"/>
  <c r="R19" i="1"/>
  <c r="Y19" i="1" s="1"/>
  <c r="R18" i="1"/>
  <c r="R17" i="1"/>
  <c r="Y17" i="1" s="1"/>
  <c r="W195" i="1"/>
  <c r="W194" i="1" s="1"/>
  <c r="V195" i="1"/>
  <c r="U195" i="1"/>
  <c r="U194" i="1" s="1"/>
  <c r="T195" i="1"/>
  <c r="T194" i="1" s="1"/>
  <c r="S195" i="1"/>
  <c r="S194" i="1" s="1"/>
  <c r="V194" i="1"/>
  <c r="W187" i="1"/>
  <c r="W186" i="1" s="1"/>
  <c r="V187" i="1"/>
  <c r="U187" i="1"/>
  <c r="U186" i="1" s="1"/>
  <c r="T187" i="1"/>
  <c r="T186" i="1" s="1"/>
  <c r="S187" i="1"/>
  <c r="S186" i="1" s="1"/>
  <c r="V186" i="1"/>
  <c r="W184" i="1"/>
  <c r="W183" i="1" s="1"/>
  <c r="V184" i="1"/>
  <c r="V183" i="1" s="1"/>
  <c r="U184" i="1"/>
  <c r="T184" i="1"/>
  <c r="T183" i="1" s="1"/>
  <c r="S184" i="1"/>
  <c r="S183" i="1" s="1"/>
  <c r="U183" i="1"/>
  <c r="W179" i="1"/>
  <c r="W178" i="1" s="1"/>
  <c r="V179" i="1"/>
  <c r="V178" i="1" s="1"/>
  <c r="U179" i="1"/>
  <c r="T179" i="1"/>
  <c r="T178" i="1" s="1"/>
  <c r="S179" i="1"/>
  <c r="S178" i="1" s="1"/>
  <c r="U178" i="1"/>
  <c r="W165" i="1"/>
  <c r="W164" i="1" s="1"/>
  <c r="S165" i="1"/>
  <c r="S164" i="1" s="1"/>
  <c r="V165" i="1"/>
  <c r="V164" i="1" s="1"/>
  <c r="U165" i="1"/>
  <c r="U164" i="1" s="1"/>
  <c r="T165" i="1"/>
  <c r="T164" i="1" s="1"/>
  <c r="W162" i="1"/>
  <c r="W161" i="1" s="1"/>
  <c r="V162" i="1"/>
  <c r="U162" i="1"/>
  <c r="U161" i="1" s="1"/>
  <c r="T162" i="1"/>
  <c r="T161" i="1" s="1"/>
  <c r="S162" i="1"/>
  <c r="S161" i="1" s="1"/>
  <c r="V161" i="1"/>
  <c r="W134" i="1"/>
  <c r="W133" i="1" s="1"/>
  <c r="W135" i="1"/>
  <c r="V135" i="1"/>
  <c r="U135" i="1"/>
  <c r="T135" i="1"/>
  <c r="S135" i="1"/>
  <c r="V134" i="1"/>
  <c r="V133" i="1" s="1"/>
  <c r="U134" i="1"/>
  <c r="U133" i="1" s="1"/>
  <c r="T134" i="1"/>
  <c r="T133" i="1" s="1"/>
  <c r="S134" i="1"/>
  <c r="S133" i="1" s="1"/>
  <c r="W124" i="1"/>
  <c r="W123" i="1" s="1"/>
  <c r="V124" i="1"/>
  <c r="U124" i="1"/>
  <c r="U123" i="1" s="1"/>
  <c r="T124" i="1"/>
  <c r="T123" i="1" s="1"/>
  <c r="S124" i="1"/>
  <c r="S123" i="1" s="1"/>
  <c r="V123" i="1"/>
  <c r="W119" i="1"/>
  <c r="W118" i="1" s="1"/>
  <c r="V119" i="1"/>
  <c r="V118" i="1" s="1"/>
  <c r="U119" i="1"/>
  <c r="U118" i="1" s="1"/>
  <c r="T119" i="1"/>
  <c r="T118" i="1" s="1"/>
  <c r="S119" i="1"/>
  <c r="S118" i="1" s="1"/>
  <c r="S97" i="1"/>
  <c r="S96" i="1" s="1"/>
  <c r="W97" i="1"/>
  <c r="V97" i="1"/>
  <c r="V96" i="1" s="1"/>
  <c r="U97" i="1"/>
  <c r="U96" i="1" s="1"/>
  <c r="T97" i="1"/>
  <c r="T96" i="1" s="1"/>
  <c r="W96" i="1"/>
  <c r="W78" i="1"/>
  <c r="W77" i="1" s="1"/>
  <c r="W79" i="1"/>
  <c r="V79" i="1"/>
  <c r="U79" i="1"/>
  <c r="T79" i="1"/>
  <c r="S79" i="1"/>
  <c r="V78" i="1"/>
  <c r="V77" i="1" s="1"/>
  <c r="U78" i="1"/>
  <c r="U77" i="1" s="1"/>
  <c r="T78" i="1"/>
  <c r="T77" i="1" s="1"/>
  <c r="S78" i="1"/>
  <c r="S77" i="1" s="1"/>
  <c r="T51" i="1"/>
  <c r="T50" i="1" s="1"/>
  <c r="S52" i="1"/>
  <c r="W52" i="1"/>
  <c r="V52" i="1"/>
  <c r="V205" i="1" s="1"/>
  <c r="V207" i="1" s="1"/>
  <c r="U52" i="1"/>
  <c r="T52" i="1"/>
  <c r="T205" i="1" s="1"/>
  <c r="T207" i="1" s="1"/>
  <c r="W51" i="1"/>
  <c r="W50" i="1" s="1"/>
  <c r="V51" i="1"/>
  <c r="V50" i="1" s="1"/>
  <c r="U51" i="1"/>
  <c r="U50" i="1" s="1"/>
  <c r="S51" i="1"/>
  <c r="S50" i="1" s="1"/>
  <c r="W16" i="1"/>
  <c r="W15" i="1" s="1"/>
  <c r="V16" i="1"/>
  <c r="U16" i="1"/>
  <c r="U15" i="1" s="1"/>
  <c r="T16" i="1"/>
  <c r="T15" i="1" s="1"/>
  <c r="S16" i="1"/>
  <c r="S15" i="1" s="1"/>
  <c r="V15" i="1"/>
  <c r="J195" i="1"/>
  <c r="J194" i="1" s="1"/>
  <c r="I195" i="1"/>
  <c r="I194" i="1" s="1"/>
  <c r="H195" i="1"/>
  <c r="H194" i="1" s="1"/>
  <c r="J187" i="1"/>
  <c r="J186" i="1" s="1"/>
  <c r="I187" i="1"/>
  <c r="I186" i="1" s="1"/>
  <c r="H187" i="1"/>
  <c r="H186" i="1" s="1"/>
  <c r="J184" i="1"/>
  <c r="J183" i="1" s="1"/>
  <c r="I184" i="1"/>
  <c r="I183" i="1" s="1"/>
  <c r="H184" i="1"/>
  <c r="J179" i="1"/>
  <c r="J178" i="1" s="1"/>
  <c r="I179" i="1"/>
  <c r="I178" i="1" s="1"/>
  <c r="H179" i="1"/>
  <c r="J165" i="1"/>
  <c r="J164" i="1" s="1"/>
  <c r="I165" i="1"/>
  <c r="I164" i="1" s="1"/>
  <c r="H165" i="1"/>
  <c r="J162" i="1"/>
  <c r="J161" i="1" s="1"/>
  <c r="I162" i="1"/>
  <c r="I161" i="1" s="1"/>
  <c r="H162" i="1"/>
  <c r="J134" i="1"/>
  <c r="J133" i="1" s="1"/>
  <c r="I134" i="1"/>
  <c r="I133" i="1" s="1"/>
  <c r="H134" i="1"/>
  <c r="J124" i="1"/>
  <c r="J123" i="1" s="1"/>
  <c r="I124" i="1"/>
  <c r="I123" i="1" s="1"/>
  <c r="H124" i="1"/>
  <c r="J119" i="1"/>
  <c r="J118" i="1" s="1"/>
  <c r="I119" i="1"/>
  <c r="I118" i="1" s="1"/>
  <c r="H119" i="1"/>
  <c r="H118" i="1" s="1"/>
  <c r="J97" i="1"/>
  <c r="J96" i="1" s="1"/>
  <c r="I97" i="1"/>
  <c r="I96" i="1" s="1"/>
  <c r="H97" i="1"/>
  <c r="J79" i="1"/>
  <c r="I79" i="1"/>
  <c r="H79" i="1"/>
  <c r="J78" i="1"/>
  <c r="J77" i="1" s="1"/>
  <c r="I78" i="1"/>
  <c r="H78" i="1"/>
  <c r="I77" i="1"/>
  <c r="J52" i="1"/>
  <c r="I52" i="1"/>
  <c r="H52" i="1"/>
  <c r="J51" i="1"/>
  <c r="J50" i="1" s="1"/>
  <c r="I51" i="1"/>
  <c r="I50" i="1" s="1"/>
  <c r="H51" i="1"/>
  <c r="J16" i="1"/>
  <c r="J15" i="1" s="1"/>
  <c r="I16" i="1"/>
  <c r="I15" i="1" s="1"/>
  <c r="H16" i="1"/>
  <c r="E195" i="1"/>
  <c r="E194" i="1" s="1"/>
  <c r="E187" i="1"/>
  <c r="E186" i="1" s="1"/>
  <c r="E184" i="1"/>
  <c r="E183" i="1" s="1"/>
  <c r="E179" i="1"/>
  <c r="E178" i="1" s="1"/>
  <c r="E165" i="1"/>
  <c r="E164" i="1" s="1"/>
  <c r="E162" i="1"/>
  <c r="E161" i="1" s="1"/>
  <c r="E134" i="1"/>
  <c r="E133" i="1" s="1"/>
  <c r="E124" i="1"/>
  <c r="E123" i="1" s="1"/>
  <c r="E119" i="1"/>
  <c r="E118" i="1" s="1"/>
  <c r="E97" i="1"/>
  <c r="E96" i="1" s="1"/>
  <c r="E79" i="1"/>
  <c r="E78" i="1"/>
  <c r="E77" i="1" s="1"/>
  <c r="E52" i="1"/>
  <c r="E205" i="1" s="1"/>
  <c r="E51" i="1"/>
  <c r="E50" i="1" s="1"/>
  <c r="E16" i="1"/>
  <c r="E15" i="1" s="1"/>
  <c r="G195" i="1"/>
  <c r="F195" i="1"/>
  <c r="G194" i="1"/>
  <c r="F194" i="1"/>
  <c r="G187" i="1"/>
  <c r="F187" i="1"/>
  <c r="G186" i="1"/>
  <c r="F186" i="1"/>
  <c r="G184" i="1"/>
  <c r="F184" i="1"/>
  <c r="G183" i="1"/>
  <c r="F183" i="1"/>
  <c r="G179" i="1"/>
  <c r="F179" i="1"/>
  <c r="G178" i="1"/>
  <c r="F178" i="1"/>
  <c r="G165" i="1"/>
  <c r="F165" i="1"/>
  <c r="G164" i="1"/>
  <c r="F164" i="1"/>
  <c r="G162" i="1"/>
  <c r="F162" i="1"/>
  <c r="G161" i="1"/>
  <c r="F161" i="1"/>
  <c r="G134" i="1"/>
  <c r="F134" i="1"/>
  <c r="G133" i="1"/>
  <c r="F133" i="1"/>
  <c r="G124" i="1"/>
  <c r="F124" i="1"/>
  <c r="G123" i="1"/>
  <c r="F123" i="1"/>
  <c r="G119" i="1"/>
  <c r="F119" i="1"/>
  <c r="G118" i="1"/>
  <c r="F118" i="1"/>
  <c r="G97" i="1"/>
  <c r="F97" i="1"/>
  <c r="G96" i="1"/>
  <c r="F96" i="1"/>
  <c r="G79" i="1"/>
  <c r="F79" i="1"/>
  <c r="G78" i="1"/>
  <c r="F78" i="1"/>
  <c r="G77" i="1"/>
  <c r="F77" i="1"/>
  <c r="G52" i="1"/>
  <c r="G205" i="1" s="1"/>
  <c r="F52" i="1"/>
  <c r="F205" i="1" s="1"/>
  <c r="F207" i="1" s="1"/>
  <c r="G51" i="1"/>
  <c r="F51" i="1"/>
  <c r="G50" i="1"/>
  <c r="F50" i="1"/>
  <c r="G16" i="1"/>
  <c r="F16" i="1"/>
  <c r="G15" i="1"/>
  <c r="G204" i="1" s="1"/>
  <c r="F15" i="1"/>
  <c r="F204" i="1" s="1"/>
  <c r="I152" i="3" l="1"/>
  <c r="U152" i="3"/>
  <c r="H152" i="3"/>
  <c r="T152" i="3"/>
  <c r="F206" i="1"/>
  <c r="G207" i="1"/>
  <c r="G206" i="1"/>
  <c r="L204" i="1"/>
  <c r="L206" i="1" s="1"/>
  <c r="K97" i="1"/>
  <c r="K179" i="1"/>
  <c r="K186" i="1"/>
  <c r="Y18" i="1"/>
  <c r="Q20" i="3"/>
  <c r="X20" i="3" s="1"/>
  <c r="Y22" i="1"/>
  <c r="Q64" i="3"/>
  <c r="X64" i="3" s="1"/>
  <c r="Y28" i="1"/>
  <c r="Q80" i="3"/>
  <c r="X80" i="3" s="1"/>
  <c r="Y30" i="1"/>
  <c r="Q83" i="3"/>
  <c r="X83" i="3" s="1"/>
  <c r="Y32" i="1"/>
  <c r="Q85" i="3"/>
  <c r="X85" i="3" s="1"/>
  <c r="X34" i="1"/>
  <c r="Y34" i="1"/>
  <c r="Q87" i="3"/>
  <c r="X87" i="3" s="1"/>
  <c r="Y36" i="1"/>
  <c r="Q116" i="3"/>
  <c r="X116" i="3" s="1"/>
  <c r="Y38" i="1"/>
  <c r="Q121" i="3"/>
  <c r="Y40" i="1"/>
  <c r="Q127" i="3"/>
  <c r="X127" i="3" s="1"/>
  <c r="Q135" i="3"/>
  <c r="X135" i="3" s="1"/>
  <c r="Y44" i="1"/>
  <c r="Y46" i="1"/>
  <c r="Q138" i="3"/>
  <c r="Y48" i="1"/>
  <c r="Q143" i="3"/>
  <c r="Q26" i="3"/>
  <c r="X26" i="3" s="1"/>
  <c r="Y57" i="1"/>
  <c r="X59" i="1"/>
  <c r="Y59" i="1"/>
  <c r="Q28" i="3"/>
  <c r="X28" i="3" s="1"/>
  <c r="Y65" i="1"/>
  <c r="Q35" i="3"/>
  <c r="X35" i="3" s="1"/>
  <c r="Y67" i="1"/>
  <c r="Q37" i="3"/>
  <c r="X37" i="3" s="1"/>
  <c r="Y69" i="1"/>
  <c r="Q75" i="3"/>
  <c r="X75" i="3" s="1"/>
  <c r="X75" i="1"/>
  <c r="Y75" i="1"/>
  <c r="X94" i="1"/>
  <c r="Y94" i="1"/>
  <c r="Q51" i="3"/>
  <c r="X51" i="3" s="1"/>
  <c r="Y92" i="1"/>
  <c r="Y90" i="1"/>
  <c r="Q49" i="3"/>
  <c r="X49" i="3" s="1"/>
  <c r="Y88" i="1"/>
  <c r="Q47" i="3"/>
  <c r="X47" i="3" s="1"/>
  <c r="Y86" i="1"/>
  <c r="Q45" i="3"/>
  <c r="X45" i="3" s="1"/>
  <c r="Y84" i="1"/>
  <c r="Q43" i="3"/>
  <c r="X43" i="3" s="1"/>
  <c r="Y82" i="1"/>
  <c r="Q41" i="3"/>
  <c r="X95" i="1"/>
  <c r="Y95" i="1"/>
  <c r="Q132" i="3"/>
  <c r="Y104" i="1"/>
  <c r="Q58" i="3"/>
  <c r="X58" i="3" s="1"/>
  <c r="Y102" i="1"/>
  <c r="Q56" i="3"/>
  <c r="X56" i="3" s="1"/>
  <c r="Y100" i="1"/>
  <c r="Q54" i="3"/>
  <c r="X54" i="3" s="1"/>
  <c r="Y111" i="1"/>
  <c r="Q70" i="3"/>
  <c r="X70" i="3" s="1"/>
  <c r="Y109" i="1"/>
  <c r="Q68" i="3"/>
  <c r="X68" i="3" s="1"/>
  <c r="Y107" i="1"/>
  <c r="Q66" i="3"/>
  <c r="X66" i="3" s="1"/>
  <c r="Y114" i="1"/>
  <c r="Q73" i="3"/>
  <c r="X73" i="3" s="1"/>
  <c r="Y112" i="1"/>
  <c r="Q71" i="3"/>
  <c r="X71" i="3" s="1"/>
  <c r="Y122" i="1"/>
  <c r="Q62" i="3"/>
  <c r="X62" i="3" s="1"/>
  <c r="X128" i="1"/>
  <c r="Y128" i="1"/>
  <c r="Q91" i="3"/>
  <c r="X91" i="3" s="1"/>
  <c r="Y140" i="1"/>
  <c r="Q118" i="3"/>
  <c r="Y152" i="1"/>
  <c r="X150" i="1"/>
  <c r="Y150" i="1"/>
  <c r="Y144" i="1"/>
  <c r="Q96" i="3"/>
  <c r="X96" i="3" s="1"/>
  <c r="X159" i="1"/>
  <c r="Y159" i="1"/>
  <c r="X166" i="1"/>
  <c r="Y166" i="1"/>
  <c r="X168" i="1"/>
  <c r="Y168" i="1"/>
  <c r="Q95" i="3"/>
  <c r="X95" i="3" s="1"/>
  <c r="X170" i="1"/>
  <c r="Y170" i="1"/>
  <c r="Q104" i="3"/>
  <c r="X104" i="3" s="1"/>
  <c r="X174" i="1"/>
  <c r="Y174" i="1"/>
  <c r="X176" i="1"/>
  <c r="Y176" i="1"/>
  <c r="X182" i="1"/>
  <c r="Y182" i="1"/>
  <c r="X192" i="1"/>
  <c r="Y192" i="1"/>
  <c r="Q126" i="3"/>
  <c r="X126" i="3" s="1"/>
  <c r="Y202" i="1"/>
  <c r="Q145" i="3"/>
  <c r="X145" i="3" s="1"/>
  <c r="X155" i="1"/>
  <c r="X148" i="1"/>
  <c r="X132" i="1"/>
  <c r="X92" i="1"/>
  <c r="X32" i="1"/>
  <c r="K51" i="1"/>
  <c r="K79" i="1"/>
  <c r="K118" i="1"/>
  <c r="K165" i="1"/>
  <c r="Y21" i="1"/>
  <c r="Q63" i="3"/>
  <c r="X63" i="3" s="1"/>
  <c r="Y29" i="1"/>
  <c r="Q82" i="3"/>
  <c r="X82" i="3" s="1"/>
  <c r="X31" i="1"/>
  <c r="Y31" i="1"/>
  <c r="Y35" i="1"/>
  <c r="Q115" i="3"/>
  <c r="X115" i="3" s="1"/>
  <c r="Y37" i="1"/>
  <c r="Q117" i="3"/>
  <c r="X117" i="3" s="1"/>
  <c r="Y39" i="1"/>
  <c r="Q123" i="3"/>
  <c r="X123" i="3" s="1"/>
  <c r="Y41" i="1"/>
  <c r="Q128" i="3"/>
  <c r="X128" i="3" s="1"/>
  <c r="Y43" i="1"/>
  <c r="Q130" i="3"/>
  <c r="X130" i="3" s="1"/>
  <c r="Y62" i="1"/>
  <c r="Q32" i="3"/>
  <c r="X32" i="3" s="1"/>
  <c r="Y76" i="1"/>
  <c r="Q151" i="3"/>
  <c r="X151" i="3" s="1"/>
  <c r="Y89" i="1"/>
  <c r="Q48" i="3"/>
  <c r="X48" i="3" s="1"/>
  <c r="Y87" i="1"/>
  <c r="Q46" i="3"/>
  <c r="X46" i="3" s="1"/>
  <c r="Y105" i="1"/>
  <c r="Q59" i="3"/>
  <c r="X59" i="3" s="1"/>
  <c r="Y103" i="1"/>
  <c r="Q57" i="3"/>
  <c r="X57" i="3" s="1"/>
  <c r="Y101" i="1"/>
  <c r="Q55" i="3"/>
  <c r="X55" i="3" s="1"/>
  <c r="Y99" i="1"/>
  <c r="Q53" i="3"/>
  <c r="X53" i="3" s="1"/>
  <c r="Y110" i="1"/>
  <c r="Q69" i="3"/>
  <c r="X69" i="3" s="1"/>
  <c r="Y108" i="1"/>
  <c r="Q67" i="3"/>
  <c r="X67" i="3" s="1"/>
  <c r="Y113" i="1"/>
  <c r="Q72" i="3"/>
  <c r="X72" i="3" s="1"/>
  <c r="R119" i="1"/>
  <c r="X119" i="1" s="1"/>
  <c r="X131" i="1"/>
  <c r="Y131" i="1"/>
  <c r="X139" i="1"/>
  <c r="Y139" i="1"/>
  <c r="Q90" i="3"/>
  <c r="X90" i="3" s="1"/>
  <c r="Y141" i="1"/>
  <c r="Q92" i="3"/>
  <c r="X92" i="3" s="1"/>
  <c r="X151" i="1"/>
  <c r="Y151" i="1"/>
  <c r="X149" i="1"/>
  <c r="Y149" i="1"/>
  <c r="Q110" i="3"/>
  <c r="X110" i="3" s="1"/>
  <c r="X147" i="1"/>
  <c r="Y147" i="1"/>
  <c r="Q108" i="3"/>
  <c r="X108" i="3" s="1"/>
  <c r="Q103" i="3"/>
  <c r="X103" i="3" s="1"/>
  <c r="Y145" i="1"/>
  <c r="X160" i="1"/>
  <c r="Y160" i="1"/>
  <c r="Q150" i="3"/>
  <c r="X158" i="1"/>
  <c r="Y158" i="1"/>
  <c r="X156" i="1"/>
  <c r="Y156" i="1"/>
  <c r="R162" i="1"/>
  <c r="R161" i="1" s="1"/>
  <c r="X161" i="1" s="1"/>
  <c r="Y163" i="1"/>
  <c r="X167" i="1"/>
  <c r="Y167" i="1"/>
  <c r="X169" i="1"/>
  <c r="Y169" i="1"/>
  <c r="X173" i="1"/>
  <c r="Y173" i="1"/>
  <c r="X175" i="1"/>
  <c r="Y175" i="1"/>
  <c r="X177" i="1"/>
  <c r="Y177" i="1"/>
  <c r="R184" i="1"/>
  <c r="Y185" i="1"/>
  <c r="Y189" i="1"/>
  <c r="Q100" i="3"/>
  <c r="Y199" i="1"/>
  <c r="Q140" i="3"/>
  <c r="X140" i="3" s="1"/>
  <c r="Y201" i="1"/>
  <c r="Q144" i="3"/>
  <c r="X144" i="3" s="1"/>
  <c r="Y203" i="1"/>
  <c r="Q148" i="3"/>
  <c r="X152" i="1"/>
  <c r="X144" i="1"/>
  <c r="X116" i="1"/>
  <c r="X44" i="1"/>
  <c r="G152" i="3"/>
  <c r="G153" i="3"/>
  <c r="Y191" i="1"/>
  <c r="R187" i="1"/>
  <c r="X163" i="1"/>
  <c r="X200" i="1"/>
  <c r="R195" i="1"/>
  <c r="X191" i="1"/>
  <c r="Q125" i="3"/>
  <c r="X125" i="3" s="1"/>
  <c r="X172" i="1"/>
  <c r="Q106" i="3"/>
  <c r="X106" i="3" s="1"/>
  <c r="X171" i="1"/>
  <c r="Q105" i="3"/>
  <c r="X105" i="3" s="1"/>
  <c r="R165" i="1"/>
  <c r="R164" i="1" s="1"/>
  <c r="X164" i="1" s="1"/>
  <c r="X153" i="1"/>
  <c r="Q119" i="3"/>
  <c r="X146" i="1"/>
  <c r="Q107" i="3"/>
  <c r="X107" i="3" s="1"/>
  <c r="X143" i="1"/>
  <c r="Q94" i="3"/>
  <c r="X94" i="3" s="1"/>
  <c r="X142" i="1"/>
  <c r="Q93" i="3"/>
  <c r="X93" i="3" s="1"/>
  <c r="X140" i="1"/>
  <c r="X138" i="1"/>
  <c r="Q89" i="3"/>
  <c r="X89" i="3" s="1"/>
  <c r="X127" i="1"/>
  <c r="Q77" i="3"/>
  <c r="X77" i="3" s="1"/>
  <c r="X126" i="1"/>
  <c r="Q30" i="3"/>
  <c r="X30" i="3" s="1"/>
  <c r="X121" i="1"/>
  <c r="Q61" i="3"/>
  <c r="X61" i="3" s="1"/>
  <c r="X115" i="1"/>
  <c r="Q74" i="3"/>
  <c r="X74" i="3" s="1"/>
  <c r="X106" i="1"/>
  <c r="Q60" i="3"/>
  <c r="X60" i="3" s="1"/>
  <c r="X93" i="1"/>
  <c r="Q109" i="3"/>
  <c r="X109" i="3" s="1"/>
  <c r="Q50" i="3"/>
  <c r="X50" i="3" s="1"/>
  <c r="X85" i="1"/>
  <c r="Q44" i="3"/>
  <c r="X44" i="3" s="1"/>
  <c r="X83" i="1"/>
  <c r="Q42" i="3"/>
  <c r="X42" i="3" s="1"/>
  <c r="X81" i="1"/>
  <c r="Q40" i="3"/>
  <c r="X74" i="1"/>
  <c r="Q124" i="3"/>
  <c r="X124" i="3" s="1"/>
  <c r="X73" i="1"/>
  <c r="Q112" i="3"/>
  <c r="X72" i="1"/>
  <c r="Q111" i="3"/>
  <c r="X111" i="3" s="1"/>
  <c r="X70" i="1"/>
  <c r="Q84" i="3"/>
  <c r="X84" i="3" s="1"/>
  <c r="Q65" i="3"/>
  <c r="Q36" i="3"/>
  <c r="X36" i="3" s="1"/>
  <c r="X64" i="1"/>
  <c r="Q34" i="3"/>
  <c r="X34" i="3" s="1"/>
  <c r="Q33" i="3"/>
  <c r="X33" i="3" s="1"/>
  <c r="X61" i="1"/>
  <c r="Q31" i="3"/>
  <c r="X31" i="3" s="1"/>
  <c r="X60" i="1"/>
  <c r="Q29" i="3"/>
  <c r="X29" i="3" s="1"/>
  <c r="X58" i="1"/>
  <c r="Q27" i="3"/>
  <c r="X27" i="3" s="1"/>
  <c r="X56" i="1"/>
  <c r="Q25" i="3"/>
  <c r="X25" i="3" s="1"/>
  <c r="X47" i="1"/>
  <c r="Q141" i="3"/>
  <c r="X45" i="1"/>
  <c r="Q136" i="3"/>
  <c r="X136" i="3" s="1"/>
  <c r="X54" i="1"/>
  <c r="Q23" i="3"/>
  <c r="X23" i="3" s="1"/>
  <c r="X42" i="1"/>
  <c r="Q129" i="3"/>
  <c r="X129" i="3" s="1"/>
  <c r="X33" i="1"/>
  <c r="Q86" i="3"/>
  <c r="X86" i="3" s="1"/>
  <c r="X27" i="1"/>
  <c r="Q79" i="3"/>
  <c r="X79" i="3" s="1"/>
  <c r="X26" i="1"/>
  <c r="Q78" i="3"/>
  <c r="X78" i="3" s="1"/>
  <c r="X17" i="1"/>
  <c r="Q19" i="3"/>
  <c r="X55" i="1"/>
  <c r="Q24" i="3"/>
  <c r="H164" i="1"/>
  <c r="K164" i="1" s="1"/>
  <c r="H133" i="1"/>
  <c r="K133" i="1" s="1"/>
  <c r="H50" i="1"/>
  <c r="R183" i="1"/>
  <c r="K134" i="1"/>
  <c r="R118" i="1"/>
  <c r="X118" i="1" s="1"/>
  <c r="R124" i="1"/>
  <c r="R134" i="1"/>
  <c r="X145" i="1"/>
  <c r="K195" i="1"/>
  <c r="K119" i="1"/>
  <c r="H15" i="1"/>
  <c r="K16" i="1"/>
  <c r="H205" i="1"/>
  <c r="K52" i="1"/>
  <c r="J205" i="1"/>
  <c r="J207" i="1" s="1"/>
  <c r="H77" i="1"/>
  <c r="K78" i="1"/>
  <c r="I205" i="1"/>
  <c r="I207" i="1" s="1"/>
  <c r="H96" i="1"/>
  <c r="H123" i="1"/>
  <c r="K124" i="1"/>
  <c r="H161" i="1"/>
  <c r="K161" i="1" s="1"/>
  <c r="K162" i="1"/>
  <c r="H178" i="1"/>
  <c r="K178" i="1" s="1"/>
  <c r="H183" i="1"/>
  <c r="K183" i="1" s="1"/>
  <c r="K184" i="1"/>
  <c r="K194" i="1"/>
  <c r="R52" i="1"/>
  <c r="X57" i="1"/>
  <c r="R51" i="1"/>
  <c r="X71" i="1"/>
  <c r="R78" i="1"/>
  <c r="R179" i="1"/>
  <c r="X188" i="1"/>
  <c r="X162" i="1"/>
  <c r="K187" i="1"/>
  <c r="R97" i="1"/>
  <c r="U204" i="1"/>
  <c r="S205" i="1"/>
  <c r="S207" i="1" s="1"/>
  <c r="R16" i="1"/>
  <c r="W204" i="1"/>
  <c r="W206" i="1" s="1"/>
  <c r="T204" i="1"/>
  <c r="T206" i="1" s="1"/>
  <c r="V204" i="1"/>
  <c r="V206" i="1" s="1"/>
  <c r="S204" i="1"/>
  <c r="S206" i="1" s="1"/>
  <c r="U205" i="1"/>
  <c r="U207" i="1" s="1"/>
  <c r="W205" i="1"/>
  <c r="W207" i="1" s="1"/>
  <c r="J204" i="1"/>
  <c r="J206" i="1" s="1"/>
  <c r="I204" i="1"/>
  <c r="I206" i="1" s="1"/>
  <c r="E204" i="1"/>
  <c r="U206" i="1" l="1"/>
  <c r="Q22" i="3"/>
  <c r="X24" i="3"/>
  <c r="Q18" i="3"/>
  <c r="X18" i="3" s="1"/>
  <c r="X19" i="3"/>
  <c r="Q134" i="3"/>
  <c r="X134" i="3" s="1"/>
  <c r="Q102" i="3"/>
  <c r="X112" i="3"/>
  <c r="Q38" i="3"/>
  <c r="X38" i="3" s="1"/>
  <c r="X40" i="3"/>
  <c r="Q114" i="3"/>
  <c r="X114" i="3" s="1"/>
  <c r="X119" i="3"/>
  <c r="Q147" i="3"/>
  <c r="X148" i="3"/>
  <c r="Q99" i="3"/>
  <c r="X99" i="3" s="1"/>
  <c r="X100" i="3"/>
  <c r="Q149" i="3"/>
  <c r="X149" i="3" s="1"/>
  <c r="X150" i="3"/>
  <c r="Q131" i="3"/>
  <c r="X131" i="3" s="1"/>
  <c r="X132" i="3"/>
  <c r="Q142" i="3"/>
  <c r="X142" i="3" s="1"/>
  <c r="X143" i="3"/>
  <c r="Q137" i="3"/>
  <c r="X137" i="3" s="1"/>
  <c r="X138" i="3"/>
  <c r="Q120" i="3"/>
  <c r="X120" i="3" s="1"/>
  <c r="X121" i="3"/>
  <c r="Q139" i="3"/>
  <c r="X139" i="3" s="1"/>
  <c r="X141" i="3"/>
  <c r="Q52" i="3"/>
  <c r="X52" i="3" s="1"/>
  <c r="X65" i="3"/>
  <c r="Q113" i="3"/>
  <c r="X113" i="3" s="1"/>
  <c r="X118" i="3"/>
  <c r="Q39" i="3"/>
  <c r="X39" i="3" s="1"/>
  <c r="X41" i="3"/>
  <c r="R194" i="1"/>
  <c r="X194" i="1" s="1"/>
  <c r="X195" i="1"/>
  <c r="X165" i="1"/>
  <c r="Q101" i="3"/>
  <c r="X101" i="3" s="1"/>
  <c r="Q88" i="3"/>
  <c r="X88" i="3" s="1"/>
  <c r="Q76" i="3"/>
  <c r="X76" i="3" s="1"/>
  <c r="Q122" i="3"/>
  <c r="Q81" i="3"/>
  <c r="X81" i="3" s="1"/>
  <c r="Q21" i="3"/>
  <c r="X21" i="3" s="1"/>
  <c r="K205" i="1"/>
  <c r="H207" i="1"/>
  <c r="K123" i="1"/>
  <c r="K96" i="1"/>
  <c r="K77" i="1"/>
  <c r="K50" i="1"/>
  <c r="H204" i="1"/>
  <c r="K15" i="1"/>
  <c r="R96" i="1"/>
  <c r="X96" i="1" s="1"/>
  <c r="X97" i="1"/>
  <c r="R186" i="1"/>
  <c r="X186" i="1" s="1"/>
  <c r="X187" i="1"/>
  <c r="R77" i="1"/>
  <c r="X77" i="1" s="1"/>
  <c r="X78" i="1"/>
  <c r="R50" i="1"/>
  <c r="X50" i="1" s="1"/>
  <c r="X51" i="1"/>
  <c r="X52" i="1"/>
  <c r="R205" i="1"/>
  <c r="R15" i="1"/>
  <c r="X16" i="1"/>
  <c r="R178" i="1"/>
  <c r="X178" i="1" s="1"/>
  <c r="X179" i="1"/>
  <c r="R133" i="1"/>
  <c r="X133" i="1" s="1"/>
  <c r="X134" i="1"/>
  <c r="R123" i="1"/>
  <c r="X123" i="1" s="1"/>
  <c r="X124" i="1"/>
  <c r="Q133" i="3" l="1"/>
  <c r="X133" i="3" s="1"/>
  <c r="Q146" i="3"/>
  <c r="X146" i="3" s="1"/>
  <c r="X147" i="3"/>
  <c r="X22" i="3"/>
  <c r="Q98" i="3"/>
  <c r="X98" i="3" s="1"/>
  <c r="X102" i="3"/>
  <c r="Q97" i="3"/>
  <c r="X97" i="3" s="1"/>
  <c r="X122" i="3"/>
  <c r="X205" i="1"/>
  <c r="K204" i="1"/>
  <c r="H206" i="1"/>
  <c r="X15" i="1"/>
  <c r="R204" i="1"/>
  <c r="Q152" i="3" l="1"/>
  <c r="X152" i="3" s="1"/>
  <c r="Q153" i="3"/>
  <c r="X204" i="1"/>
  <c r="R206" i="1"/>
  <c r="Q92" i="1"/>
  <c r="P51" i="3" s="1"/>
  <c r="M92" i="1"/>
  <c r="L51" i="3" s="1"/>
  <c r="Q81" i="1"/>
  <c r="P40" i="3" s="1"/>
  <c r="M81" i="1"/>
  <c r="L40" i="3" s="1"/>
  <c r="X153" i="3" l="1"/>
  <c r="R207" i="1"/>
  <c r="Q143" i="1"/>
  <c r="M143" i="1"/>
  <c r="P16" i="1" l="1"/>
  <c r="O16" i="1"/>
  <c r="D151" i="3"/>
  <c r="J151" i="3" s="1"/>
  <c r="Q138" i="1" l="1"/>
  <c r="P89" i="3" s="1"/>
  <c r="M138" i="1"/>
  <c r="L89" i="3" s="1"/>
  <c r="Q56" i="1"/>
  <c r="P25" i="3" s="1"/>
  <c r="M56" i="1"/>
  <c r="L25" i="3" s="1"/>
  <c r="Q173" i="1" l="1"/>
  <c r="M173" i="1"/>
  <c r="Q32" i="1"/>
  <c r="P85" i="3" s="1"/>
  <c r="M32" i="1"/>
  <c r="L85" i="3" s="1"/>
  <c r="Q146" i="1" l="1"/>
  <c r="P107" i="3" s="1"/>
  <c r="M146" i="1"/>
  <c r="L107" i="3" s="1"/>
  <c r="P134" i="1" l="1"/>
  <c r="O134" i="1"/>
  <c r="D108" i="3"/>
  <c r="W108" i="3" l="1"/>
  <c r="Q142" i="1"/>
  <c r="P93" i="3" s="1"/>
  <c r="M142" i="1"/>
  <c r="L93" i="3" s="1"/>
  <c r="Q140" i="1"/>
  <c r="P91" i="3" s="1"/>
  <c r="M140" i="1"/>
  <c r="L91" i="3" s="1"/>
  <c r="Q172" i="1" l="1"/>
  <c r="P106" i="3" s="1"/>
  <c r="M172" i="1"/>
  <c r="L106" i="3" s="1"/>
  <c r="Q126" i="1"/>
  <c r="P30" i="3" s="1"/>
  <c r="M126" i="1"/>
  <c r="L30" i="3" s="1"/>
  <c r="Q79" i="1"/>
  <c r="P79" i="1"/>
  <c r="O79" i="1"/>
  <c r="N79" i="1"/>
  <c r="M79" i="1"/>
  <c r="D88" i="1"/>
  <c r="P51" i="1"/>
  <c r="O51" i="1"/>
  <c r="D71" i="1"/>
  <c r="C71" i="1"/>
  <c r="Q58" i="1"/>
  <c r="P27" i="3" s="1"/>
  <c r="M58" i="1"/>
  <c r="L27" i="3" s="1"/>
  <c r="Q57" i="1"/>
  <c r="P26" i="3" s="1"/>
  <c r="M57" i="1"/>
  <c r="L26" i="3" s="1"/>
  <c r="D47" i="3" l="1"/>
  <c r="J47" i="3" s="1"/>
  <c r="Q44" i="1"/>
  <c r="P135" i="3" s="1"/>
  <c r="P134" i="3" s="1"/>
  <c r="M44" i="1"/>
  <c r="L135" i="3" s="1"/>
  <c r="L134" i="3" s="1"/>
  <c r="L133" i="3" s="1"/>
  <c r="C157" i="1" l="1"/>
  <c r="D157" i="1"/>
  <c r="B157" i="1"/>
  <c r="Q145" i="1" l="1"/>
  <c r="M145" i="1"/>
  <c r="C158" i="1" l="1"/>
  <c r="D158" i="1"/>
  <c r="B158" i="1"/>
  <c r="D117" i="3" l="1"/>
  <c r="J117" i="3" s="1"/>
  <c r="C36" i="1"/>
  <c r="D36" i="1"/>
  <c r="D37" i="1"/>
  <c r="B37" i="1"/>
  <c r="B36" i="1"/>
  <c r="D116" i="3" l="1"/>
  <c r="J116" i="3" s="1"/>
  <c r="Q171" i="1" l="1"/>
  <c r="P105" i="3" s="1"/>
  <c r="M171" i="1"/>
  <c r="L105" i="3" s="1"/>
  <c r="Q167" i="1" l="1"/>
  <c r="P94" i="3" s="1"/>
  <c r="M167" i="1"/>
  <c r="L94" i="3" s="1"/>
  <c r="Q144" i="1"/>
  <c r="P96" i="3" s="1"/>
  <c r="M144" i="1"/>
  <c r="L96" i="3" s="1"/>
  <c r="Q55" i="1" l="1"/>
  <c r="P24" i="3" s="1"/>
  <c r="P22" i="3" s="1"/>
  <c r="P153" i="3" s="1"/>
  <c r="Q54" i="1"/>
  <c r="P23" i="3" s="1"/>
  <c r="M55" i="1"/>
  <c r="L24" i="3" s="1"/>
  <c r="L22" i="3" s="1"/>
  <c r="L153" i="3" s="1"/>
  <c r="M54" i="1"/>
  <c r="L23" i="3" s="1"/>
  <c r="Q182" i="1" l="1"/>
  <c r="P129" i="3" s="1"/>
  <c r="N182" i="1"/>
  <c r="Q94" i="1" l="1"/>
  <c r="Q106" i="1"/>
  <c r="P60" i="3" s="1"/>
  <c r="M106" i="1"/>
  <c r="L60" i="3" s="1"/>
  <c r="Q64" i="1"/>
  <c r="P34" i="3" s="1"/>
  <c r="P21" i="3" s="1"/>
  <c r="M64" i="1"/>
  <c r="L34" i="3" s="1"/>
  <c r="L21" i="3" s="1"/>
  <c r="Q31" i="1"/>
  <c r="M31" i="1"/>
  <c r="Q115" i="1"/>
  <c r="P74" i="3" s="1"/>
  <c r="M115" i="1"/>
  <c r="L74" i="3" s="1"/>
  <c r="M94" i="1"/>
  <c r="L124" i="3" s="1"/>
  <c r="M135" i="1" l="1"/>
  <c r="N135" i="1"/>
  <c r="O135" i="1"/>
  <c r="P135" i="1"/>
  <c r="Q135" i="1"/>
  <c r="D119" i="3"/>
  <c r="W118" i="3"/>
  <c r="D152" i="1"/>
  <c r="B152" i="1"/>
  <c r="W114" i="3" l="1"/>
  <c r="W119" i="3"/>
  <c r="D114" i="3"/>
  <c r="D118" i="3"/>
  <c r="P78" i="1"/>
  <c r="O78" i="1"/>
  <c r="N78" i="1"/>
  <c r="D93" i="1"/>
  <c r="C93" i="1"/>
  <c r="B93" i="1"/>
  <c r="D174" i="1"/>
  <c r="C174" i="1"/>
  <c r="B174" i="1"/>
  <c r="D148" i="1"/>
  <c r="C148" i="1"/>
  <c r="B148" i="1"/>
  <c r="P165" i="1" l="1"/>
  <c r="O165" i="1"/>
  <c r="N165" i="1"/>
  <c r="Q170" i="1"/>
  <c r="P104" i="3" s="1"/>
  <c r="M170" i="1"/>
  <c r="L104" i="3" s="1"/>
  <c r="D109" i="3"/>
  <c r="W109" i="3" l="1"/>
  <c r="Q168" i="1" l="1"/>
  <c r="P95" i="3" s="1"/>
  <c r="N42" i="1" l="1"/>
  <c r="N16" i="1" l="1"/>
  <c r="M187" i="1"/>
  <c r="N179" i="1"/>
  <c r="N200" i="1" l="1"/>
  <c r="Q159" i="1"/>
  <c r="P141" i="3" s="1"/>
  <c r="P139" i="3" s="1"/>
  <c r="P133" i="3" s="1"/>
  <c r="N156" i="1"/>
  <c r="Q150" i="1"/>
  <c r="M150" i="1"/>
  <c r="Q127" i="1"/>
  <c r="P77" i="3" s="1"/>
  <c r="P76" i="3" s="1"/>
  <c r="M127" i="1"/>
  <c r="M124" i="1" l="1"/>
  <c r="L77" i="3"/>
  <c r="L76" i="3" s="1"/>
  <c r="N134" i="1"/>
  <c r="M129" i="3"/>
  <c r="M122" i="3" s="1"/>
  <c r="M97" i="3" s="1"/>
  <c r="Y135" i="1"/>
  <c r="Q52" i="1"/>
  <c r="P52" i="1"/>
  <c r="O52" i="1"/>
  <c r="N52" i="1"/>
  <c r="N75" i="1"/>
  <c r="Q70" i="1"/>
  <c r="P84" i="3" s="1"/>
  <c r="P81" i="3" s="1"/>
  <c r="M70" i="1"/>
  <c r="L84" i="3" s="1"/>
  <c r="L81" i="3" s="1"/>
  <c r="N51" i="1" l="1"/>
  <c r="M141" i="3"/>
  <c r="M139" i="3" s="1"/>
  <c r="M133" i="3" s="1"/>
  <c r="M152" i="3" s="1"/>
  <c r="D112" i="3"/>
  <c r="D102" i="3" l="1"/>
  <c r="Q72" i="1"/>
  <c r="P111" i="3" s="1"/>
  <c r="M72" i="1"/>
  <c r="L111" i="3" s="1"/>
  <c r="W112" i="3" l="1"/>
  <c r="D98" i="3"/>
  <c r="Q51" i="1"/>
  <c r="M51" i="1"/>
  <c r="Q139" i="1"/>
  <c r="P90" i="3" s="1"/>
  <c r="P88" i="3" s="1"/>
  <c r="M139" i="1"/>
  <c r="L90" i="3" s="1"/>
  <c r="L88" i="3" s="1"/>
  <c r="W98" i="3" l="1"/>
  <c r="W102" i="3"/>
  <c r="W111" i="3"/>
  <c r="D111" i="3"/>
  <c r="Q169" i="1"/>
  <c r="P103" i="3" s="1"/>
  <c r="P101" i="3" s="1"/>
  <c r="M169" i="1"/>
  <c r="L103" i="3" s="1"/>
  <c r="L101" i="3" s="1"/>
  <c r="Q38" i="1" l="1"/>
  <c r="P121" i="3" s="1"/>
  <c r="P120" i="3" s="1"/>
  <c r="M38" i="1"/>
  <c r="L121" i="3" s="1"/>
  <c r="L120" i="3" s="1"/>
  <c r="M165" i="1" l="1"/>
  <c r="D132" i="3" l="1"/>
  <c r="W131" i="3" l="1"/>
  <c r="W132" i="3"/>
  <c r="D131" i="3"/>
  <c r="D100" i="1"/>
  <c r="D172" i="1" l="1"/>
  <c r="B172" i="1"/>
  <c r="D106" i="3"/>
  <c r="W106" i="3"/>
  <c r="M52" i="1" l="1"/>
  <c r="W24" i="3"/>
  <c r="D24" i="3"/>
  <c r="J24" i="3" s="1"/>
  <c r="D37" i="3" l="1"/>
  <c r="J37" i="3" s="1"/>
  <c r="Q40" i="1"/>
  <c r="M40" i="1"/>
  <c r="Q16" i="1" l="1"/>
  <c r="M16" i="1"/>
  <c r="D117" i="1"/>
  <c r="N97" i="1"/>
  <c r="O97" i="1"/>
  <c r="P97" i="1"/>
  <c r="M195" i="1"/>
  <c r="N195" i="1"/>
  <c r="O195" i="1"/>
  <c r="P195" i="1"/>
  <c r="Q195" i="1"/>
  <c r="N187" i="1"/>
  <c r="O187" i="1"/>
  <c r="P187" i="1"/>
  <c r="Q187" i="1"/>
  <c r="M179" i="1"/>
  <c r="O179" i="1"/>
  <c r="P179" i="1"/>
  <c r="Q179" i="1"/>
  <c r="N124" i="1"/>
  <c r="O124" i="1"/>
  <c r="P124" i="1"/>
  <c r="M119" i="1"/>
  <c r="N119" i="1"/>
  <c r="O119" i="1"/>
  <c r="P119" i="1"/>
  <c r="Q119" i="1"/>
  <c r="N77" i="1"/>
  <c r="O77" i="1"/>
  <c r="P77" i="1"/>
  <c r="M205" i="1"/>
  <c r="M207" i="1" s="1"/>
  <c r="N205" i="1"/>
  <c r="N207" i="1" s="1"/>
  <c r="O205" i="1"/>
  <c r="O207" i="1" s="1"/>
  <c r="P205" i="1"/>
  <c r="P207" i="1" s="1"/>
  <c r="Q205" i="1"/>
  <c r="Q207" i="1" s="1"/>
  <c r="Q160" i="1" l="1"/>
  <c r="P150" i="3" s="1"/>
  <c r="P149" i="3" s="1"/>
  <c r="P146" i="3" s="1"/>
  <c r="M160" i="1"/>
  <c r="L150" i="3" s="1"/>
  <c r="L149" i="3" s="1"/>
  <c r="L146" i="3" s="1"/>
  <c r="Q155" i="1" l="1"/>
  <c r="M155" i="1"/>
  <c r="M134" i="1" l="1"/>
  <c r="L127" i="3"/>
  <c r="L122" i="3" s="1"/>
  <c r="L97" i="3" s="1"/>
  <c r="Q134" i="1"/>
  <c r="P127" i="3"/>
  <c r="Q124" i="1"/>
  <c r="D160" i="1" l="1"/>
  <c r="Q85" i="1" l="1"/>
  <c r="M85" i="1"/>
  <c r="M78" i="1" l="1"/>
  <c r="L44" i="3"/>
  <c r="L38" i="3" s="1"/>
  <c r="Q78" i="1"/>
  <c r="P44" i="3"/>
  <c r="P38" i="3" s="1"/>
  <c r="Q77" i="1"/>
  <c r="M77" i="1"/>
  <c r="C132" i="1"/>
  <c r="D132" i="1"/>
  <c r="B132" i="1"/>
  <c r="D145" i="3" l="1"/>
  <c r="J145" i="3" s="1"/>
  <c r="Q176" i="1"/>
  <c r="W23" i="3"/>
  <c r="W125" i="3"/>
  <c r="W126" i="3"/>
  <c r="W95" i="3"/>
  <c r="W104" i="3"/>
  <c r="W105" i="3"/>
  <c r="W90" i="3"/>
  <c r="W91" i="3"/>
  <c r="W110" i="3"/>
  <c r="W77" i="3"/>
  <c r="W61" i="3"/>
  <c r="W60" i="3"/>
  <c r="W40" i="3"/>
  <c r="W42" i="3"/>
  <c r="W44" i="3"/>
  <c r="W51" i="3"/>
  <c r="W27" i="3"/>
  <c r="W28" i="3"/>
  <c r="W29" i="3"/>
  <c r="W31" i="3"/>
  <c r="W34" i="3"/>
  <c r="W85" i="3"/>
  <c r="W86" i="3"/>
  <c r="W87" i="3"/>
  <c r="W135" i="3"/>
  <c r="W136" i="3"/>
  <c r="Q165" i="1" l="1"/>
  <c r="P124" i="3"/>
  <c r="P122" i="3" s="1"/>
  <c r="P97" i="3" s="1"/>
  <c r="W120" i="3"/>
  <c r="W121" i="3"/>
  <c r="W113" i="3"/>
  <c r="W93" i="3"/>
  <c r="W89" i="3"/>
  <c r="W96" i="3"/>
  <c r="W19" i="3"/>
  <c r="W38" i="3"/>
  <c r="W78" i="3"/>
  <c r="W127" i="3"/>
  <c r="W79" i="3"/>
  <c r="W107" i="3"/>
  <c r="W103" i="3"/>
  <c r="W75" i="3"/>
  <c r="W94" i="3"/>
  <c r="W134" i="3"/>
  <c r="W74" i="3"/>
  <c r="W81" i="3" l="1"/>
  <c r="W84" i="3"/>
  <c r="W139" i="3"/>
  <c r="W141" i="3"/>
  <c r="W150" i="3"/>
  <c r="W22" i="3"/>
  <c r="W26" i="3"/>
  <c r="W18" i="3"/>
  <c r="W101" i="3"/>
  <c r="W129" i="3"/>
  <c r="W153" i="3"/>
  <c r="X207" i="1" s="1"/>
  <c r="W88" i="3"/>
  <c r="W76" i="3"/>
  <c r="W133" i="3"/>
  <c r="D140" i="3"/>
  <c r="J140" i="3" s="1"/>
  <c r="D199" i="1"/>
  <c r="B199" i="1"/>
  <c r="W146" i="3" l="1"/>
  <c r="W149" i="3"/>
  <c r="W124" i="3" l="1"/>
  <c r="C149" i="1"/>
  <c r="D149" i="1"/>
  <c r="B149" i="1"/>
  <c r="W97" i="3" l="1"/>
  <c r="W122" i="3"/>
  <c r="D110" i="3"/>
  <c r="W25" i="3" l="1"/>
  <c r="D42" i="1"/>
  <c r="D182" i="1"/>
  <c r="D156" i="1"/>
  <c r="C128" i="1"/>
  <c r="D128" i="1"/>
  <c r="B128" i="1"/>
  <c r="D121" i="1"/>
  <c r="D66" i="1"/>
  <c r="D64" i="1"/>
  <c r="D144" i="3"/>
  <c r="J144" i="3" s="1"/>
  <c r="D148" i="3"/>
  <c r="M194" i="1"/>
  <c r="N194" i="1"/>
  <c r="O194" i="1"/>
  <c r="P194" i="1"/>
  <c r="Q194" i="1"/>
  <c r="D100" i="3"/>
  <c r="D125" i="3"/>
  <c r="D126" i="3"/>
  <c r="M186" i="1"/>
  <c r="N186" i="1"/>
  <c r="O186" i="1"/>
  <c r="P186" i="1"/>
  <c r="Q186" i="1"/>
  <c r="M184" i="1"/>
  <c r="M183" i="1" s="1"/>
  <c r="N184" i="1"/>
  <c r="N183" i="1" s="1"/>
  <c r="O184" i="1"/>
  <c r="O183" i="1" s="1"/>
  <c r="P184" i="1"/>
  <c r="P183" i="1" s="1"/>
  <c r="Q184" i="1"/>
  <c r="Q183" i="1" s="1"/>
  <c r="M178" i="1"/>
  <c r="N178" i="1"/>
  <c r="O178" i="1"/>
  <c r="P178" i="1"/>
  <c r="Q178" i="1"/>
  <c r="D95" i="3"/>
  <c r="J95" i="3" s="1"/>
  <c r="D104" i="3"/>
  <c r="D105" i="3"/>
  <c r="M164" i="1"/>
  <c r="O164" i="1"/>
  <c r="P164" i="1"/>
  <c r="Q164" i="1"/>
  <c r="M162" i="1"/>
  <c r="M161" i="1" s="1"/>
  <c r="N162" i="1"/>
  <c r="N161" i="1" s="1"/>
  <c r="O162" i="1"/>
  <c r="O161" i="1" s="1"/>
  <c r="P162" i="1"/>
  <c r="P161" i="1" s="1"/>
  <c r="Q162" i="1"/>
  <c r="Q161" i="1" s="1"/>
  <c r="D89" i="3"/>
  <c r="D91" i="3"/>
  <c r="J91" i="3" s="1"/>
  <c r="M133" i="1"/>
  <c r="N133" i="1"/>
  <c r="O133" i="1"/>
  <c r="P133" i="1"/>
  <c r="Q133" i="1"/>
  <c r="D30" i="3"/>
  <c r="J30" i="3" s="1"/>
  <c r="D77" i="3"/>
  <c r="J77" i="3" s="1"/>
  <c r="M123" i="1"/>
  <c r="N123" i="1"/>
  <c r="O123" i="1"/>
  <c r="P123" i="1"/>
  <c r="D61" i="3"/>
  <c r="D62" i="3"/>
  <c r="J62" i="3" s="1"/>
  <c r="M118" i="1"/>
  <c r="N118" i="1"/>
  <c r="O118" i="1"/>
  <c r="P118" i="1"/>
  <c r="Q118" i="1"/>
  <c r="D53" i="3"/>
  <c r="J53" i="3" s="1"/>
  <c r="D54" i="3"/>
  <c r="J54" i="3" s="1"/>
  <c r="D56" i="3"/>
  <c r="J56" i="3" s="1"/>
  <c r="D58" i="3"/>
  <c r="J58" i="3" s="1"/>
  <c r="D59" i="3"/>
  <c r="J59" i="3" s="1"/>
  <c r="D60" i="3"/>
  <c r="J60" i="3" s="1"/>
  <c r="D66" i="3"/>
  <c r="J66" i="3" s="1"/>
  <c r="D68" i="3"/>
  <c r="J68" i="3" s="1"/>
  <c r="D69" i="3"/>
  <c r="J69" i="3" s="1"/>
  <c r="D70" i="3"/>
  <c r="J70" i="3" s="1"/>
  <c r="D71" i="3"/>
  <c r="J71" i="3" s="1"/>
  <c r="D72" i="3"/>
  <c r="J72" i="3" s="1"/>
  <c r="N96" i="1"/>
  <c r="O96" i="1"/>
  <c r="P96" i="1"/>
  <c r="D40" i="3"/>
  <c r="J40" i="3" s="1"/>
  <c r="D42" i="3"/>
  <c r="J42" i="3" s="1"/>
  <c r="D43" i="3"/>
  <c r="J43" i="3" s="1"/>
  <c r="D44" i="3"/>
  <c r="J44" i="3" s="1"/>
  <c r="D45" i="3"/>
  <c r="J45" i="3" s="1"/>
  <c r="D46" i="3"/>
  <c r="J46" i="3" s="1"/>
  <c r="D48" i="3"/>
  <c r="J48" i="3" s="1"/>
  <c r="D50" i="3"/>
  <c r="J50" i="3" s="1"/>
  <c r="D51" i="3"/>
  <c r="J51" i="3" s="1"/>
  <c r="M50" i="1"/>
  <c r="N50" i="1"/>
  <c r="O50" i="1"/>
  <c r="P50" i="1"/>
  <c r="Q50" i="1"/>
  <c r="D23" i="3"/>
  <c r="D27" i="3"/>
  <c r="J27" i="3" s="1"/>
  <c r="D28" i="3"/>
  <c r="J28" i="3" s="1"/>
  <c r="D29" i="3"/>
  <c r="J29" i="3" s="1"/>
  <c r="D31" i="3"/>
  <c r="J31" i="3" s="1"/>
  <c r="D32" i="3"/>
  <c r="J32" i="3" s="1"/>
  <c r="D33" i="3"/>
  <c r="J33" i="3" s="1"/>
  <c r="D34" i="3"/>
  <c r="J34" i="3" s="1"/>
  <c r="D35" i="3"/>
  <c r="J35" i="3" s="1"/>
  <c r="D36" i="3"/>
  <c r="J36" i="3" s="1"/>
  <c r="D20" i="3"/>
  <c r="J20" i="3" s="1"/>
  <c r="D63" i="3"/>
  <c r="J63" i="3" s="1"/>
  <c r="D64" i="3"/>
  <c r="J64" i="3" s="1"/>
  <c r="D82" i="3"/>
  <c r="J82" i="3" s="1"/>
  <c r="D83" i="3"/>
  <c r="J83" i="3" s="1"/>
  <c r="D85" i="3"/>
  <c r="J85" i="3" s="1"/>
  <c r="D86" i="3"/>
  <c r="J86" i="3" s="1"/>
  <c r="D87" i="3"/>
  <c r="J87" i="3" s="1"/>
  <c r="D115" i="3"/>
  <c r="D121" i="3"/>
  <c r="D128" i="3"/>
  <c r="J128" i="3" s="1"/>
  <c r="D135" i="3"/>
  <c r="J135" i="3" s="1"/>
  <c r="D136" i="3"/>
  <c r="J136" i="3" s="1"/>
  <c r="D143" i="3"/>
  <c r="M15" i="1"/>
  <c r="O15" i="1"/>
  <c r="P15" i="1"/>
  <c r="Q15" i="1"/>
  <c r="N15" i="1"/>
  <c r="J23" i="3" l="1"/>
  <c r="D21" i="3"/>
  <c r="D113" i="3"/>
  <c r="J113" i="3" s="1"/>
  <c r="J115" i="3"/>
  <c r="D99" i="3"/>
  <c r="J99" i="3" s="1"/>
  <c r="J100" i="3"/>
  <c r="D147" i="3"/>
  <c r="J147" i="3" s="1"/>
  <c r="J148" i="3"/>
  <c r="D142" i="3"/>
  <c r="J142" i="3" s="1"/>
  <c r="J143" i="3"/>
  <c r="D120" i="3"/>
  <c r="J120" i="3" s="1"/>
  <c r="J121" i="3"/>
  <c r="D49" i="3"/>
  <c r="J49" i="3" s="1"/>
  <c r="D92" i="3"/>
  <c r="J92" i="3" s="1"/>
  <c r="D138" i="3"/>
  <c r="D93" i="3"/>
  <c r="J93" i="3" s="1"/>
  <c r="D129" i="3"/>
  <c r="D96" i="3"/>
  <c r="J96" i="3" s="1"/>
  <c r="P204" i="1"/>
  <c r="P206" i="1" s="1"/>
  <c r="D130" i="3"/>
  <c r="J130" i="3" s="1"/>
  <c r="O204" i="1"/>
  <c r="O206" i="1" s="1"/>
  <c r="D150" i="3"/>
  <c r="D19" i="3"/>
  <c r="D90" i="3"/>
  <c r="J90" i="3" s="1"/>
  <c r="D38" i="3"/>
  <c r="J38" i="3" s="1"/>
  <c r="D26" i="3"/>
  <c r="D94" i="3"/>
  <c r="J94" i="3" s="1"/>
  <c r="D127" i="3"/>
  <c r="D41" i="3"/>
  <c r="J41" i="3" s="1"/>
  <c r="D67" i="3"/>
  <c r="J67" i="3" s="1"/>
  <c r="D123" i="3"/>
  <c r="J123" i="3" s="1"/>
  <c r="Q123" i="1"/>
  <c r="D79" i="3"/>
  <c r="J79" i="3" s="1"/>
  <c r="D124" i="3"/>
  <c r="J124" i="3" s="1"/>
  <c r="D73" i="3"/>
  <c r="J73" i="3" s="1"/>
  <c r="D103" i="3"/>
  <c r="D141" i="3"/>
  <c r="D80" i="3"/>
  <c r="J80" i="3" s="1"/>
  <c r="D78" i="3"/>
  <c r="J78" i="3" s="1"/>
  <c r="D107" i="3"/>
  <c r="D134" i="3"/>
  <c r="J134" i="3" s="1"/>
  <c r="D75" i="3"/>
  <c r="J75" i="3" s="1"/>
  <c r="D84" i="3"/>
  <c r="D65" i="3"/>
  <c r="J65" i="3" s="1"/>
  <c r="D74" i="3"/>
  <c r="J74" i="3" s="1"/>
  <c r="D57" i="3"/>
  <c r="J57" i="3" s="1"/>
  <c r="D55" i="3"/>
  <c r="J55" i="3" s="1"/>
  <c r="Y184" i="1"/>
  <c r="Y183" i="1" s="1"/>
  <c r="Y162" i="1"/>
  <c r="Y161" i="1" s="1"/>
  <c r="W21" i="3" l="1"/>
  <c r="W30" i="3"/>
  <c r="D139" i="3"/>
  <c r="J139" i="3" s="1"/>
  <c r="D22" i="3"/>
  <c r="J22" i="3" s="1"/>
  <c r="J26" i="3"/>
  <c r="D149" i="3"/>
  <c r="J150" i="3"/>
  <c r="J21" i="3"/>
  <c r="J25" i="3"/>
  <c r="D81" i="3"/>
  <c r="J81" i="3" s="1"/>
  <c r="J84" i="3"/>
  <c r="D18" i="3"/>
  <c r="J18" i="3" s="1"/>
  <c r="J19" i="3"/>
  <c r="D137" i="3"/>
  <c r="J137" i="3" s="1"/>
  <c r="J138" i="3"/>
  <c r="Y16" i="1"/>
  <c r="Y15" i="1" s="1"/>
  <c r="Y134" i="1"/>
  <c r="D39" i="3"/>
  <c r="Y79" i="1"/>
  <c r="Y51" i="1"/>
  <c r="Y50" i="1" s="1"/>
  <c r="Y78" i="1"/>
  <c r="Y77" i="1" s="1"/>
  <c r="D101" i="3"/>
  <c r="Y52" i="1"/>
  <c r="D88" i="3"/>
  <c r="J88" i="3" s="1"/>
  <c r="D52" i="3"/>
  <c r="J52" i="3" s="1"/>
  <c r="Y195" i="1"/>
  <c r="Y187" i="1"/>
  <c r="Y179" i="1"/>
  <c r="Y124" i="1"/>
  <c r="Y119" i="1"/>
  <c r="D122" i="3"/>
  <c r="J122" i="3" s="1"/>
  <c r="D133" i="3"/>
  <c r="J133" i="3" s="1"/>
  <c r="D76" i="3"/>
  <c r="J76" i="3" s="1"/>
  <c r="N164" i="1"/>
  <c r="N204" i="1" s="1"/>
  <c r="N206" i="1" s="1"/>
  <c r="D153" i="3" l="1"/>
  <c r="J39" i="3"/>
  <c r="D146" i="3"/>
  <c r="J146" i="3" s="1"/>
  <c r="J149" i="3"/>
  <c r="Y205" i="1"/>
  <c r="Y207" i="1" s="1"/>
  <c r="D97" i="3"/>
  <c r="Y165" i="1"/>
  <c r="J153" i="3" l="1"/>
  <c r="K207" i="1" s="1"/>
  <c r="E207" i="1"/>
  <c r="D152" i="3"/>
  <c r="J97" i="3"/>
  <c r="J152" i="3" l="1"/>
  <c r="K206" i="1" s="1"/>
  <c r="E206" i="1"/>
  <c r="Q99" i="1"/>
  <c r="P53" i="3" s="1"/>
  <c r="P52" i="3" s="1"/>
  <c r="P152" i="3" s="1"/>
  <c r="M99" i="1"/>
  <c r="M97" i="1" l="1"/>
  <c r="L53" i="3"/>
  <c r="L52" i="3" s="1"/>
  <c r="L152" i="3" s="1"/>
  <c r="M96" i="1"/>
  <c r="M204" i="1" s="1"/>
  <c r="Q97" i="1"/>
  <c r="Q96" i="1" s="1"/>
  <c r="Q204" i="1" s="1"/>
  <c r="Q206" i="1" s="1"/>
  <c r="M206" i="1" l="1"/>
  <c r="Y178" i="1"/>
  <c r="Y194" i="1"/>
  <c r="Y97" i="1" l="1"/>
  <c r="Y96" i="1" s="1"/>
  <c r="Y186" i="1"/>
  <c r="Y164" i="1"/>
  <c r="Y133" i="1"/>
  <c r="Y123" i="1"/>
  <c r="Y118" i="1"/>
  <c r="W152" i="3" l="1"/>
  <c r="X206" i="1" s="1"/>
  <c r="W52" i="3"/>
  <c r="Y204" i="1"/>
  <c r="Y206" i="1" s="1"/>
  <c r="C45" i="1" l="1"/>
  <c r="C198" i="1" l="1"/>
  <c r="D198" i="1"/>
  <c r="B198" i="1"/>
  <c r="C155" i="1"/>
  <c r="D155" i="1"/>
  <c r="B155" i="1"/>
  <c r="C102" i="1" l="1"/>
  <c r="D102" i="1"/>
  <c r="B102" i="1"/>
  <c r="C26" i="1"/>
  <c r="D26" i="1"/>
  <c r="B26" i="1"/>
  <c r="C69" i="1"/>
  <c r="D69" i="1"/>
  <c r="B69" i="1"/>
  <c r="B89" i="1"/>
  <c r="C89" i="1"/>
  <c r="D89" i="1"/>
  <c r="D90" i="1"/>
  <c r="B108" i="1"/>
  <c r="C108" i="1"/>
  <c r="D108" i="1"/>
  <c r="B109" i="1"/>
  <c r="C109" i="1"/>
  <c r="D109" i="1"/>
  <c r="C105" i="1"/>
  <c r="D105" i="1"/>
  <c r="B105" i="1"/>
  <c r="C182" i="1"/>
  <c r="B182" i="1"/>
  <c r="C181" i="1"/>
  <c r="D181" i="1"/>
  <c r="B181" i="1"/>
  <c r="D92" i="1"/>
  <c r="C92" i="1"/>
  <c r="B92" i="1"/>
  <c r="C91" i="1"/>
  <c r="D91" i="1"/>
  <c r="B91" i="1"/>
  <c r="C42" i="1"/>
  <c r="B42" i="1"/>
  <c r="C117" i="1"/>
  <c r="B117" i="1"/>
  <c r="C115" i="1"/>
  <c r="D115" i="1"/>
  <c r="C116" i="1"/>
  <c r="D116" i="1"/>
  <c r="B116" i="1"/>
  <c r="B115" i="1"/>
  <c r="C114" i="1"/>
  <c r="D114" i="1"/>
  <c r="B114" i="1"/>
  <c r="C113" i="1"/>
  <c r="D113" i="1"/>
  <c r="B113" i="1"/>
  <c r="C112" i="1"/>
  <c r="D112" i="1"/>
  <c r="B112" i="1"/>
  <c r="C111" i="1"/>
  <c r="D111" i="1"/>
  <c r="B111" i="1"/>
  <c r="C110" i="1"/>
  <c r="D110" i="1"/>
  <c r="B110" i="1"/>
  <c r="C107" i="1"/>
  <c r="D107" i="1"/>
  <c r="B107" i="1"/>
  <c r="C106" i="1"/>
  <c r="D106" i="1"/>
  <c r="B106" i="1"/>
  <c r="C104" i="1"/>
  <c r="D104" i="1"/>
  <c r="B104" i="1"/>
  <c r="C103" i="1"/>
  <c r="D103" i="1"/>
  <c r="B103" i="1"/>
  <c r="C101" i="1"/>
  <c r="D101" i="1"/>
  <c r="B101" i="1"/>
  <c r="C100" i="1"/>
  <c r="B100" i="1"/>
  <c r="C99" i="1"/>
  <c r="D99" i="1"/>
  <c r="B99" i="1"/>
  <c r="C94" i="1"/>
  <c r="D94" i="1"/>
  <c r="B94" i="1"/>
  <c r="C87" i="1"/>
  <c r="D87" i="1"/>
  <c r="B87" i="1"/>
  <c r="C85" i="1"/>
  <c r="D85" i="1"/>
  <c r="B85" i="1"/>
  <c r="C83" i="1"/>
  <c r="D83" i="1"/>
  <c r="B83" i="1"/>
  <c r="C81" i="1"/>
  <c r="D81" i="1"/>
  <c r="B81" i="1"/>
  <c r="C75" i="1"/>
  <c r="D75" i="1"/>
  <c r="B75" i="1"/>
  <c r="C74" i="1"/>
  <c r="D74" i="1"/>
  <c r="B74" i="1"/>
  <c r="C70" i="1"/>
  <c r="D70" i="1"/>
  <c r="B70" i="1"/>
  <c r="D68" i="1"/>
  <c r="C68" i="1"/>
  <c r="B68" i="1"/>
  <c r="C64" i="1"/>
  <c r="C65" i="1"/>
  <c r="D65" i="1"/>
  <c r="B65" i="1"/>
  <c r="B64" i="1"/>
  <c r="C63" i="1"/>
  <c r="D63" i="1"/>
  <c r="B63" i="1"/>
  <c r="C61" i="1"/>
  <c r="D61" i="1"/>
  <c r="B61" i="1"/>
  <c r="C60" i="1"/>
  <c r="D60" i="1"/>
  <c r="B60" i="1"/>
  <c r="C58" i="1"/>
  <c r="D58" i="1"/>
  <c r="B58" i="1"/>
  <c r="C56" i="1"/>
  <c r="D56" i="1"/>
  <c r="B56" i="1"/>
  <c r="C54" i="1"/>
  <c r="D54" i="1"/>
  <c r="B54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5" i="1"/>
  <c r="D35" i="1"/>
  <c r="B35" i="1"/>
  <c r="C24" i="1"/>
  <c r="D24" i="1"/>
  <c r="C25" i="1"/>
  <c r="D25" i="1"/>
  <c r="B25" i="1"/>
  <c r="B24" i="1"/>
  <c r="C27" i="1"/>
  <c r="D27" i="1"/>
  <c r="C28" i="1"/>
  <c r="D28" i="1"/>
  <c r="B28" i="1"/>
  <c r="B27" i="1"/>
  <c r="C34" i="1"/>
  <c r="D34" i="1"/>
  <c r="B34" i="1"/>
  <c r="C33" i="1"/>
  <c r="D33" i="1"/>
  <c r="B33" i="1"/>
  <c r="C32" i="1"/>
  <c r="D32" i="1"/>
  <c r="B32" i="1"/>
  <c r="C31" i="1"/>
  <c r="D31" i="1"/>
  <c r="B31" i="1"/>
  <c r="C30" i="1"/>
  <c r="D30" i="1"/>
  <c r="B30" i="1"/>
  <c r="C29" i="1"/>
  <c r="D29" i="1"/>
  <c r="B29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D122" i="1"/>
  <c r="C122" i="1"/>
  <c r="B122" i="1"/>
  <c r="C126" i="1"/>
  <c r="D126" i="1"/>
  <c r="B126" i="1"/>
  <c r="C127" i="1"/>
  <c r="D127" i="1"/>
  <c r="B127" i="1"/>
  <c r="C129" i="1"/>
  <c r="D129" i="1"/>
  <c r="C130" i="1"/>
  <c r="D130" i="1"/>
  <c r="B130" i="1"/>
  <c r="B129" i="1"/>
  <c r="C131" i="1"/>
  <c r="D131" i="1"/>
  <c r="B131" i="1"/>
  <c r="C137" i="1"/>
  <c r="D137" i="1"/>
  <c r="B137" i="1"/>
  <c r="C141" i="1"/>
  <c r="D141" i="1"/>
  <c r="B141" i="1"/>
  <c r="C140" i="1"/>
  <c r="D140" i="1"/>
  <c r="B140" i="1"/>
  <c r="C139" i="1"/>
  <c r="D139" i="1"/>
  <c r="B139" i="1"/>
  <c r="C138" i="1"/>
  <c r="D138" i="1"/>
  <c r="B138" i="1"/>
  <c r="C142" i="1"/>
  <c r="D142" i="1"/>
  <c r="B142" i="1"/>
  <c r="C143" i="1"/>
  <c r="D143" i="1"/>
  <c r="B143" i="1"/>
  <c r="C144" i="1"/>
  <c r="D144" i="1"/>
  <c r="B144" i="1"/>
  <c r="C145" i="1"/>
  <c r="D145" i="1"/>
  <c r="B145" i="1"/>
  <c r="C146" i="1"/>
  <c r="D146" i="1"/>
  <c r="B146" i="1"/>
  <c r="C154" i="1"/>
  <c r="D154" i="1"/>
  <c r="B154" i="1"/>
  <c r="C159" i="1"/>
  <c r="D159" i="1"/>
  <c r="B159" i="1"/>
  <c r="C160" i="1"/>
  <c r="B160" i="1"/>
  <c r="C167" i="1"/>
  <c r="D167" i="1"/>
  <c r="B167" i="1"/>
  <c r="C168" i="1"/>
  <c r="D168" i="1"/>
  <c r="B168" i="1"/>
  <c r="C169" i="1"/>
  <c r="D169" i="1"/>
  <c r="B169" i="1"/>
  <c r="C171" i="1"/>
  <c r="D171" i="1"/>
  <c r="B171" i="1"/>
  <c r="C170" i="1"/>
  <c r="D170" i="1"/>
  <c r="B170" i="1"/>
  <c r="C173" i="1"/>
  <c r="D173" i="1"/>
  <c r="B173" i="1"/>
  <c r="C176" i="1"/>
  <c r="D176" i="1"/>
  <c r="B176" i="1"/>
  <c r="C189" i="1"/>
  <c r="D189" i="1"/>
  <c r="B189" i="1"/>
  <c r="C190" i="1"/>
  <c r="D190" i="1"/>
  <c r="B190" i="1"/>
  <c r="C191" i="1"/>
  <c r="D191" i="1"/>
  <c r="B191" i="1"/>
  <c r="C192" i="1"/>
  <c r="D192" i="1"/>
  <c r="B192" i="1"/>
  <c r="C193" i="1"/>
  <c r="D193" i="1"/>
  <c r="B193" i="1"/>
  <c r="C197" i="1"/>
  <c r="D197" i="1"/>
  <c r="B197" i="1"/>
  <c r="C200" i="1"/>
  <c r="D200" i="1"/>
  <c r="B200" i="1"/>
  <c r="C201" i="1"/>
  <c r="D201" i="1"/>
  <c r="B201" i="1"/>
  <c r="C202" i="1"/>
  <c r="D202" i="1"/>
  <c r="B202" i="1"/>
  <c r="C203" i="1"/>
  <c r="D203" i="1"/>
  <c r="B203" i="1"/>
  <c r="C196" i="1"/>
  <c r="B196" i="1"/>
  <c r="C188" i="1"/>
  <c r="B188" i="1"/>
  <c r="C185" i="1"/>
  <c r="B185" i="1"/>
  <c r="C180" i="1"/>
  <c r="B180" i="1"/>
  <c r="C166" i="1"/>
  <c r="B166" i="1"/>
  <c r="C163" i="1"/>
  <c r="B163" i="1"/>
  <c r="C136" i="1"/>
  <c r="B136" i="1"/>
  <c r="C125" i="1"/>
  <c r="B125" i="1"/>
  <c r="C120" i="1"/>
  <c r="B120" i="1"/>
  <c r="C98" i="1"/>
  <c r="B98" i="1"/>
  <c r="C80" i="1"/>
  <c r="B80" i="1"/>
  <c r="C53" i="1"/>
  <c r="B53" i="1"/>
  <c r="C17" i="1"/>
  <c r="B17" i="1"/>
  <c r="D196" i="1"/>
  <c r="D188" i="1"/>
  <c r="D185" i="1"/>
  <c r="D180" i="1"/>
  <c r="D166" i="1"/>
  <c r="D163" i="1"/>
  <c r="D136" i="1"/>
  <c r="D125" i="1"/>
  <c r="D120" i="1"/>
  <c r="D98" i="1"/>
  <c r="D80" i="1"/>
  <c r="D53" i="1"/>
  <c r="D17" i="1"/>
</calcChain>
</file>

<file path=xl/sharedStrings.xml><?xml version="1.0" encoding="utf-8"?>
<sst xmlns="http://schemas.openxmlformats.org/spreadsheetml/2006/main" count="650" uniqueCount="475">
  <si>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</si>
  <si>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</si>
  <si>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</si>
  <si>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</si>
  <si>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</si>
  <si>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</si>
  <si>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</si>
  <si>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</si>
  <si>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</si>
  <si>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</si>
  <si>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</si>
  <si>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</si>
  <si>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</si>
  <si>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</si>
  <si>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</si>
  <si>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</si>
  <si>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</si>
  <si>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</si>
  <si>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</si>
  <si>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</si>
  <si>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</si>
  <si>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</si>
  <si>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</si>
  <si>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</si>
  <si>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</si>
  <si>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</si>
  <si>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</si>
  <si>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</si>
  <si>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</si>
  <si>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</si>
  <si>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</si>
  <si>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</si>
  <si>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</si>
  <si>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</si>
  <si>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</si>
  <si>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</si>
  <si>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</si>
  <si>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</si>
  <si>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</si>
  <si>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</si>
  <si>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</si>
  <si>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</si>
  <si>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</si>
  <si>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</si>
  <si>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</si>
  <si>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</si>
  <si>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</si>
  <si>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</si>
  <si>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</si>
  <si>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</si>
  <si>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</si>
  <si>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</si>
  <si>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</si>
  <si>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</si>
  <si>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</si>
  <si>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</si>
  <si>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</si>
  <si>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</si>
  <si>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</si>
  <si>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</si>
  <si>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</si>
  <si>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</si>
  <si>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</si>
  <si>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</si>
  <si>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</si>
  <si>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</si>
  <si>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</si>
  <si>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</si>
  <si>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</si>
  <si>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</si>
  <si>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</si>
  <si>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</si>
  <si>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</si>
  <si>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</si>
  <si>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</si>
  <si>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</si>
  <si>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</si>
  <si>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</si>
  <si>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</si>
  <si>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</si>
  <si>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</si>
  <si>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</si>
  <si>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</si>
  <si>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</si>
  <si>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</si>
  <si>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</si>
  <si>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</si>
  <si>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</si>
  <si>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</si>
  <si>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</si>
  <si>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</si>
  <si>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</si>
  <si>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</si>
  <si>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</si>
  <si>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</si>
  <si>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</si>
  <si>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</si>
  <si>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</si>
  <si>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</si>
  <si>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</si>
  <si>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</si>
  <si>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</si>
  <si>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</si>
  <si>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</si>
  <si>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</si>
  <si>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</si>
  <si>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</si>
  <si>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</si>
  <si>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</si>
  <si>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</si>
  <si>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</si>
  <si>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</si>
  <si>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</si>
  <si>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</si>
  <si>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</si>
  <si>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</si>
  <si>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</si>
  <si>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</si>
  <si>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</si>
  <si>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</si>
  <si>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</si>
  <si>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</si>
  <si>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</si>
  <si>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</si>
  <si>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</si>
  <si>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</si>
  <si>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</si>
  <si>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</si>
  <si>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</si>
  <si>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</si>
  <si>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</si>
  <si>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</si>
  <si>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</si>
  <si>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</si>
  <si>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</si>
  <si>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</si>
  <si>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</si>
  <si>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</si>
  <si>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</si>
  <si>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</si>
  <si>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</si>
  <si>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</si>
  <si>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</si>
  <si>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</si>
  <si>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</si>
  <si>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</si>
  <si>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</si>
  <si>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</si>
  <si>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</si>
  <si>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</si>
  <si>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</si>
  <si>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</si>
  <si>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</si>
  <si>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</si>
  <si>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</si>
  <si>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</si>
  <si>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</si>
  <si>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</si>
  <si>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</si>
  <si>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</si>
  <si>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</si>
  <si>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</si>
  <si>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</si>
  <si>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</si>
  <si>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</si>
  <si>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</si>
  <si>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</si>
  <si>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</si>
  <si>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</si>
  <si>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</si>
  <si>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</si>
  <si>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</si>
  <si>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</si>
  <si>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</si>
  <si>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</si>
  <si>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</si>
  <si>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</si>
  <si>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</si>
  <si>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</si>
  <si>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</si>
  <si>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</si>
  <si>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</si>
  <si>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</si>
  <si>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</si>
  <si>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</si>
  <si>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</si>
  <si>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</si>
  <si>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</si>
  <si>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</si>
  <si>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</si>
  <si>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</si>
  <si>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</si>
  <si>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</si>
  <si>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</si>
  <si>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</si>
  <si>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</si>
  <si>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</si>
  <si>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</si>
  <si>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</si>
  <si>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</si>
  <si>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</si>
  <si>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</si>
  <si>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</si>
  <si>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</si>
  <si>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</si>
  <si>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</si>
  <si>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</si>
  <si>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</si>
  <si>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</si>
  <si>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</si>
  <si>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</si>
  <si>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</si>
  <si>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</si>
  <si>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</si>
  <si>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</si>
  <si>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</si>
  <si>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</si>
  <si>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</si>
  <si>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</si>
  <si>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</si>
  <si>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</si>
  <si>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</si>
  <si>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</si>
  <si>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</si>
  <si>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</si>
  <si>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</si>
  <si>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</si>
  <si>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</si>
  <si>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</si>
  <si>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</si>
  <si>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</si>
  <si>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</si>
  <si>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</si>
  <si>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</si>
  <si>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</si>
  <si>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</si>
  <si>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</si>
  <si>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</si>
  <si>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</si>
  <si>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</si>
  <si>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</si>
  <si>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</si>
  <si>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</si>
  <si>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</si>
  <si>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</si>
  <si>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</si>
  <si>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</si>
  <si>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</si>
  <si>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</si>
  <si>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</si>
  <si>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</si>
  <si>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</si>
  <si>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</si>
  <si>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</si>
  <si>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</si>
  <si>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</si>
  <si>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</si>
  <si>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</si>
  <si>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</si>
  <si>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</si>
  <si>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</si>
  <si>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</si>
  <si>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</si>
  <si>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</si>
  <si>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</si>
  <si>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</si>
  <si>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</si>
  <si>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</si>
  <si>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</si>
  <si>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</si>
  <si>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</si>
  <si>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</si>
  <si>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</si>
  <si>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</si>
  <si>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</si>
  <si>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</si>
  <si>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</si>
  <si>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</si>
  <si>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</si>
  <si>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</si>
  <si>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</si>
  <si>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</si>
  <si>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</si>
  <si>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</si>
  <si>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</si>
  <si>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</si>
  <si>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</si>
  <si>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</si>
  <si>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</si>
  <si>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</si>
  <si>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</si>
  <si>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</si>
  <si>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</si>
  <si>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</si>
  <si>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</si>
  <si>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</si>
  <si>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</si>
  <si>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</si>
  <si>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</si>
  <si>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</si>
  <si>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</si>
  <si>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</si>
  <si>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</si>
  <si>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</si>
  <si>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</si>
  <si>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</si>
  <si>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</si>
  <si>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</si>
  <si>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</si>
  <si>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</si>
  <si>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</si>
  <si>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</si>
  <si>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</si>
  <si>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</si>
  <si>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</si>
  <si>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</si>
  <si>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</si>
  <si>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</si>
  <si>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</si>
  <si>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</si>
  <si>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</si>
  <si>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</si>
  <si>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</si>
  <si>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</si>
  <si>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</si>
  <si>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</si>
  <si>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</si>
  <si>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</si>
  <si>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</si>
  <si>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</si>
  <si>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</si>
  <si>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</si>
  <si>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</si>
  <si>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</si>
  <si>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</si>
  <si>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</si>
  <si>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</si>
  <si>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</si>
  <si>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</si>
  <si>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</si>
  <si>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</si>
  <si>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</si>
  <si>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</si>
  <si>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</si>
  <si>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</si>
  <si>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</si>
  <si>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</si>
  <si>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</si>
  <si>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</si>
  <si>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</si>
  <si>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</si>
  <si>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</si>
  <si>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</si>
  <si>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</si>
  <si>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</si>
  <si>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</si>
  <si>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</si>
  <si>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</si>
  <si>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</si>
  <si>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</si>
  <si>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</si>
  <si>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</si>
  <si>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</si>
  <si>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</si>
  <si>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</si>
  <si>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</si>
  <si>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</si>
  <si>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</si>
  <si>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</si>
  <si>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</si>
  <si>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</si>
  <si>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</si>
  <si>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</si>
  <si>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</si>
  <si>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</si>
  <si>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</si>
  <si>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</si>
  <si>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</si>
  <si>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</si>
  <si>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</si>
  <si>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</si>
  <si>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</si>
  <si>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</si>
  <si>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</si>
  <si>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</si>
  <si>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</si>
  <si>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</si>
  <si>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</si>
  <si>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</si>
  <si>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</si>
  <si>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</si>
  <si>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</si>
  <si>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</si>
  <si>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</si>
  <si>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</si>
  <si>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</si>
  <si>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</si>
  <si>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</si>
  <si>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</si>
  <si>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</si>
  <si>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</si>
  <si>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</si>
  <si>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</si>
  <si>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</si>
  <si>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</si>
  <si>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</si>
  <si>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</si>
  <si>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</si>
  <si>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</si>
  <si>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</si>
  <si>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</si>
  <si>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</si>
  <si>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</si>
  <si>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</si>
  <si>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</si>
  <si>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</si>
  <si>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</si>
  <si>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</si>
  <si>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</si>
  <si>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</si>
  <si>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</si>
  <si>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</si>
  <si>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</si>
  <si>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</si>
  <si>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</si>
  <si>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</si>
  <si>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</si>
  <si>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</si>
  <si>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</si>
  <si>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</si>
  <si>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</si>
  <si>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</si>
  <si>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</si>
  <si>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</si>
  <si>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</si>
  <si>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</si>
  <si>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</si>
  <si>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</si>
  <si>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</si>
  <si>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</si>
  <si>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</si>
  <si>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</si>
  <si>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</si>
  <si>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</si>
  <si>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</si>
  <si>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</si>
  <si>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</si>
  <si>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</si>
  <si>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</si>
  <si>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</si>
  <si>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</si>
  <si>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</si>
  <si>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</si>
  <si>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</si>
  <si>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</si>
  <si>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0617321</t>
  </si>
  <si>
    <t xml:space="preserve">    код бюджету</t>
  </si>
  <si>
    <t>0219800</t>
  </si>
  <si>
    <t>Звіт про виконання видаткової частини бюджету Сумської міської об'єднаної територіальної громади за І півріччя 2020 року за головними розпорядниками бюджетних коштів</t>
  </si>
  <si>
    <t>Звіт про виконання видаткової частини бюджету Сумської міської об'єднаної територіальної громади за І півріччя 2020 року за типовою програмною класифікацією видатків та кредитування місцевих бюджетів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</si>
  <si>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</si>
  <si>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</si>
  <si>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бюдже-ту</t>
  </si>
  <si>
    <t>ЗАГАЛЬНИЙ ФОНД</t>
  </si>
  <si>
    <t>СПЕЦІАЛЬНИЙ ФОНД</t>
  </si>
  <si>
    <t>до рішення виконавчого комітету</t>
  </si>
  <si>
    <t xml:space="preserve">до рішення виконавчого комітету </t>
  </si>
  <si>
    <t xml:space="preserve">від                       № </t>
  </si>
  <si>
    <t xml:space="preserve">від                           № 
</t>
  </si>
  <si>
    <t>С.А. Липова</t>
  </si>
  <si>
    <t>0453</t>
  </si>
  <si>
    <t>0456</t>
  </si>
  <si>
    <t xml:space="preserve">                Додаток 3</t>
  </si>
  <si>
    <t xml:space="preserve">                  Додаток 2</t>
  </si>
  <si>
    <t>Директор департаменту фінансів, економіки та 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</si>
</sst>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5"/>
      <name val="Times New Roman"/>
      <family val="1"/>
      <charset val="204"/>
    </font>
    <font>
      <b/>
      <sz val="30"/>
      <name val="Times New Roman"/>
      <family val="1"/>
      <charset val="204"/>
    </font>
    <font>
      <sz val="24"/>
      <name val="Times New Roman"/>
      <family val="1"/>
      <charset val="204"/>
    </font>
    <font>
      <sz val="17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1">
    <xf numFmtId="0" fontId="0" fillId="0" borderId="0" xfId="0"/>
    <xf numFmtId="0" fontId="20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/>
    <xf numFmtId="3" fontId="38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6" fillId="0" borderId="7" xfId="0" applyNumberFormat="1" applyFont="1" applyFill="1" applyBorder="1" applyAlignment="1" applyProtection="1">
      <alignment horizontal="center" vertical="center" wrapText="1"/>
    </xf>
    <xf numFmtId="4" fontId="26" fillId="0" borderId="7" xfId="0" applyNumberFormat="1" applyFont="1" applyFill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right" wrapText="1"/>
    </xf>
    <xf numFmtId="4" fontId="36" fillId="0" borderId="7" xfId="0" applyNumberFormat="1" applyFont="1" applyFill="1" applyBorder="1" applyAlignment="1">
      <alignment horizontal="right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3" fontId="25" fillId="0" borderId="9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" fontId="2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 applyProtection="1">
      <alignment horizont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49" fontId="20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 horizontal="left" vertical="center" textRotation="180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 applyProtection="1"/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/>
    <xf numFmtId="0" fontId="44" fillId="0" borderId="0" xfId="0" applyFont="1" applyFill="1" applyAlignment="1">
      <alignment vertical="center"/>
    </xf>
    <xf numFmtId="49" fontId="42" fillId="0" borderId="0" xfId="0" applyNumberFormat="1" applyFont="1" applyFill="1" applyAlignment="1" applyProtection="1">
      <alignment vertical="center"/>
    </xf>
    <xf numFmtId="0" fontId="43" fillId="0" borderId="0" xfId="0" applyNumberFormat="1" applyFont="1" applyFill="1" applyAlignment="1" applyProtection="1">
      <alignment vertical="top"/>
    </xf>
    <xf numFmtId="3" fontId="44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left" wrapText="1"/>
    </xf>
    <xf numFmtId="3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1" fontId="22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46" fillId="0" borderId="0" xfId="0" applyFont="1" applyFill="1" applyAlignment="1"/>
    <xf numFmtId="0" fontId="46" fillId="0" borderId="0" xfId="0" applyFont="1" applyFill="1" applyAlignment="1">
      <alignment vertical="center"/>
    </xf>
    <xf numFmtId="0" fontId="32" fillId="0" borderId="0" xfId="0" applyFont="1" applyFill="1" applyAlignment="1"/>
    <xf numFmtId="3" fontId="45" fillId="0" borderId="0" xfId="0" applyNumberFormat="1" applyFont="1" applyFill="1" applyBorder="1" applyAlignment="1" applyProtection="1">
      <alignment vertical="top" wrapText="1"/>
    </xf>
    <xf numFmtId="0" fontId="45" fillId="0" borderId="0" xfId="0" applyNumberFormat="1" applyFont="1" applyFill="1" applyBorder="1" applyAlignment="1" applyProtection="1">
      <alignment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Alignment="1">
      <alignment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23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3" fontId="39" fillId="0" borderId="0" xfId="0" applyNumberFormat="1" applyFont="1" applyFill="1" applyBorder="1" applyAlignment="1">
      <alignment vertical="center" wrapText="1"/>
    </xf>
    <xf numFmtId="3" fontId="47" fillId="0" borderId="0" xfId="0" applyNumberFormat="1" applyFont="1" applyFill="1" applyBorder="1"/>
    <xf numFmtId="0" fontId="47" fillId="0" borderId="0" xfId="0" applyFont="1" applyFill="1" applyBorder="1" applyAlignment="1">
      <alignment vertical="center" textRotation="180"/>
    </xf>
    <xf numFmtId="0" fontId="47" fillId="0" borderId="0" xfId="0" applyFont="1" applyFill="1" applyBorder="1" applyAlignment="1">
      <alignment textRotation="180"/>
    </xf>
    <xf numFmtId="0" fontId="39" fillId="0" borderId="0" xfId="0" applyFont="1" applyFill="1" applyAlignment="1"/>
    <xf numFmtId="0" fontId="39" fillId="0" borderId="0" xfId="0" applyFont="1" applyFill="1" applyAlignment="1">
      <alignment wrapText="1"/>
    </xf>
    <xf numFmtId="3" fontId="22" fillId="0" borderId="0" xfId="0" applyNumberFormat="1" applyFont="1" applyFill="1" applyBorder="1" applyAlignment="1" applyProtection="1">
      <alignment horizontal="center" wrapText="1"/>
    </xf>
    <xf numFmtId="0" fontId="39" fillId="0" borderId="0" xfId="0" applyFont="1" applyFill="1" applyBorder="1"/>
    <xf numFmtId="49" fontId="20" fillId="0" borderId="7" xfId="0" applyNumberFormat="1" applyFont="1" applyFill="1" applyBorder="1" applyAlignment="1" applyProtection="1">
      <alignment horizontal="center" vertical="center"/>
    </xf>
    <xf numFmtId="3" fontId="47" fillId="0" borderId="0" xfId="0" applyNumberFormat="1" applyFont="1" applyFill="1" applyBorder="1" applyAlignment="1">
      <alignment textRotation="180"/>
    </xf>
    <xf numFmtId="3" fontId="47" fillId="0" borderId="0" xfId="0" applyNumberFormat="1" applyFont="1" applyFill="1" applyBorder="1" applyAlignment="1">
      <alignment vertical="center" textRotation="180"/>
    </xf>
    <xf numFmtId="3" fontId="47" fillId="0" borderId="0" xfId="0" applyNumberFormat="1" applyFont="1" applyFill="1" applyBorder="1" applyAlignment="1">
      <alignment horizontal="center" textRotation="180"/>
    </xf>
    <xf numFmtId="3" fontId="47" fillId="0" borderId="0" xfId="0" applyNumberFormat="1" applyFont="1" applyFill="1" applyAlignment="1">
      <alignment horizontal="center" vertical="center" textRotation="180" wrapText="1"/>
    </xf>
    <xf numFmtId="3" fontId="47" fillId="0" borderId="14" xfId="0" applyNumberFormat="1" applyFont="1" applyFill="1" applyBorder="1" applyAlignment="1">
      <alignment horizontal="center" vertical="center" textRotation="180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/>
    <xf numFmtId="3" fontId="45" fillId="0" borderId="0" xfId="0" applyNumberFormat="1" applyFont="1" applyFill="1" applyBorder="1" applyAlignment="1" applyProtection="1">
      <alignment horizontal="center" vertical="top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Alignment="1" applyProtection="1">
      <alignment horizontal="center" vertical="top"/>
    </xf>
    <xf numFmtId="0" fontId="47" fillId="0" borderId="0" xfId="0" applyFont="1" applyFill="1" applyBorder="1" applyAlignment="1">
      <alignment horizontal="center" textRotation="180"/>
    </xf>
    <xf numFmtId="0" fontId="47" fillId="0" borderId="0" xfId="0" applyFont="1" applyFill="1" applyAlignment="1">
      <alignment horizontal="center" vertical="center" textRotation="180"/>
    </xf>
    <xf numFmtId="0" fontId="47" fillId="0" borderId="14" xfId="0" applyFont="1" applyFill="1" applyBorder="1" applyAlignment="1">
      <alignment horizontal="center" vertical="center" textRotation="180"/>
    </xf>
    <xf numFmtId="0" fontId="45" fillId="0" borderId="0" xfId="0" applyNumberFormat="1" applyFont="1" applyFill="1" applyBorder="1" applyAlignment="1" applyProtection="1">
      <alignment horizontal="center" vertical="top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R703"/>
  <sheetViews>
    <sheetView showGridLines="0" showZeros="0" tabSelected="1" view="pageBreakPreview" topLeftCell="A192" zoomScale="89" zoomScaleNormal="71" zoomScaleSheetLayoutView="89" workbookViewId="0">
      <selection activeCell="D209" sqref="D209"/>
    </sheetView>
  </sheetViews>
  <sheetFormatPr defaultColWidth="9.1640625" defaultRowHeight="22.5" x14ac:dyDescent="0.35"/>
  <cols>
    <col min="1" max="1" width="16.6640625" style="86" customWidth="1"/>
    <col min="2" max="2" width="17.5" style="17" customWidth="1"/>
    <col min="3" max="3" width="18" style="17" customWidth="1"/>
    <col min="4" max="4" width="62" style="28" customWidth="1"/>
    <col min="5" max="5" width="19.1640625" style="58" customWidth="1"/>
    <col min="6" max="6" width="17.5" style="58" customWidth="1"/>
    <col min="7" max="7" width="17" style="58" customWidth="1"/>
    <col min="8" max="8" width="17.6640625" style="58" customWidth="1"/>
    <col min="9" max="9" width="17.33203125" style="58" customWidth="1"/>
    <col min="10" max="10" width="15.6640625" style="58" customWidth="1"/>
    <col min="11" max="11" width="8.33203125" style="58" customWidth="1"/>
    <col min="12" max="13" width="18" style="58" customWidth="1"/>
    <col min="14" max="14" width="17.33203125" style="58" customWidth="1"/>
    <col min="15" max="15" width="15.1640625" style="58" customWidth="1"/>
    <col min="16" max="16" width="15.6640625" style="58" customWidth="1"/>
    <col min="17" max="17" width="17.5" style="58" customWidth="1"/>
    <col min="18" max="18" width="17" style="58" customWidth="1"/>
    <col min="19" max="19" width="17.5" style="58" customWidth="1"/>
    <col min="20" max="20" width="16.5" style="58" customWidth="1"/>
    <col min="21" max="22" width="14.83203125" style="58" customWidth="1"/>
    <col min="23" max="23" width="17.33203125" style="58" customWidth="1"/>
    <col min="24" max="24" width="8.83203125" style="58" customWidth="1"/>
    <col min="25" max="25" width="19.1640625" style="75" customWidth="1"/>
    <col min="26" max="26" width="4.6640625" style="144" customWidth="1"/>
    <col min="27" max="538" width="9.1640625" style="33"/>
    <col min="539" max="16384" width="9.1640625" style="19"/>
  </cols>
  <sheetData>
    <row r="1" spans="1:538" ht="30.75" customHeight="1" x14ac:dyDescent="0.5">
      <c r="S1" s="126"/>
      <c r="T1" s="171" t="s">
        <v>473</v>
      </c>
      <c r="U1" s="171"/>
      <c r="V1" s="171"/>
      <c r="W1" s="171"/>
      <c r="X1" s="171"/>
      <c r="Y1" s="59"/>
      <c r="Z1" s="155">
        <v>8</v>
      </c>
    </row>
    <row r="2" spans="1:538" ht="26.25" customHeight="1" x14ac:dyDescent="0.5">
      <c r="S2" s="126"/>
      <c r="T2" s="147" t="s">
        <v>465</v>
      </c>
      <c r="U2" s="147"/>
      <c r="V2" s="147"/>
      <c r="W2" s="147"/>
      <c r="X2" s="147"/>
      <c r="Y2" s="59"/>
      <c r="Z2" s="155"/>
    </row>
    <row r="3" spans="1:538" ht="26.25" customHeight="1" x14ac:dyDescent="0.5">
      <c r="R3" s="132"/>
      <c r="S3" s="132"/>
      <c r="T3" s="170" t="s">
        <v>467</v>
      </c>
      <c r="U3" s="170"/>
      <c r="V3" s="170"/>
      <c r="W3" s="170"/>
      <c r="X3" s="170"/>
      <c r="Y3" s="141"/>
      <c r="Z3" s="155"/>
    </row>
    <row r="4" spans="1:538" ht="26.25" customHeight="1" x14ac:dyDescent="0.25">
      <c r="M4" s="122"/>
      <c r="N4" s="122"/>
      <c r="O4" s="122"/>
      <c r="P4" s="122"/>
      <c r="Q4" s="122"/>
      <c r="S4" s="122"/>
      <c r="T4" s="122"/>
      <c r="U4" s="122"/>
      <c r="V4" s="122"/>
      <c r="W4" s="122"/>
      <c r="X4" s="122"/>
      <c r="Y4" s="122"/>
      <c r="Z4" s="155"/>
    </row>
    <row r="5" spans="1:538" ht="26.25" x14ac:dyDescent="0.4">
      <c r="N5" s="100"/>
      <c r="O5" s="100"/>
      <c r="P5" s="100"/>
      <c r="Q5" s="100"/>
      <c r="T5" s="100"/>
      <c r="U5" s="100"/>
      <c r="V5" s="100"/>
      <c r="W5" s="100"/>
      <c r="X5" s="100"/>
      <c r="Y5" s="100"/>
      <c r="Z5" s="155"/>
    </row>
    <row r="6" spans="1:538" ht="26.25" x14ac:dyDescent="0.4">
      <c r="N6" s="100"/>
      <c r="O6" s="100"/>
      <c r="P6" s="100"/>
      <c r="Q6" s="100"/>
      <c r="T6" s="100"/>
      <c r="U6" s="100"/>
      <c r="V6" s="100"/>
      <c r="W6" s="100"/>
      <c r="X6" s="100"/>
      <c r="Y6" s="100"/>
      <c r="Z6" s="155"/>
    </row>
    <row r="7" spans="1:538" s="55" customFormat="1" ht="78.75" customHeight="1" x14ac:dyDescent="0.3">
      <c r="A7" s="172" t="s">
        <v>458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55"/>
      <c r="AA7" s="127"/>
      <c r="AB7" s="127"/>
      <c r="AC7" s="127"/>
      <c r="AD7" s="127"/>
      <c r="AE7" s="127"/>
      <c r="AF7" s="127"/>
      <c r="AG7" s="127"/>
      <c r="AH7" s="127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</row>
    <row r="8" spans="1:538" s="55" customFormat="1" ht="42" customHeight="1" x14ac:dyDescent="0.3">
      <c r="A8" s="112" t="s">
        <v>422</v>
      </c>
      <c r="B8" s="112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55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</row>
    <row r="9" spans="1:538" s="55" customFormat="1" ht="31.5" customHeight="1" x14ac:dyDescent="0.3">
      <c r="A9" s="113" t="s">
        <v>456</v>
      </c>
      <c r="B9" s="11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55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</row>
    <row r="10" spans="1:538" s="57" customFormat="1" ht="14.25" customHeight="1" x14ac:dyDescent="0.3">
      <c r="A10" s="80"/>
      <c r="B10" s="62"/>
      <c r="C10" s="62"/>
      <c r="D10" s="18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06" t="s">
        <v>418</v>
      </c>
      <c r="Z10" s="155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</row>
    <row r="11" spans="1:538" s="20" customFormat="1" ht="34.5" customHeight="1" x14ac:dyDescent="0.2">
      <c r="A11" s="173" t="s">
        <v>396</v>
      </c>
      <c r="B11" s="157" t="s">
        <v>397</v>
      </c>
      <c r="C11" s="157" t="s">
        <v>383</v>
      </c>
      <c r="D11" s="157" t="s">
        <v>398</v>
      </c>
      <c r="E11" s="158" t="s">
        <v>265</v>
      </c>
      <c r="F11" s="159"/>
      <c r="G11" s="159"/>
      <c r="H11" s="159"/>
      <c r="I11" s="159"/>
      <c r="J11" s="160"/>
      <c r="K11" s="161" t="s">
        <v>462</v>
      </c>
      <c r="L11" s="158" t="s">
        <v>464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  <c r="X11" s="161" t="s">
        <v>462</v>
      </c>
      <c r="Y11" s="157" t="s">
        <v>266</v>
      </c>
      <c r="Z11" s="155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</row>
    <row r="12" spans="1:538" s="20" customFormat="1" ht="36.75" customHeight="1" x14ac:dyDescent="0.2">
      <c r="A12" s="173"/>
      <c r="B12" s="157"/>
      <c r="C12" s="157"/>
      <c r="D12" s="157"/>
      <c r="E12" s="157" t="s">
        <v>460</v>
      </c>
      <c r="F12" s="157"/>
      <c r="G12" s="157"/>
      <c r="H12" s="158" t="s">
        <v>461</v>
      </c>
      <c r="I12" s="159"/>
      <c r="J12" s="160"/>
      <c r="K12" s="162"/>
      <c r="L12" s="158" t="s">
        <v>460</v>
      </c>
      <c r="M12" s="159"/>
      <c r="N12" s="159"/>
      <c r="O12" s="159"/>
      <c r="P12" s="159"/>
      <c r="Q12" s="160"/>
      <c r="R12" s="158" t="s">
        <v>461</v>
      </c>
      <c r="S12" s="159"/>
      <c r="T12" s="159"/>
      <c r="U12" s="159"/>
      <c r="V12" s="159"/>
      <c r="W12" s="160"/>
      <c r="X12" s="162"/>
      <c r="Y12" s="157"/>
      <c r="Z12" s="155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</row>
    <row r="13" spans="1:538" s="20" customFormat="1" ht="19.5" customHeight="1" x14ac:dyDescent="0.2">
      <c r="A13" s="173"/>
      <c r="B13" s="157"/>
      <c r="C13" s="157"/>
      <c r="D13" s="157"/>
      <c r="E13" s="157" t="s">
        <v>384</v>
      </c>
      <c r="F13" s="157" t="s">
        <v>268</v>
      </c>
      <c r="G13" s="157"/>
      <c r="H13" s="164" t="s">
        <v>384</v>
      </c>
      <c r="I13" s="165" t="s">
        <v>268</v>
      </c>
      <c r="J13" s="166"/>
      <c r="K13" s="162"/>
      <c r="L13" s="167" t="s">
        <v>384</v>
      </c>
      <c r="M13" s="167" t="s">
        <v>385</v>
      </c>
      <c r="N13" s="167" t="s">
        <v>267</v>
      </c>
      <c r="O13" s="158" t="s">
        <v>268</v>
      </c>
      <c r="P13" s="160"/>
      <c r="Q13" s="167" t="s">
        <v>269</v>
      </c>
      <c r="R13" s="167" t="s">
        <v>384</v>
      </c>
      <c r="S13" s="167" t="s">
        <v>385</v>
      </c>
      <c r="T13" s="167" t="s">
        <v>267</v>
      </c>
      <c r="U13" s="129" t="s">
        <v>268</v>
      </c>
      <c r="V13" s="129"/>
      <c r="W13" s="167" t="s">
        <v>269</v>
      </c>
      <c r="X13" s="162"/>
      <c r="Y13" s="157"/>
      <c r="Z13" s="155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</row>
    <row r="14" spans="1:538" s="20" customFormat="1" ht="50.25" customHeight="1" x14ac:dyDescent="0.2">
      <c r="A14" s="173"/>
      <c r="B14" s="157"/>
      <c r="C14" s="157"/>
      <c r="D14" s="157"/>
      <c r="E14" s="157"/>
      <c r="F14" s="129" t="s">
        <v>270</v>
      </c>
      <c r="G14" s="129" t="s">
        <v>271</v>
      </c>
      <c r="H14" s="164"/>
      <c r="I14" s="133" t="s">
        <v>270</v>
      </c>
      <c r="J14" s="133" t="s">
        <v>271</v>
      </c>
      <c r="K14" s="163"/>
      <c r="L14" s="168"/>
      <c r="M14" s="168"/>
      <c r="N14" s="168"/>
      <c r="O14" s="129" t="s">
        <v>270</v>
      </c>
      <c r="P14" s="129" t="s">
        <v>271</v>
      </c>
      <c r="Q14" s="168"/>
      <c r="R14" s="168"/>
      <c r="S14" s="168"/>
      <c r="T14" s="168"/>
      <c r="U14" s="129" t="s">
        <v>270</v>
      </c>
      <c r="V14" s="129" t="s">
        <v>271</v>
      </c>
      <c r="W14" s="168"/>
      <c r="X14" s="163"/>
      <c r="Y14" s="157"/>
      <c r="Z14" s="155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</row>
    <row r="15" spans="1:538" s="30" customFormat="1" ht="19.5" customHeight="1" x14ac:dyDescent="0.2">
      <c r="A15" s="81" t="s">
        <v>180</v>
      </c>
      <c r="B15" s="130"/>
      <c r="C15" s="130"/>
      <c r="D15" s="31" t="s">
        <v>48</v>
      </c>
      <c r="E15" s="64">
        <f t="shared" ref="E15:J15" si="0">E16</f>
        <v>202148803</v>
      </c>
      <c r="F15" s="64">
        <f t="shared" si="0"/>
        <v>93472381</v>
      </c>
      <c r="G15" s="64">
        <f t="shared" si="0"/>
        <v>5289300</v>
      </c>
      <c r="H15" s="64">
        <f t="shared" si="0"/>
        <v>91150755.469999999</v>
      </c>
      <c r="I15" s="64">
        <f t="shared" si="0"/>
        <v>44754971.119999997</v>
      </c>
      <c r="J15" s="64">
        <f t="shared" si="0"/>
        <v>1924859.3599999999</v>
      </c>
      <c r="K15" s="139">
        <f>H15/E15*100</f>
        <v>45.090920211879762</v>
      </c>
      <c r="L15" s="64">
        <f t="shared" ref="L15:M15" si="1">L16</f>
        <v>34719593.200000003</v>
      </c>
      <c r="M15" s="64">
        <f t="shared" si="1"/>
        <v>34202750</v>
      </c>
      <c r="N15" s="64">
        <f t="shared" ref="N15" si="2">N16</f>
        <v>516843.2</v>
      </c>
      <c r="O15" s="64">
        <f t="shared" ref="O15" si="3">O16</f>
        <v>91105</v>
      </c>
      <c r="P15" s="64">
        <f t="shared" ref="P15" si="4">P16</f>
        <v>52450</v>
      </c>
      <c r="Q15" s="64">
        <f t="shared" ref="Q15:W15" si="5">Q16</f>
        <v>34202750</v>
      </c>
      <c r="R15" s="64">
        <f t="shared" ref="R15:V15" si="6">R16</f>
        <v>1196032.3900000001</v>
      </c>
      <c r="S15" s="64">
        <f t="shared" si="6"/>
        <v>946181.78</v>
      </c>
      <c r="T15" s="64">
        <f t="shared" si="6"/>
        <v>249850.61</v>
      </c>
      <c r="U15" s="64">
        <f t="shared" si="6"/>
        <v>16826.63</v>
      </c>
      <c r="V15" s="64">
        <f t="shared" si="6"/>
        <v>558.39</v>
      </c>
      <c r="W15" s="64">
        <f t="shared" si="5"/>
        <v>946181.78</v>
      </c>
      <c r="X15" s="139">
        <f>R15/L15*100</f>
        <v>3.4448341117084289</v>
      </c>
      <c r="Y15" s="64">
        <f>Y16</f>
        <v>92346787.859999999</v>
      </c>
      <c r="Z15" s="15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</row>
    <row r="16" spans="1:538" s="39" customFormat="1" ht="19.5" customHeight="1" x14ac:dyDescent="0.25">
      <c r="A16" s="73" t="s">
        <v>181</v>
      </c>
      <c r="B16" s="65"/>
      <c r="C16" s="65"/>
      <c r="D16" s="32" t="s">
        <v>48</v>
      </c>
      <c r="E16" s="66">
        <f>E17+E18+E19+E20+E21+E22+E23+E24+E25+E26+E27+E28+E29+E30+E31+E32+E33+E34+E35+E38+E39+E40+E41+E42+E43+E44+E45+E46+E47+E48+E36+E37+E49</f>
        <v>202148803</v>
      </c>
      <c r="F16" s="66">
        <f t="shared" ref="F16:G16" si="7">F17+F18+F19+F20+F21+F22+F23+F24+F25+F26+F27+F28+F29+F30+F31+F32+F33+F34+F35+F38+F39+F40+F41+F42+F43+F44+F45+F46+F47+F48+F36+F37+F49</f>
        <v>93472381</v>
      </c>
      <c r="G16" s="66">
        <f t="shared" si="7"/>
        <v>5289300</v>
      </c>
      <c r="H16" s="66">
        <f>H17+H18+H19+H20+H21+H22+H23+H24+H25+H26+H27+H28+H29+H30+H31+H32+H33+H34+H35+H38+H39+H40+H41+H42+H43+H44+H45+H46+H47+H48+H36+H37+H49</f>
        <v>91150755.469999999</v>
      </c>
      <c r="I16" s="66">
        <f t="shared" ref="I16" si="8">I17+I18+I19+I20+I21+I22+I23+I24+I25+I26+I27+I28+I29+I30+I31+I32+I33+I34+I35+I38+I39+I40+I41+I42+I43+I44+I45+I46+I47+I48+I36+I37+I49</f>
        <v>44754971.119999997</v>
      </c>
      <c r="J16" s="66">
        <f t="shared" ref="J16" si="9">J17+J18+J19+J20+J21+J22+J23+J24+J25+J26+J27+J28+J29+J30+J31+J32+J33+J34+J35+J38+J39+J40+J41+J42+J43+J44+J45+J46+J47+J48+J36+J37+J49</f>
        <v>1924859.3599999999</v>
      </c>
      <c r="K16" s="139">
        <f t="shared" ref="K16:K79" si="10">H16/E16*100</f>
        <v>45.090920211879762</v>
      </c>
      <c r="L16" s="66">
        <f t="shared" ref="L16" si="11">L17+L18+L19+L20+L21+L22+L23+L24+L25+L26+L27+L28+L29+L30+L31+L32+L33+L34+L35+L38+L39+L40+L41+L42+L43+L44+L45+L46+L47+L48+L36+L37+L49</f>
        <v>34719593.200000003</v>
      </c>
      <c r="M16" s="66">
        <f t="shared" ref="M16:Y16" si="12">M17+M18+M19+M20+M21+M22+M23+M24+M25+M26+M27+M28+M29+M30+M31+M32+M33+M34+M35+M38+M39+M40+M41+M42+M43+M44+M45+M46+M47+M48+M36+M37+M49</f>
        <v>34202750</v>
      </c>
      <c r="N16" s="66">
        <f t="shared" si="12"/>
        <v>516843.2</v>
      </c>
      <c r="O16" s="66">
        <f t="shared" si="12"/>
        <v>91105</v>
      </c>
      <c r="P16" s="66">
        <f t="shared" si="12"/>
        <v>52450</v>
      </c>
      <c r="Q16" s="66">
        <f t="shared" si="12"/>
        <v>34202750</v>
      </c>
      <c r="R16" s="66">
        <f t="shared" si="12"/>
        <v>1196032.3900000001</v>
      </c>
      <c r="S16" s="66">
        <f t="shared" ref="S16:W16" si="13">S17+S18+S19+S20+S21+S22+S23+S24+S25+S26+S27+S28+S29+S30+S31+S32+S33+S34+S35+S38+S39+S40+S41+S42+S43+S44+S45+S46+S47+S48+S36+S37+S49</f>
        <v>946181.78</v>
      </c>
      <c r="T16" s="66">
        <f t="shared" si="13"/>
        <v>249850.61</v>
      </c>
      <c r="U16" s="66">
        <f t="shared" si="13"/>
        <v>16826.63</v>
      </c>
      <c r="V16" s="66">
        <f t="shared" si="13"/>
        <v>558.39</v>
      </c>
      <c r="W16" s="66">
        <f t="shared" si="13"/>
        <v>946181.78</v>
      </c>
      <c r="X16" s="139">
        <f t="shared" ref="X16:X78" si="14">R16/L16*100</f>
        <v>3.4448341117084289</v>
      </c>
      <c r="Y16" s="66">
        <f t="shared" si="12"/>
        <v>92346787.859999999</v>
      </c>
      <c r="Z16" s="155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</row>
    <row r="17" spans="1:538" s="22" customFormat="1" ht="46.5" customHeight="1" x14ac:dyDescent="0.25">
      <c r="A17" s="42" t="s">
        <v>182</v>
      </c>
      <c r="B17" s="43" t="str">
        <f>'дод 3'!A19</f>
        <v>0160</v>
      </c>
      <c r="C17" s="43" t="str">
        <f>'дод 3'!B19</f>
        <v>0111</v>
      </c>
      <c r="D17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7" s="67">
        <v>100341282</v>
      </c>
      <c r="F17" s="67">
        <v>73506801</v>
      </c>
      <c r="G17" s="67">
        <v>2750400</v>
      </c>
      <c r="H17" s="67">
        <v>47430742.159999996</v>
      </c>
      <c r="I17" s="67">
        <v>35344972.460000001</v>
      </c>
      <c r="J17" s="67">
        <v>1037739.78</v>
      </c>
      <c r="K17" s="140">
        <f t="shared" si="10"/>
        <v>47.269420137566108</v>
      </c>
      <c r="L17" s="67">
        <v>1230200</v>
      </c>
      <c r="M17" s="67">
        <v>1230200</v>
      </c>
      <c r="N17" s="67"/>
      <c r="O17" s="67"/>
      <c r="P17" s="67"/>
      <c r="Q17" s="67">
        <v>1230200</v>
      </c>
      <c r="R17" s="67">
        <f>T17+W17</f>
        <v>788225.32000000007</v>
      </c>
      <c r="S17" s="67">
        <v>787097.78</v>
      </c>
      <c r="T17" s="67">
        <v>1127.54</v>
      </c>
      <c r="U17" s="67"/>
      <c r="V17" s="67"/>
      <c r="W17" s="67">
        <v>787097.78</v>
      </c>
      <c r="X17" s="140">
        <f t="shared" si="14"/>
        <v>64.072940985205662</v>
      </c>
      <c r="Y17" s="67">
        <f>H17+R17</f>
        <v>48218967.479999997</v>
      </c>
      <c r="Z17" s="15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</row>
    <row r="18" spans="1:538" s="22" customFormat="1" ht="21.75" customHeight="1" x14ac:dyDescent="0.25">
      <c r="A18" s="42" t="s">
        <v>282</v>
      </c>
      <c r="B18" s="43" t="str">
        <f>'дод 3'!A20</f>
        <v>0180</v>
      </c>
      <c r="C18" s="43" t="str">
        <f>'дод 3'!B20</f>
        <v>0133</v>
      </c>
      <c r="D18" s="23" t="str">
        <f>'дод 3'!C20</f>
        <v>Інша діяльність у сфері державного управління</v>
      </c>
      <c r="E18" s="67">
        <v>310000</v>
      </c>
      <c r="F18" s="67"/>
      <c r="G18" s="67"/>
      <c r="H18" s="67">
        <v>95290.97</v>
      </c>
      <c r="I18" s="67"/>
      <c r="J18" s="67"/>
      <c r="K18" s="140">
        <f t="shared" si="10"/>
        <v>30.739022580645159</v>
      </c>
      <c r="L18" s="67">
        <v>0</v>
      </c>
      <c r="M18" s="67"/>
      <c r="N18" s="67"/>
      <c r="O18" s="67"/>
      <c r="P18" s="67"/>
      <c r="Q18" s="67"/>
      <c r="R18" s="67">
        <f t="shared" ref="R18:R49" si="15">T18+W18</f>
        <v>0</v>
      </c>
      <c r="S18" s="67"/>
      <c r="T18" s="67"/>
      <c r="U18" s="67"/>
      <c r="V18" s="67"/>
      <c r="W18" s="67"/>
      <c r="X18" s="140"/>
      <c r="Y18" s="67">
        <f t="shared" ref="Y18:Y49" si="16">H18+R18</f>
        <v>95290.97</v>
      </c>
      <c r="Z18" s="15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</row>
    <row r="19" spans="1:538" s="22" customFormat="1" ht="43.5" customHeight="1" x14ac:dyDescent="0.25">
      <c r="A19" s="42" t="s">
        <v>298</v>
      </c>
      <c r="B19" s="43" t="str">
        <f>'дод 3'!A55</f>
        <v>3033</v>
      </c>
      <c r="C19" s="43" t="str">
        <f>'дод 3'!B55</f>
        <v>1070</v>
      </c>
      <c r="D19" s="23" t="str">
        <f>'дод 3'!C55</f>
        <v>Компенсаційні виплати на пільговий проїзд автомобільним транспортом окремим категоріям громадян</v>
      </c>
      <c r="E19" s="67">
        <v>124200</v>
      </c>
      <c r="F19" s="67"/>
      <c r="G19" s="67"/>
      <c r="H19" s="67">
        <v>62100</v>
      </c>
      <c r="I19" s="67"/>
      <c r="J19" s="67"/>
      <c r="K19" s="140">
        <f t="shared" si="10"/>
        <v>50</v>
      </c>
      <c r="L19" s="67">
        <v>0</v>
      </c>
      <c r="M19" s="67"/>
      <c r="N19" s="67"/>
      <c r="O19" s="67"/>
      <c r="P19" s="67"/>
      <c r="Q19" s="67"/>
      <c r="R19" s="67">
        <f t="shared" si="15"/>
        <v>0</v>
      </c>
      <c r="S19" s="67"/>
      <c r="T19" s="67"/>
      <c r="U19" s="67"/>
      <c r="V19" s="67"/>
      <c r="W19" s="67"/>
      <c r="X19" s="140"/>
      <c r="Y19" s="67">
        <f t="shared" si="16"/>
        <v>62100</v>
      </c>
      <c r="Z19" s="15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</row>
    <row r="20" spans="1:538" s="22" customFormat="1" ht="36.75" customHeight="1" x14ac:dyDescent="0.25">
      <c r="A20" s="42" t="s">
        <v>183</v>
      </c>
      <c r="B20" s="43" t="str">
        <f>'дод 3'!A57</f>
        <v>3036</v>
      </c>
      <c r="C20" s="43" t="str">
        <f>'дод 3'!B57</f>
        <v>1070</v>
      </c>
      <c r="D20" s="23" t="str">
        <f>'дод 3'!C57</f>
        <v>Компенсаційні виплати на пільговий проїзд електротранспортом окремим категоріям громадян</v>
      </c>
      <c r="E20" s="67">
        <v>270325</v>
      </c>
      <c r="F20" s="67"/>
      <c r="G20" s="67"/>
      <c r="H20" s="67">
        <v>141024</v>
      </c>
      <c r="I20" s="67"/>
      <c r="J20" s="67"/>
      <c r="K20" s="140">
        <f t="shared" si="10"/>
        <v>52.168315916027005</v>
      </c>
      <c r="L20" s="67">
        <v>0</v>
      </c>
      <c r="M20" s="67"/>
      <c r="N20" s="67"/>
      <c r="O20" s="67"/>
      <c r="P20" s="67"/>
      <c r="Q20" s="67"/>
      <c r="R20" s="67">
        <f t="shared" si="15"/>
        <v>0</v>
      </c>
      <c r="S20" s="67"/>
      <c r="T20" s="67"/>
      <c r="U20" s="67"/>
      <c r="V20" s="67"/>
      <c r="W20" s="67"/>
      <c r="X20" s="140"/>
      <c r="Y20" s="67">
        <f t="shared" si="16"/>
        <v>141024</v>
      </c>
      <c r="Z20" s="15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</row>
    <row r="21" spans="1:538" s="22" customFormat="1" ht="36" customHeight="1" x14ac:dyDescent="0.25">
      <c r="A21" s="42" t="s">
        <v>184</v>
      </c>
      <c r="B21" s="43" t="str">
        <f>'дод 3'!A63</f>
        <v>3121</v>
      </c>
      <c r="C21" s="43" t="str">
        <f>'дод 3'!B63</f>
        <v>1040</v>
      </c>
      <c r="D21" s="23" t="str">
        <f>'дод 3'!C63</f>
        <v>Утримання та забезпечення діяльності центрів соціальних служб для сім’ї, дітей та молоді</v>
      </c>
      <c r="E21" s="67">
        <v>2529735</v>
      </c>
      <c r="F21" s="67">
        <v>1883250</v>
      </c>
      <c r="G21" s="67">
        <v>50170</v>
      </c>
      <c r="H21" s="67">
        <v>1217391.42</v>
      </c>
      <c r="I21" s="67">
        <v>945043.22</v>
      </c>
      <c r="J21" s="67">
        <v>20004.72</v>
      </c>
      <c r="K21" s="140">
        <f t="shared" si="10"/>
        <v>48.123278525221018</v>
      </c>
      <c r="L21" s="67">
        <v>0</v>
      </c>
      <c r="M21" s="67"/>
      <c r="N21" s="67"/>
      <c r="O21" s="67"/>
      <c r="P21" s="67"/>
      <c r="Q21" s="67"/>
      <c r="R21" s="67">
        <f t="shared" si="15"/>
        <v>0</v>
      </c>
      <c r="S21" s="67"/>
      <c r="T21" s="67"/>
      <c r="U21" s="67"/>
      <c r="V21" s="67"/>
      <c r="W21" s="67"/>
      <c r="X21" s="140"/>
      <c r="Y21" s="67">
        <f t="shared" si="16"/>
        <v>1217391.42</v>
      </c>
      <c r="Z21" s="15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</row>
    <row r="22" spans="1:538" s="22" customFormat="1" ht="48.75" customHeight="1" x14ac:dyDescent="0.25">
      <c r="A22" s="42" t="s">
        <v>185</v>
      </c>
      <c r="B22" s="43" t="str">
        <f>'дод 3'!A64</f>
        <v>3131</v>
      </c>
      <c r="C22" s="43" t="str">
        <f>'дод 3'!B64</f>
        <v>1040</v>
      </c>
      <c r="D22" s="23" t="str">
        <f>'дод 3'!C64</f>
        <v>Здійснення заходів та реалізація проектів на виконання Державної цільової соціальної програми "Молодь України"</v>
      </c>
      <c r="E22" s="67">
        <v>850000</v>
      </c>
      <c r="F22" s="67"/>
      <c r="G22" s="67"/>
      <c r="H22" s="67">
        <v>17240</v>
      </c>
      <c r="I22" s="67"/>
      <c r="J22" s="67"/>
      <c r="K22" s="140">
        <f t="shared" si="10"/>
        <v>2.0282352941176471</v>
      </c>
      <c r="L22" s="67">
        <v>0</v>
      </c>
      <c r="M22" s="67"/>
      <c r="N22" s="67"/>
      <c r="O22" s="67"/>
      <c r="P22" s="67"/>
      <c r="Q22" s="67"/>
      <c r="R22" s="67">
        <f t="shared" si="15"/>
        <v>0</v>
      </c>
      <c r="S22" s="67"/>
      <c r="T22" s="67"/>
      <c r="U22" s="67"/>
      <c r="V22" s="67"/>
      <c r="W22" s="67"/>
      <c r="X22" s="140"/>
      <c r="Y22" s="67">
        <f t="shared" si="16"/>
        <v>17240</v>
      </c>
      <c r="Z22" s="15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</row>
    <row r="23" spans="1:538" s="22" customFormat="1" ht="60" customHeight="1" x14ac:dyDescent="0.25">
      <c r="A23" s="42" t="s">
        <v>186</v>
      </c>
      <c r="B23" s="43" t="str">
        <f>'дод 3'!A65</f>
        <v>3140</v>
      </c>
      <c r="C23" s="43" t="str">
        <f>'дод 3'!B65</f>
        <v>1040</v>
      </c>
      <c r="D23" s="23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3" s="67">
        <v>560000</v>
      </c>
      <c r="F23" s="67"/>
      <c r="G23" s="67"/>
      <c r="H23" s="67"/>
      <c r="I23" s="67"/>
      <c r="J23" s="67"/>
      <c r="K23" s="140">
        <f t="shared" si="10"/>
        <v>0</v>
      </c>
      <c r="L23" s="67">
        <v>0</v>
      </c>
      <c r="M23" s="67"/>
      <c r="N23" s="67"/>
      <c r="O23" s="67"/>
      <c r="P23" s="67"/>
      <c r="Q23" s="67"/>
      <c r="R23" s="67">
        <f t="shared" si="15"/>
        <v>0</v>
      </c>
      <c r="S23" s="67"/>
      <c r="T23" s="67"/>
      <c r="U23" s="67"/>
      <c r="V23" s="67"/>
      <c r="W23" s="67"/>
      <c r="X23" s="140"/>
      <c r="Y23" s="67">
        <f t="shared" si="16"/>
        <v>0</v>
      </c>
      <c r="Z23" s="15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</row>
    <row r="24" spans="1:538" s="22" customFormat="1" ht="37.5" customHeight="1" x14ac:dyDescent="0.25">
      <c r="A24" s="42" t="s">
        <v>354</v>
      </c>
      <c r="B24" s="43" t="str">
        <f>'дод 3'!A74</f>
        <v>3241</v>
      </c>
      <c r="C24" s="43" t="str">
        <f>'дод 3'!B74</f>
        <v>1090</v>
      </c>
      <c r="D24" s="23" t="str">
        <f>'дод 3'!C74</f>
        <v>Забезпечення діяльності інших закладів у сфері соціального захисту і соціального забезпечення</v>
      </c>
      <c r="E24" s="67">
        <v>1198395</v>
      </c>
      <c r="F24" s="67">
        <v>852910</v>
      </c>
      <c r="G24" s="67">
        <v>114300</v>
      </c>
      <c r="H24" s="67">
        <v>561549.41</v>
      </c>
      <c r="I24" s="67">
        <v>411750.84</v>
      </c>
      <c r="J24" s="67">
        <v>51292.91</v>
      </c>
      <c r="K24" s="140">
        <f t="shared" si="10"/>
        <v>46.858457353376807</v>
      </c>
      <c r="L24" s="67">
        <v>0</v>
      </c>
      <c r="M24" s="67"/>
      <c r="N24" s="67"/>
      <c r="O24" s="67"/>
      <c r="P24" s="67"/>
      <c r="Q24" s="67"/>
      <c r="R24" s="67">
        <f t="shared" si="15"/>
        <v>0</v>
      </c>
      <c r="S24" s="67"/>
      <c r="T24" s="67"/>
      <c r="U24" s="67"/>
      <c r="V24" s="67"/>
      <c r="W24" s="67"/>
      <c r="X24" s="140"/>
      <c r="Y24" s="67">
        <f t="shared" si="16"/>
        <v>561549.41</v>
      </c>
      <c r="Z24" s="15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</row>
    <row r="25" spans="1:538" s="22" customFormat="1" ht="33.75" customHeight="1" x14ac:dyDescent="0.25">
      <c r="A25" s="42" t="s">
        <v>355</v>
      </c>
      <c r="B25" s="43" t="str">
        <f>'дод 3'!A75</f>
        <v>3242</v>
      </c>
      <c r="C25" s="43" t="str">
        <f>'дод 3'!B75</f>
        <v>1090</v>
      </c>
      <c r="D25" s="23" t="str">
        <f>'дод 3'!C75</f>
        <v>Інші заходи у сфері соціального захисту і соціального забезпечення</v>
      </c>
      <c r="E25" s="67">
        <v>218310</v>
      </c>
      <c r="F25" s="67"/>
      <c r="G25" s="67"/>
      <c r="H25" s="67">
        <v>75710.05</v>
      </c>
      <c r="I25" s="67"/>
      <c r="J25" s="67"/>
      <c r="K25" s="140">
        <f t="shared" si="10"/>
        <v>34.680065045119328</v>
      </c>
      <c r="L25" s="67">
        <v>0</v>
      </c>
      <c r="M25" s="67"/>
      <c r="N25" s="67"/>
      <c r="O25" s="67"/>
      <c r="P25" s="67"/>
      <c r="Q25" s="67"/>
      <c r="R25" s="67">
        <f t="shared" si="15"/>
        <v>0</v>
      </c>
      <c r="S25" s="67"/>
      <c r="T25" s="67"/>
      <c r="U25" s="67"/>
      <c r="V25" s="67"/>
      <c r="W25" s="67"/>
      <c r="X25" s="140"/>
      <c r="Y25" s="67">
        <f t="shared" si="16"/>
        <v>75710.05</v>
      </c>
      <c r="Z25" s="15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</row>
    <row r="26" spans="1:538" s="22" customFormat="1" ht="33.75" customHeight="1" x14ac:dyDescent="0.25">
      <c r="A26" s="42" t="s">
        <v>374</v>
      </c>
      <c r="B26" s="43" t="str">
        <f>'дод 3'!A78</f>
        <v>4060</v>
      </c>
      <c r="C26" s="43" t="str">
        <f>'дод 3'!B78</f>
        <v>0828</v>
      </c>
      <c r="D26" s="23" t="str">
        <f>'дод 3'!C78</f>
        <v>Забезпечення діяльності палаців i будинків культури, клубів, центрів дозвілля та iнших клубних закладів</v>
      </c>
      <c r="E26" s="67">
        <v>4644900</v>
      </c>
      <c r="F26" s="67">
        <v>2098000</v>
      </c>
      <c r="G26" s="67">
        <v>727600</v>
      </c>
      <c r="H26" s="67">
        <v>1286877.77</v>
      </c>
      <c r="I26" s="67">
        <v>730744</v>
      </c>
      <c r="J26" s="67">
        <v>142511.13</v>
      </c>
      <c r="K26" s="140">
        <f t="shared" si="10"/>
        <v>27.705177075932745</v>
      </c>
      <c r="L26" s="67">
        <v>25500</v>
      </c>
      <c r="M26" s="67">
        <v>25500</v>
      </c>
      <c r="N26" s="67"/>
      <c r="O26" s="67"/>
      <c r="P26" s="67"/>
      <c r="Q26" s="67">
        <v>25500</v>
      </c>
      <c r="R26" s="67">
        <f t="shared" si="15"/>
        <v>25500</v>
      </c>
      <c r="S26" s="67">
        <v>25500</v>
      </c>
      <c r="T26" s="67"/>
      <c r="U26" s="67"/>
      <c r="V26" s="67"/>
      <c r="W26" s="67">
        <v>25500</v>
      </c>
      <c r="X26" s="140">
        <f t="shared" si="14"/>
        <v>100</v>
      </c>
      <c r="Y26" s="67">
        <f t="shared" si="16"/>
        <v>1312377.77</v>
      </c>
      <c r="Z26" s="15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</row>
    <row r="27" spans="1:538" s="22" customFormat="1" ht="30.75" customHeight="1" x14ac:dyDescent="0.25">
      <c r="A27" s="42" t="s">
        <v>352</v>
      </c>
      <c r="B27" s="43" t="str">
        <f>'дод 3'!A79</f>
        <v>4081</v>
      </c>
      <c r="C27" s="43" t="str">
        <f>'дод 3'!B79</f>
        <v>0829</v>
      </c>
      <c r="D27" s="23" t="str">
        <f>'дод 3'!C79</f>
        <v>Забезпечення діяльності інших закладів в галузі культури і мистецтва</v>
      </c>
      <c r="E27" s="67">
        <v>3437900</v>
      </c>
      <c r="F27" s="67">
        <v>1389000</v>
      </c>
      <c r="G27" s="67">
        <v>91200</v>
      </c>
      <c r="H27" s="67">
        <v>922725.27</v>
      </c>
      <c r="I27" s="67">
        <v>663308.16</v>
      </c>
      <c r="J27" s="67">
        <v>49166.9</v>
      </c>
      <c r="K27" s="140">
        <f t="shared" si="10"/>
        <v>26.839793769452282</v>
      </c>
      <c r="L27" s="67">
        <v>224000</v>
      </c>
      <c r="M27" s="67">
        <v>224000</v>
      </c>
      <c r="N27" s="67"/>
      <c r="O27" s="67"/>
      <c r="P27" s="67"/>
      <c r="Q27" s="67">
        <v>224000</v>
      </c>
      <c r="R27" s="67">
        <f t="shared" si="15"/>
        <v>3300</v>
      </c>
      <c r="S27" s="67"/>
      <c r="T27" s="67">
        <v>3300</v>
      </c>
      <c r="U27" s="67"/>
      <c r="V27" s="67"/>
      <c r="W27" s="67"/>
      <c r="X27" s="140">
        <f t="shared" si="14"/>
        <v>1.4732142857142856</v>
      </c>
      <c r="Y27" s="67">
        <f t="shared" si="16"/>
        <v>926025.27</v>
      </c>
      <c r="Z27" s="15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</row>
    <row r="28" spans="1:538" s="22" customFormat="1" ht="25.5" customHeight="1" x14ac:dyDescent="0.25">
      <c r="A28" s="42" t="s">
        <v>353</v>
      </c>
      <c r="B28" s="43" t="str">
        <f>'дод 3'!A80</f>
        <v>4082</v>
      </c>
      <c r="C28" s="43" t="str">
        <f>'дод 3'!B80</f>
        <v>0829</v>
      </c>
      <c r="D28" s="23" t="str">
        <f>'дод 3'!C80</f>
        <v>Інші заходи в галузі культури і мистецтва</v>
      </c>
      <c r="E28" s="67">
        <v>465000</v>
      </c>
      <c r="F28" s="67"/>
      <c r="G28" s="67"/>
      <c r="H28" s="67">
        <v>30400</v>
      </c>
      <c r="I28" s="67"/>
      <c r="J28" s="67"/>
      <c r="K28" s="140">
        <f t="shared" si="10"/>
        <v>6.5376344086021509</v>
      </c>
      <c r="L28" s="67">
        <v>0</v>
      </c>
      <c r="M28" s="67"/>
      <c r="N28" s="67"/>
      <c r="O28" s="67"/>
      <c r="P28" s="67"/>
      <c r="Q28" s="67"/>
      <c r="R28" s="67">
        <f t="shared" si="15"/>
        <v>0</v>
      </c>
      <c r="S28" s="67"/>
      <c r="T28" s="67"/>
      <c r="U28" s="67"/>
      <c r="V28" s="67"/>
      <c r="W28" s="67"/>
      <c r="X28" s="140"/>
      <c r="Y28" s="67">
        <f t="shared" si="16"/>
        <v>30400</v>
      </c>
      <c r="Z28" s="15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</row>
    <row r="29" spans="1:538" s="22" customFormat="1" ht="36.75" customHeight="1" x14ac:dyDescent="0.25">
      <c r="A29" s="51" t="s">
        <v>187</v>
      </c>
      <c r="B29" s="44" t="str">
        <f>'дод 3'!A82</f>
        <v>5011</v>
      </c>
      <c r="C29" s="44" t="str">
        <f>'дод 3'!B82</f>
        <v>0810</v>
      </c>
      <c r="D29" s="21" t="str">
        <f>'дод 3'!C82</f>
        <v>Проведення навчально-тренувальних зборів і змагань з олімпійських видів спорту</v>
      </c>
      <c r="E29" s="67">
        <v>1761000</v>
      </c>
      <c r="F29" s="67"/>
      <c r="G29" s="67"/>
      <c r="H29" s="67">
        <v>51745.19</v>
      </c>
      <c r="I29" s="67"/>
      <c r="J29" s="67"/>
      <c r="K29" s="140">
        <f t="shared" si="10"/>
        <v>2.938398069278819</v>
      </c>
      <c r="L29" s="67">
        <v>0</v>
      </c>
      <c r="M29" s="67"/>
      <c r="N29" s="67"/>
      <c r="O29" s="67"/>
      <c r="P29" s="67"/>
      <c r="Q29" s="67"/>
      <c r="R29" s="67">
        <f t="shared" si="15"/>
        <v>0</v>
      </c>
      <c r="S29" s="67"/>
      <c r="T29" s="67"/>
      <c r="U29" s="67"/>
      <c r="V29" s="67"/>
      <c r="W29" s="67"/>
      <c r="X29" s="140"/>
      <c r="Y29" s="67">
        <f t="shared" si="16"/>
        <v>51745.19</v>
      </c>
      <c r="Z29" s="15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</row>
    <row r="30" spans="1:538" s="22" customFormat="1" ht="34.5" customHeight="1" x14ac:dyDescent="0.25">
      <c r="A30" s="51" t="s">
        <v>188</v>
      </c>
      <c r="B30" s="44" t="str">
        <f>'дод 3'!A83</f>
        <v>5012</v>
      </c>
      <c r="C30" s="44" t="str">
        <f>'дод 3'!B83</f>
        <v>0810</v>
      </c>
      <c r="D30" s="21" t="str">
        <f>'дод 3'!C83</f>
        <v>Проведення навчально-тренувальних зборів і змагань з неолімпійських видів спорту</v>
      </c>
      <c r="E30" s="67">
        <v>2275000</v>
      </c>
      <c r="F30" s="67"/>
      <c r="G30" s="67"/>
      <c r="H30" s="67">
        <v>133787.51999999999</v>
      </c>
      <c r="I30" s="67"/>
      <c r="J30" s="67"/>
      <c r="K30" s="140">
        <f t="shared" si="10"/>
        <v>5.8807701098901095</v>
      </c>
      <c r="L30" s="67">
        <v>0</v>
      </c>
      <c r="M30" s="67"/>
      <c r="N30" s="67"/>
      <c r="O30" s="67"/>
      <c r="P30" s="67"/>
      <c r="Q30" s="67"/>
      <c r="R30" s="67">
        <f t="shared" si="15"/>
        <v>0</v>
      </c>
      <c r="S30" s="67"/>
      <c r="T30" s="67"/>
      <c r="U30" s="67"/>
      <c r="V30" s="67"/>
      <c r="W30" s="67"/>
      <c r="X30" s="140"/>
      <c r="Y30" s="67">
        <f t="shared" si="16"/>
        <v>133787.51999999999</v>
      </c>
      <c r="Z30" s="15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</row>
    <row r="31" spans="1:538" s="22" customFormat="1" ht="39" customHeight="1" x14ac:dyDescent="0.25">
      <c r="A31" s="51" t="s">
        <v>189</v>
      </c>
      <c r="B31" s="44" t="str">
        <f>'дод 3'!A84</f>
        <v>5031</v>
      </c>
      <c r="C31" s="44" t="str">
        <f>'дод 3'!B84</f>
        <v>0810</v>
      </c>
      <c r="D31" s="21" t="str">
        <f>'дод 3'!C84</f>
        <v>Утримання та навчально-тренувальна робота комунальних дитячо-юнацьких спортивних шкіл</v>
      </c>
      <c r="E31" s="67">
        <v>13555830</v>
      </c>
      <c r="F31" s="67">
        <v>9753300</v>
      </c>
      <c r="G31" s="67">
        <v>819990</v>
      </c>
      <c r="H31" s="67">
        <v>6191079.7999999998</v>
      </c>
      <c r="I31" s="67">
        <v>4757974.4000000004</v>
      </c>
      <c r="J31" s="67">
        <v>358457.37</v>
      </c>
      <c r="K31" s="140">
        <f t="shared" si="10"/>
        <v>45.670975513856398</v>
      </c>
      <c r="L31" s="67">
        <v>728000</v>
      </c>
      <c r="M31" s="67">
        <f>500000+228000</f>
        <v>728000</v>
      </c>
      <c r="N31" s="67"/>
      <c r="O31" s="67"/>
      <c r="P31" s="67"/>
      <c r="Q31" s="67">
        <f>500000+228000</f>
        <v>728000</v>
      </c>
      <c r="R31" s="67">
        <f t="shared" si="15"/>
        <v>0</v>
      </c>
      <c r="S31" s="67"/>
      <c r="T31" s="67"/>
      <c r="U31" s="67"/>
      <c r="V31" s="67"/>
      <c r="W31" s="67"/>
      <c r="X31" s="140">
        <f t="shared" si="14"/>
        <v>0</v>
      </c>
      <c r="Y31" s="67">
        <f t="shared" si="16"/>
        <v>6191079.7999999998</v>
      </c>
      <c r="Z31" s="15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</row>
    <row r="32" spans="1:538" s="22" customFormat="1" ht="33.75" customHeight="1" x14ac:dyDescent="0.25">
      <c r="A32" s="51" t="s">
        <v>417</v>
      </c>
      <c r="B32" s="44" t="str">
        <f>'дод 3'!A85</f>
        <v>5032</v>
      </c>
      <c r="C32" s="44" t="str">
        <f>'дод 3'!B85</f>
        <v>0810</v>
      </c>
      <c r="D32" s="21" t="str">
        <f>'дод 3'!C85</f>
        <v>Фінансова підтримка дитячо-юнацьких спортивних шкіл фізкультурно-спортивних товариств</v>
      </c>
      <c r="E32" s="67">
        <v>11346630</v>
      </c>
      <c r="F32" s="67"/>
      <c r="G32" s="67"/>
      <c r="H32" s="67">
        <v>5242059.88</v>
      </c>
      <c r="I32" s="67"/>
      <c r="J32" s="67"/>
      <c r="K32" s="140">
        <f t="shared" si="10"/>
        <v>46.19926691890015</v>
      </c>
      <c r="L32" s="67">
        <v>130000</v>
      </c>
      <c r="M32" s="67">
        <f>93000+7000+30000</f>
        <v>130000</v>
      </c>
      <c r="N32" s="67"/>
      <c r="O32" s="67"/>
      <c r="P32" s="67"/>
      <c r="Q32" s="67">
        <f>93000+7000+30000</f>
        <v>130000</v>
      </c>
      <c r="R32" s="67">
        <f t="shared" si="15"/>
        <v>0</v>
      </c>
      <c r="S32" s="67"/>
      <c r="T32" s="67"/>
      <c r="U32" s="67"/>
      <c r="V32" s="67"/>
      <c r="W32" s="67"/>
      <c r="X32" s="140">
        <f t="shared" si="14"/>
        <v>0</v>
      </c>
      <c r="Y32" s="67">
        <f t="shared" si="16"/>
        <v>5242059.88</v>
      </c>
      <c r="Z32" s="15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</row>
    <row r="33" spans="1:538" s="22" customFormat="1" ht="48" customHeight="1" x14ac:dyDescent="0.25">
      <c r="A33" s="51" t="s">
        <v>190</v>
      </c>
      <c r="B33" s="44" t="str">
        <f>'дод 3'!A86</f>
        <v>5061</v>
      </c>
      <c r="C33" s="44" t="str">
        <f>'дод 3'!B86</f>
        <v>0810</v>
      </c>
      <c r="D33" s="21" t="str">
        <f>'дод 3'!C86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3" s="67">
        <v>3943120</v>
      </c>
      <c r="F33" s="67">
        <v>2446900</v>
      </c>
      <c r="G33" s="67">
        <v>370100</v>
      </c>
      <c r="H33" s="67">
        <v>1656021.24</v>
      </c>
      <c r="I33" s="67">
        <v>1151567.6599999999</v>
      </c>
      <c r="J33" s="67">
        <v>145684.74</v>
      </c>
      <c r="K33" s="140">
        <f t="shared" si="10"/>
        <v>41.997738846395748</v>
      </c>
      <c r="L33" s="67">
        <v>1079120</v>
      </c>
      <c r="M33" s="67">
        <v>900000</v>
      </c>
      <c r="N33" s="67">
        <v>179120</v>
      </c>
      <c r="O33" s="67">
        <v>91105</v>
      </c>
      <c r="P33" s="67">
        <v>51050</v>
      </c>
      <c r="Q33" s="67">
        <v>900000</v>
      </c>
      <c r="R33" s="67">
        <f t="shared" si="15"/>
        <v>90000.07</v>
      </c>
      <c r="S33" s="67"/>
      <c r="T33" s="67">
        <v>90000.07</v>
      </c>
      <c r="U33" s="67">
        <v>1826.63</v>
      </c>
      <c r="V33" s="67">
        <v>558.39</v>
      </c>
      <c r="W33" s="67"/>
      <c r="X33" s="140">
        <f t="shared" si="14"/>
        <v>8.340135480762104</v>
      </c>
      <c r="Y33" s="67">
        <f t="shared" si="16"/>
        <v>1746021.31</v>
      </c>
      <c r="Z33" s="15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</row>
    <row r="34" spans="1:538" s="22" customFormat="1" ht="39" customHeight="1" x14ac:dyDescent="0.25">
      <c r="A34" s="51" t="s">
        <v>409</v>
      </c>
      <c r="B34" s="44" t="str">
        <f>'дод 3'!A87</f>
        <v>5062</v>
      </c>
      <c r="C34" s="44" t="str">
        <f>'дод 3'!B87</f>
        <v>0810</v>
      </c>
      <c r="D34" s="21" t="str">
        <f>'дод 3'!C87</f>
        <v>Підтримка спорту вищих досягнень та організацій, які здійснюють фізкультурно-спортивну діяльність в регіоні</v>
      </c>
      <c r="E34" s="67">
        <v>7093390</v>
      </c>
      <c r="F34" s="67"/>
      <c r="G34" s="67"/>
      <c r="H34" s="67">
        <v>2992790.59</v>
      </c>
      <c r="I34" s="67"/>
      <c r="J34" s="67"/>
      <c r="K34" s="140">
        <f t="shared" si="10"/>
        <v>42.191259609298228</v>
      </c>
      <c r="L34" s="67">
        <v>43450</v>
      </c>
      <c r="M34" s="67">
        <v>43450</v>
      </c>
      <c r="N34" s="67"/>
      <c r="O34" s="67"/>
      <c r="P34" s="67"/>
      <c r="Q34" s="67">
        <v>43450</v>
      </c>
      <c r="R34" s="67">
        <f t="shared" si="15"/>
        <v>0</v>
      </c>
      <c r="S34" s="67"/>
      <c r="T34" s="67"/>
      <c r="U34" s="67"/>
      <c r="V34" s="67"/>
      <c r="W34" s="67"/>
      <c r="X34" s="140">
        <f t="shared" si="14"/>
        <v>0</v>
      </c>
      <c r="Y34" s="67">
        <f t="shared" si="16"/>
        <v>2992790.59</v>
      </c>
      <c r="Z34" s="15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</row>
    <row r="35" spans="1:538" s="22" customFormat="1" ht="24" customHeight="1" x14ac:dyDescent="0.25">
      <c r="A35" s="51" t="s">
        <v>191</v>
      </c>
      <c r="B35" s="44" t="str">
        <f>'дод 3'!A115</f>
        <v>7412</v>
      </c>
      <c r="C35" s="44" t="str">
        <f>'дод 3'!B115</f>
        <v>0451</v>
      </c>
      <c r="D35" s="21" t="str">
        <f>'дод 3'!C115</f>
        <v>Регулювання цін на послуги місцевого автотранспорту</v>
      </c>
      <c r="E35" s="67">
        <v>10000000</v>
      </c>
      <c r="F35" s="67"/>
      <c r="G35" s="67"/>
      <c r="H35" s="67">
        <v>2425589</v>
      </c>
      <c r="I35" s="67"/>
      <c r="J35" s="67"/>
      <c r="K35" s="140">
        <f t="shared" si="10"/>
        <v>24.255890000000001</v>
      </c>
      <c r="L35" s="67">
        <v>0</v>
      </c>
      <c r="M35" s="67"/>
      <c r="N35" s="67"/>
      <c r="O35" s="67"/>
      <c r="P35" s="67"/>
      <c r="Q35" s="67"/>
      <c r="R35" s="67">
        <f t="shared" si="15"/>
        <v>0</v>
      </c>
      <c r="S35" s="67"/>
      <c r="T35" s="67"/>
      <c r="U35" s="67"/>
      <c r="V35" s="67"/>
      <c r="W35" s="67"/>
      <c r="X35" s="140"/>
      <c r="Y35" s="67">
        <f t="shared" si="16"/>
        <v>2425589</v>
      </c>
      <c r="Z35" s="15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</row>
    <row r="36" spans="1:538" s="22" customFormat="1" ht="24" customHeight="1" x14ac:dyDescent="0.25">
      <c r="A36" s="51" t="s">
        <v>451</v>
      </c>
      <c r="B36" s="44">
        <f>'дод 3'!A116</f>
        <v>7413</v>
      </c>
      <c r="C36" s="44" t="str">
        <f>'дод 3'!B116</f>
        <v>0451</v>
      </c>
      <c r="D36" s="121" t="str">
        <f>'дод 3'!C116</f>
        <v>Інші заходи у сфері автотранспорту</v>
      </c>
      <c r="E36" s="67">
        <v>2800000</v>
      </c>
      <c r="F36" s="67"/>
      <c r="G36" s="67"/>
      <c r="H36" s="67">
        <v>2800000</v>
      </c>
      <c r="I36" s="67"/>
      <c r="J36" s="67"/>
      <c r="K36" s="140">
        <f t="shared" si="10"/>
        <v>100</v>
      </c>
      <c r="L36" s="67">
        <v>0</v>
      </c>
      <c r="M36" s="67"/>
      <c r="N36" s="67"/>
      <c r="O36" s="67"/>
      <c r="P36" s="67"/>
      <c r="Q36" s="67"/>
      <c r="R36" s="67">
        <f t="shared" si="15"/>
        <v>0</v>
      </c>
      <c r="S36" s="67"/>
      <c r="T36" s="67"/>
      <c r="U36" s="67"/>
      <c r="V36" s="67"/>
      <c r="W36" s="67"/>
      <c r="X36" s="140"/>
      <c r="Y36" s="67">
        <f t="shared" si="16"/>
        <v>2800000</v>
      </c>
      <c r="Z36" s="15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</row>
    <row r="37" spans="1:538" s="22" customFormat="1" ht="24" customHeight="1" x14ac:dyDescent="0.25">
      <c r="A37" s="51" t="s">
        <v>452</v>
      </c>
      <c r="B37" s="44">
        <f>'дод 3'!A117</f>
        <v>7426</v>
      </c>
      <c r="C37" s="51" t="s">
        <v>470</v>
      </c>
      <c r="D37" s="121" t="str">
        <f>'дод 3'!C117</f>
        <v>Інші заходи у сфері електротранспорту</v>
      </c>
      <c r="E37" s="67">
        <v>15200000</v>
      </c>
      <c r="F37" s="67"/>
      <c r="G37" s="67"/>
      <c r="H37" s="67">
        <v>13068540.640000001</v>
      </c>
      <c r="I37" s="67"/>
      <c r="J37" s="67"/>
      <c r="K37" s="140">
        <f t="shared" si="10"/>
        <v>85.977241052631584</v>
      </c>
      <c r="L37" s="67">
        <v>0</v>
      </c>
      <c r="M37" s="67"/>
      <c r="N37" s="67"/>
      <c r="O37" s="67"/>
      <c r="P37" s="67"/>
      <c r="Q37" s="67"/>
      <c r="R37" s="67">
        <f t="shared" si="15"/>
        <v>0</v>
      </c>
      <c r="S37" s="67"/>
      <c r="T37" s="67"/>
      <c r="U37" s="67"/>
      <c r="V37" s="67"/>
      <c r="W37" s="67"/>
      <c r="X37" s="140"/>
      <c r="Y37" s="67">
        <f t="shared" si="16"/>
        <v>13068540.640000001</v>
      </c>
      <c r="Z37" s="15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</row>
    <row r="38" spans="1:538" s="22" customFormat="1" ht="31.5" customHeight="1" x14ac:dyDescent="0.25">
      <c r="A38" s="51" t="s">
        <v>274</v>
      </c>
      <c r="B38" s="44" t="str">
        <f>'дод 3'!A121</f>
        <v>7530</v>
      </c>
      <c r="C38" s="44" t="str">
        <f>'дод 3'!B121</f>
        <v>0460</v>
      </c>
      <c r="D38" s="21" t="str">
        <f>'дод 3'!C121</f>
        <v>Інші заходи у сфері зв'язку, телекомунікації та інформатики</v>
      </c>
      <c r="E38" s="67">
        <v>13450000</v>
      </c>
      <c r="F38" s="67"/>
      <c r="G38" s="67"/>
      <c r="H38" s="67">
        <v>2884105.6</v>
      </c>
      <c r="I38" s="67"/>
      <c r="J38" s="67"/>
      <c r="K38" s="140">
        <f t="shared" si="10"/>
        <v>21.443164312267658</v>
      </c>
      <c r="L38" s="67">
        <v>6050000</v>
      </c>
      <c r="M38" s="67">
        <f>5000000+1050000</f>
        <v>6050000</v>
      </c>
      <c r="N38" s="67"/>
      <c r="O38" s="67"/>
      <c r="P38" s="67"/>
      <c r="Q38" s="67">
        <f>5000000+1050000</f>
        <v>6050000</v>
      </c>
      <c r="R38" s="67">
        <f t="shared" si="15"/>
        <v>0</v>
      </c>
      <c r="S38" s="67"/>
      <c r="T38" s="67"/>
      <c r="U38" s="67"/>
      <c r="V38" s="67"/>
      <c r="W38" s="67"/>
      <c r="X38" s="140"/>
      <c r="Y38" s="67">
        <f t="shared" si="16"/>
        <v>2884105.6</v>
      </c>
      <c r="Z38" s="15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</row>
    <row r="39" spans="1:538" s="22" customFormat="1" ht="20.25" customHeight="1" x14ac:dyDescent="0.25">
      <c r="A39" s="51" t="s">
        <v>192</v>
      </c>
      <c r="B39" s="44" t="str">
        <f>'дод 3'!A123</f>
        <v>7610</v>
      </c>
      <c r="C39" s="44" t="str">
        <f>'дод 3'!B123</f>
        <v>0411</v>
      </c>
      <c r="D39" s="21" t="str">
        <f>'дод 3'!C123</f>
        <v>Сприяння розвитку малого та середнього підприємництва</v>
      </c>
      <c r="E39" s="67">
        <v>215000</v>
      </c>
      <c r="F39" s="67"/>
      <c r="G39" s="67"/>
      <c r="H39" s="67">
        <v>60300</v>
      </c>
      <c r="I39" s="67"/>
      <c r="J39" s="67"/>
      <c r="K39" s="140">
        <f t="shared" si="10"/>
        <v>28.046511627906977</v>
      </c>
      <c r="L39" s="67">
        <v>0</v>
      </c>
      <c r="M39" s="67"/>
      <c r="N39" s="67"/>
      <c r="O39" s="67"/>
      <c r="P39" s="67"/>
      <c r="Q39" s="67"/>
      <c r="R39" s="67">
        <f t="shared" si="15"/>
        <v>0</v>
      </c>
      <c r="S39" s="67"/>
      <c r="T39" s="67"/>
      <c r="U39" s="67"/>
      <c r="V39" s="67"/>
      <c r="W39" s="67"/>
      <c r="X39" s="140"/>
      <c r="Y39" s="67">
        <f t="shared" si="16"/>
        <v>60300</v>
      </c>
      <c r="Z39" s="15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</row>
    <row r="40" spans="1:538" s="22" customFormat="1" ht="23.25" customHeight="1" x14ac:dyDescent="0.25">
      <c r="A40" s="51" t="s">
        <v>193</v>
      </c>
      <c r="B40" s="44" t="str">
        <f>'дод 3'!A127</f>
        <v>7670</v>
      </c>
      <c r="C40" s="44" t="str">
        <f>'дод 3'!B127</f>
        <v>0490</v>
      </c>
      <c r="D40" s="21" t="str">
        <f>'дод 3'!C127</f>
        <v>Внески до статутного капіталу суб’єктів господарювання</v>
      </c>
      <c r="E40" s="67">
        <v>0</v>
      </c>
      <c r="F40" s="67"/>
      <c r="G40" s="67"/>
      <c r="H40" s="67"/>
      <c r="I40" s="67"/>
      <c r="J40" s="67"/>
      <c r="K40" s="140"/>
      <c r="L40" s="67">
        <v>22572000</v>
      </c>
      <c r="M40" s="67">
        <f>22572000</f>
        <v>22572000</v>
      </c>
      <c r="N40" s="67"/>
      <c r="O40" s="67"/>
      <c r="P40" s="67"/>
      <c r="Q40" s="67">
        <f>22572000</f>
        <v>22572000</v>
      </c>
      <c r="R40" s="67">
        <f t="shared" si="15"/>
        <v>0</v>
      </c>
      <c r="S40" s="67"/>
      <c r="T40" s="67"/>
      <c r="U40" s="67"/>
      <c r="V40" s="67"/>
      <c r="W40" s="67"/>
      <c r="X40" s="140"/>
      <c r="Y40" s="67">
        <f t="shared" si="16"/>
        <v>0</v>
      </c>
      <c r="Z40" s="15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</row>
    <row r="41" spans="1:538" s="22" customFormat="1" ht="36.75" customHeight="1" x14ac:dyDescent="0.25">
      <c r="A41" s="51" t="s">
        <v>288</v>
      </c>
      <c r="B41" s="44" t="str">
        <f>'дод 3'!A128</f>
        <v>7680</v>
      </c>
      <c r="C41" s="44" t="str">
        <f>'дод 3'!B128</f>
        <v>0490</v>
      </c>
      <c r="D41" s="21" t="str">
        <f>'дод 3'!C128</f>
        <v>Членські внески до асоціацій органів місцевого самоврядування</v>
      </c>
      <c r="E41" s="67">
        <v>241467</v>
      </c>
      <c r="F41" s="67"/>
      <c r="G41" s="67"/>
      <c r="H41" s="67">
        <v>129892</v>
      </c>
      <c r="I41" s="67"/>
      <c r="J41" s="67"/>
      <c r="K41" s="140">
        <f t="shared" si="10"/>
        <v>53.792857823222221</v>
      </c>
      <c r="L41" s="67">
        <v>0</v>
      </c>
      <c r="M41" s="67"/>
      <c r="N41" s="67"/>
      <c r="O41" s="67"/>
      <c r="P41" s="67"/>
      <c r="Q41" s="67"/>
      <c r="R41" s="67">
        <f t="shared" si="15"/>
        <v>0</v>
      </c>
      <c r="S41" s="67"/>
      <c r="T41" s="67"/>
      <c r="U41" s="67"/>
      <c r="V41" s="67"/>
      <c r="W41" s="67"/>
      <c r="X41" s="140"/>
      <c r="Y41" s="67">
        <f t="shared" si="16"/>
        <v>129892</v>
      </c>
      <c r="Z41" s="15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</row>
    <row r="42" spans="1:538" s="22" customFormat="1" ht="108.75" customHeight="1" x14ac:dyDescent="0.25">
      <c r="A42" s="51" t="s">
        <v>350</v>
      </c>
      <c r="B42" s="44" t="str">
        <f>'дод 3'!A129</f>
        <v>7691</v>
      </c>
      <c r="C42" s="44" t="str">
        <f>'дод 3'!B129</f>
        <v>0490</v>
      </c>
      <c r="D42" s="21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2" s="67">
        <v>0</v>
      </c>
      <c r="F42" s="67"/>
      <c r="G42" s="67"/>
      <c r="H42" s="67"/>
      <c r="I42" s="67"/>
      <c r="J42" s="67"/>
      <c r="K42" s="140"/>
      <c r="L42" s="67">
        <v>68223.199999999997</v>
      </c>
      <c r="M42" s="67"/>
      <c r="N42" s="67">
        <f>64711+3512.2</f>
        <v>68223.199999999997</v>
      </c>
      <c r="O42" s="67"/>
      <c r="P42" s="67"/>
      <c r="Q42" s="67"/>
      <c r="R42" s="67">
        <f t="shared" si="15"/>
        <v>1950</v>
      </c>
      <c r="S42" s="67"/>
      <c r="T42" s="67">
        <v>1950</v>
      </c>
      <c r="U42" s="67"/>
      <c r="V42" s="67"/>
      <c r="W42" s="67"/>
      <c r="X42" s="140">
        <f t="shared" si="14"/>
        <v>2.8582652235603137</v>
      </c>
      <c r="Y42" s="67">
        <f t="shared" si="16"/>
        <v>1950</v>
      </c>
      <c r="Z42" s="156">
        <v>9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</row>
    <row r="43" spans="1:538" s="22" customFormat="1" ht="23.25" customHeight="1" x14ac:dyDescent="0.25">
      <c r="A43" s="51" t="s">
        <v>281</v>
      </c>
      <c r="B43" s="44" t="str">
        <f>'дод 3'!A130</f>
        <v>7693</v>
      </c>
      <c r="C43" s="44" t="str">
        <f>'дод 3'!B130</f>
        <v>0490</v>
      </c>
      <c r="D43" s="21" t="str">
        <f>'дод 3'!C130</f>
        <v>Інші заходи, пов'язані з економічною діяльністю</v>
      </c>
      <c r="E43" s="67">
        <v>1869189</v>
      </c>
      <c r="F43" s="67"/>
      <c r="G43" s="67"/>
      <c r="H43" s="67">
        <v>83480.69</v>
      </c>
      <c r="I43" s="67"/>
      <c r="J43" s="67"/>
      <c r="K43" s="140">
        <f t="shared" si="10"/>
        <v>4.4661449430742426</v>
      </c>
      <c r="L43" s="67">
        <v>0</v>
      </c>
      <c r="M43" s="67"/>
      <c r="N43" s="67"/>
      <c r="O43" s="67"/>
      <c r="P43" s="67"/>
      <c r="Q43" s="67"/>
      <c r="R43" s="67">
        <f t="shared" si="15"/>
        <v>0</v>
      </c>
      <c r="S43" s="67"/>
      <c r="T43" s="67"/>
      <c r="U43" s="67"/>
      <c r="V43" s="67"/>
      <c r="W43" s="67"/>
      <c r="X43" s="140"/>
      <c r="Y43" s="67">
        <f t="shared" si="16"/>
        <v>83480.69</v>
      </c>
      <c r="Z43" s="156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</row>
    <row r="44" spans="1:538" s="22" customFormat="1" ht="34.5" customHeight="1" x14ac:dyDescent="0.25">
      <c r="A44" s="51" t="s">
        <v>194</v>
      </c>
      <c r="B44" s="44" t="str">
        <f>'дод 3'!A135</f>
        <v>8110</v>
      </c>
      <c r="C44" s="44" t="str">
        <f>'дод 3'!B135</f>
        <v>0320</v>
      </c>
      <c r="D44" s="21" t="str">
        <f>'дод 3'!C135</f>
        <v>Заходи із запобігання та ліквідації надзвичайних ситуацій та наслідків стихійного лиха</v>
      </c>
      <c r="E44" s="67">
        <v>584500</v>
      </c>
      <c r="F44" s="67"/>
      <c r="G44" s="67">
        <v>7500</v>
      </c>
      <c r="H44" s="67">
        <v>301361.5</v>
      </c>
      <c r="I44" s="67"/>
      <c r="J44" s="67">
        <v>696.27</v>
      </c>
      <c r="K44" s="140">
        <f t="shared" si="10"/>
        <v>51.558853721129175</v>
      </c>
      <c r="L44" s="67">
        <v>2299600</v>
      </c>
      <c r="M44" s="67">
        <f>2159600+140000</f>
        <v>2299600</v>
      </c>
      <c r="N44" s="67"/>
      <c r="O44" s="67"/>
      <c r="P44" s="67"/>
      <c r="Q44" s="67">
        <f>2159600+140000</f>
        <v>2299600</v>
      </c>
      <c r="R44" s="67">
        <f t="shared" si="15"/>
        <v>133584</v>
      </c>
      <c r="S44" s="67">
        <v>133584</v>
      </c>
      <c r="T44" s="67"/>
      <c r="U44" s="67"/>
      <c r="V44" s="67"/>
      <c r="W44" s="67">
        <v>133584</v>
      </c>
      <c r="X44" s="140">
        <f t="shared" si="14"/>
        <v>5.8090102626543745</v>
      </c>
      <c r="Y44" s="67">
        <f t="shared" si="16"/>
        <v>434945.5</v>
      </c>
      <c r="Z44" s="156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</row>
    <row r="45" spans="1:538" s="22" customFormat="1" ht="19.5" customHeight="1" x14ac:dyDescent="0.25">
      <c r="A45" s="51" t="s">
        <v>264</v>
      </c>
      <c r="B45" s="44" t="str">
        <f>'дод 3'!A136</f>
        <v>8120</v>
      </c>
      <c r="C45" s="44" t="str">
        <f>'дод 3'!B136</f>
        <v>0320</v>
      </c>
      <c r="D45" s="21" t="str">
        <f>'дод 3'!C136</f>
        <v>Заходи з організації рятування на водах</v>
      </c>
      <c r="E45" s="67">
        <v>2030270</v>
      </c>
      <c r="F45" s="67">
        <v>1542220</v>
      </c>
      <c r="G45" s="67">
        <v>79880</v>
      </c>
      <c r="H45" s="67">
        <v>951762.98</v>
      </c>
      <c r="I45" s="67">
        <v>749610.38</v>
      </c>
      <c r="J45" s="67">
        <v>15679.65</v>
      </c>
      <c r="K45" s="140">
        <f t="shared" si="10"/>
        <v>46.878640771917034</v>
      </c>
      <c r="L45" s="67">
        <v>5500</v>
      </c>
      <c r="M45" s="67"/>
      <c r="N45" s="67">
        <v>5500</v>
      </c>
      <c r="O45" s="67"/>
      <c r="P45" s="67">
        <v>1400</v>
      </c>
      <c r="Q45" s="67"/>
      <c r="R45" s="67">
        <f t="shared" si="15"/>
        <v>20600</v>
      </c>
      <c r="S45" s="67"/>
      <c r="T45" s="67">
        <v>20600</v>
      </c>
      <c r="U45" s="67">
        <v>15000</v>
      </c>
      <c r="V45" s="67"/>
      <c r="W45" s="67"/>
      <c r="X45" s="140">
        <f t="shared" si="14"/>
        <v>374.54545454545456</v>
      </c>
      <c r="Y45" s="67">
        <f t="shared" si="16"/>
        <v>972362.98</v>
      </c>
      <c r="Z45" s="156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</row>
    <row r="46" spans="1:538" s="22" customFormat="1" ht="21.75" customHeight="1" x14ac:dyDescent="0.25">
      <c r="A46" s="51" t="s">
        <v>284</v>
      </c>
      <c r="B46" s="44" t="str">
        <f>'дод 3'!A138</f>
        <v>8230</v>
      </c>
      <c r="C46" s="44" t="str">
        <f>'дод 3'!B138</f>
        <v>0380</v>
      </c>
      <c r="D46" s="21" t="str">
        <f>'дод 3'!C138</f>
        <v>Інші заходи громадського порядку та безпеки</v>
      </c>
      <c r="E46" s="67">
        <v>683360</v>
      </c>
      <c r="F46" s="67"/>
      <c r="G46" s="67">
        <v>278160</v>
      </c>
      <c r="H46" s="67">
        <v>287187.78999999998</v>
      </c>
      <c r="I46" s="67"/>
      <c r="J46" s="67">
        <v>103625.89</v>
      </c>
      <c r="K46" s="140">
        <f t="shared" si="10"/>
        <v>42.025841430578318</v>
      </c>
      <c r="L46" s="67">
        <v>0</v>
      </c>
      <c r="M46" s="67"/>
      <c r="N46" s="67"/>
      <c r="O46" s="67"/>
      <c r="P46" s="67"/>
      <c r="Q46" s="67"/>
      <c r="R46" s="67">
        <f t="shared" si="15"/>
        <v>0</v>
      </c>
      <c r="S46" s="67"/>
      <c r="T46" s="67"/>
      <c r="U46" s="67"/>
      <c r="V46" s="67"/>
      <c r="W46" s="67"/>
      <c r="X46" s="140"/>
      <c r="Y46" s="67">
        <f t="shared" si="16"/>
        <v>287187.78999999998</v>
      </c>
      <c r="Z46" s="156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</row>
    <row r="47" spans="1:538" s="22" customFormat="1" ht="23.25" customHeight="1" x14ac:dyDescent="0.25">
      <c r="A47" s="42" t="s">
        <v>195</v>
      </c>
      <c r="B47" s="43" t="str">
        <f>'дод 3'!A141</f>
        <v>8340</v>
      </c>
      <c r="C47" s="43" t="str">
        <f>'дод 3'!B141</f>
        <v>0540</v>
      </c>
      <c r="D47" s="23" t="str">
        <f>'дод 3'!C141</f>
        <v>Природоохоронні заходи за рахунок цільових фондів</v>
      </c>
      <c r="E47" s="67">
        <v>0</v>
      </c>
      <c r="F47" s="67"/>
      <c r="G47" s="67"/>
      <c r="H47" s="67"/>
      <c r="I47" s="67"/>
      <c r="J47" s="67"/>
      <c r="K47" s="140"/>
      <c r="L47" s="67">
        <v>264000</v>
      </c>
      <c r="M47" s="67"/>
      <c r="N47" s="67">
        <v>264000</v>
      </c>
      <c r="O47" s="67"/>
      <c r="P47" s="67"/>
      <c r="Q47" s="67"/>
      <c r="R47" s="67">
        <f t="shared" si="15"/>
        <v>132873</v>
      </c>
      <c r="S47" s="67"/>
      <c r="T47" s="67">
        <v>132873</v>
      </c>
      <c r="U47" s="67"/>
      <c r="V47" s="67"/>
      <c r="W47" s="67"/>
      <c r="X47" s="140">
        <f t="shared" si="14"/>
        <v>50.330681818181823</v>
      </c>
      <c r="Y47" s="67">
        <f t="shared" si="16"/>
        <v>132873</v>
      </c>
      <c r="Z47" s="156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</row>
    <row r="48" spans="1:538" s="22" customFormat="1" ht="26.25" customHeight="1" x14ac:dyDescent="0.25">
      <c r="A48" s="51" t="s">
        <v>295</v>
      </c>
      <c r="B48" s="44" t="str">
        <f>'дод 3'!A143</f>
        <v>8420</v>
      </c>
      <c r="C48" s="44" t="str">
        <f>'дод 3'!B143</f>
        <v>0830</v>
      </c>
      <c r="D48" s="21" t="str">
        <f>'дод 3'!C143</f>
        <v>Інші заходи у сфері засобів масової інформації</v>
      </c>
      <c r="E48" s="67">
        <v>100000</v>
      </c>
      <c r="F48" s="67"/>
      <c r="G48" s="67"/>
      <c r="H48" s="67"/>
      <c r="I48" s="67"/>
      <c r="J48" s="67"/>
      <c r="K48" s="140">
        <f t="shared" si="10"/>
        <v>0</v>
      </c>
      <c r="L48" s="67">
        <v>0</v>
      </c>
      <c r="M48" s="67"/>
      <c r="N48" s="67"/>
      <c r="O48" s="67"/>
      <c r="P48" s="67"/>
      <c r="Q48" s="67"/>
      <c r="R48" s="67">
        <f t="shared" si="15"/>
        <v>0</v>
      </c>
      <c r="S48" s="67"/>
      <c r="T48" s="67"/>
      <c r="U48" s="67"/>
      <c r="V48" s="67"/>
      <c r="W48" s="67"/>
      <c r="X48" s="140"/>
      <c r="Y48" s="67">
        <f t="shared" si="16"/>
        <v>0</v>
      </c>
      <c r="Z48" s="156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</row>
    <row r="49" spans="1:538" s="22" customFormat="1" ht="42.75" customHeight="1" x14ac:dyDescent="0.25">
      <c r="A49" s="51" t="s">
        <v>457</v>
      </c>
      <c r="B49" s="44">
        <v>9800</v>
      </c>
      <c r="C49" s="51" t="s">
        <v>59</v>
      </c>
      <c r="D49" s="21" t="s">
        <v>438</v>
      </c>
      <c r="E49" s="67">
        <v>50000</v>
      </c>
      <c r="F49" s="67"/>
      <c r="G49" s="67"/>
      <c r="H49" s="67">
        <v>50000</v>
      </c>
      <c r="I49" s="67"/>
      <c r="J49" s="67"/>
      <c r="K49" s="140">
        <f t="shared" si="10"/>
        <v>100</v>
      </c>
      <c r="L49" s="67">
        <v>0</v>
      </c>
      <c r="M49" s="67"/>
      <c r="N49" s="67"/>
      <c r="O49" s="67"/>
      <c r="P49" s="67"/>
      <c r="Q49" s="67"/>
      <c r="R49" s="67">
        <f t="shared" si="15"/>
        <v>0</v>
      </c>
      <c r="S49" s="67"/>
      <c r="T49" s="67"/>
      <c r="U49" s="67"/>
      <c r="V49" s="67"/>
      <c r="W49" s="67"/>
      <c r="X49" s="140"/>
      <c r="Y49" s="67">
        <f t="shared" si="16"/>
        <v>50000</v>
      </c>
      <c r="Z49" s="15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</row>
    <row r="50" spans="1:538" s="30" customFormat="1" ht="23.25" customHeight="1" x14ac:dyDescent="0.2">
      <c r="A50" s="82" t="s">
        <v>196</v>
      </c>
      <c r="B50" s="69"/>
      <c r="C50" s="69"/>
      <c r="D50" s="29" t="s">
        <v>34</v>
      </c>
      <c r="E50" s="64">
        <f t="shared" ref="E50:J50" si="17">E51</f>
        <v>969942759</v>
      </c>
      <c r="F50" s="64">
        <f t="shared" si="17"/>
        <v>651436327</v>
      </c>
      <c r="G50" s="64">
        <f t="shared" si="17"/>
        <v>81257931</v>
      </c>
      <c r="H50" s="64">
        <f t="shared" si="17"/>
        <v>482903476.26999992</v>
      </c>
      <c r="I50" s="64">
        <f t="shared" si="17"/>
        <v>347529016.75000006</v>
      </c>
      <c r="J50" s="64">
        <f t="shared" si="17"/>
        <v>32275493.450000003</v>
      </c>
      <c r="K50" s="139">
        <f t="shared" si="10"/>
        <v>49.78680151887189</v>
      </c>
      <c r="L50" s="64">
        <f t="shared" ref="L50:M50" si="18">L51</f>
        <v>89730727.549999997</v>
      </c>
      <c r="M50" s="64">
        <f t="shared" si="18"/>
        <v>36014219.549999997</v>
      </c>
      <c r="N50" s="64">
        <f t="shared" ref="N50" si="19">N51</f>
        <v>53527508</v>
      </c>
      <c r="O50" s="64">
        <f t="shared" ref="O50" si="20">O51</f>
        <v>4208876</v>
      </c>
      <c r="P50" s="64">
        <f t="shared" ref="P50" si="21">P51</f>
        <v>3124191</v>
      </c>
      <c r="Q50" s="64">
        <f t="shared" ref="Q50:Y50" si="22">Q51</f>
        <v>36203219.549999997</v>
      </c>
      <c r="R50" s="64">
        <f t="shared" ref="R50:V50" si="23">R51</f>
        <v>17677314.409999996</v>
      </c>
      <c r="S50" s="64">
        <f t="shared" si="23"/>
        <v>6168140.75</v>
      </c>
      <c r="T50" s="64">
        <f t="shared" si="23"/>
        <v>10738897.699999999</v>
      </c>
      <c r="U50" s="64">
        <f t="shared" si="23"/>
        <v>1405782.82</v>
      </c>
      <c r="V50" s="64">
        <f t="shared" si="23"/>
        <v>1084116.55</v>
      </c>
      <c r="W50" s="64">
        <f t="shared" si="22"/>
        <v>6938416.7100000009</v>
      </c>
      <c r="X50" s="139">
        <f t="shared" si="14"/>
        <v>19.700402406912165</v>
      </c>
      <c r="Y50" s="64">
        <f t="shared" si="22"/>
        <v>500580790.67999989</v>
      </c>
      <c r="Z50" s="15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</row>
    <row r="51" spans="1:538" s="39" customFormat="1" ht="26.25" customHeight="1" x14ac:dyDescent="0.25">
      <c r="A51" s="83" t="s">
        <v>197</v>
      </c>
      <c r="B51" s="70"/>
      <c r="C51" s="70"/>
      <c r="D51" s="32" t="s">
        <v>34</v>
      </c>
      <c r="E51" s="66">
        <f t="shared" ref="E51" si="24">E53+E54+E56+E58+E60+E61+E63+E64+E65+E66+E68+E69+E70+E71+E72+E74+E75+E76</f>
        <v>969942759</v>
      </c>
      <c r="F51" s="66">
        <f t="shared" ref="F51:H51" si="25">F53+F54+F56+F58+F60+F61+F63+F64+F65+F66+F68+F69+F70+F71+F72+F74+F75+F76</f>
        <v>651436327</v>
      </c>
      <c r="G51" s="66">
        <f t="shared" si="25"/>
        <v>81257931</v>
      </c>
      <c r="H51" s="66">
        <f t="shared" si="25"/>
        <v>482903476.26999992</v>
      </c>
      <c r="I51" s="66">
        <f t="shared" ref="I51:J51" si="26">I53+I54+I56+I58+I60+I61+I63+I64+I65+I66+I68+I69+I70+I71+I72+I74+I75+I76</f>
        <v>347529016.75000006</v>
      </c>
      <c r="J51" s="66">
        <f t="shared" si="26"/>
        <v>32275493.450000003</v>
      </c>
      <c r="K51" s="139">
        <f t="shared" si="10"/>
        <v>49.78680151887189</v>
      </c>
      <c r="L51" s="66">
        <f t="shared" ref="L51" si="27">L53+L54+L56+L58+L60+L61+L63+L64+L65+L66+L68+L69+L70+L71+L72+L74+L75+L76</f>
        <v>89730727.549999997</v>
      </c>
      <c r="M51" s="66">
        <f t="shared" ref="M51:Y51" si="28">M53+M54+M56+M58+M60+M61+M63+M64+M65+M66+M68+M69+M70+M71+M72+M74+M75+M76</f>
        <v>36014219.549999997</v>
      </c>
      <c r="N51" s="66">
        <f t="shared" si="28"/>
        <v>53527508</v>
      </c>
      <c r="O51" s="66">
        <f t="shared" si="28"/>
        <v>4208876</v>
      </c>
      <c r="P51" s="66">
        <f t="shared" si="28"/>
        <v>3124191</v>
      </c>
      <c r="Q51" s="66">
        <f t="shared" si="28"/>
        <v>36203219.549999997</v>
      </c>
      <c r="R51" s="66">
        <f t="shared" si="28"/>
        <v>17677314.409999996</v>
      </c>
      <c r="S51" s="66">
        <f t="shared" ref="S51:W51" si="29">S53+S54+S56+S58+S60+S61+S63+S64+S65+S66+S68+S69+S70+S71+S72+S74+S75+S76</f>
        <v>6168140.75</v>
      </c>
      <c r="T51" s="66">
        <f t="shared" si="29"/>
        <v>10738897.699999999</v>
      </c>
      <c r="U51" s="66">
        <f t="shared" si="29"/>
        <v>1405782.82</v>
      </c>
      <c r="V51" s="66">
        <f t="shared" si="29"/>
        <v>1084116.55</v>
      </c>
      <c r="W51" s="66">
        <f t="shared" si="29"/>
        <v>6938416.7100000009</v>
      </c>
      <c r="X51" s="139">
        <f t="shared" si="14"/>
        <v>19.700402406912165</v>
      </c>
      <c r="Y51" s="66">
        <f t="shared" si="28"/>
        <v>500580790.67999989</v>
      </c>
      <c r="Z51" s="15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38"/>
      <c r="JL51" s="38"/>
      <c r="JM51" s="38"/>
      <c r="JN51" s="38"/>
      <c r="JO51" s="38"/>
      <c r="JP51" s="38"/>
      <c r="JQ51" s="38"/>
      <c r="JR51" s="38"/>
      <c r="JS51" s="38"/>
      <c r="JT51" s="38"/>
      <c r="JU51" s="38"/>
      <c r="JV51" s="38"/>
      <c r="JW51" s="38"/>
      <c r="JX51" s="38"/>
      <c r="JY51" s="38"/>
      <c r="JZ51" s="38"/>
      <c r="KA51" s="38"/>
      <c r="KB51" s="38"/>
      <c r="KC51" s="38"/>
      <c r="KD51" s="38"/>
      <c r="KE51" s="38"/>
      <c r="KF51" s="38"/>
      <c r="KG51" s="38"/>
      <c r="KH51" s="38"/>
      <c r="KI51" s="38"/>
      <c r="KJ51" s="38"/>
      <c r="KK51" s="38"/>
      <c r="KL51" s="38"/>
      <c r="KM51" s="38"/>
      <c r="KN51" s="38"/>
      <c r="KO51" s="38"/>
      <c r="KP51" s="38"/>
      <c r="KQ51" s="38"/>
      <c r="KR51" s="38"/>
      <c r="KS51" s="38"/>
      <c r="KT51" s="38"/>
      <c r="KU51" s="38"/>
      <c r="KV51" s="38"/>
      <c r="KW51" s="38"/>
      <c r="KX51" s="38"/>
      <c r="KY51" s="38"/>
      <c r="KZ51" s="38"/>
      <c r="LA51" s="38"/>
      <c r="LB51" s="38"/>
      <c r="LC51" s="38"/>
      <c r="LD51" s="38"/>
      <c r="LE51" s="38"/>
      <c r="LF51" s="38"/>
      <c r="LG51" s="38"/>
      <c r="LH51" s="38"/>
      <c r="LI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  <c r="NW51" s="38"/>
      <c r="NX51" s="38"/>
      <c r="NY51" s="38"/>
      <c r="NZ51" s="38"/>
      <c r="OA51" s="38"/>
      <c r="OB51" s="38"/>
      <c r="OC51" s="38"/>
      <c r="OD51" s="38"/>
      <c r="OE51" s="38"/>
      <c r="OF51" s="38"/>
      <c r="OG51" s="38"/>
      <c r="OH51" s="38"/>
      <c r="OI51" s="38"/>
      <c r="OJ51" s="38"/>
      <c r="OK51" s="38"/>
      <c r="OL51" s="38"/>
      <c r="OM51" s="38"/>
      <c r="ON51" s="38"/>
      <c r="OO51" s="38"/>
      <c r="OP51" s="38"/>
      <c r="OQ51" s="38"/>
      <c r="OR51" s="38"/>
      <c r="OS51" s="38"/>
      <c r="OT51" s="38"/>
      <c r="OU51" s="38"/>
      <c r="OV51" s="38"/>
      <c r="OW51" s="38"/>
      <c r="OX51" s="38"/>
      <c r="OY51" s="38"/>
      <c r="OZ51" s="38"/>
      <c r="PA51" s="38"/>
      <c r="PB51" s="38"/>
      <c r="PC51" s="38"/>
      <c r="PD51" s="38"/>
      <c r="PE51" s="38"/>
      <c r="PF51" s="38"/>
      <c r="PG51" s="38"/>
      <c r="PH51" s="38"/>
      <c r="PI51" s="38"/>
      <c r="PJ51" s="38"/>
      <c r="PK51" s="38"/>
      <c r="PL51" s="38"/>
      <c r="PM51" s="38"/>
      <c r="PN51" s="38"/>
      <c r="PO51" s="38"/>
      <c r="PP51" s="38"/>
      <c r="PQ51" s="38"/>
      <c r="PR51" s="38"/>
      <c r="PS51" s="38"/>
      <c r="PT51" s="38"/>
      <c r="PU51" s="38"/>
      <c r="PV51" s="38"/>
      <c r="PW51" s="38"/>
      <c r="PX51" s="38"/>
      <c r="PY51" s="38"/>
      <c r="PZ51" s="38"/>
      <c r="QA51" s="38"/>
      <c r="QB51" s="38"/>
      <c r="QC51" s="38"/>
      <c r="QD51" s="38"/>
      <c r="QE51" s="38"/>
      <c r="QF51" s="38"/>
      <c r="QG51" s="38"/>
      <c r="QH51" s="38"/>
      <c r="QI51" s="38"/>
      <c r="QJ51" s="38"/>
      <c r="QK51" s="38"/>
      <c r="QL51" s="38"/>
      <c r="QM51" s="38"/>
      <c r="QN51" s="38"/>
      <c r="QO51" s="38"/>
      <c r="QP51" s="38"/>
      <c r="QQ51" s="38"/>
      <c r="QR51" s="38"/>
      <c r="QS51" s="38"/>
      <c r="QT51" s="38"/>
      <c r="QU51" s="38"/>
      <c r="QV51" s="38"/>
      <c r="QW51" s="38"/>
      <c r="QX51" s="38"/>
      <c r="QY51" s="38"/>
      <c r="QZ51" s="38"/>
      <c r="RA51" s="38"/>
      <c r="RB51" s="38"/>
      <c r="RC51" s="38"/>
      <c r="RD51" s="38"/>
      <c r="RE51" s="38"/>
      <c r="RF51" s="38"/>
      <c r="RG51" s="38"/>
      <c r="RH51" s="38"/>
      <c r="RI51" s="38"/>
      <c r="RJ51" s="38"/>
      <c r="RK51" s="38"/>
      <c r="RL51" s="38"/>
      <c r="RM51" s="38"/>
      <c r="RN51" s="38"/>
      <c r="RO51" s="38"/>
      <c r="RP51" s="38"/>
      <c r="RQ51" s="38"/>
      <c r="RR51" s="38"/>
      <c r="RS51" s="38"/>
      <c r="RT51" s="38"/>
      <c r="RU51" s="38"/>
      <c r="RV51" s="38"/>
      <c r="RW51" s="38"/>
      <c r="RX51" s="38"/>
      <c r="RY51" s="38"/>
      <c r="RZ51" s="38"/>
      <c r="SA51" s="38"/>
      <c r="SB51" s="38"/>
      <c r="SC51" s="38"/>
      <c r="SD51" s="38"/>
      <c r="SE51" s="38"/>
      <c r="SF51" s="38"/>
      <c r="SG51" s="38"/>
      <c r="SH51" s="38"/>
      <c r="SI51" s="38"/>
      <c r="SJ51" s="38"/>
      <c r="SK51" s="38"/>
      <c r="SL51" s="38"/>
      <c r="SM51" s="38"/>
      <c r="SN51" s="38"/>
      <c r="SO51" s="38"/>
      <c r="SP51" s="38"/>
      <c r="SQ51" s="38"/>
      <c r="SR51" s="38"/>
      <c r="SS51" s="38"/>
      <c r="ST51" s="38"/>
      <c r="SU51" s="38"/>
      <c r="SV51" s="38"/>
      <c r="SW51" s="38"/>
      <c r="SX51" s="38"/>
      <c r="SY51" s="38"/>
      <c r="SZ51" s="38"/>
      <c r="TA51" s="38"/>
      <c r="TB51" s="38"/>
      <c r="TC51" s="38"/>
      <c r="TD51" s="38"/>
      <c r="TE51" s="38"/>
      <c r="TF51" s="38"/>
      <c r="TG51" s="38"/>
      <c r="TH51" s="38"/>
      <c r="TI51" s="38"/>
      <c r="TJ51" s="38"/>
      <c r="TK51" s="38"/>
      <c r="TL51" s="38"/>
      <c r="TM51" s="38"/>
      <c r="TN51" s="38"/>
      <c r="TO51" s="38"/>
      <c r="TP51" s="38"/>
      <c r="TQ51" s="38"/>
      <c r="TR51" s="38"/>
    </row>
    <row r="52" spans="1:538" s="39" customFormat="1" ht="18.75" customHeight="1" x14ac:dyDescent="0.25">
      <c r="A52" s="83"/>
      <c r="B52" s="70"/>
      <c r="C52" s="70"/>
      <c r="D52" s="32" t="s">
        <v>307</v>
      </c>
      <c r="E52" s="66">
        <f t="shared" ref="E52" si="30">E57++E59+E62+E55+E67+E73</f>
        <v>382256478</v>
      </c>
      <c r="F52" s="66">
        <f t="shared" ref="F52:H52" si="31">F57++F59+F62+F55+F67+F73</f>
        <v>307191100</v>
      </c>
      <c r="G52" s="66">
        <f t="shared" si="31"/>
        <v>0</v>
      </c>
      <c r="H52" s="66">
        <f t="shared" si="31"/>
        <v>213089509.07999998</v>
      </c>
      <c r="I52" s="66">
        <f t="shared" ref="I52:J52" si="32">I57++I59+I62+I55+I67+I73</f>
        <v>174426823.13</v>
      </c>
      <c r="J52" s="66">
        <f t="shared" si="32"/>
        <v>0</v>
      </c>
      <c r="K52" s="139">
        <f t="shared" si="10"/>
        <v>55.745166228419016</v>
      </c>
      <c r="L52" s="66">
        <f t="shared" ref="L52" si="33">L57++L59+L62+L55+L67+L73</f>
        <v>1736617.55</v>
      </c>
      <c r="M52" s="66">
        <f t="shared" ref="M52:Y52" si="34">M57++M59+M62+M55+M67+M73</f>
        <v>1736617.55</v>
      </c>
      <c r="N52" s="66">
        <f t="shared" si="34"/>
        <v>0</v>
      </c>
      <c r="O52" s="66">
        <f t="shared" si="34"/>
        <v>0</v>
      </c>
      <c r="P52" s="66">
        <f t="shared" si="34"/>
        <v>0</v>
      </c>
      <c r="Q52" s="66">
        <f t="shared" si="34"/>
        <v>1736617.55</v>
      </c>
      <c r="R52" s="66">
        <f t="shared" si="34"/>
        <v>317683.65000000002</v>
      </c>
      <c r="S52" s="66">
        <f t="shared" ref="S52:W52" si="35">S57++S59+S62+S55+S67+S73</f>
        <v>317683.65000000002</v>
      </c>
      <c r="T52" s="66">
        <f t="shared" si="35"/>
        <v>0</v>
      </c>
      <c r="U52" s="66">
        <f t="shared" si="35"/>
        <v>0</v>
      </c>
      <c r="V52" s="66">
        <f t="shared" si="35"/>
        <v>0</v>
      </c>
      <c r="W52" s="66">
        <f t="shared" si="35"/>
        <v>317683.65000000002</v>
      </c>
      <c r="X52" s="139">
        <f t="shared" si="14"/>
        <v>18.293241940345474</v>
      </c>
      <c r="Y52" s="66">
        <f t="shared" si="34"/>
        <v>213407192.72999999</v>
      </c>
      <c r="Z52" s="156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</row>
    <row r="53" spans="1:538" s="22" customFormat="1" ht="46.5" customHeight="1" x14ac:dyDescent="0.25">
      <c r="A53" s="42" t="s">
        <v>198</v>
      </c>
      <c r="B53" s="43" t="str">
        <f>'дод 3'!A19</f>
        <v>0160</v>
      </c>
      <c r="C53" s="43" t="str">
        <f>'дод 3'!B19</f>
        <v>0111</v>
      </c>
      <c r="D53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53" s="67">
        <v>3547900</v>
      </c>
      <c r="F53" s="67">
        <v>2572800</v>
      </c>
      <c r="G53" s="67">
        <v>48700</v>
      </c>
      <c r="H53" s="67">
        <v>1750290.59</v>
      </c>
      <c r="I53" s="67">
        <v>1278409.28</v>
      </c>
      <c r="J53" s="67">
        <v>20574.47</v>
      </c>
      <c r="K53" s="140">
        <f t="shared" si="10"/>
        <v>49.333143267848591</v>
      </c>
      <c r="L53" s="67">
        <v>0</v>
      </c>
      <c r="M53" s="67"/>
      <c r="N53" s="67"/>
      <c r="O53" s="67"/>
      <c r="P53" s="67"/>
      <c r="Q53" s="67"/>
      <c r="R53" s="67">
        <f>T53+W53</f>
        <v>0</v>
      </c>
      <c r="S53" s="67"/>
      <c r="T53" s="67"/>
      <c r="U53" s="67"/>
      <c r="V53" s="67"/>
      <c r="W53" s="67"/>
      <c r="X53" s="140"/>
      <c r="Y53" s="67">
        <f t="shared" ref="Y53:Y76" si="36">H53+R53</f>
        <v>1750290.59</v>
      </c>
      <c r="Z53" s="156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</row>
    <row r="54" spans="1:538" s="22" customFormat="1" ht="21.75" customHeight="1" x14ac:dyDescent="0.25">
      <c r="A54" s="42" t="s">
        <v>199</v>
      </c>
      <c r="B54" s="43" t="str">
        <f>'дод 3'!A23</f>
        <v>1010</v>
      </c>
      <c r="C54" s="43" t="str">
        <f>'дод 3'!B23</f>
        <v>0910</v>
      </c>
      <c r="D54" s="23" t="str">
        <f>'дод 3'!C23</f>
        <v>Надання дошкільної освіти</v>
      </c>
      <c r="E54" s="67">
        <v>243244632</v>
      </c>
      <c r="F54" s="67">
        <v>159483510</v>
      </c>
      <c r="G54" s="67">
        <v>26923940</v>
      </c>
      <c r="H54" s="67">
        <v>114259925.75</v>
      </c>
      <c r="I54" s="67">
        <v>79907670.010000005</v>
      </c>
      <c r="J54" s="67">
        <v>9918527.6099999994</v>
      </c>
      <c r="K54" s="140">
        <f t="shared" si="10"/>
        <v>46.973256844574479</v>
      </c>
      <c r="L54" s="67">
        <v>22916603</v>
      </c>
      <c r="M54" s="67">
        <f>4200000+500000+88136+760000+703043+347304-7536</f>
        <v>6590947</v>
      </c>
      <c r="N54" s="67">
        <v>16325656</v>
      </c>
      <c r="O54" s="67"/>
      <c r="P54" s="67"/>
      <c r="Q54" s="67">
        <f>4200000+500000+88136+760000+703043+347304-7536</f>
        <v>6590947</v>
      </c>
      <c r="R54" s="67">
        <f t="shared" ref="R54:R76" si="37">T54+W54</f>
        <v>4261692.82</v>
      </c>
      <c r="S54" s="67">
        <v>1294247.68</v>
      </c>
      <c r="T54" s="67">
        <v>2853748.26</v>
      </c>
      <c r="U54" s="67"/>
      <c r="V54" s="67"/>
      <c r="W54" s="67">
        <v>1407944.56</v>
      </c>
      <c r="X54" s="140">
        <f t="shared" si="14"/>
        <v>18.596529424539927</v>
      </c>
      <c r="Y54" s="67">
        <f t="shared" si="36"/>
        <v>118521618.56999999</v>
      </c>
      <c r="Z54" s="156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</row>
    <row r="55" spans="1:538" s="22" customFormat="1" ht="21.75" customHeight="1" x14ac:dyDescent="0.25">
      <c r="A55" s="42"/>
      <c r="B55" s="43"/>
      <c r="C55" s="43"/>
      <c r="D55" s="21" t="s">
        <v>307</v>
      </c>
      <c r="E55" s="67">
        <v>162879</v>
      </c>
      <c r="F55" s="67">
        <v>133510</v>
      </c>
      <c r="G55" s="67"/>
      <c r="H55" s="67">
        <v>29770.28</v>
      </c>
      <c r="I55" s="67">
        <v>24401.86</v>
      </c>
      <c r="J55" s="67"/>
      <c r="K55" s="140">
        <f t="shared" si="10"/>
        <v>18.277543452501551</v>
      </c>
      <c r="L55" s="67">
        <v>80600</v>
      </c>
      <c r="M55" s="67">
        <f>88136-7536</f>
        <v>80600</v>
      </c>
      <c r="N55" s="67"/>
      <c r="O55" s="67"/>
      <c r="P55" s="67"/>
      <c r="Q55" s="67">
        <f>88136-7536</f>
        <v>80600</v>
      </c>
      <c r="R55" s="67">
        <f t="shared" si="37"/>
        <v>61018</v>
      </c>
      <c r="S55" s="67">
        <v>61018</v>
      </c>
      <c r="T55" s="67"/>
      <c r="U55" s="67"/>
      <c r="V55" s="67"/>
      <c r="W55" s="67">
        <v>61018</v>
      </c>
      <c r="X55" s="140">
        <f t="shared" si="14"/>
        <v>75.704714640198517</v>
      </c>
      <c r="Y55" s="67">
        <f t="shared" si="36"/>
        <v>90788.28</v>
      </c>
      <c r="Z55" s="156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</row>
    <row r="56" spans="1:538" s="22" customFormat="1" ht="54" customHeight="1" x14ac:dyDescent="0.25">
      <c r="A56" s="42" t="s">
        <v>200</v>
      </c>
      <c r="B56" s="43" t="str">
        <f>'дод 3'!A25</f>
        <v>1020</v>
      </c>
      <c r="C56" s="43" t="str">
        <f>'дод 3'!B25</f>
        <v>0921</v>
      </c>
      <c r="D56" s="23" t="str">
        <f>'дод 3'!C25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6" s="67">
        <v>540117903</v>
      </c>
      <c r="F56" s="67">
        <v>378056547</v>
      </c>
      <c r="G56" s="67">
        <v>38154564</v>
      </c>
      <c r="H56" s="67">
        <v>283270719.94999999</v>
      </c>
      <c r="I56" s="67">
        <v>211131089.53999999</v>
      </c>
      <c r="J56" s="67">
        <v>15541554.560000001</v>
      </c>
      <c r="K56" s="140">
        <f t="shared" si="10"/>
        <v>52.446089710527509</v>
      </c>
      <c r="L56" s="67">
        <v>53338835.640000001</v>
      </c>
      <c r="M56" s="67">
        <f>11599400+2199897+739872+3050000+2916586+700000-106000-7502.36+202738-76472+742539+19558-21229+2283702-50000+234000</f>
        <v>24427088.640000001</v>
      </c>
      <c r="N56" s="67">
        <v>28911747</v>
      </c>
      <c r="O56" s="67">
        <v>1713303</v>
      </c>
      <c r="P56" s="67">
        <v>147329</v>
      </c>
      <c r="Q56" s="67">
        <f>11599400+2199897+739872+3050000+2916586+700000-106000-7502.36+202738-76472+742539+19558-21229+2283702-50000+234000</f>
        <v>24427088.640000001</v>
      </c>
      <c r="R56" s="67">
        <f t="shared" si="37"/>
        <v>8393002.9699999988</v>
      </c>
      <c r="S56" s="67">
        <v>3940317</v>
      </c>
      <c r="T56" s="67">
        <v>4150810.8</v>
      </c>
      <c r="U56" s="67">
        <v>579409.68000000005</v>
      </c>
      <c r="V56" s="67">
        <v>43789.34</v>
      </c>
      <c r="W56" s="67">
        <v>4242192.17</v>
      </c>
      <c r="X56" s="140">
        <f t="shared" si="14"/>
        <v>15.735257189802427</v>
      </c>
      <c r="Y56" s="67">
        <f t="shared" si="36"/>
        <v>291663722.91999996</v>
      </c>
      <c r="Z56" s="15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</row>
    <row r="57" spans="1:538" s="22" customFormat="1" ht="15" x14ac:dyDescent="0.25">
      <c r="A57" s="42"/>
      <c r="B57" s="43"/>
      <c r="C57" s="43"/>
      <c r="D57" s="21" t="s">
        <v>307</v>
      </c>
      <c r="E57" s="67">
        <v>356792090</v>
      </c>
      <c r="F57" s="67">
        <v>286331520</v>
      </c>
      <c r="G57" s="67"/>
      <c r="H57" s="67">
        <v>202509800.91</v>
      </c>
      <c r="I57" s="67">
        <v>165740158.68000001</v>
      </c>
      <c r="J57" s="67"/>
      <c r="K57" s="140">
        <f t="shared" si="10"/>
        <v>56.758489491737329</v>
      </c>
      <c r="L57" s="67">
        <v>1384710</v>
      </c>
      <c r="M57" s="67">
        <f>739872-76472+742539-21229</f>
        <v>1384710</v>
      </c>
      <c r="N57" s="67"/>
      <c r="O57" s="67"/>
      <c r="P57" s="67"/>
      <c r="Q57" s="67">
        <f>739872+742539-76472-21229</f>
        <v>1384710</v>
      </c>
      <c r="R57" s="67">
        <f t="shared" si="37"/>
        <v>184114</v>
      </c>
      <c r="S57" s="67">
        <v>184114</v>
      </c>
      <c r="T57" s="67"/>
      <c r="U57" s="67"/>
      <c r="V57" s="67"/>
      <c r="W57" s="67">
        <v>184114</v>
      </c>
      <c r="X57" s="140">
        <f t="shared" si="14"/>
        <v>13.296213647622967</v>
      </c>
      <c r="Y57" s="67">
        <f t="shared" si="36"/>
        <v>202693914.91</v>
      </c>
      <c r="Z57" s="156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</row>
    <row r="58" spans="1:538" s="22" customFormat="1" ht="63.75" customHeight="1" x14ac:dyDescent="0.25">
      <c r="A58" s="42" t="s">
        <v>429</v>
      </c>
      <c r="B58" s="43">
        <f>'дод 3'!A27</f>
        <v>1030</v>
      </c>
      <c r="C58" s="43" t="str">
        <f>'дод 3'!B27</f>
        <v>0922</v>
      </c>
      <c r="D58" s="23" t="str">
        <f>'дод 3'!C27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8" s="67">
        <v>9444719</v>
      </c>
      <c r="F58" s="67">
        <v>6532300</v>
      </c>
      <c r="G58" s="67">
        <v>709270</v>
      </c>
      <c r="H58" s="67">
        <v>5015949.13</v>
      </c>
      <c r="I58" s="67">
        <v>3792238.12</v>
      </c>
      <c r="J58" s="67">
        <v>293942.5</v>
      </c>
      <c r="K58" s="140">
        <f t="shared" si="10"/>
        <v>53.108505716263231</v>
      </c>
      <c r="L58" s="67">
        <v>213403</v>
      </c>
      <c r="M58" s="67">
        <f>150000+22000+20174+21229</f>
        <v>213403</v>
      </c>
      <c r="N58" s="67"/>
      <c r="O58" s="67"/>
      <c r="P58" s="67"/>
      <c r="Q58" s="67">
        <f>150000+22000+20174+21229</f>
        <v>213403</v>
      </c>
      <c r="R58" s="67">
        <f t="shared" si="37"/>
        <v>33563.07</v>
      </c>
      <c r="S58" s="67"/>
      <c r="T58" s="67">
        <v>18178.86</v>
      </c>
      <c r="U58" s="67"/>
      <c r="V58" s="67"/>
      <c r="W58" s="67">
        <v>15384.21</v>
      </c>
      <c r="X58" s="140">
        <f t="shared" si="14"/>
        <v>15.72755303346251</v>
      </c>
      <c r="Y58" s="67">
        <f t="shared" si="36"/>
        <v>5049512.2</v>
      </c>
      <c r="Z58" s="156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</row>
    <row r="59" spans="1:538" s="22" customFormat="1" ht="17.25" customHeight="1" x14ac:dyDescent="0.25">
      <c r="A59" s="42"/>
      <c r="B59" s="43"/>
      <c r="C59" s="43"/>
      <c r="D59" s="21" t="s">
        <v>307</v>
      </c>
      <c r="E59" s="67">
        <v>6240139</v>
      </c>
      <c r="F59" s="67">
        <v>5102000</v>
      </c>
      <c r="G59" s="67">
        <v>0</v>
      </c>
      <c r="H59" s="67">
        <v>3667579.88</v>
      </c>
      <c r="I59" s="67">
        <v>3020414.89</v>
      </c>
      <c r="J59" s="67"/>
      <c r="K59" s="140">
        <f t="shared" si="10"/>
        <v>58.774009361009426</v>
      </c>
      <c r="L59" s="67">
        <v>21229</v>
      </c>
      <c r="M59" s="67">
        <v>21229</v>
      </c>
      <c r="N59" s="67"/>
      <c r="O59" s="67"/>
      <c r="P59" s="67"/>
      <c r="Q59" s="67">
        <v>21229</v>
      </c>
      <c r="R59" s="67">
        <f t="shared" si="37"/>
        <v>0</v>
      </c>
      <c r="S59" s="67"/>
      <c r="T59" s="67"/>
      <c r="U59" s="67"/>
      <c r="V59" s="67"/>
      <c r="W59" s="67"/>
      <c r="X59" s="140">
        <f t="shared" si="14"/>
        <v>0</v>
      </c>
      <c r="Y59" s="67">
        <f t="shared" si="36"/>
        <v>3667579.88</v>
      </c>
      <c r="Z59" s="156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</row>
    <row r="60" spans="1:538" s="22" customFormat="1" ht="32.25" customHeight="1" x14ac:dyDescent="0.25">
      <c r="A60" s="42" t="s">
        <v>263</v>
      </c>
      <c r="B60" s="43" t="str">
        <f>'дод 3'!A29</f>
        <v>1090</v>
      </c>
      <c r="C60" s="43" t="str">
        <f>'дод 3'!B29</f>
        <v>0960</v>
      </c>
      <c r="D60" s="23" t="str">
        <f>'дод 3'!C29</f>
        <v>Надання позашкільної освіти закладами позашкільної освіти, заходи із позашкільної роботи з дітьми</v>
      </c>
      <c r="E60" s="67">
        <v>28048440</v>
      </c>
      <c r="F60" s="67">
        <v>19715700</v>
      </c>
      <c r="G60" s="67">
        <v>3358190</v>
      </c>
      <c r="H60" s="67">
        <v>13779208.5</v>
      </c>
      <c r="I60" s="67">
        <v>10016289.67</v>
      </c>
      <c r="J60" s="67">
        <v>1473130.75</v>
      </c>
      <c r="K60" s="140">
        <f t="shared" si="10"/>
        <v>49.126470135237469</v>
      </c>
      <c r="L60" s="67">
        <v>300000</v>
      </c>
      <c r="M60" s="67">
        <v>300000</v>
      </c>
      <c r="N60" s="67"/>
      <c r="O60" s="67"/>
      <c r="P60" s="67"/>
      <c r="Q60" s="67">
        <v>300000</v>
      </c>
      <c r="R60" s="67">
        <f t="shared" si="37"/>
        <v>175340.3</v>
      </c>
      <c r="S60" s="67"/>
      <c r="T60" s="67">
        <v>100727.1</v>
      </c>
      <c r="U60" s="67"/>
      <c r="V60" s="67"/>
      <c r="W60" s="67">
        <v>74613.2</v>
      </c>
      <c r="X60" s="140">
        <f t="shared" si="14"/>
        <v>58.446766666666662</v>
      </c>
      <c r="Y60" s="67">
        <f t="shared" si="36"/>
        <v>13954548.800000001</v>
      </c>
      <c r="Z60" s="156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</row>
    <row r="61" spans="1:538" s="22" customFormat="1" ht="33.75" customHeight="1" x14ac:dyDescent="0.25">
      <c r="A61" s="42" t="s">
        <v>262</v>
      </c>
      <c r="B61" s="43" t="str">
        <f>'дод 3'!A31</f>
        <v>1110</v>
      </c>
      <c r="C61" s="43" t="str">
        <f>'дод 3'!B31</f>
        <v>0930</v>
      </c>
      <c r="D61" s="23" t="str">
        <f>'дод 3'!C31</f>
        <v>Підготовка кадрів закладами професійної (професійно-технічної) освіти та іншими закладами освіти</v>
      </c>
      <c r="E61" s="67">
        <v>117007900</v>
      </c>
      <c r="F61" s="67">
        <v>69744500</v>
      </c>
      <c r="G61" s="67">
        <v>11007217</v>
      </c>
      <c r="H61" s="67">
        <v>54351930.82</v>
      </c>
      <c r="I61" s="67">
        <v>33524650.02</v>
      </c>
      <c r="J61" s="67">
        <v>4719494.96</v>
      </c>
      <c r="K61" s="140">
        <f t="shared" si="10"/>
        <v>46.451505257337331</v>
      </c>
      <c r="L61" s="67">
        <v>8079105</v>
      </c>
      <c r="M61" s="67"/>
      <c r="N61" s="67">
        <v>7974105</v>
      </c>
      <c r="O61" s="67">
        <v>2495573</v>
      </c>
      <c r="P61" s="67">
        <v>2976862</v>
      </c>
      <c r="Q61" s="67">
        <v>105000</v>
      </c>
      <c r="R61" s="67">
        <f t="shared" si="37"/>
        <v>3533895.29</v>
      </c>
      <c r="S61" s="67"/>
      <c r="T61" s="67">
        <v>3355387.82</v>
      </c>
      <c r="U61" s="67">
        <v>826373.14</v>
      </c>
      <c r="V61" s="67">
        <v>1040327.21</v>
      </c>
      <c r="W61" s="67">
        <v>178507.47</v>
      </c>
      <c r="X61" s="140">
        <f t="shared" si="14"/>
        <v>43.741172939329296</v>
      </c>
      <c r="Y61" s="67">
        <f t="shared" si="36"/>
        <v>57885826.109999999</v>
      </c>
      <c r="Z61" s="156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</row>
    <row r="62" spans="1:538" s="22" customFormat="1" ht="15.75" customHeight="1" x14ac:dyDescent="0.25">
      <c r="A62" s="42"/>
      <c r="B62" s="43"/>
      <c r="C62" s="43"/>
      <c r="D62" s="21" t="s">
        <v>307</v>
      </c>
      <c r="E62" s="67">
        <v>17825000</v>
      </c>
      <c r="F62" s="67">
        <v>14610650</v>
      </c>
      <c r="G62" s="67"/>
      <c r="H62" s="67">
        <v>6557705.4400000004</v>
      </c>
      <c r="I62" s="67">
        <v>5375739.04</v>
      </c>
      <c r="J62" s="67"/>
      <c r="K62" s="140">
        <f t="shared" si="10"/>
        <v>36.789371332398318</v>
      </c>
      <c r="L62" s="67">
        <v>0</v>
      </c>
      <c r="M62" s="67"/>
      <c r="N62" s="67"/>
      <c r="O62" s="67"/>
      <c r="P62" s="67"/>
      <c r="Q62" s="67"/>
      <c r="R62" s="67">
        <f t="shared" si="37"/>
        <v>0</v>
      </c>
      <c r="S62" s="67"/>
      <c r="T62" s="67"/>
      <c r="U62" s="67"/>
      <c r="V62" s="67"/>
      <c r="W62" s="67"/>
      <c r="X62" s="140"/>
      <c r="Y62" s="67">
        <f t="shared" si="36"/>
        <v>6557705.4400000004</v>
      </c>
      <c r="Z62" s="15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</row>
    <row r="63" spans="1:538" s="22" customFormat="1" ht="21.75" customHeight="1" x14ac:dyDescent="0.25">
      <c r="A63" s="42" t="s">
        <v>201</v>
      </c>
      <c r="B63" s="43" t="str">
        <f>'дод 3'!A33</f>
        <v>1150</v>
      </c>
      <c r="C63" s="43" t="str">
        <f>'дод 3'!B33</f>
        <v>0990</v>
      </c>
      <c r="D63" s="23" t="str">
        <f>'дод 3'!C33</f>
        <v>Методичне забезпечення діяльності закладів освіти</v>
      </c>
      <c r="E63" s="67">
        <v>2893730</v>
      </c>
      <c r="F63" s="67">
        <v>2237500</v>
      </c>
      <c r="G63" s="67">
        <v>120380</v>
      </c>
      <c r="H63" s="67">
        <v>1517194.49</v>
      </c>
      <c r="I63" s="67">
        <v>1196371.19</v>
      </c>
      <c r="J63" s="67">
        <v>39681.32</v>
      </c>
      <c r="K63" s="140">
        <f t="shared" si="10"/>
        <v>52.430409540627501</v>
      </c>
      <c r="L63" s="67">
        <v>0</v>
      </c>
      <c r="M63" s="67"/>
      <c r="N63" s="67"/>
      <c r="O63" s="67"/>
      <c r="P63" s="67"/>
      <c r="Q63" s="67"/>
      <c r="R63" s="67">
        <f t="shared" si="37"/>
        <v>2313.4300000000003</v>
      </c>
      <c r="S63" s="67"/>
      <c r="T63" s="67">
        <v>114.4</v>
      </c>
      <c r="U63" s="67"/>
      <c r="V63" s="67"/>
      <c r="W63" s="67">
        <v>2199.0300000000002</v>
      </c>
      <c r="X63" s="140"/>
      <c r="Y63" s="67">
        <f t="shared" si="36"/>
        <v>1519507.92</v>
      </c>
      <c r="Z63" s="156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</row>
    <row r="64" spans="1:538" s="22" customFormat="1" ht="16.5" customHeight="1" x14ac:dyDescent="0.25">
      <c r="A64" s="42" t="s">
        <v>356</v>
      </c>
      <c r="B64" s="43" t="str">
        <f>'дод 3'!A34</f>
        <v>1161</v>
      </c>
      <c r="C64" s="43" t="str">
        <f>'дод 3'!B34</f>
        <v>0990</v>
      </c>
      <c r="D64" s="23" t="str">
        <f>'дод 3'!C34</f>
        <v>Забезпечення діяльності інших закладів у сфері освіти</v>
      </c>
      <c r="E64" s="67">
        <v>9388520</v>
      </c>
      <c r="F64" s="67">
        <v>6782550</v>
      </c>
      <c r="G64" s="67">
        <v>613500</v>
      </c>
      <c r="H64" s="67">
        <v>4698442.76</v>
      </c>
      <c r="I64" s="67">
        <v>3611141.85</v>
      </c>
      <c r="J64" s="67">
        <v>153265.68</v>
      </c>
      <c r="K64" s="140">
        <f t="shared" si="10"/>
        <v>50.044551856948694</v>
      </c>
      <c r="L64" s="67">
        <v>432000</v>
      </c>
      <c r="M64" s="67">
        <f>100000+200000+132000</f>
        <v>432000</v>
      </c>
      <c r="N64" s="67"/>
      <c r="O64" s="67"/>
      <c r="P64" s="67"/>
      <c r="Q64" s="67">
        <f>100000+200000+132000</f>
        <v>432000</v>
      </c>
      <c r="R64" s="67">
        <f t="shared" si="37"/>
        <v>52795.08</v>
      </c>
      <c r="S64" s="67"/>
      <c r="T64" s="67">
        <v>52795.08</v>
      </c>
      <c r="U64" s="67"/>
      <c r="V64" s="67"/>
      <c r="W64" s="67"/>
      <c r="X64" s="140">
        <f t="shared" si="14"/>
        <v>12.221083333333334</v>
      </c>
      <c r="Y64" s="67">
        <f t="shared" si="36"/>
        <v>4751237.84</v>
      </c>
      <c r="Z64" s="15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</row>
    <row r="65" spans="1:538" s="22" customFormat="1" ht="20.25" customHeight="1" x14ac:dyDescent="0.25">
      <c r="A65" s="42" t="s">
        <v>357</v>
      </c>
      <c r="B65" s="43" t="str">
        <f>'дод 3'!A35</f>
        <v>1162</v>
      </c>
      <c r="C65" s="43" t="str">
        <f>'дод 3'!B35</f>
        <v>0990</v>
      </c>
      <c r="D65" s="23" t="str">
        <f>'дод 3'!C35</f>
        <v>Інші програми та заходи у сфері освіти</v>
      </c>
      <c r="E65" s="67">
        <v>107400</v>
      </c>
      <c r="F65" s="67"/>
      <c r="G65" s="67"/>
      <c r="H65" s="67">
        <v>51000</v>
      </c>
      <c r="I65" s="67"/>
      <c r="J65" s="67"/>
      <c r="K65" s="140">
        <f t="shared" si="10"/>
        <v>47.486033519553075</v>
      </c>
      <c r="L65" s="67">
        <v>0</v>
      </c>
      <c r="M65" s="67"/>
      <c r="N65" s="67"/>
      <c r="O65" s="67"/>
      <c r="P65" s="67"/>
      <c r="Q65" s="67"/>
      <c r="R65" s="67">
        <f t="shared" si="37"/>
        <v>0</v>
      </c>
      <c r="S65" s="67"/>
      <c r="T65" s="67"/>
      <c r="U65" s="67"/>
      <c r="V65" s="67"/>
      <c r="W65" s="67"/>
      <c r="X65" s="140"/>
      <c r="Y65" s="67">
        <f t="shared" si="36"/>
        <v>51000</v>
      </c>
      <c r="Z65" s="156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</row>
    <row r="66" spans="1:538" s="22" customFormat="1" ht="15" x14ac:dyDescent="0.25">
      <c r="A66" s="42" t="s">
        <v>394</v>
      </c>
      <c r="B66" s="43">
        <v>1170</v>
      </c>
      <c r="C66" s="43" t="s">
        <v>75</v>
      </c>
      <c r="D66" s="21" t="str">
        <f>'дод 3'!C36</f>
        <v>Забезпечення діяльності інклюзивно-ресурсних центрів</v>
      </c>
      <c r="E66" s="67">
        <v>1627940</v>
      </c>
      <c r="F66" s="67">
        <v>1224320</v>
      </c>
      <c r="G66" s="67">
        <v>81470</v>
      </c>
      <c r="H66" s="67">
        <v>358542.65</v>
      </c>
      <c r="I66" s="67">
        <v>266108.65999999997</v>
      </c>
      <c r="J66" s="67">
        <v>29141.78</v>
      </c>
      <c r="K66" s="140">
        <f t="shared" si="10"/>
        <v>22.024316006732438</v>
      </c>
      <c r="L66" s="67">
        <v>0</v>
      </c>
      <c r="M66" s="67"/>
      <c r="N66" s="67"/>
      <c r="O66" s="67"/>
      <c r="P66" s="67"/>
      <c r="Q66" s="67"/>
      <c r="R66" s="67">
        <f t="shared" si="37"/>
        <v>3323.64</v>
      </c>
      <c r="S66" s="67"/>
      <c r="T66" s="67">
        <v>3323.64</v>
      </c>
      <c r="U66" s="67"/>
      <c r="V66" s="67"/>
      <c r="W66" s="67"/>
      <c r="X66" s="140"/>
      <c r="Y66" s="67">
        <f t="shared" si="36"/>
        <v>361866.29000000004</v>
      </c>
      <c r="Z66" s="156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</row>
    <row r="67" spans="1:538" s="22" customFormat="1" ht="15" x14ac:dyDescent="0.25">
      <c r="A67" s="42"/>
      <c r="B67" s="43"/>
      <c r="C67" s="43"/>
      <c r="D67" s="21" t="s">
        <v>307</v>
      </c>
      <c r="E67" s="67">
        <v>1236370</v>
      </c>
      <c r="F67" s="67">
        <v>1013420</v>
      </c>
      <c r="G67" s="67"/>
      <c r="H67" s="67">
        <v>324652.57</v>
      </c>
      <c r="I67" s="67">
        <v>266108.65999999997</v>
      </c>
      <c r="J67" s="67"/>
      <c r="K67" s="140">
        <f t="shared" si="10"/>
        <v>26.258528595808698</v>
      </c>
      <c r="L67" s="67"/>
      <c r="M67" s="67"/>
      <c r="N67" s="67"/>
      <c r="O67" s="67"/>
      <c r="P67" s="67"/>
      <c r="Q67" s="67"/>
      <c r="R67" s="67">
        <f t="shared" si="37"/>
        <v>0</v>
      </c>
      <c r="S67" s="67"/>
      <c r="T67" s="67"/>
      <c r="U67" s="67"/>
      <c r="V67" s="67"/>
      <c r="W67" s="67"/>
      <c r="X67" s="140"/>
      <c r="Y67" s="67">
        <f t="shared" si="36"/>
        <v>324652.57</v>
      </c>
      <c r="Z67" s="156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</row>
    <row r="68" spans="1:538" s="22" customFormat="1" ht="64.5" customHeight="1" x14ac:dyDescent="0.25">
      <c r="A68" s="42" t="s">
        <v>202</v>
      </c>
      <c r="B68" s="43" t="str">
        <f>'дод 3'!A65</f>
        <v>3140</v>
      </c>
      <c r="C68" s="43" t="str">
        <f>'дод 3'!B65</f>
        <v>1040</v>
      </c>
      <c r="D68" s="23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8" s="67">
        <v>7000000</v>
      </c>
      <c r="F68" s="67"/>
      <c r="G68" s="67"/>
      <c r="H68" s="67">
        <v>71532.55</v>
      </c>
      <c r="I68" s="67"/>
      <c r="J68" s="67"/>
      <c r="K68" s="140">
        <f t="shared" si="10"/>
        <v>1.0218935714285715</v>
      </c>
      <c r="L68" s="67">
        <v>0</v>
      </c>
      <c r="M68" s="67"/>
      <c r="N68" s="67"/>
      <c r="O68" s="67"/>
      <c r="P68" s="67"/>
      <c r="Q68" s="67"/>
      <c r="R68" s="67">
        <f t="shared" si="37"/>
        <v>6008.79</v>
      </c>
      <c r="S68" s="67"/>
      <c r="T68" s="67">
        <v>6008.79</v>
      </c>
      <c r="U68" s="67"/>
      <c r="V68" s="67"/>
      <c r="W68" s="67"/>
      <c r="X68" s="140"/>
      <c r="Y68" s="67">
        <f t="shared" si="36"/>
        <v>77541.34</v>
      </c>
      <c r="Z68" s="156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</row>
    <row r="69" spans="1:538" s="22" customFormat="1" ht="31.5" customHeight="1" x14ac:dyDescent="0.25">
      <c r="A69" s="42" t="s">
        <v>373</v>
      </c>
      <c r="B69" s="43" t="str">
        <f>'дод 3'!A75</f>
        <v>3242</v>
      </c>
      <c r="C69" s="43" t="str">
        <f>'дод 3'!B75</f>
        <v>1090</v>
      </c>
      <c r="D69" s="23" t="str">
        <f>'дод 3'!C75</f>
        <v>Інші заходи у сфері соціального захисту і соціального забезпечення</v>
      </c>
      <c r="E69" s="67">
        <v>52490</v>
      </c>
      <c r="F69" s="67"/>
      <c r="G69" s="67"/>
      <c r="H69" s="67">
        <v>14480</v>
      </c>
      <c r="I69" s="67"/>
      <c r="J69" s="67"/>
      <c r="K69" s="140">
        <f t="shared" si="10"/>
        <v>27.586206896551722</v>
      </c>
      <c r="L69" s="67">
        <v>0</v>
      </c>
      <c r="M69" s="67"/>
      <c r="N69" s="67"/>
      <c r="O69" s="67"/>
      <c r="P69" s="67"/>
      <c r="Q69" s="67"/>
      <c r="R69" s="67">
        <f t="shared" si="37"/>
        <v>0</v>
      </c>
      <c r="S69" s="67"/>
      <c r="T69" s="67"/>
      <c r="U69" s="67"/>
      <c r="V69" s="67"/>
      <c r="W69" s="67"/>
      <c r="X69" s="140"/>
      <c r="Y69" s="67">
        <f t="shared" si="36"/>
        <v>14480</v>
      </c>
      <c r="Z69" s="15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</row>
    <row r="70" spans="1:538" s="22" customFormat="1" ht="33" customHeight="1" x14ac:dyDescent="0.25">
      <c r="A70" s="42" t="s">
        <v>203</v>
      </c>
      <c r="B70" s="43" t="str">
        <f>'дод 3'!A84</f>
        <v>5031</v>
      </c>
      <c r="C70" s="43" t="str">
        <f>'дод 3'!B84</f>
        <v>0810</v>
      </c>
      <c r="D70" s="23" t="str">
        <f>'дод 3'!C84</f>
        <v>Утримання та навчально-тренувальна робота комунальних дитячо-юнацьких спортивних шкіл</v>
      </c>
      <c r="E70" s="67">
        <v>6797500</v>
      </c>
      <c r="F70" s="67">
        <v>5086600</v>
      </c>
      <c r="G70" s="67">
        <v>240700</v>
      </c>
      <c r="H70" s="67">
        <v>3579089.08</v>
      </c>
      <c r="I70" s="67">
        <v>2805048.41</v>
      </c>
      <c r="J70" s="67">
        <v>86179.82</v>
      </c>
      <c r="K70" s="140">
        <f t="shared" si="10"/>
        <v>52.653020669363734</v>
      </c>
      <c r="L70" s="67">
        <v>750000</v>
      </c>
      <c r="M70" s="67">
        <f>550000+200000</f>
        <v>750000</v>
      </c>
      <c r="N70" s="67"/>
      <c r="O70" s="67"/>
      <c r="P70" s="67"/>
      <c r="Q70" s="67">
        <f>550000+200000</f>
        <v>750000</v>
      </c>
      <c r="R70" s="67">
        <f t="shared" si="37"/>
        <v>590</v>
      </c>
      <c r="S70" s="67"/>
      <c r="T70" s="67">
        <v>590</v>
      </c>
      <c r="U70" s="67"/>
      <c r="V70" s="67"/>
      <c r="W70" s="67"/>
      <c r="X70" s="140">
        <f t="shared" si="14"/>
        <v>7.8666666666666663E-2</v>
      </c>
      <c r="Y70" s="67">
        <f t="shared" si="36"/>
        <v>3579679.08</v>
      </c>
      <c r="Z70" s="156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</row>
    <row r="71" spans="1:538" s="22" customFormat="1" ht="33" customHeight="1" x14ac:dyDescent="0.25">
      <c r="A71" s="42" t="s">
        <v>455</v>
      </c>
      <c r="B71" s="43">
        <v>7321</v>
      </c>
      <c r="C71" s="43" t="str">
        <f>'дод 3'!B104</f>
        <v>0443</v>
      </c>
      <c r="D71" s="23" t="str">
        <f>'дод 3'!C104</f>
        <v>Будівництво освітніх установ та закладів</v>
      </c>
      <c r="E71" s="67">
        <v>0</v>
      </c>
      <c r="F71" s="67"/>
      <c r="G71" s="67"/>
      <c r="H71" s="67"/>
      <c r="I71" s="67"/>
      <c r="J71" s="67"/>
      <c r="K71" s="140"/>
      <c r="L71" s="67">
        <v>50000</v>
      </c>
      <c r="M71" s="67">
        <v>50000</v>
      </c>
      <c r="N71" s="67"/>
      <c r="O71" s="67"/>
      <c r="P71" s="67"/>
      <c r="Q71" s="67">
        <v>50000</v>
      </c>
      <c r="R71" s="67">
        <f t="shared" si="37"/>
        <v>0</v>
      </c>
      <c r="S71" s="67"/>
      <c r="T71" s="67"/>
      <c r="U71" s="67"/>
      <c r="V71" s="67"/>
      <c r="W71" s="67"/>
      <c r="X71" s="140">
        <f t="shared" si="14"/>
        <v>0</v>
      </c>
      <c r="Y71" s="67">
        <f t="shared" si="36"/>
        <v>0</v>
      </c>
      <c r="Z71" s="156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</row>
    <row r="72" spans="1:538" s="22" customFormat="1" ht="45.75" customHeight="1" x14ac:dyDescent="0.25">
      <c r="A72" s="42" t="s">
        <v>436</v>
      </c>
      <c r="B72" s="43">
        <v>7363</v>
      </c>
      <c r="C72" s="102" t="s">
        <v>102</v>
      </c>
      <c r="D72" s="103" t="s">
        <v>435</v>
      </c>
      <c r="E72" s="67">
        <v>0</v>
      </c>
      <c r="F72" s="67"/>
      <c r="G72" s="67"/>
      <c r="H72" s="67"/>
      <c r="I72" s="67"/>
      <c r="J72" s="67"/>
      <c r="K72" s="140"/>
      <c r="L72" s="67">
        <v>257580.90999999997</v>
      </c>
      <c r="M72" s="67">
        <f>7502.36+250078.55</f>
        <v>257580.90999999997</v>
      </c>
      <c r="N72" s="67"/>
      <c r="O72" s="67"/>
      <c r="P72" s="67"/>
      <c r="Q72" s="67">
        <f>7502.36+250078.55</f>
        <v>257580.90999999997</v>
      </c>
      <c r="R72" s="67">
        <f t="shared" si="37"/>
        <v>74728.2</v>
      </c>
      <c r="S72" s="67">
        <v>74728.2</v>
      </c>
      <c r="T72" s="67"/>
      <c r="U72" s="67"/>
      <c r="V72" s="67"/>
      <c r="W72" s="67">
        <v>74728.2</v>
      </c>
      <c r="X72" s="140">
        <f t="shared" si="14"/>
        <v>29.011544372601218</v>
      </c>
      <c r="Y72" s="67">
        <f t="shared" si="36"/>
        <v>74728.2</v>
      </c>
      <c r="Z72" s="156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</row>
    <row r="73" spans="1:538" s="22" customFormat="1" ht="15" x14ac:dyDescent="0.25">
      <c r="A73" s="42"/>
      <c r="B73" s="43"/>
      <c r="C73" s="43"/>
      <c r="D73" s="21" t="s">
        <v>307</v>
      </c>
      <c r="E73" s="67">
        <v>0</v>
      </c>
      <c r="F73" s="67"/>
      <c r="G73" s="67"/>
      <c r="H73" s="67"/>
      <c r="I73" s="67"/>
      <c r="J73" s="67"/>
      <c r="K73" s="140"/>
      <c r="L73" s="67">
        <v>250078.55</v>
      </c>
      <c r="M73" s="67">
        <v>250078.55</v>
      </c>
      <c r="N73" s="67"/>
      <c r="O73" s="67"/>
      <c r="P73" s="67"/>
      <c r="Q73" s="67">
        <v>250078.55</v>
      </c>
      <c r="R73" s="67">
        <f t="shared" si="37"/>
        <v>72551.649999999994</v>
      </c>
      <c r="S73" s="67">
        <v>72551.649999999994</v>
      </c>
      <c r="T73" s="67"/>
      <c r="U73" s="67"/>
      <c r="V73" s="67"/>
      <c r="W73" s="67">
        <v>72551.649999999994</v>
      </c>
      <c r="X73" s="140">
        <f t="shared" si="14"/>
        <v>29.011544572695257</v>
      </c>
      <c r="Y73" s="67">
        <f t="shared" si="36"/>
        <v>72551.649999999994</v>
      </c>
      <c r="Z73" s="156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</row>
    <row r="74" spans="1:538" s="22" customFormat="1" ht="25.5" customHeight="1" x14ac:dyDescent="0.25">
      <c r="A74" s="42" t="s">
        <v>204</v>
      </c>
      <c r="B74" s="43" t="str">
        <f>'дод 3'!A124</f>
        <v>7640</v>
      </c>
      <c r="C74" s="43" t="str">
        <f>'дод 3'!B124</f>
        <v>0470</v>
      </c>
      <c r="D74" s="23" t="str">
        <f>'дод 3'!C124</f>
        <v>Заходи з енергозбереження</v>
      </c>
      <c r="E74" s="67">
        <v>578800</v>
      </c>
      <c r="F74" s="67"/>
      <c r="G74" s="67"/>
      <c r="H74" s="67">
        <v>177000</v>
      </c>
      <c r="I74" s="67"/>
      <c r="J74" s="67"/>
      <c r="K74" s="140">
        <f t="shared" si="10"/>
        <v>30.580511402902555</v>
      </c>
      <c r="L74" s="67">
        <v>2993200</v>
      </c>
      <c r="M74" s="67">
        <v>2993200</v>
      </c>
      <c r="N74" s="67"/>
      <c r="O74" s="67"/>
      <c r="P74" s="67"/>
      <c r="Q74" s="67">
        <v>2993200</v>
      </c>
      <c r="R74" s="67">
        <f t="shared" si="37"/>
        <v>858847.87</v>
      </c>
      <c r="S74" s="67">
        <v>858847.87</v>
      </c>
      <c r="T74" s="67"/>
      <c r="U74" s="67"/>
      <c r="V74" s="67"/>
      <c r="W74" s="67">
        <v>858847.87</v>
      </c>
      <c r="X74" s="140">
        <f t="shared" si="14"/>
        <v>28.693300481090471</v>
      </c>
      <c r="Y74" s="67">
        <f t="shared" si="36"/>
        <v>1035847.87</v>
      </c>
      <c r="Z74" s="156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</row>
    <row r="75" spans="1:538" s="22" customFormat="1" ht="27" customHeight="1" x14ac:dyDescent="0.25">
      <c r="A75" s="42" t="s">
        <v>205</v>
      </c>
      <c r="B75" s="43" t="str">
        <f>'дод 3'!A141</f>
        <v>8340</v>
      </c>
      <c r="C75" s="43" t="str">
        <f>'дод 3'!B141</f>
        <v>0540</v>
      </c>
      <c r="D75" s="23" t="str">
        <f>'дод 3'!C141</f>
        <v>Природоохоронні заходи за рахунок цільових фондів</v>
      </c>
      <c r="E75" s="67">
        <v>0</v>
      </c>
      <c r="F75" s="67"/>
      <c r="G75" s="67"/>
      <c r="H75" s="67"/>
      <c r="I75" s="67"/>
      <c r="J75" s="67"/>
      <c r="K75" s="140"/>
      <c r="L75" s="67">
        <v>400000</v>
      </c>
      <c r="M75" s="67"/>
      <c r="N75" s="67">
        <f>306000+10000</f>
        <v>316000</v>
      </c>
      <c r="O75" s="67"/>
      <c r="P75" s="67"/>
      <c r="Q75" s="67">
        <v>84000</v>
      </c>
      <c r="R75" s="67">
        <f t="shared" si="37"/>
        <v>281212.95</v>
      </c>
      <c r="S75" s="67"/>
      <c r="T75" s="67">
        <v>197212.95</v>
      </c>
      <c r="U75" s="67"/>
      <c r="V75" s="67"/>
      <c r="W75" s="67">
        <v>84000</v>
      </c>
      <c r="X75" s="140">
        <f t="shared" si="14"/>
        <v>70.303237500000009</v>
      </c>
      <c r="Y75" s="67">
        <f t="shared" si="36"/>
        <v>281212.95</v>
      </c>
      <c r="Z75" s="156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</row>
    <row r="76" spans="1:538" s="22" customFormat="1" ht="48.75" customHeight="1" x14ac:dyDescent="0.25">
      <c r="A76" s="42" t="s">
        <v>437</v>
      </c>
      <c r="B76" s="43">
        <v>9800</v>
      </c>
      <c r="C76" s="44" t="s">
        <v>59</v>
      </c>
      <c r="D76" s="104" t="s">
        <v>438</v>
      </c>
      <c r="E76" s="67">
        <v>84885</v>
      </c>
      <c r="F76" s="67"/>
      <c r="G76" s="67"/>
      <c r="H76" s="67">
        <v>8170</v>
      </c>
      <c r="I76" s="67"/>
      <c r="J76" s="67"/>
      <c r="K76" s="140">
        <f t="shared" si="10"/>
        <v>9.6247864758202262</v>
      </c>
      <c r="L76" s="67">
        <v>0</v>
      </c>
      <c r="M76" s="67"/>
      <c r="N76" s="67"/>
      <c r="O76" s="67"/>
      <c r="P76" s="67"/>
      <c r="Q76" s="67"/>
      <c r="R76" s="67">
        <f t="shared" si="37"/>
        <v>0</v>
      </c>
      <c r="S76" s="67"/>
      <c r="T76" s="67"/>
      <c r="U76" s="67"/>
      <c r="V76" s="67"/>
      <c r="W76" s="67"/>
      <c r="X76" s="140"/>
      <c r="Y76" s="67">
        <f t="shared" si="36"/>
        <v>8170</v>
      </c>
      <c r="Z76" s="156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</row>
    <row r="77" spans="1:538" s="30" customFormat="1" ht="21" customHeight="1" x14ac:dyDescent="0.2">
      <c r="A77" s="131" t="s">
        <v>206</v>
      </c>
      <c r="B77" s="71"/>
      <c r="C77" s="71"/>
      <c r="D77" s="29" t="s">
        <v>36</v>
      </c>
      <c r="E77" s="64">
        <f t="shared" ref="E77:Y77" si="38">E78</f>
        <v>231545748</v>
      </c>
      <c r="F77" s="64">
        <f t="shared" si="38"/>
        <v>1637700</v>
      </c>
      <c r="G77" s="64">
        <f t="shared" si="38"/>
        <v>35400</v>
      </c>
      <c r="H77" s="64">
        <f t="shared" si="38"/>
        <v>118208598.43000001</v>
      </c>
      <c r="I77" s="64">
        <f t="shared" si="38"/>
        <v>661396.19999999995</v>
      </c>
      <c r="J77" s="64">
        <f t="shared" si="38"/>
        <v>16122.86</v>
      </c>
      <c r="K77" s="139">
        <f t="shared" si="10"/>
        <v>51.051940901976742</v>
      </c>
      <c r="L77" s="64">
        <f t="shared" si="38"/>
        <v>104835074</v>
      </c>
      <c r="M77" s="64">
        <f t="shared" si="38"/>
        <v>103950074</v>
      </c>
      <c r="N77" s="64">
        <f t="shared" si="38"/>
        <v>0</v>
      </c>
      <c r="O77" s="64">
        <f t="shared" si="38"/>
        <v>0</v>
      </c>
      <c r="P77" s="64">
        <f t="shared" si="38"/>
        <v>0</v>
      </c>
      <c r="Q77" s="64">
        <f t="shared" si="38"/>
        <v>104835074</v>
      </c>
      <c r="R77" s="64">
        <f t="shared" si="38"/>
        <v>40030209.259999998</v>
      </c>
      <c r="S77" s="64">
        <f t="shared" si="38"/>
        <v>38948802.789999999</v>
      </c>
      <c r="T77" s="64">
        <f t="shared" si="38"/>
        <v>1081406.47</v>
      </c>
      <c r="U77" s="64">
        <f t="shared" si="38"/>
        <v>0</v>
      </c>
      <c r="V77" s="64">
        <f t="shared" si="38"/>
        <v>0</v>
      </c>
      <c r="W77" s="64">
        <f t="shared" si="38"/>
        <v>38948802.789999999</v>
      </c>
      <c r="X77" s="139">
        <f t="shared" si="14"/>
        <v>38.183985313922705</v>
      </c>
      <c r="Y77" s="64">
        <f t="shared" si="38"/>
        <v>158238807.69</v>
      </c>
      <c r="Z77" s="156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  <c r="ME77" s="37"/>
      <c r="MF77" s="37"/>
      <c r="MG77" s="37"/>
      <c r="MH77" s="37"/>
      <c r="MI77" s="37"/>
      <c r="MJ77" s="37"/>
      <c r="MK77" s="37"/>
      <c r="ML77" s="37"/>
      <c r="MM77" s="37"/>
      <c r="MN77" s="37"/>
      <c r="MO77" s="37"/>
      <c r="MP77" s="37"/>
      <c r="MQ77" s="37"/>
      <c r="MR77" s="37"/>
      <c r="MS77" s="37"/>
      <c r="MT77" s="37"/>
      <c r="MU77" s="37"/>
      <c r="MV77" s="37"/>
      <c r="MW77" s="37"/>
      <c r="MX77" s="37"/>
      <c r="MY77" s="37"/>
      <c r="MZ77" s="37"/>
      <c r="NA77" s="37"/>
      <c r="NB77" s="37"/>
      <c r="NC77" s="37"/>
      <c r="ND77" s="37"/>
      <c r="NE77" s="37"/>
      <c r="NF77" s="37"/>
      <c r="NG77" s="37"/>
      <c r="NH77" s="37"/>
      <c r="NI77" s="37"/>
      <c r="NJ77" s="37"/>
      <c r="NK77" s="37"/>
      <c r="NL77" s="37"/>
      <c r="NM77" s="37"/>
      <c r="NN77" s="37"/>
      <c r="NO77" s="37"/>
      <c r="NP77" s="37"/>
      <c r="NQ77" s="37"/>
      <c r="NR77" s="37"/>
      <c r="NS77" s="37"/>
      <c r="NT77" s="37"/>
      <c r="NU77" s="37"/>
      <c r="NV77" s="37"/>
      <c r="NW77" s="37"/>
      <c r="NX77" s="37"/>
      <c r="NY77" s="37"/>
      <c r="NZ77" s="37"/>
      <c r="OA77" s="37"/>
      <c r="OB77" s="37"/>
      <c r="OC77" s="37"/>
      <c r="OD77" s="37"/>
      <c r="OE77" s="37"/>
      <c r="OF77" s="37"/>
      <c r="OG77" s="37"/>
      <c r="OH77" s="37"/>
      <c r="OI77" s="37"/>
      <c r="OJ77" s="37"/>
      <c r="OK77" s="37"/>
      <c r="OL77" s="37"/>
      <c r="OM77" s="37"/>
      <c r="ON77" s="37"/>
      <c r="OO77" s="37"/>
      <c r="OP77" s="37"/>
      <c r="OQ77" s="37"/>
      <c r="OR77" s="37"/>
      <c r="OS77" s="37"/>
      <c r="OT77" s="37"/>
      <c r="OU77" s="37"/>
      <c r="OV77" s="37"/>
      <c r="OW77" s="37"/>
      <c r="OX77" s="37"/>
      <c r="OY77" s="37"/>
      <c r="OZ77" s="37"/>
      <c r="PA77" s="37"/>
      <c r="PB77" s="37"/>
      <c r="PC77" s="37"/>
      <c r="PD77" s="37"/>
      <c r="PE77" s="37"/>
      <c r="PF77" s="37"/>
      <c r="PG77" s="37"/>
      <c r="PH77" s="37"/>
      <c r="PI77" s="37"/>
      <c r="PJ77" s="37"/>
      <c r="PK77" s="37"/>
      <c r="PL77" s="37"/>
      <c r="PM77" s="37"/>
      <c r="PN77" s="37"/>
      <c r="PO77" s="37"/>
      <c r="PP77" s="37"/>
      <c r="PQ77" s="37"/>
      <c r="PR77" s="37"/>
      <c r="PS77" s="37"/>
      <c r="PT77" s="37"/>
      <c r="PU77" s="37"/>
      <c r="PV77" s="37"/>
      <c r="PW77" s="37"/>
      <c r="PX77" s="37"/>
      <c r="PY77" s="37"/>
      <c r="PZ77" s="37"/>
      <c r="QA77" s="37"/>
      <c r="QB77" s="37"/>
      <c r="QC77" s="37"/>
      <c r="QD77" s="37"/>
      <c r="QE77" s="37"/>
      <c r="QF77" s="37"/>
      <c r="QG77" s="37"/>
      <c r="QH77" s="37"/>
      <c r="QI77" s="37"/>
      <c r="QJ77" s="37"/>
      <c r="QK77" s="37"/>
      <c r="QL77" s="37"/>
      <c r="QM77" s="37"/>
      <c r="QN77" s="37"/>
      <c r="QO77" s="37"/>
      <c r="QP77" s="37"/>
      <c r="QQ77" s="37"/>
      <c r="QR77" s="37"/>
      <c r="QS77" s="37"/>
      <c r="QT77" s="37"/>
      <c r="QU77" s="37"/>
      <c r="QV77" s="37"/>
      <c r="QW77" s="37"/>
      <c r="QX77" s="37"/>
      <c r="QY77" s="37"/>
      <c r="QZ77" s="37"/>
      <c r="RA77" s="37"/>
      <c r="RB77" s="37"/>
      <c r="RC77" s="37"/>
      <c r="RD77" s="37"/>
      <c r="RE77" s="37"/>
      <c r="RF77" s="37"/>
      <c r="RG77" s="37"/>
      <c r="RH77" s="37"/>
      <c r="RI77" s="37"/>
      <c r="RJ77" s="37"/>
      <c r="RK77" s="37"/>
      <c r="RL77" s="37"/>
      <c r="RM77" s="37"/>
      <c r="RN77" s="37"/>
      <c r="RO77" s="37"/>
      <c r="RP77" s="37"/>
      <c r="RQ77" s="37"/>
      <c r="RR77" s="37"/>
      <c r="RS77" s="37"/>
      <c r="RT77" s="37"/>
      <c r="RU77" s="37"/>
      <c r="RV77" s="37"/>
      <c r="RW77" s="37"/>
      <c r="RX77" s="37"/>
      <c r="RY77" s="37"/>
      <c r="RZ77" s="37"/>
      <c r="SA77" s="37"/>
      <c r="SB77" s="37"/>
      <c r="SC77" s="37"/>
      <c r="SD77" s="37"/>
      <c r="SE77" s="37"/>
      <c r="SF77" s="37"/>
      <c r="SG77" s="37"/>
      <c r="SH77" s="37"/>
      <c r="SI77" s="37"/>
      <c r="SJ77" s="37"/>
      <c r="SK77" s="37"/>
      <c r="SL77" s="37"/>
      <c r="SM77" s="37"/>
      <c r="SN77" s="37"/>
      <c r="SO77" s="37"/>
      <c r="SP77" s="37"/>
      <c r="SQ77" s="37"/>
      <c r="SR77" s="37"/>
      <c r="SS77" s="37"/>
      <c r="ST77" s="37"/>
      <c r="SU77" s="37"/>
      <c r="SV77" s="37"/>
      <c r="SW77" s="37"/>
      <c r="SX77" s="37"/>
      <c r="SY77" s="37"/>
      <c r="SZ77" s="37"/>
      <c r="TA77" s="37"/>
      <c r="TB77" s="37"/>
      <c r="TC77" s="37"/>
      <c r="TD77" s="37"/>
      <c r="TE77" s="37"/>
      <c r="TF77" s="37"/>
      <c r="TG77" s="37"/>
      <c r="TH77" s="37"/>
      <c r="TI77" s="37"/>
      <c r="TJ77" s="37"/>
      <c r="TK77" s="37"/>
      <c r="TL77" s="37"/>
      <c r="TM77" s="37"/>
      <c r="TN77" s="37"/>
      <c r="TO77" s="37"/>
      <c r="TP77" s="37"/>
      <c r="TQ77" s="37"/>
      <c r="TR77" s="37"/>
    </row>
    <row r="78" spans="1:538" s="39" customFormat="1" ht="18.75" customHeight="1" x14ac:dyDescent="0.25">
      <c r="A78" s="73" t="s">
        <v>207</v>
      </c>
      <c r="B78" s="72"/>
      <c r="C78" s="72"/>
      <c r="D78" s="32" t="s">
        <v>36</v>
      </c>
      <c r="E78" s="66">
        <f t="shared" ref="E78" si="39">E80+E81+E83+E85+E87+E89+E91+E92+E93+E94+E95</f>
        <v>231545748</v>
      </c>
      <c r="F78" s="66">
        <f t="shared" ref="F78:H78" si="40">F80+F81+F83+F85+F87+F89+F91+F92+F93+F94+F95</f>
        <v>1637700</v>
      </c>
      <c r="G78" s="66">
        <f t="shared" si="40"/>
        <v>35400</v>
      </c>
      <c r="H78" s="66">
        <f t="shared" si="40"/>
        <v>118208598.43000001</v>
      </c>
      <c r="I78" s="66">
        <f t="shared" ref="I78:J78" si="41">I80+I81+I83+I85+I87+I89+I91+I92+I93+I94+I95</f>
        <v>661396.19999999995</v>
      </c>
      <c r="J78" s="66">
        <f t="shared" si="41"/>
        <v>16122.86</v>
      </c>
      <c r="K78" s="139">
        <f t="shared" si="10"/>
        <v>51.051940901976742</v>
      </c>
      <c r="L78" s="66">
        <f t="shared" ref="L78" si="42">L80+L81+L83+L85+L87+L89+L91+L92+L93+L94+L95</f>
        <v>104835074</v>
      </c>
      <c r="M78" s="66">
        <f t="shared" ref="M78:Y78" si="43">M80+M81+M83+M85+M87+M89+M91+M92+M93+M94+M95</f>
        <v>103950074</v>
      </c>
      <c r="N78" s="66">
        <f t="shared" si="43"/>
        <v>0</v>
      </c>
      <c r="O78" s="66">
        <f t="shared" si="43"/>
        <v>0</v>
      </c>
      <c r="P78" s="66">
        <f t="shared" si="43"/>
        <v>0</v>
      </c>
      <c r="Q78" s="66">
        <f t="shared" si="43"/>
        <v>104835074</v>
      </c>
      <c r="R78" s="66">
        <f t="shared" si="43"/>
        <v>40030209.259999998</v>
      </c>
      <c r="S78" s="66">
        <f t="shared" ref="S78:W78" si="44">S80+S81+S83+S85+S87+S89+S91+S92+S93+S94+S95</f>
        <v>38948802.789999999</v>
      </c>
      <c r="T78" s="66">
        <f t="shared" si="44"/>
        <v>1081406.47</v>
      </c>
      <c r="U78" s="66">
        <f t="shared" si="44"/>
        <v>0</v>
      </c>
      <c r="V78" s="66">
        <f t="shared" si="44"/>
        <v>0</v>
      </c>
      <c r="W78" s="66">
        <f t="shared" si="44"/>
        <v>38948802.789999999</v>
      </c>
      <c r="X78" s="139">
        <f t="shared" si="14"/>
        <v>38.183985313922705</v>
      </c>
      <c r="Y78" s="66">
        <f t="shared" si="43"/>
        <v>158238807.69</v>
      </c>
      <c r="Z78" s="156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  <c r="TJ78" s="38"/>
      <c r="TK78" s="38"/>
      <c r="TL78" s="38"/>
      <c r="TM78" s="38"/>
      <c r="TN78" s="38"/>
      <c r="TO78" s="38"/>
      <c r="TP78" s="38"/>
      <c r="TQ78" s="38"/>
      <c r="TR78" s="38"/>
    </row>
    <row r="79" spans="1:538" s="39" customFormat="1" ht="18.75" customHeight="1" x14ac:dyDescent="0.25">
      <c r="A79" s="73"/>
      <c r="B79" s="72"/>
      <c r="C79" s="72"/>
      <c r="D79" s="32" t="s">
        <v>307</v>
      </c>
      <c r="E79" s="66">
        <f t="shared" ref="E79" si="45">E82+E84+E86+E88+E90</f>
        <v>61502848</v>
      </c>
      <c r="F79" s="66">
        <f t="shared" ref="F79:H79" si="46">F82+F84+F86+F88+F90</f>
        <v>0</v>
      </c>
      <c r="G79" s="66">
        <f t="shared" si="46"/>
        <v>0</v>
      </c>
      <c r="H79" s="66">
        <f t="shared" si="46"/>
        <v>58817324.019999996</v>
      </c>
      <c r="I79" s="66">
        <f t="shared" ref="I79:J79" si="47">I82+I84+I86+I88+I90</f>
        <v>0</v>
      </c>
      <c r="J79" s="66">
        <f t="shared" si="47"/>
        <v>0</v>
      </c>
      <c r="K79" s="139">
        <f t="shared" si="10"/>
        <v>95.633496549623189</v>
      </c>
      <c r="L79" s="66">
        <f t="shared" ref="L79" si="48">L82+L84+L86+L88+L90</f>
        <v>0</v>
      </c>
      <c r="M79" s="66">
        <f t="shared" ref="M79:Y79" si="49">M82+M84+M86+M88+M90</f>
        <v>0</v>
      </c>
      <c r="N79" s="66">
        <f t="shared" si="49"/>
        <v>0</v>
      </c>
      <c r="O79" s="66">
        <f t="shared" si="49"/>
        <v>0</v>
      </c>
      <c r="P79" s="66">
        <f t="shared" si="49"/>
        <v>0</v>
      </c>
      <c r="Q79" s="66">
        <f t="shared" si="49"/>
        <v>0</v>
      </c>
      <c r="R79" s="66">
        <f t="shared" si="49"/>
        <v>0</v>
      </c>
      <c r="S79" s="66">
        <f t="shared" ref="S79:W79" si="50">S82+S84+S86+S88+S90</f>
        <v>0</v>
      </c>
      <c r="T79" s="66">
        <f t="shared" si="50"/>
        <v>0</v>
      </c>
      <c r="U79" s="66">
        <f t="shared" si="50"/>
        <v>0</v>
      </c>
      <c r="V79" s="66">
        <f t="shared" si="50"/>
        <v>0</v>
      </c>
      <c r="W79" s="66">
        <f t="shared" si="50"/>
        <v>0</v>
      </c>
      <c r="X79" s="139"/>
      <c r="Y79" s="66">
        <f t="shared" si="49"/>
        <v>58817324.019999996</v>
      </c>
      <c r="Z79" s="156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</row>
    <row r="80" spans="1:538" s="22" customFormat="1" ht="50.25" customHeight="1" x14ac:dyDescent="0.25">
      <c r="A80" s="42" t="s">
        <v>208</v>
      </c>
      <c r="B80" s="43" t="str">
        <f>'дод 3'!A19</f>
        <v>0160</v>
      </c>
      <c r="C80" s="43" t="str">
        <f>'дод 3'!B19</f>
        <v>0111</v>
      </c>
      <c r="D80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80" s="67">
        <v>2346500</v>
      </c>
      <c r="F80" s="67">
        <v>1637700</v>
      </c>
      <c r="G80" s="67">
        <v>35400</v>
      </c>
      <c r="H80" s="67">
        <v>974224.28</v>
      </c>
      <c r="I80" s="67">
        <v>661396.19999999995</v>
      </c>
      <c r="J80" s="67">
        <v>16122.86</v>
      </c>
      <c r="K80" s="140">
        <f t="shared" ref="K80:K143" si="51">H80/E80*100</f>
        <v>41.518187939484342</v>
      </c>
      <c r="L80" s="67">
        <v>0</v>
      </c>
      <c r="M80" s="67"/>
      <c r="N80" s="67"/>
      <c r="O80" s="67"/>
      <c r="P80" s="67"/>
      <c r="Q80" s="67"/>
      <c r="R80" s="67">
        <f>T80+W80</f>
        <v>0</v>
      </c>
      <c r="S80" s="67"/>
      <c r="T80" s="67"/>
      <c r="U80" s="67"/>
      <c r="V80" s="67"/>
      <c r="W80" s="67"/>
      <c r="X80" s="140"/>
      <c r="Y80" s="67">
        <f t="shared" ref="Y80:Y93" si="52">H80+R80</f>
        <v>974224.28</v>
      </c>
      <c r="Z80" s="156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</row>
    <row r="81" spans="1:538" s="22" customFormat="1" ht="14.25" customHeight="1" x14ac:dyDescent="0.25">
      <c r="A81" s="42" t="s">
        <v>209</v>
      </c>
      <c r="B81" s="43" t="str">
        <f>'дод 3'!A40</f>
        <v>2010</v>
      </c>
      <c r="C81" s="43" t="str">
        <f>'дод 3'!B40</f>
        <v>0731</v>
      </c>
      <c r="D81" s="23" t="str">
        <f>'дод 3'!C40</f>
        <v>Багатопрофільна стаціонарна медична допомога населенню</v>
      </c>
      <c r="E81" s="67">
        <v>121141058</v>
      </c>
      <c r="F81" s="67"/>
      <c r="G81" s="67"/>
      <c r="H81" s="67">
        <v>81828137.239999995</v>
      </c>
      <c r="I81" s="67"/>
      <c r="J81" s="67"/>
      <c r="K81" s="140">
        <f t="shared" si="51"/>
        <v>67.547814581576461</v>
      </c>
      <c r="L81" s="67">
        <v>44295500</v>
      </c>
      <c r="M81" s="67">
        <f>27530000+1100000+1606500-3000000+1500000+10000000+6000000+75000+10000000+454000-16000000+5930000+1500000+100000-2500000</f>
        <v>44295500</v>
      </c>
      <c r="N81" s="67"/>
      <c r="O81" s="67"/>
      <c r="P81" s="67"/>
      <c r="Q81" s="67">
        <f>27530000+1100000+1606500-3000000+1500000+10000000+6000000+75000+10000000+454000-16000000+5930000+1500000+100000-2500000</f>
        <v>44295500</v>
      </c>
      <c r="R81" s="67">
        <f t="shared" ref="R81:R94" si="53">T81+W81</f>
        <v>26964228.18</v>
      </c>
      <c r="S81" s="67">
        <v>26964228.18</v>
      </c>
      <c r="T81" s="67"/>
      <c r="U81" s="67"/>
      <c r="V81" s="67"/>
      <c r="W81" s="67">
        <v>26964228.18</v>
      </c>
      <c r="X81" s="140">
        <f t="shared" ref="X81:X143" si="54">R81/L81*100</f>
        <v>60.873515774740092</v>
      </c>
      <c r="Y81" s="67">
        <f t="shared" si="52"/>
        <v>108792365.41999999</v>
      </c>
      <c r="Z81" s="156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</row>
    <row r="82" spans="1:538" s="22" customFormat="1" ht="17.25" customHeight="1" x14ac:dyDescent="0.25">
      <c r="A82" s="42"/>
      <c r="B82" s="43"/>
      <c r="C82" s="43"/>
      <c r="D82" s="21" t="s">
        <v>307</v>
      </c>
      <c r="E82" s="67">
        <v>48187871</v>
      </c>
      <c r="F82" s="67"/>
      <c r="G82" s="67"/>
      <c r="H82" s="67">
        <v>48187738.579999998</v>
      </c>
      <c r="I82" s="67"/>
      <c r="J82" s="67"/>
      <c r="K82" s="140">
        <f t="shared" si="51"/>
        <v>99.999725200559283</v>
      </c>
      <c r="L82" s="67">
        <v>0</v>
      </c>
      <c r="M82" s="67"/>
      <c r="N82" s="67"/>
      <c r="O82" s="67"/>
      <c r="P82" s="67"/>
      <c r="Q82" s="67"/>
      <c r="R82" s="67">
        <f t="shared" si="53"/>
        <v>0</v>
      </c>
      <c r="S82" s="67"/>
      <c r="T82" s="67"/>
      <c r="U82" s="67"/>
      <c r="V82" s="67"/>
      <c r="W82" s="67"/>
      <c r="X82" s="140"/>
      <c r="Y82" s="67">
        <f t="shared" si="52"/>
        <v>48187738.579999998</v>
      </c>
      <c r="Z82" s="156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</row>
    <row r="83" spans="1:538" s="22" customFormat="1" ht="36.75" customHeight="1" x14ac:dyDescent="0.25">
      <c r="A83" s="42" t="s">
        <v>214</v>
      </c>
      <c r="B83" s="43" t="str">
        <f>'дод 3'!A42</f>
        <v>2030</v>
      </c>
      <c r="C83" s="43" t="str">
        <f>'дод 3'!B42</f>
        <v>0733</v>
      </c>
      <c r="D83" s="23" t="str">
        <f>'дод 3'!C42</f>
        <v>Лікарсько-акушерська допомога вагітним, породіллям та новонародженим</v>
      </c>
      <c r="E83" s="67">
        <v>15420473</v>
      </c>
      <c r="F83" s="68"/>
      <c r="G83" s="68"/>
      <c r="H83" s="67">
        <v>10606509.699999999</v>
      </c>
      <c r="I83" s="68"/>
      <c r="J83" s="68"/>
      <c r="K83" s="140">
        <f t="shared" si="51"/>
        <v>68.781999747997347</v>
      </c>
      <c r="L83" s="67">
        <v>15040600</v>
      </c>
      <c r="M83" s="67">
        <v>15040600</v>
      </c>
      <c r="N83" s="67"/>
      <c r="O83" s="67"/>
      <c r="P83" s="67"/>
      <c r="Q83" s="67">
        <v>15040600</v>
      </c>
      <c r="R83" s="67">
        <f t="shared" si="53"/>
        <v>8645641.6500000004</v>
      </c>
      <c r="S83" s="67">
        <v>8645641.6500000004</v>
      </c>
      <c r="T83" s="67"/>
      <c r="U83" s="67"/>
      <c r="V83" s="67"/>
      <c r="W83" s="67">
        <v>8645641.6500000004</v>
      </c>
      <c r="X83" s="140">
        <f t="shared" si="54"/>
        <v>57.482026315439548</v>
      </c>
      <c r="Y83" s="67">
        <f t="shared" si="52"/>
        <v>19252151.350000001</v>
      </c>
      <c r="Z83" s="156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</row>
    <row r="84" spans="1:538" s="22" customFormat="1" ht="16.5" customHeight="1" x14ac:dyDescent="0.25">
      <c r="A84" s="42"/>
      <c r="B84" s="43"/>
      <c r="C84" s="43"/>
      <c r="D84" s="21" t="s">
        <v>307</v>
      </c>
      <c r="E84" s="67">
        <v>6347600</v>
      </c>
      <c r="F84" s="68"/>
      <c r="G84" s="68"/>
      <c r="H84" s="67">
        <v>6347600</v>
      </c>
      <c r="I84" s="68"/>
      <c r="J84" s="68"/>
      <c r="K84" s="140">
        <f t="shared" si="51"/>
        <v>100</v>
      </c>
      <c r="L84" s="67">
        <v>0</v>
      </c>
      <c r="M84" s="67"/>
      <c r="N84" s="67"/>
      <c r="O84" s="67"/>
      <c r="P84" s="67"/>
      <c r="Q84" s="67"/>
      <c r="R84" s="67">
        <f t="shared" si="53"/>
        <v>0</v>
      </c>
      <c r="S84" s="67"/>
      <c r="T84" s="67"/>
      <c r="U84" s="67"/>
      <c r="V84" s="67"/>
      <c r="W84" s="67"/>
      <c r="X84" s="140"/>
      <c r="Y84" s="67">
        <f t="shared" si="52"/>
        <v>6347600</v>
      </c>
      <c r="Z84" s="156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</row>
    <row r="85" spans="1:538" s="22" customFormat="1" ht="24" customHeight="1" x14ac:dyDescent="0.25">
      <c r="A85" s="42" t="s">
        <v>213</v>
      </c>
      <c r="B85" s="43" t="str">
        <f>'дод 3'!A44</f>
        <v>2100</v>
      </c>
      <c r="C85" s="43" t="str">
        <f>'дод 3'!B44</f>
        <v>0722</v>
      </c>
      <c r="D85" s="23" t="str">
        <f>'дод 3'!C44</f>
        <v>Стоматологічна допомога населенню</v>
      </c>
      <c r="E85" s="67">
        <v>6663426</v>
      </c>
      <c r="F85" s="68"/>
      <c r="G85" s="68"/>
      <c r="H85" s="67">
        <v>3474089.28</v>
      </c>
      <c r="I85" s="68"/>
      <c r="J85" s="68"/>
      <c r="K85" s="140">
        <f t="shared" si="51"/>
        <v>52.136682841529272</v>
      </c>
      <c r="L85" s="67">
        <v>1130000</v>
      </c>
      <c r="M85" s="67">
        <f>1210600-80600</f>
        <v>1130000</v>
      </c>
      <c r="N85" s="67"/>
      <c r="O85" s="67"/>
      <c r="P85" s="67"/>
      <c r="Q85" s="67">
        <f>1210600-80600</f>
        <v>1130000</v>
      </c>
      <c r="R85" s="67">
        <f t="shared" si="53"/>
        <v>556118.28</v>
      </c>
      <c r="S85" s="67">
        <v>556118.28</v>
      </c>
      <c r="T85" s="67"/>
      <c r="U85" s="67"/>
      <c r="V85" s="67"/>
      <c r="W85" s="67">
        <v>556118.28</v>
      </c>
      <c r="X85" s="140">
        <f t="shared" si="54"/>
        <v>49.214007079646024</v>
      </c>
      <c r="Y85" s="67">
        <f t="shared" si="52"/>
        <v>4030207.5599999996</v>
      </c>
      <c r="Z85" s="156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</row>
    <row r="86" spans="1:538" s="22" customFormat="1" ht="15" customHeight="1" x14ac:dyDescent="0.25">
      <c r="A86" s="42"/>
      <c r="B86" s="43"/>
      <c r="C86" s="43"/>
      <c r="D86" s="21" t="s">
        <v>307</v>
      </c>
      <c r="E86" s="67">
        <v>1132200</v>
      </c>
      <c r="F86" s="68"/>
      <c r="G86" s="68"/>
      <c r="H86" s="67">
        <v>1132200</v>
      </c>
      <c r="I86" s="68"/>
      <c r="J86" s="68"/>
      <c r="K86" s="140">
        <f t="shared" si="51"/>
        <v>100</v>
      </c>
      <c r="L86" s="67">
        <v>0</v>
      </c>
      <c r="M86" s="67"/>
      <c r="N86" s="67"/>
      <c r="O86" s="67"/>
      <c r="P86" s="67"/>
      <c r="Q86" s="67"/>
      <c r="R86" s="67">
        <f t="shared" si="53"/>
        <v>0</v>
      </c>
      <c r="S86" s="67"/>
      <c r="T86" s="67"/>
      <c r="U86" s="67"/>
      <c r="V86" s="67"/>
      <c r="W86" s="67"/>
      <c r="X86" s="140"/>
      <c r="Y86" s="67">
        <f t="shared" si="52"/>
        <v>1132200</v>
      </c>
      <c r="Z86" s="156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</row>
    <row r="87" spans="1:538" s="22" customFormat="1" ht="40.5" customHeight="1" x14ac:dyDescent="0.25">
      <c r="A87" s="42" t="s">
        <v>212</v>
      </c>
      <c r="B87" s="43" t="str">
        <f>'дод 3'!A46</f>
        <v>2111</v>
      </c>
      <c r="C87" s="43" t="str">
        <f>'дод 3'!B46</f>
        <v>0726</v>
      </c>
      <c r="D87" s="23" t="str">
        <f>'дод 3'!C46</f>
        <v>Первинна медична допомога населенню, що надається центрами первинної медичної (медико-санітарної) допомоги</v>
      </c>
      <c r="E87" s="67">
        <v>1984936</v>
      </c>
      <c r="F87" s="68"/>
      <c r="G87" s="68"/>
      <c r="H87" s="67">
        <v>1093379.51</v>
      </c>
      <c r="I87" s="68"/>
      <c r="J87" s="68"/>
      <c r="K87" s="140">
        <f t="shared" si="51"/>
        <v>55.083867187657432</v>
      </c>
      <c r="L87" s="67">
        <v>0</v>
      </c>
      <c r="M87" s="67"/>
      <c r="N87" s="67"/>
      <c r="O87" s="67"/>
      <c r="P87" s="67"/>
      <c r="Q87" s="67"/>
      <c r="R87" s="67">
        <f t="shared" si="53"/>
        <v>0</v>
      </c>
      <c r="S87" s="67"/>
      <c r="T87" s="67"/>
      <c r="U87" s="67"/>
      <c r="V87" s="67"/>
      <c r="W87" s="67"/>
      <c r="X87" s="140"/>
      <c r="Y87" s="67">
        <f t="shared" si="52"/>
        <v>1093379.51</v>
      </c>
      <c r="Z87" s="156">
        <v>10</v>
      </c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</row>
    <row r="88" spans="1:538" s="22" customFormat="1" ht="18.75" customHeight="1" x14ac:dyDescent="0.25">
      <c r="A88" s="42"/>
      <c r="B88" s="43"/>
      <c r="C88" s="43"/>
      <c r="D88" s="24" t="str">
        <f>'дод 3'!C47</f>
        <v>у т.ч. за рахунок субвенцій з держбюджету</v>
      </c>
      <c r="E88" s="67">
        <v>2468</v>
      </c>
      <c r="F88" s="68"/>
      <c r="G88" s="68"/>
      <c r="H88" s="67">
        <v>2468</v>
      </c>
      <c r="I88" s="68"/>
      <c r="J88" s="68"/>
      <c r="K88" s="140">
        <f t="shared" si="51"/>
        <v>100</v>
      </c>
      <c r="L88" s="67">
        <v>0</v>
      </c>
      <c r="M88" s="67"/>
      <c r="N88" s="67"/>
      <c r="O88" s="67"/>
      <c r="P88" s="67"/>
      <c r="Q88" s="67"/>
      <c r="R88" s="67">
        <f t="shared" si="53"/>
        <v>0</v>
      </c>
      <c r="S88" s="67"/>
      <c r="T88" s="67"/>
      <c r="U88" s="67"/>
      <c r="V88" s="67"/>
      <c r="W88" s="67"/>
      <c r="X88" s="140"/>
      <c r="Y88" s="67">
        <f t="shared" si="52"/>
        <v>2468</v>
      </c>
      <c r="Z88" s="156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</row>
    <row r="89" spans="1:538" s="22" customFormat="1" ht="32.25" customHeight="1" x14ac:dyDescent="0.25">
      <c r="A89" s="42" t="s">
        <v>211</v>
      </c>
      <c r="B89" s="43">
        <f>'дод 3'!A48</f>
        <v>2144</v>
      </c>
      <c r="C89" s="43" t="str">
        <f>'дод 3'!B48</f>
        <v>0763</v>
      </c>
      <c r="D89" s="24" t="str">
        <f>'дод 3'!C48</f>
        <v>Централізовані заходи з лікування хворих на цукровий та нецукровий діабет</v>
      </c>
      <c r="E89" s="67">
        <v>7432709</v>
      </c>
      <c r="F89" s="68"/>
      <c r="G89" s="68"/>
      <c r="H89" s="67">
        <v>4079370.65</v>
      </c>
      <c r="I89" s="68"/>
      <c r="J89" s="68"/>
      <c r="K89" s="140">
        <f t="shared" si="51"/>
        <v>54.88403555150618</v>
      </c>
      <c r="L89" s="67">
        <v>0</v>
      </c>
      <c r="M89" s="67"/>
      <c r="N89" s="67"/>
      <c r="O89" s="67"/>
      <c r="P89" s="67"/>
      <c r="Q89" s="67"/>
      <c r="R89" s="67">
        <f t="shared" si="53"/>
        <v>0</v>
      </c>
      <c r="S89" s="67"/>
      <c r="T89" s="67"/>
      <c r="U89" s="67"/>
      <c r="V89" s="67"/>
      <c r="W89" s="67"/>
      <c r="X89" s="140"/>
      <c r="Y89" s="67">
        <f t="shared" si="52"/>
        <v>4079370.65</v>
      </c>
      <c r="Z89" s="15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</row>
    <row r="90" spans="1:538" s="22" customFormat="1" ht="18.75" customHeight="1" x14ac:dyDescent="0.25">
      <c r="A90" s="42"/>
      <c r="B90" s="43"/>
      <c r="C90" s="43"/>
      <c r="D90" s="24" t="str">
        <f>'дод 3'!C49</f>
        <v>у т.ч. за рахунок субвенцій з держбюджету</v>
      </c>
      <c r="E90" s="67">
        <v>5832709</v>
      </c>
      <c r="F90" s="68"/>
      <c r="G90" s="68"/>
      <c r="H90" s="67">
        <v>3147317.44</v>
      </c>
      <c r="I90" s="68"/>
      <c r="J90" s="68"/>
      <c r="K90" s="140">
        <f t="shared" si="51"/>
        <v>53.959788496220199</v>
      </c>
      <c r="L90" s="67">
        <v>0</v>
      </c>
      <c r="M90" s="67"/>
      <c r="N90" s="67"/>
      <c r="O90" s="67"/>
      <c r="P90" s="67"/>
      <c r="Q90" s="67"/>
      <c r="R90" s="67">
        <f t="shared" si="53"/>
        <v>0</v>
      </c>
      <c r="S90" s="67"/>
      <c r="T90" s="67"/>
      <c r="U90" s="67"/>
      <c r="V90" s="67"/>
      <c r="W90" s="67"/>
      <c r="X90" s="140"/>
      <c r="Y90" s="67">
        <f t="shared" si="52"/>
        <v>3147317.44</v>
      </c>
      <c r="Z90" s="15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</row>
    <row r="91" spans="1:538" s="22" customFormat="1" ht="30" customHeight="1" x14ac:dyDescent="0.25">
      <c r="A91" s="42" t="s">
        <v>381</v>
      </c>
      <c r="B91" s="44" t="str">
        <f>'дод 3'!A50</f>
        <v>2151</v>
      </c>
      <c r="C91" s="44" t="str">
        <f>'дод 3'!B50</f>
        <v>0763</v>
      </c>
      <c r="D91" s="23" t="str">
        <f>'дод 3'!C50</f>
        <v>Забезпечення діяльності інших закладів у сфері охорони здоров’я</v>
      </c>
      <c r="E91" s="67">
        <v>2894213</v>
      </c>
      <c r="F91" s="68"/>
      <c r="G91" s="68"/>
      <c r="H91" s="67">
        <v>1312950.1100000001</v>
      </c>
      <c r="I91" s="68"/>
      <c r="J91" s="68"/>
      <c r="K91" s="140">
        <f t="shared" si="51"/>
        <v>45.364667700684095</v>
      </c>
      <c r="L91" s="67">
        <v>0</v>
      </c>
      <c r="M91" s="67"/>
      <c r="N91" s="67"/>
      <c r="O91" s="67"/>
      <c r="P91" s="67"/>
      <c r="Q91" s="67"/>
      <c r="R91" s="67">
        <f t="shared" si="53"/>
        <v>105.5</v>
      </c>
      <c r="S91" s="67"/>
      <c r="T91" s="67">
        <v>105.5</v>
      </c>
      <c r="U91" s="67"/>
      <c r="V91" s="67"/>
      <c r="W91" s="67"/>
      <c r="X91" s="140"/>
      <c r="Y91" s="67">
        <f t="shared" si="52"/>
        <v>1313055.6100000001</v>
      </c>
      <c r="Z91" s="15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/>
      <c r="MY91" s="25"/>
      <c r="MZ91" s="25"/>
      <c r="NA91" s="25"/>
      <c r="NB91" s="25"/>
      <c r="NC91" s="25"/>
      <c r="ND91" s="25"/>
      <c r="NE91" s="25"/>
      <c r="NF91" s="25"/>
      <c r="NG91" s="25"/>
      <c r="NH91" s="25"/>
      <c r="NI91" s="25"/>
      <c r="NJ91" s="25"/>
      <c r="NK91" s="25"/>
      <c r="NL91" s="25"/>
      <c r="NM91" s="25"/>
      <c r="NN91" s="25"/>
      <c r="NO91" s="25"/>
      <c r="NP91" s="25"/>
      <c r="NQ91" s="25"/>
      <c r="NR91" s="25"/>
      <c r="NS91" s="25"/>
      <c r="NT91" s="25"/>
      <c r="NU91" s="25"/>
      <c r="NV91" s="25"/>
      <c r="NW91" s="25"/>
      <c r="NX91" s="25"/>
      <c r="NY91" s="25"/>
      <c r="NZ91" s="25"/>
      <c r="OA91" s="25"/>
      <c r="OB91" s="25"/>
      <c r="OC91" s="25"/>
      <c r="OD91" s="25"/>
      <c r="OE91" s="25"/>
      <c r="OF91" s="25"/>
      <c r="OG91" s="25"/>
      <c r="OH91" s="25"/>
      <c r="OI91" s="25"/>
      <c r="OJ91" s="25"/>
      <c r="OK91" s="25"/>
      <c r="OL91" s="25"/>
      <c r="OM91" s="25"/>
      <c r="ON91" s="25"/>
      <c r="OO91" s="25"/>
      <c r="OP91" s="25"/>
      <c r="OQ91" s="25"/>
      <c r="OR91" s="25"/>
      <c r="OS91" s="25"/>
      <c r="OT91" s="25"/>
      <c r="OU91" s="25"/>
      <c r="OV91" s="25"/>
      <c r="OW91" s="25"/>
      <c r="OX91" s="25"/>
      <c r="OY91" s="25"/>
      <c r="OZ91" s="25"/>
      <c r="PA91" s="25"/>
      <c r="PB91" s="25"/>
      <c r="PC91" s="25"/>
      <c r="PD91" s="25"/>
      <c r="PE91" s="25"/>
      <c r="PF91" s="25"/>
      <c r="PG91" s="25"/>
      <c r="PH91" s="25"/>
      <c r="PI91" s="25"/>
      <c r="PJ91" s="25"/>
      <c r="PK91" s="25"/>
      <c r="PL91" s="25"/>
      <c r="PM91" s="25"/>
      <c r="PN91" s="25"/>
      <c r="PO91" s="25"/>
      <c r="PP91" s="25"/>
      <c r="PQ91" s="25"/>
      <c r="PR91" s="25"/>
      <c r="PS91" s="25"/>
      <c r="PT91" s="25"/>
      <c r="PU91" s="25"/>
      <c r="PV91" s="25"/>
      <c r="PW91" s="25"/>
      <c r="PX91" s="25"/>
      <c r="PY91" s="25"/>
      <c r="PZ91" s="25"/>
      <c r="QA91" s="25"/>
      <c r="QB91" s="25"/>
      <c r="QC91" s="25"/>
      <c r="QD91" s="25"/>
      <c r="QE91" s="25"/>
      <c r="QF91" s="25"/>
      <c r="QG91" s="25"/>
      <c r="QH91" s="25"/>
      <c r="QI91" s="25"/>
      <c r="QJ91" s="25"/>
      <c r="QK91" s="25"/>
      <c r="QL91" s="25"/>
      <c r="QM91" s="25"/>
      <c r="QN91" s="25"/>
      <c r="QO91" s="25"/>
      <c r="QP91" s="25"/>
      <c r="QQ91" s="25"/>
      <c r="QR91" s="25"/>
      <c r="QS91" s="25"/>
      <c r="QT91" s="25"/>
      <c r="QU91" s="25"/>
      <c r="QV91" s="25"/>
      <c r="QW91" s="25"/>
      <c r="QX91" s="25"/>
      <c r="QY91" s="25"/>
      <c r="QZ91" s="25"/>
      <c r="RA91" s="25"/>
      <c r="RB91" s="25"/>
      <c r="RC91" s="25"/>
      <c r="RD91" s="25"/>
      <c r="RE91" s="25"/>
      <c r="RF91" s="25"/>
      <c r="RG91" s="25"/>
      <c r="RH91" s="25"/>
      <c r="RI91" s="25"/>
      <c r="RJ91" s="25"/>
      <c r="RK91" s="25"/>
      <c r="RL91" s="25"/>
      <c r="RM91" s="25"/>
      <c r="RN91" s="25"/>
      <c r="RO91" s="25"/>
      <c r="RP91" s="25"/>
      <c r="RQ91" s="25"/>
      <c r="RR91" s="25"/>
      <c r="RS91" s="25"/>
      <c r="RT91" s="25"/>
      <c r="RU91" s="25"/>
      <c r="RV91" s="25"/>
      <c r="RW91" s="25"/>
      <c r="RX91" s="25"/>
      <c r="RY91" s="25"/>
      <c r="RZ91" s="25"/>
      <c r="SA91" s="25"/>
      <c r="SB91" s="25"/>
      <c r="SC91" s="25"/>
      <c r="SD91" s="25"/>
      <c r="SE91" s="25"/>
      <c r="SF91" s="25"/>
      <c r="SG91" s="25"/>
      <c r="SH91" s="25"/>
      <c r="SI91" s="25"/>
      <c r="SJ91" s="25"/>
      <c r="SK91" s="25"/>
      <c r="SL91" s="25"/>
      <c r="SM91" s="25"/>
      <c r="SN91" s="25"/>
      <c r="SO91" s="25"/>
      <c r="SP91" s="25"/>
      <c r="SQ91" s="25"/>
      <c r="SR91" s="25"/>
      <c r="SS91" s="25"/>
      <c r="ST91" s="25"/>
      <c r="SU91" s="25"/>
      <c r="SV91" s="25"/>
      <c r="SW91" s="25"/>
      <c r="SX91" s="25"/>
      <c r="SY91" s="25"/>
      <c r="SZ91" s="25"/>
      <c r="TA91" s="25"/>
      <c r="TB91" s="25"/>
      <c r="TC91" s="25"/>
      <c r="TD91" s="25"/>
      <c r="TE91" s="25"/>
      <c r="TF91" s="25"/>
      <c r="TG91" s="25"/>
      <c r="TH91" s="25"/>
      <c r="TI91" s="25"/>
      <c r="TJ91" s="25"/>
      <c r="TK91" s="25"/>
      <c r="TL91" s="25"/>
      <c r="TM91" s="25"/>
      <c r="TN91" s="25"/>
      <c r="TO91" s="25"/>
      <c r="TP91" s="25"/>
      <c r="TQ91" s="25"/>
      <c r="TR91" s="25"/>
    </row>
    <row r="92" spans="1:538" s="22" customFormat="1" ht="24.75" customHeight="1" x14ac:dyDescent="0.25">
      <c r="A92" s="42" t="s">
        <v>382</v>
      </c>
      <c r="B92" s="44" t="str">
        <f>'дод 3'!A51</f>
        <v>2152</v>
      </c>
      <c r="C92" s="44" t="str">
        <f>'дод 3'!B51</f>
        <v>0763</v>
      </c>
      <c r="D92" s="21" t="str">
        <f>'дод 3'!C51</f>
        <v>Інші програми та заходи у сфері охорони здоров’я</v>
      </c>
      <c r="E92" s="67">
        <v>73463433</v>
      </c>
      <c r="F92" s="67"/>
      <c r="G92" s="67"/>
      <c r="H92" s="67">
        <v>14640937.66</v>
      </c>
      <c r="I92" s="67"/>
      <c r="J92" s="67"/>
      <c r="K92" s="140">
        <f t="shared" si="51"/>
        <v>19.929558233413893</v>
      </c>
      <c r="L92" s="67">
        <v>18500000</v>
      </c>
      <c r="M92" s="67">
        <f>16000000+2500000</f>
        <v>18500000</v>
      </c>
      <c r="N92" s="67"/>
      <c r="O92" s="67"/>
      <c r="P92" s="67"/>
      <c r="Q92" s="67">
        <f>16000000+2500000</f>
        <v>18500000</v>
      </c>
      <c r="R92" s="67">
        <f t="shared" si="53"/>
        <v>1390851.97</v>
      </c>
      <c r="S92" s="67">
        <v>309551</v>
      </c>
      <c r="T92" s="67">
        <v>1081300.97</v>
      </c>
      <c r="U92" s="67"/>
      <c r="V92" s="67"/>
      <c r="W92" s="67">
        <v>309551</v>
      </c>
      <c r="X92" s="140">
        <f t="shared" si="54"/>
        <v>7.5181187567567571</v>
      </c>
      <c r="Y92" s="67">
        <f t="shared" si="52"/>
        <v>16031789.630000001</v>
      </c>
      <c r="Z92" s="15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  <c r="LT92" s="25"/>
      <c r="LU92" s="25"/>
      <c r="LV92" s="25"/>
      <c r="LW92" s="25"/>
      <c r="LX92" s="25"/>
      <c r="LY92" s="25"/>
      <c r="LZ92" s="25"/>
      <c r="MA92" s="25"/>
      <c r="MB92" s="25"/>
      <c r="MC92" s="25"/>
      <c r="MD92" s="25"/>
      <c r="ME92" s="25"/>
      <c r="MF92" s="25"/>
      <c r="MG92" s="25"/>
      <c r="MH92" s="25"/>
      <c r="MI92" s="25"/>
      <c r="MJ92" s="25"/>
      <c r="MK92" s="25"/>
      <c r="ML92" s="25"/>
      <c r="MM92" s="25"/>
      <c r="MN92" s="25"/>
      <c r="MO92" s="25"/>
      <c r="MP92" s="25"/>
      <c r="MQ92" s="25"/>
      <c r="MR92" s="25"/>
      <c r="MS92" s="25"/>
      <c r="MT92" s="25"/>
      <c r="MU92" s="25"/>
      <c r="MV92" s="25"/>
      <c r="MW92" s="25"/>
      <c r="MX92" s="25"/>
      <c r="MY92" s="25"/>
      <c r="MZ92" s="25"/>
      <c r="NA92" s="25"/>
      <c r="NB92" s="25"/>
      <c r="NC92" s="25"/>
      <c r="ND92" s="25"/>
      <c r="NE92" s="25"/>
      <c r="NF92" s="25"/>
      <c r="NG92" s="25"/>
      <c r="NH92" s="25"/>
      <c r="NI92" s="25"/>
      <c r="NJ92" s="25"/>
      <c r="NK92" s="25"/>
      <c r="NL92" s="25"/>
      <c r="NM92" s="25"/>
      <c r="NN92" s="25"/>
      <c r="NO92" s="25"/>
      <c r="NP92" s="25"/>
      <c r="NQ92" s="25"/>
      <c r="NR92" s="25"/>
      <c r="NS92" s="25"/>
      <c r="NT92" s="25"/>
      <c r="NU92" s="25"/>
      <c r="NV92" s="25"/>
      <c r="NW92" s="25"/>
      <c r="NX92" s="25"/>
      <c r="NY92" s="25"/>
      <c r="NZ92" s="25"/>
      <c r="OA92" s="25"/>
      <c r="OB92" s="25"/>
      <c r="OC92" s="25"/>
      <c r="OD92" s="25"/>
      <c r="OE92" s="25"/>
      <c r="OF92" s="25"/>
      <c r="OG92" s="25"/>
      <c r="OH92" s="25"/>
      <c r="OI92" s="25"/>
      <c r="OJ92" s="25"/>
      <c r="OK92" s="25"/>
      <c r="OL92" s="25"/>
      <c r="OM92" s="25"/>
      <c r="ON92" s="25"/>
      <c r="OO92" s="25"/>
      <c r="OP92" s="25"/>
      <c r="OQ92" s="25"/>
      <c r="OR92" s="25"/>
      <c r="OS92" s="25"/>
      <c r="OT92" s="25"/>
      <c r="OU92" s="25"/>
      <c r="OV92" s="25"/>
      <c r="OW92" s="25"/>
      <c r="OX92" s="25"/>
      <c r="OY92" s="25"/>
      <c r="OZ92" s="25"/>
      <c r="PA92" s="25"/>
      <c r="PB92" s="25"/>
      <c r="PC92" s="25"/>
      <c r="PD92" s="25"/>
      <c r="PE92" s="25"/>
      <c r="PF92" s="25"/>
      <c r="PG92" s="25"/>
      <c r="PH92" s="25"/>
      <c r="PI92" s="25"/>
      <c r="PJ92" s="25"/>
      <c r="PK92" s="25"/>
      <c r="PL92" s="25"/>
      <c r="PM92" s="25"/>
      <c r="PN92" s="25"/>
      <c r="PO92" s="25"/>
      <c r="PP92" s="25"/>
      <c r="PQ92" s="25"/>
      <c r="PR92" s="25"/>
      <c r="PS92" s="25"/>
      <c r="PT92" s="25"/>
      <c r="PU92" s="25"/>
      <c r="PV92" s="25"/>
      <c r="PW92" s="25"/>
      <c r="PX92" s="25"/>
      <c r="PY92" s="25"/>
      <c r="PZ92" s="25"/>
      <c r="QA92" s="25"/>
      <c r="QB92" s="25"/>
      <c r="QC92" s="25"/>
      <c r="QD92" s="25"/>
      <c r="QE92" s="25"/>
      <c r="QF92" s="25"/>
      <c r="QG92" s="25"/>
      <c r="QH92" s="25"/>
      <c r="QI92" s="25"/>
      <c r="QJ92" s="25"/>
      <c r="QK92" s="25"/>
      <c r="QL92" s="25"/>
      <c r="QM92" s="25"/>
      <c r="QN92" s="25"/>
      <c r="QO92" s="25"/>
      <c r="QP92" s="25"/>
      <c r="QQ92" s="25"/>
      <c r="QR92" s="25"/>
      <c r="QS92" s="25"/>
      <c r="QT92" s="25"/>
      <c r="QU92" s="25"/>
      <c r="QV92" s="25"/>
      <c r="QW92" s="25"/>
      <c r="QX92" s="25"/>
      <c r="QY92" s="25"/>
      <c r="QZ92" s="25"/>
      <c r="RA92" s="25"/>
      <c r="RB92" s="25"/>
      <c r="RC92" s="25"/>
      <c r="RD92" s="25"/>
      <c r="RE92" s="25"/>
      <c r="RF92" s="25"/>
      <c r="RG92" s="25"/>
      <c r="RH92" s="25"/>
      <c r="RI92" s="25"/>
      <c r="RJ92" s="25"/>
      <c r="RK92" s="25"/>
      <c r="RL92" s="25"/>
      <c r="RM92" s="25"/>
      <c r="RN92" s="25"/>
      <c r="RO92" s="25"/>
      <c r="RP92" s="25"/>
      <c r="RQ92" s="25"/>
      <c r="RR92" s="25"/>
      <c r="RS92" s="25"/>
      <c r="RT92" s="25"/>
      <c r="RU92" s="25"/>
      <c r="RV92" s="25"/>
      <c r="RW92" s="25"/>
      <c r="RX92" s="25"/>
      <c r="RY92" s="25"/>
      <c r="RZ92" s="25"/>
      <c r="SA92" s="25"/>
      <c r="SB92" s="25"/>
      <c r="SC92" s="25"/>
      <c r="SD92" s="25"/>
      <c r="SE92" s="25"/>
      <c r="SF92" s="25"/>
      <c r="SG92" s="25"/>
      <c r="SH92" s="25"/>
      <c r="SI92" s="25"/>
      <c r="SJ92" s="25"/>
      <c r="SK92" s="25"/>
      <c r="SL92" s="25"/>
      <c r="SM92" s="25"/>
      <c r="SN92" s="25"/>
      <c r="SO92" s="25"/>
      <c r="SP92" s="25"/>
      <c r="SQ92" s="25"/>
      <c r="SR92" s="25"/>
      <c r="SS92" s="25"/>
      <c r="ST92" s="25"/>
      <c r="SU92" s="25"/>
      <c r="SV92" s="25"/>
      <c r="SW92" s="25"/>
      <c r="SX92" s="25"/>
      <c r="SY92" s="25"/>
      <c r="SZ92" s="25"/>
      <c r="TA92" s="25"/>
      <c r="TB92" s="25"/>
      <c r="TC92" s="25"/>
      <c r="TD92" s="25"/>
      <c r="TE92" s="25"/>
      <c r="TF92" s="25"/>
      <c r="TG92" s="25"/>
      <c r="TH92" s="25"/>
      <c r="TI92" s="25"/>
      <c r="TJ92" s="25"/>
      <c r="TK92" s="25"/>
      <c r="TL92" s="25"/>
      <c r="TM92" s="25"/>
      <c r="TN92" s="25"/>
      <c r="TO92" s="25"/>
      <c r="TP92" s="25"/>
      <c r="TQ92" s="25"/>
      <c r="TR92" s="25"/>
    </row>
    <row r="93" spans="1:538" s="22" customFormat="1" ht="44.25" customHeight="1" x14ac:dyDescent="0.25">
      <c r="A93" s="42" t="s">
        <v>446</v>
      </c>
      <c r="B93" s="44">
        <f>'дод 3'!A109</f>
        <v>7361</v>
      </c>
      <c r="C93" s="44" t="str">
        <f>'дод 3'!B109</f>
        <v>0490</v>
      </c>
      <c r="D93" s="21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93" s="67">
        <v>0</v>
      </c>
      <c r="F93" s="67"/>
      <c r="G93" s="67"/>
      <c r="H93" s="67"/>
      <c r="I93" s="67"/>
      <c r="J93" s="67"/>
      <c r="K93" s="140"/>
      <c r="L93" s="67">
        <v>3000000</v>
      </c>
      <c r="M93" s="67">
        <v>3000000</v>
      </c>
      <c r="N93" s="67"/>
      <c r="O93" s="67"/>
      <c r="P93" s="67"/>
      <c r="Q93" s="67">
        <v>3000000</v>
      </c>
      <c r="R93" s="67">
        <f t="shared" si="53"/>
        <v>851780.88</v>
      </c>
      <c r="S93" s="67">
        <v>851780.88</v>
      </c>
      <c r="T93" s="67"/>
      <c r="U93" s="67"/>
      <c r="V93" s="67"/>
      <c r="W93" s="67">
        <v>851780.88</v>
      </c>
      <c r="X93" s="140">
        <f t="shared" si="54"/>
        <v>28.392696000000001</v>
      </c>
      <c r="Y93" s="67">
        <f t="shared" si="52"/>
        <v>851780.88</v>
      </c>
      <c r="Z93" s="15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  <c r="LT93" s="25"/>
      <c r="LU93" s="25"/>
      <c r="LV93" s="25"/>
      <c r="LW93" s="25"/>
      <c r="LX93" s="25"/>
      <c r="LY93" s="25"/>
      <c r="LZ93" s="25"/>
      <c r="MA93" s="25"/>
      <c r="MB93" s="25"/>
      <c r="MC93" s="25"/>
      <c r="MD93" s="25"/>
      <c r="ME93" s="25"/>
      <c r="MF93" s="25"/>
      <c r="MG93" s="25"/>
      <c r="MH93" s="25"/>
      <c r="MI93" s="25"/>
      <c r="MJ93" s="25"/>
      <c r="MK93" s="25"/>
      <c r="ML93" s="25"/>
      <c r="MM93" s="25"/>
      <c r="MN93" s="25"/>
      <c r="MO93" s="25"/>
      <c r="MP93" s="25"/>
      <c r="MQ93" s="25"/>
      <c r="MR93" s="25"/>
      <c r="MS93" s="25"/>
      <c r="MT93" s="25"/>
      <c r="MU93" s="25"/>
      <c r="MV93" s="25"/>
      <c r="MW93" s="25"/>
      <c r="MX93" s="25"/>
      <c r="MY93" s="25"/>
      <c r="MZ93" s="25"/>
      <c r="NA93" s="25"/>
      <c r="NB93" s="25"/>
      <c r="NC93" s="25"/>
      <c r="ND93" s="25"/>
      <c r="NE93" s="25"/>
      <c r="NF93" s="25"/>
      <c r="NG93" s="25"/>
      <c r="NH93" s="25"/>
      <c r="NI93" s="25"/>
      <c r="NJ93" s="25"/>
      <c r="NK93" s="25"/>
      <c r="NL93" s="25"/>
      <c r="NM93" s="25"/>
      <c r="NN93" s="25"/>
      <c r="NO93" s="25"/>
      <c r="NP93" s="25"/>
      <c r="NQ93" s="25"/>
      <c r="NR93" s="25"/>
      <c r="NS93" s="25"/>
      <c r="NT93" s="25"/>
      <c r="NU93" s="25"/>
      <c r="NV93" s="25"/>
      <c r="NW93" s="25"/>
      <c r="NX93" s="25"/>
      <c r="NY93" s="25"/>
      <c r="NZ93" s="25"/>
      <c r="OA93" s="25"/>
      <c r="OB93" s="25"/>
      <c r="OC93" s="25"/>
      <c r="OD93" s="25"/>
      <c r="OE93" s="25"/>
      <c r="OF93" s="25"/>
      <c r="OG93" s="25"/>
      <c r="OH93" s="25"/>
      <c r="OI93" s="25"/>
      <c r="OJ93" s="25"/>
      <c r="OK93" s="25"/>
      <c r="OL93" s="25"/>
      <c r="OM93" s="25"/>
      <c r="ON93" s="25"/>
      <c r="OO93" s="25"/>
      <c r="OP93" s="25"/>
      <c r="OQ93" s="25"/>
      <c r="OR93" s="25"/>
      <c r="OS93" s="25"/>
      <c r="OT93" s="25"/>
      <c r="OU93" s="25"/>
      <c r="OV93" s="25"/>
      <c r="OW93" s="25"/>
      <c r="OX93" s="25"/>
      <c r="OY93" s="25"/>
      <c r="OZ93" s="25"/>
      <c r="PA93" s="25"/>
      <c r="PB93" s="25"/>
      <c r="PC93" s="25"/>
      <c r="PD93" s="25"/>
      <c r="PE93" s="25"/>
      <c r="PF93" s="25"/>
      <c r="PG93" s="25"/>
      <c r="PH93" s="25"/>
      <c r="PI93" s="25"/>
      <c r="PJ93" s="25"/>
      <c r="PK93" s="25"/>
      <c r="PL93" s="25"/>
      <c r="PM93" s="25"/>
      <c r="PN93" s="25"/>
      <c r="PO93" s="25"/>
      <c r="PP93" s="25"/>
      <c r="PQ93" s="25"/>
      <c r="PR93" s="25"/>
      <c r="PS93" s="25"/>
      <c r="PT93" s="25"/>
      <c r="PU93" s="25"/>
      <c r="PV93" s="25"/>
      <c r="PW93" s="25"/>
      <c r="PX93" s="25"/>
      <c r="PY93" s="25"/>
      <c r="PZ93" s="25"/>
      <c r="QA93" s="25"/>
      <c r="QB93" s="25"/>
      <c r="QC93" s="25"/>
      <c r="QD93" s="25"/>
      <c r="QE93" s="25"/>
      <c r="QF93" s="25"/>
      <c r="QG93" s="25"/>
      <c r="QH93" s="25"/>
      <c r="QI93" s="25"/>
      <c r="QJ93" s="25"/>
      <c r="QK93" s="25"/>
      <c r="QL93" s="25"/>
      <c r="QM93" s="25"/>
      <c r="QN93" s="25"/>
      <c r="QO93" s="25"/>
      <c r="QP93" s="25"/>
      <c r="QQ93" s="25"/>
      <c r="QR93" s="25"/>
      <c r="QS93" s="25"/>
      <c r="QT93" s="25"/>
      <c r="QU93" s="25"/>
      <c r="QV93" s="25"/>
      <c r="QW93" s="25"/>
      <c r="QX93" s="25"/>
      <c r="QY93" s="25"/>
      <c r="QZ93" s="25"/>
      <c r="RA93" s="25"/>
      <c r="RB93" s="25"/>
      <c r="RC93" s="25"/>
      <c r="RD93" s="25"/>
      <c r="RE93" s="25"/>
      <c r="RF93" s="25"/>
      <c r="RG93" s="25"/>
      <c r="RH93" s="25"/>
      <c r="RI93" s="25"/>
      <c r="RJ93" s="25"/>
      <c r="RK93" s="25"/>
      <c r="RL93" s="25"/>
      <c r="RM93" s="25"/>
      <c r="RN93" s="25"/>
      <c r="RO93" s="25"/>
      <c r="RP93" s="25"/>
      <c r="RQ93" s="25"/>
      <c r="RR93" s="25"/>
      <c r="RS93" s="25"/>
      <c r="RT93" s="25"/>
      <c r="RU93" s="25"/>
      <c r="RV93" s="25"/>
      <c r="RW93" s="25"/>
      <c r="RX93" s="25"/>
      <c r="RY93" s="25"/>
      <c r="RZ93" s="25"/>
      <c r="SA93" s="25"/>
      <c r="SB93" s="25"/>
      <c r="SC93" s="25"/>
      <c r="SD93" s="25"/>
      <c r="SE93" s="25"/>
      <c r="SF93" s="25"/>
      <c r="SG93" s="25"/>
      <c r="SH93" s="25"/>
      <c r="SI93" s="25"/>
      <c r="SJ93" s="25"/>
      <c r="SK93" s="25"/>
      <c r="SL93" s="25"/>
      <c r="SM93" s="25"/>
      <c r="SN93" s="25"/>
      <c r="SO93" s="25"/>
      <c r="SP93" s="25"/>
      <c r="SQ93" s="25"/>
      <c r="SR93" s="25"/>
      <c r="SS93" s="25"/>
      <c r="ST93" s="25"/>
      <c r="SU93" s="25"/>
      <c r="SV93" s="25"/>
      <c r="SW93" s="25"/>
      <c r="SX93" s="25"/>
      <c r="SY93" s="25"/>
      <c r="SZ93" s="25"/>
      <c r="TA93" s="25"/>
      <c r="TB93" s="25"/>
      <c r="TC93" s="25"/>
      <c r="TD93" s="25"/>
      <c r="TE93" s="25"/>
      <c r="TF93" s="25"/>
      <c r="TG93" s="25"/>
      <c r="TH93" s="25"/>
      <c r="TI93" s="25"/>
      <c r="TJ93" s="25"/>
      <c r="TK93" s="25"/>
      <c r="TL93" s="25"/>
      <c r="TM93" s="25"/>
      <c r="TN93" s="25"/>
      <c r="TO93" s="25"/>
      <c r="TP93" s="25"/>
      <c r="TQ93" s="25"/>
      <c r="TR93" s="25"/>
    </row>
    <row r="94" spans="1:538" s="22" customFormat="1" ht="18.75" customHeight="1" x14ac:dyDescent="0.25">
      <c r="A94" s="42" t="s">
        <v>210</v>
      </c>
      <c r="B94" s="43" t="str">
        <f>'дод 3'!A124</f>
        <v>7640</v>
      </c>
      <c r="C94" s="43" t="str">
        <f>'дод 3'!B124</f>
        <v>0470</v>
      </c>
      <c r="D94" s="23" t="str">
        <f>'дод 3'!C124</f>
        <v>Заходи з енергозбереження</v>
      </c>
      <c r="E94" s="67">
        <v>199000</v>
      </c>
      <c r="F94" s="67"/>
      <c r="G94" s="67"/>
      <c r="H94" s="67">
        <v>199000</v>
      </c>
      <c r="I94" s="67"/>
      <c r="J94" s="67"/>
      <c r="K94" s="140">
        <f t="shared" si="51"/>
        <v>100</v>
      </c>
      <c r="L94" s="67">
        <v>21983974</v>
      </c>
      <c r="M94" s="67">
        <f>17559604+14714700-6500000+1200000-1100000+9670-1500000-2400000</f>
        <v>21983974</v>
      </c>
      <c r="N94" s="67"/>
      <c r="O94" s="67"/>
      <c r="P94" s="67"/>
      <c r="Q94" s="67">
        <f>17559604+14714700-6500000+1200000-1100000+9670-1500000-2400000</f>
        <v>21983974</v>
      </c>
      <c r="R94" s="67">
        <f t="shared" si="53"/>
        <v>1621482.8</v>
      </c>
      <c r="S94" s="67">
        <v>1621482.8</v>
      </c>
      <c r="T94" s="67"/>
      <c r="U94" s="67"/>
      <c r="V94" s="67"/>
      <c r="W94" s="67">
        <v>1621482.8</v>
      </c>
      <c r="X94" s="140">
        <f t="shared" si="54"/>
        <v>7.3757492617121914</v>
      </c>
      <c r="Y94" s="67">
        <f>H94+R94</f>
        <v>1820482.8</v>
      </c>
      <c r="Z94" s="156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  <c r="LT94" s="25"/>
      <c r="LU94" s="25"/>
      <c r="LV94" s="25"/>
      <c r="LW94" s="25"/>
      <c r="LX94" s="25"/>
      <c r="LY94" s="25"/>
      <c r="LZ94" s="25"/>
      <c r="MA94" s="25"/>
      <c r="MB94" s="25"/>
      <c r="MC94" s="25"/>
      <c r="MD94" s="25"/>
      <c r="ME94" s="25"/>
      <c r="MF94" s="25"/>
      <c r="MG94" s="25"/>
      <c r="MH94" s="25"/>
      <c r="MI94" s="25"/>
      <c r="MJ94" s="25"/>
      <c r="MK94" s="25"/>
      <c r="ML94" s="25"/>
      <c r="MM94" s="25"/>
      <c r="MN94" s="25"/>
      <c r="MO94" s="25"/>
      <c r="MP94" s="25"/>
      <c r="MQ94" s="25"/>
      <c r="MR94" s="25"/>
      <c r="MS94" s="25"/>
      <c r="MT94" s="25"/>
      <c r="MU94" s="25"/>
      <c r="MV94" s="25"/>
      <c r="MW94" s="25"/>
      <c r="MX94" s="25"/>
      <c r="MY94" s="25"/>
      <c r="MZ94" s="25"/>
      <c r="NA94" s="25"/>
      <c r="NB94" s="25"/>
      <c r="NC94" s="25"/>
      <c r="ND94" s="25"/>
      <c r="NE94" s="25"/>
      <c r="NF94" s="25"/>
      <c r="NG94" s="25"/>
      <c r="NH94" s="25"/>
      <c r="NI94" s="25"/>
      <c r="NJ94" s="25"/>
      <c r="NK94" s="25"/>
      <c r="NL94" s="25"/>
      <c r="NM94" s="25"/>
      <c r="NN94" s="25"/>
      <c r="NO94" s="25"/>
      <c r="NP94" s="25"/>
      <c r="NQ94" s="25"/>
      <c r="NR94" s="25"/>
      <c r="NS94" s="25"/>
      <c r="NT94" s="25"/>
      <c r="NU94" s="25"/>
      <c r="NV94" s="25"/>
      <c r="NW94" s="25"/>
      <c r="NX94" s="25"/>
      <c r="NY94" s="25"/>
      <c r="NZ94" s="25"/>
      <c r="OA94" s="25"/>
      <c r="OB94" s="25"/>
      <c r="OC94" s="25"/>
      <c r="OD94" s="25"/>
      <c r="OE94" s="25"/>
      <c r="OF94" s="25"/>
      <c r="OG94" s="25"/>
      <c r="OH94" s="25"/>
      <c r="OI94" s="25"/>
      <c r="OJ94" s="25"/>
      <c r="OK94" s="25"/>
      <c r="OL94" s="25"/>
      <c r="OM94" s="25"/>
      <c r="ON94" s="25"/>
      <c r="OO94" s="25"/>
      <c r="OP94" s="25"/>
      <c r="OQ94" s="25"/>
      <c r="OR94" s="25"/>
      <c r="OS94" s="25"/>
      <c r="OT94" s="25"/>
      <c r="OU94" s="25"/>
      <c r="OV94" s="25"/>
      <c r="OW94" s="25"/>
      <c r="OX94" s="25"/>
      <c r="OY94" s="25"/>
      <c r="OZ94" s="25"/>
      <c r="PA94" s="25"/>
      <c r="PB94" s="25"/>
      <c r="PC94" s="25"/>
      <c r="PD94" s="25"/>
      <c r="PE94" s="25"/>
      <c r="PF94" s="25"/>
      <c r="PG94" s="25"/>
      <c r="PH94" s="25"/>
      <c r="PI94" s="25"/>
      <c r="PJ94" s="25"/>
      <c r="PK94" s="25"/>
      <c r="PL94" s="25"/>
      <c r="PM94" s="25"/>
      <c r="PN94" s="25"/>
      <c r="PO94" s="25"/>
      <c r="PP94" s="25"/>
      <c r="PQ94" s="25"/>
      <c r="PR94" s="25"/>
      <c r="PS94" s="25"/>
      <c r="PT94" s="25"/>
      <c r="PU94" s="25"/>
      <c r="PV94" s="25"/>
      <c r="PW94" s="25"/>
      <c r="PX94" s="25"/>
      <c r="PY94" s="25"/>
      <c r="PZ94" s="25"/>
      <c r="QA94" s="25"/>
      <c r="QB94" s="25"/>
      <c r="QC94" s="25"/>
      <c r="QD94" s="25"/>
      <c r="QE94" s="25"/>
      <c r="QF94" s="25"/>
      <c r="QG94" s="25"/>
      <c r="QH94" s="25"/>
      <c r="QI94" s="25"/>
      <c r="QJ94" s="25"/>
      <c r="QK94" s="25"/>
      <c r="QL94" s="25"/>
      <c r="QM94" s="25"/>
      <c r="QN94" s="25"/>
      <c r="QO94" s="25"/>
      <c r="QP94" s="25"/>
      <c r="QQ94" s="25"/>
      <c r="QR94" s="25"/>
      <c r="QS94" s="25"/>
      <c r="QT94" s="25"/>
      <c r="QU94" s="25"/>
      <c r="QV94" s="25"/>
      <c r="QW94" s="25"/>
      <c r="QX94" s="25"/>
      <c r="QY94" s="25"/>
      <c r="QZ94" s="25"/>
      <c r="RA94" s="25"/>
      <c r="RB94" s="25"/>
      <c r="RC94" s="25"/>
      <c r="RD94" s="25"/>
      <c r="RE94" s="25"/>
      <c r="RF94" s="25"/>
      <c r="RG94" s="25"/>
      <c r="RH94" s="25"/>
      <c r="RI94" s="25"/>
      <c r="RJ94" s="25"/>
      <c r="RK94" s="25"/>
      <c r="RL94" s="25"/>
      <c r="RM94" s="25"/>
      <c r="RN94" s="25"/>
      <c r="RO94" s="25"/>
      <c r="RP94" s="25"/>
      <c r="RQ94" s="25"/>
      <c r="RR94" s="25"/>
      <c r="RS94" s="25"/>
      <c r="RT94" s="25"/>
      <c r="RU94" s="25"/>
      <c r="RV94" s="25"/>
      <c r="RW94" s="25"/>
      <c r="RX94" s="25"/>
      <c r="RY94" s="25"/>
      <c r="RZ94" s="25"/>
      <c r="SA94" s="25"/>
      <c r="SB94" s="25"/>
      <c r="SC94" s="25"/>
      <c r="SD94" s="25"/>
      <c r="SE94" s="25"/>
      <c r="SF94" s="25"/>
      <c r="SG94" s="25"/>
      <c r="SH94" s="25"/>
      <c r="SI94" s="25"/>
      <c r="SJ94" s="25"/>
      <c r="SK94" s="25"/>
      <c r="SL94" s="25"/>
      <c r="SM94" s="25"/>
      <c r="SN94" s="25"/>
      <c r="SO94" s="25"/>
      <c r="SP94" s="25"/>
      <c r="SQ94" s="25"/>
      <c r="SR94" s="25"/>
      <c r="SS94" s="25"/>
      <c r="ST94" s="25"/>
      <c r="SU94" s="25"/>
      <c r="SV94" s="25"/>
      <c r="SW94" s="25"/>
      <c r="SX94" s="25"/>
      <c r="SY94" s="25"/>
      <c r="SZ94" s="25"/>
      <c r="TA94" s="25"/>
      <c r="TB94" s="25"/>
      <c r="TC94" s="25"/>
      <c r="TD94" s="25"/>
      <c r="TE94" s="25"/>
      <c r="TF94" s="25"/>
      <c r="TG94" s="25"/>
      <c r="TH94" s="25"/>
      <c r="TI94" s="25"/>
      <c r="TJ94" s="25"/>
      <c r="TK94" s="25"/>
      <c r="TL94" s="25"/>
      <c r="TM94" s="25"/>
      <c r="TN94" s="25"/>
      <c r="TO94" s="25"/>
      <c r="TP94" s="25"/>
      <c r="TQ94" s="25"/>
      <c r="TR94" s="25"/>
    </row>
    <row r="95" spans="1:538" s="22" customFormat="1" ht="45" customHeight="1" x14ac:dyDescent="0.25">
      <c r="A95" s="42" t="s">
        <v>423</v>
      </c>
      <c r="B95" s="43">
        <v>7700</v>
      </c>
      <c r="C95" s="42" t="s">
        <v>113</v>
      </c>
      <c r="D95" s="23" t="s">
        <v>424</v>
      </c>
      <c r="E95" s="67">
        <v>0</v>
      </c>
      <c r="F95" s="67"/>
      <c r="G95" s="67"/>
      <c r="H95" s="67"/>
      <c r="I95" s="67"/>
      <c r="J95" s="67"/>
      <c r="K95" s="140"/>
      <c r="L95" s="67">
        <v>885000</v>
      </c>
      <c r="M95" s="67"/>
      <c r="N95" s="67"/>
      <c r="O95" s="67"/>
      <c r="P95" s="67"/>
      <c r="Q95" s="67">
        <v>885000</v>
      </c>
      <c r="R95" s="67">
        <f>T95+W95</f>
        <v>0</v>
      </c>
      <c r="S95" s="67"/>
      <c r="T95" s="67"/>
      <c r="U95" s="67"/>
      <c r="V95" s="67"/>
      <c r="W95" s="67"/>
      <c r="X95" s="140">
        <f t="shared" si="54"/>
        <v>0</v>
      </c>
      <c r="Y95" s="67">
        <f t="shared" ref="Y95" si="55">E95+R95</f>
        <v>0</v>
      </c>
      <c r="Z95" s="156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  <c r="LT95" s="25"/>
      <c r="LU95" s="25"/>
      <c r="LV95" s="25"/>
      <c r="LW95" s="25"/>
      <c r="LX95" s="25"/>
      <c r="LY95" s="25"/>
      <c r="LZ95" s="25"/>
      <c r="MA95" s="25"/>
      <c r="MB95" s="25"/>
      <c r="MC95" s="25"/>
      <c r="MD95" s="25"/>
      <c r="ME95" s="25"/>
      <c r="MF95" s="25"/>
      <c r="MG95" s="25"/>
      <c r="MH95" s="25"/>
      <c r="MI95" s="25"/>
      <c r="MJ95" s="25"/>
      <c r="MK95" s="25"/>
      <c r="ML95" s="25"/>
      <c r="MM95" s="25"/>
      <c r="MN95" s="25"/>
      <c r="MO95" s="25"/>
      <c r="MP95" s="25"/>
      <c r="MQ95" s="25"/>
      <c r="MR95" s="25"/>
      <c r="MS95" s="25"/>
      <c r="MT95" s="25"/>
      <c r="MU95" s="25"/>
      <c r="MV95" s="25"/>
      <c r="MW95" s="25"/>
      <c r="MX95" s="25"/>
      <c r="MY95" s="25"/>
      <c r="MZ95" s="25"/>
      <c r="NA95" s="25"/>
      <c r="NB95" s="25"/>
      <c r="NC95" s="25"/>
      <c r="ND95" s="25"/>
      <c r="NE95" s="25"/>
      <c r="NF95" s="25"/>
      <c r="NG95" s="25"/>
      <c r="NH95" s="25"/>
      <c r="NI95" s="25"/>
      <c r="NJ95" s="25"/>
      <c r="NK95" s="25"/>
      <c r="NL95" s="25"/>
      <c r="NM95" s="25"/>
      <c r="NN95" s="25"/>
      <c r="NO95" s="25"/>
      <c r="NP95" s="25"/>
      <c r="NQ95" s="25"/>
      <c r="NR95" s="25"/>
      <c r="NS95" s="25"/>
      <c r="NT95" s="25"/>
      <c r="NU95" s="25"/>
      <c r="NV95" s="25"/>
      <c r="NW95" s="25"/>
      <c r="NX95" s="25"/>
      <c r="NY95" s="25"/>
      <c r="NZ95" s="25"/>
      <c r="OA95" s="25"/>
      <c r="OB95" s="25"/>
      <c r="OC95" s="25"/>
      <c r="OD95" s="25"/>
      <c r="OE95" s="25"/>
      <c r="OF95" s="25"/>
      <c r="OG95" s="25"/>
      <c r="OH95" s="25"/>
      <c r="OI95" s="25"/>
      <c r="OJ95" s="25"/>
      <c r="OK95" s="25"/>
      <c r="OL95" s="25"/>
      <c r="OM95" s="25"/>
      <c r="ON95" s="25"/>
      <c r="OO95" s="25"/>
      <c r="OP95" s="25"/>
      <c r="OQ95" s="25"/>
      <c r="OR95" s="25"/>
      <c r="OS95" s="25"/>
      <c r="OT95" s="25"/>
      <c r="OU95" s="25"/>
      <c r="OV95" s="25"/>
      <c r="OW95" s="25"/>
      <c r="OX95" s="25"/>
      <c r="OY95" s="25"/>
      <c r="OZ95" s="25"/>
      <c r="PA95" s="25"/>
      <c r="PB95" s="25"/>
      <c r="PC95" s="25"/>
      <c r="PD95" s="25"/>
      <c r="PE95" s="25"/>
      <c r="PF95" s="25"/>
      <c r="PG95" s="25"/>
      <c r="PH95" s="25"/>
      <c r="PI95" s="25"/>
      <c r="PJ95" s="25"/>
      <c r="PK95" s="25"/>
      <c r="PL95" s="25"/>
      <c r="PM95" s="25"/>
      <c r="PN95" s="25"/>
      <c r="PO95" s="25"/>
      <c r="PP95" s="25"/>
      <c r="PQ95" s="25"/>
      <c r="PR95" s="25"/>
      <c r="PS95" s="25"/>
      <c r="PT95" s="25"/>
      <c r="PU95" s="25"/>
      <c r="PV95" s="25"/>
      <c r="PW95" s="25"/>
      <c r="PX95" s="25"/>
      <c r="PY95" s="25"/>
      <c r="PZ95" s="25"/>
      <c r="QA95" s="25"/>
      <c r="QB95" s="25"/>
      <c r="QC95" s="25"/>
      <c r="QD95" s="25"/>
      <c r="QE95" s="25"/>
      <c r="QF95" s="25"/>
      <c r="QG95" s="25"/>
      <c r="QH95" s="25"/>
      <c r="QI95" s="25"/>
      <c r="QJ95" s="25"/>
      <c r="QK95" s="25"/>
      <c r="QL95" s="25"/>
      <c r="QM95" s="25"/>
      <c r="QN95" s="25"/>
      <c r="QO95" s="25"/>
      <c r="QP95" s="25"/>
      <c r="QQ95" s="25"/>
      <c r="QR95" s="25"/>
      <c r="QS95" s="25"/>
      <c r="QT95" s="25"/>
      <c r="QU95" s="25"/>
      <c r="QV95" s="25"/>
      <c r="QW95" s="25"/>
      <c r="QX95" s="25"/>
      <c r="QY95" s="25"/>
      <c r="QZ95" s="25"/>
      <c r="RA95" s="25"/>
      <c r="RB95" s="25"/>
      <c r="RC95" s="25"/>
      <c r="RD95" s="25"/>
      <c r="RE95" s="25"/>
      <c r="RF95" s="25"/>
      <c r="RG95" s="25"/>
      <c r="RH95" s="25"/>
      <c r="RI95" s="25"/>
      <c r="RJ95" s="25"/>
      <c r="RK95" s="25"/>
      <c r="RL95" s="25"/>
      <c r="RM95" s="25"/>
      <c r="RN95" s="25"/>
      <c r="RO95" s="25"/>
      <c r="RP95" s="25"/>
      <c r="RQ95" s="25"/>
      <c r="RR95" s="25"/>
      <c r="RS95" s="25"/>
      <c r="RT95" s="25"/>
      <c r="RU95" s="25"/>
      <c r="RV95" s="25"/>
      <c r="RW95" s="25"/>
      <c r="RX95" s="25"/>
      <c r="RY95" s="25"/>
      <c r="RZ95" s="25"/>
      <c r="SA95" s="25"/>
      <c r="SB95" s="25"/>
      <c r="SC95" s="25"/>
      <c r="SD95" s="25"/>
      <c r="SE95" s="25"/>
      <c r="SF95" s="25"/>
      <c r="SG95" s="25"/>
      <c r="SH95" s="25"/>
      <c r="SI95" s="25"/>
      <c r="SJ95" s="25"/>
      <c r="SK95" s="25"/>
      <c r="SL95" s="25"/>
      <c r="SM95" s="25"/>
      <c r="SN95" s="25"/>
      <c r="SO95" s="25"/>
      <c r="SP95" s="25"/>
      <c r="SQ95" s="25"/>
      <c r="SR95" s="25"/>
      <c r="SS95" s="25"/>
      <c r="ST95" s="25"/>
      <c r="SU95" s="25"/>
      <c r="SV95" s="25"/>
      <c r="SW95" s="25"/>
      <c r="SX95" s="25"/>
      <c r="SY95" s="25"/>
      <c r="SZ95" s="25"/>
      <c r="TA95" s="25"/>
      <c r="TB95" s="25"/>
      <c r="TC95" s="25"/>
      <c r="TD95" s="25"/>
      <c r="TE95" s="25"/>
      <c r="TF95" s="25"/>
      <c r="TG95" s="25"/>
      <c r="TH95" s="25"/>
      <c r="TI95" s="25"/>
      <c r="TJ95" s="25"/>
      <c r="TK95" s="25"/>
      <c r="TL95" s="25"/>
      <c r="TM95" s="25"/>
      <c r="TN95" s="25"/>
      <c r="TO95" s="25"/>
      <c r="TP95" s="25"/>
      <c r="TQ95" s="25"/>
      <c r="TR95" s="25"/>
    </row>
    <row r="96" spans="1:538" s="30" customFormat="1" ht="36" customHeight="1" x14ac:dyDescent="0.2">
      <c r="A96" s="131" t="s">
        <v>215</v>
      </c>
      <c r="B96" s="71"/>
      <c r="C96" s="71"/>
      <c r="D96" s="29" t="s">
        <v>51</v>
      </c>
      <c r="E96" s="64">
        <f t="shared" ref="E96:J96" si="56">E97</f>
        <v>170002426.63</v>
      </c>
      <c r="F96" s="64">
        <f t="shared" si="56"/>
        <v>55494025</v>
      </c>
      <c r="G96" s="64">
        <f t="shared" si="56"/>
        <v>1564490</v>
      </c>
      <c r="H96" s="64">
        <f t="shared" si="56"/>
        <v>70393895.840000004</v>
      </c>
      <c r="I96" s="64">
        <f t="shared" si="56"/>
        <v>25862620.369999994</v>
      </c>
      <c r="J96" s="64">
        <f t="shared" si="56"/>
        <v>622755.62</v>
      </c>
      <c r="K96" s="139">
        <f t="shared" si="51"/>
        <v>41.407582959511551</v>
      </c>
      <c r="L96" s="64">
        <f t="shared" ref="L96:M96" si="57">L97</f>
        <v>1267640</v>
      </c>
      <c r="M96" s="64">
        <f t="shared" si="57"/>
        <v>1159540</v>
      </c>
      <c r="N96" s="64">
        <f t="shared" ref="N96" si="58">N97</f>
        <v>108100</v>
      </c>
      <c r="O96" s="64">
        <f t="shared" ref="O96" si="59">O97</f>
        <v>85100</v>
      </c>
      <c r="P96" s="64">
        <f t="shared" ref="P96" si="60">P97</f>
        <v>0</v>
      </c>
      <c r="Q96" s="64">
        <f t="shared" ref="Q96:Y96" si="61">Q97</f>
        <v>1159540</v>
      </c>
      <c r="R96" s="64">
        <f t="shared" ref="R96:V96" si="62">R97</f>
        <v>342696.17000000004</v>
      </c>
      <c r="S96" s="64">
        <f t="shared" si="62"/>
        <v>61000</v>
      </c>
      <c r="T96" s="64">
        <f t="shared" si="62"/>
        <v>281696.17000000004</v>
      </c>
      <c r="U96" s="64">
        <f t="shared" si="62"/>
        <v>45498.17</v>
      </c>
      <c r="V96" s="64">
        <f t="shared" si="62"/>
        <v>0</v>
      </c>
      <c r="W96" s="64">
        <f t="shared" si="61"/>
        <v>61000</v>
      </c>
      <c r="X96" s="139">
        <f t="shared" si="54"/>
        <v>27.03418715092613</v>
      </c>
      <c r="Y96" s="64">
        <f t="shared" si="61"/>
        <v>70736592.00999999</v>
      </c>
      <c r="Z96" s="156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37"/>
      <c r="NA96" s="37"/>
      <c r="NB96" s="37"/>
      <c r="NC96" s="37"/>
      <c r="ND96" s="37"/>
      <c r="NE96" s="37"/>
      <c r="NF96" s="37"/>
      <c r="NG96" s="37"/>
      <c r="NH96" s="37"/>
      <c r="NI96" s="37"/>
      <c r="NJ96" s="37"/>
      <c r="NK96" s="37"/>
      <c r="NL96" s="37"/>
      <c r="NM96" s="37"/>
      <c r="NN96" s="37"/>
      <c r="NO96" s="37"/>
      <c r="NP96" s="37"/>
      <c r="NQ96" s="37"/>
      <c r="NR96" s="37"/>
      <c r="NS96" s="37"/>
      <c r="NT96" s="37"/>
      <c r="NU96" s="37"/>
      <c r="NV96" s="37"/>
      <c r="NW96" s="37"/>
      <c r="NX96" s="37"/>
      <c r="NY96" s="37"/>
      <c r="NZ96" s="37"/>
      <c r="OA96" s="37"/>
      <c r="OB96" s="37"/>
      <c r="OC96" s="37"/>
      <c r="OD96" s="37"/>
      <c r="OE96" s="37"/>
      <c r="OF96" s="37"/>
      <c r="OG96" s="37"/>
      <c r="OH96" s="37"/>
      <c r="OI96" s="37"/>
      <c r="OJ96" s="37"/>
      <c r="OK96" s="37"/>
      <c r="OL96" s="37"/>
      <c r="OM96" s="37"/>
      <c r="ON96" s="37"/>
      <c r="OO96" s="37"/>
      <c r="OP96" s="37"/>
      <c r="OQ96" s="37"/>
      <c r="OR96" s="37"/>
      <c r="OS96" s="37"/>
      <c r="OT96" s="37"/>
      <c r="OU96" s="37"/>
      <c r="OV96" s="37"/>
      <c r="OW96" s="37"/>
      <c r="OX96" s="37"/>
      <c r="OY96" s="37"/>
      <c r="OZ96" s="37"/>
      <c r="PA96" s="37"/>
      <c r="PB96" s="37"/>
      <c r="PC96" s="37"/>
      <c r="PD96" s="37"/>
      <c r="PE96" s="37"/>
      <c r="PF96" s="37"/>
      <c r="PG96" s="37"/>
      <c r="PH96" s="37"/>
      <c r="PI96" s="37"/>
      <c r="PJ96" s="37"/>
      <c r="PK96" s="37"/>
      <c r="PL96" s="37"/>
      <c r="PM96" s="37"/>
      <c r="PN96" s="37"/>
      <c r="PO96" s="37"/>
      <c r="PP96" s="37"/>
      <c r="PQ96" s="37"/>
      <c r="PR96" s="37"/>
      <c r="PS96" s="37"/>
      <c r="PT96" s="37"/>
      <c r="PU96" s="37"/>
      <c r="PV96" s="37"/>
      <c r="PW96" s="37"/>
      <c r="PX96" s="37"/>
      <c r="PY96" s="37"/>
      <c r="PZ96" s="37"/>
      <c r="QA96" s="37"/>
      <c r="QB96" s="37"/>
      <c r="QC96" s="37"/>
      <c r="QD96" s="37"/>
      <c r="QE96" s="37"/>
      <c r="QF96" s="37"/>
      <c r="QG96" s="37"/>
      <c r="QH96" s="37"/>
      <c r="QI96" s="37"/>
      <c r="QJ96" s="37"/>
      <c r="QK96" s="37"/>
      <c r="QL96" s="37"/>
      <c r="QM96" s="37"/>
      <c r="QN96" s="37"/>
      <c r="QO96" s="37"/>
      <c r="QP96" s="37"/>
      <c r="QQ96" s="37"/>
      <c r="QR96" s="37"/>
      <c r="QS96" s="37"/>
      <c r="QT96" s="37"/>
      <c r="QU96" s="37"/>
      <c r="QV96" s="37"/>
      <c r="QW96" s="37"/>
      <c r="QX96" s="37"/>
      <c r="QY96" s="37"/>
      <c r="QZ96" s="37"/>
      <c r="RA96" s="37"/>
      <c r="RB96" s="37"/>
      <c r="RC96" s="37"/>
      <c r="RD96" s="37"/>
      <c r="RE96" s="37"/>
      <c r="RF96" s="37"/>
      <c r="RG96" s="37"/>
      <c r="RH96" s="37"/>
      <c r="RI96" s="37"/>
      <c r="RJ96" s="37"/>
      <c r="RK96" s="37"/>
      <c r="RL96" s="37"/>
      <c r="RM96" s="37"/>
      <c r="RN96" s="37"/>
      <c r="RO96" s="37"/>
      <c r="RP96" s="37"/>
      <c r="RQ96" s="37"/>
      <c r="RR96" s="37"/>
      <c r="RS96" s="37"/>
      <c r="RT96" s="37"/>
      <c r="RU96" s="37"/>
      <c r="RV96" s="37"/>
      <c r="RW96" s="37"/>
      <c r="RX96" s="37"/>
      <c r="RY96" s="37"/>
      <c r="RZ96" s="37"/>
      <c r="SA96" s="37"/>
      <c r="SB96" s="37"/>
      <c r="SC96" s="37"/>
      <c r="SD96" s="37"/>
      <c r="SE96" s="37"/>
      <c r="SF96" s="37"/>
      <c r="SG96" s="37"/>
      <c r="SH96" s="37"/>
      <c r="SI96" s="37"/>
      <c r="SJ96" s="37"/>
      <c r="SK96" s="37"/>
      <c r="SL96" s="37"/>
      <c r="SM96" s="37"/>
      <c r="SN96" s="37"/>
      <c r="SO96" s="37"/>
      <c r="SP96" s="37"/>
      <c r="SQ96" s="37"/>
      <c r="SR96" s="37"/>
      <c r="SS96" s="37"/>
      <c r="ST96" s="37"/>
      <c r="SU96" s="37"/>
      <c r="SV96" s="37"/>
      <c r="SW96" s="37"/>
      <c r="SX96" s="37"/>
      <c r="SY96" s="37"/>
      <c r="SZ96" s="37"/>
      <c r="TA96" s="37"/>
      <c r="TB96" s="37"/>
      <c r="TC96" s="37"/>
      <c r="TD96" s="37"/>
      <c r="TE96" s="37"/>
      <c r="TF96" s="37"/>
      <c r="TG96" s="37"/>
      <c r="TH96" s="37"/>
      <c r="TI96" s="37"/>
      <c r="TJ96" s="37"/>
      <c r="TK96" s="37"/>
      <c r="TL96" s="37"/>
      <c r="TM96" s="37"/>
      <c r="TN96" s="37"/>
      <c r="TO96" s="37"/>
      <c r="TP96" s="37"/>
      <c r="TQ96" s="37"/>
      <c r="TR96" s="37"/>
    </row>
    <row r="97" spans="1:538" s="39" customFormat="1" ht="32.25" customHeight="1" x14ac:dyDescent="0.25">
      <c r="A97" s="73" t="s">
        <v>216</v>
      </c>
      <c r="B97" s="72"/>
      <c r="C97" s="72"/>
      <c r="D97" s="32" t="s">
        <v>51</v>
      </c>
      <c r="E97" s="66">
        <f t="shared" ref="E97" si="63">E98+E99+E100+E101+E102+E103+E104+E105+E106+E107+E108+E109+E110+E111+E112+E113+E114+E115+E116+E117</f>
        <v>170002426.63</v>
      </c>
      <c r="F97" s="66">
        <f t="shared" ref="F97:H97" si="64">F98+F99+F100+F101+F102+F103+F104+F105+F106+F107+F108+F109+F110+F111+F112+F113+F114+F115+F116+F117</f>
        <v>55494025</v>
      </c>
      <c r="G97" s="66">
        <f t="shared" si="64"/>
        <v>1564490</v>
      </c>
      <c r="H97" s="66">
        <f t="shared" si="64"/>
        <v>70393895.840000004</v>
      </c>
      <c r="I97" s="66">
        <f t="shared" ref="I97:J97" si="65">I98+I99+I100+I101+I102+I103+I104+I105+I106+I107+I108+I109+I110+I111+I112+I113+I114+I115+I116+I117</f>
        <v>25862620.369999994</v>
      </c>
      <c r="J97" s="66">
        <f t="shared" si="65"/>
        <v>622755.62</v>
      </c>
      <c r="K97" s="139">
        <f t="shared" si="51"/>
        <v>41.407582959511551</v>
      </c>
      <c r="L97" s="66">
        <f>L98+L99+L100+L101+L102+L103+L104+L105+L106+L107+L108+L109+L110+L111+L112+L113+L114+L115+L116+L117</f>
        <v>1267640</v>
      </c>
      <c r="M97" s="66">
        <f>M98+M99+M100+M101+M102+M103+M104+M105+M106+M107+M108+M109+M110+M111+M112+M113+M114+M115+M116+M117</f>
        <v>1159540</v>
      </c>
      <c r="N97" s="66">
        <f t="shared" ref="N97:Y97" si="66">N98+N99+N100+N101+N102+N103+N104+N105+N106+N107+N108+N109+N110+N111+N112+N113+N114+N115+N116+N117</f>
        <v>108100</v>
      </c>
      <c r="O97" s="66">
        <f t="shared" si="66"/>
        <v>85100</v>
      </c>
      <c r="P97" s="66">
        <f t="shared" si="66"/>
        <v>0</v>
      </c>
      <c r="Q97" s="66">
        <f t="shared" si="66"/>
        <v>1159540</v>
      </c>
      <c r="R97" s="66">
        <f>R98+R99+R100+R101+R102+R103+R104+R105+R106+R107+R108+R109+R110+R111+R112+R113+R114+R115+R116+R117</f>
        <v>342696.17000000004</v>
      </c>
      <c r="S97" s="66">
        <f>S98+S99+S100+S101+S102+S103+S104+S105+S106+S107+S108+S109+S110+S111+S112+S113+S114+S115+S116+S117</f>
        <v>61000</v>
      </c>
      <c r="T97" s="66">
        <f t="shared" ref="T97:W97" si="67">T98+T99+T100+T101+T102+T103+T104+T105+T106+T107+T108+T109+T110+T111+T112+T113+T114+T115+T116+T117</f>
        <v>281696.17000000004</v>
      </c>
      <c r="U97" s="66">
        <f t="shared" si="67"/>
        <v>45498.17</v>
      </c>
      <c r="V97" s="66">
        <f t="shared" si="67"/>
        <v>0</v>
      </c>
      <c r="W97" s="66">
        <f t="shared" si="67"/>
        <v>61000</v>
      </c>
      <c r="X97" s="139">
        <f t="shared" si="54"/>
        <v>27.03418715092613</v>
      </c>
      <c r="Y97" s="66">
        <f t="shared" si="66"/>
        <v>70736592.00999999</v>
      </c>
      <c r="Z97" s="156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</row>
    <row r="98" spans="1:538" s="22" customFormat="1" ht="45.75" customHeight="1" x14ac:dyDescent="0.25">
      <c r="A98" s="42" t="s">
        <v>217</v>
      </c>
      <c r="B98" s="43" t="str">
        <f>'дод 3'!A19</f>
        <v>0160</v>
      </c>
      <c r="C98" s="43" t="str">
        <f>'дод 3'!B19</f>
        <v>0111</v>
      </c>
      <c r="D98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98" s="67">
        <v>53321100</v>
      </c>
      <c r="F98" s="67">
        <v>41597200</v>
      </c>
      <c r="G98" s="67">
        <v>841800</v>
      </c>
      <c r="H98" s="67">
        <v>24321589.370000001</v>
      </c>
      <c r="I98" s="67">
        <v>19163407.129999999</v>
      </c>
      <c r="J98" s="67">
        <v>339538.32</v>
      </c>
      <c r="K98" s="140">
        <f t="shared" si="51"/>
        <v>45.613442652158341</v>
      </c>
      <c r="L98" s="67">
        <v>0</v>
      </c>
      <c r="M98" s="67"/>
      <c r="N98" s="67"/>
      <c r="O98" s="67"/>
      <c r="P98" s="67"/>
      <c r="Q98" s="67"/>
      <c r="R98" s="67">
        <f>T98+W98</f>
        <v>28070.79</v>
      </c>
      <c r="S98" s="67"/>
      <c r="T98" s="67">
        <v>28070.79</v>
      </c>
      <c r="U98" s="67">
        <v>22917.599999999999</v>
      </c>
      <c r="V98" s="67"/>
      <c r="W98" s="67"/>
      <c r="X98" s="140"/>
      <c r="Y98" s="67">
        <f t="shared" ref="Y98:Y117" si="68">H98+R98</f>
        <v>24349660.16</v>
      </c>
      <c r="Z98" s="156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  <c r="NG98" s="25"/>
      <c r="NH98" s="25"/>
      <c r="NI98" s="25"/>
      <c r="NJ98" s="25"/>
      <c r="NK98" s="25"/>
      <c r="NL98" s="25"/>
      <c r="NM98" s="25"/>
      <c r="NN98" s="25"/>
      <c r="NO98" s="25"/>
      <c r="NP98" s="25"/>
      <c r="NQ98" s="25"/>
      <c r="NR98" s="25"/>
      <c r="NS98" s="25"/>
      <c r="NT98" s="25"/>
      <c r="NU98" s="25"/>
      <c r="NV98" s="25"/>
      <c r="NW98" s="25"/>
      <c r="NX98" s="25"/>
      <c r="NY98" s="25"/>
      <c r="NZ98" s="25"/>
      <c r="OA98" s="25"/>
      <c r="OB98" s="25"/>
      <c r="OC98" s="25"/>
      <c r="OD98" s="25"/>
      <c r="OE98" s="25"/>
      <c r="OF98" s="25"/>
      <c r="OG98" s="25"/>
      <c r="OH98" s="25"/>
      <c r="OI98" s="25"/>
      <c r="OJ98" s="25"/>
      <c r="OK98" s="25"/>
      <c r="OL98" s="25"/>
      <c r="OM98" s="25"/>
      <c r="ON98" s="25"/>
      <c r="OO98" s="25"/>
      <c r="OP98" s="25"/>
      <c r="OQ98" s="25"/>
      <c r="OR98" s="25"/>
      <c r="OS98" s="25"/>
      <c r="OT98" s="25"/>
      <c r="OU98" s="25"/>
      <c r="OV98" s="25"/>
      <c r="OW98" s="25"/>
      <c r="OX98" s="25"/>
      <c r="OY98" s="25"/>
      <c r="OZ98" s="25"/>
      <c r="PA98" s="25"/>
      <c r="PB98" s="25"/>
      <c r="PC98" s="25"/>
      <c r="PD98" s="25"/>
      <c r="PE98" s="25"/>
      <c r="PF98" s="25"/>
      <c r="PG98" s="25"/>
      <c r="PH98" s="25"/>
      <c r="PI98" s="25"/>
      <c r="PJ98" s="25"/>
      <c r="PK98" s="25"/>
      <c r="PL98" s="25"/>
      <c r="PM98" s="25"/>
      <c r="PN98" s="25"/>
      <c r="PO98" s="25"/>
      <c r="PP98" s="25"/>
      <c r="PQ98" s="25"/>
      <c r="PR98" s="25"/>
      <c r="PS98" s="25"/>
      <c r="PT98" s="25"/>
      <c r="PU98" s="25"/>
      <c r="PV98" s="25"/>
      <c r="PW98" s="25"/>
      <c r="PX98" s="25"/>
      <c r="PY98" s="25"/>
      <c r="PZ98" s="25"/>
      <c r="QA98" s="25"/>
      <c r="QB98" s="25"/>
      <c r="QC98" s="25"/>
      <c r="QD98" s="25"/>
      <c r="QE98" s="25"/>
      <c r="QF98" s="25"/>
      <c r="QG98" s="25"/>
      <c r="QH98" s="25"/>
      <c r="QI98" s="25"/>
      <c r="QJ98" s="25"/>
      <c r="QK98" s="25"/>
      <c r="QL98" s="25"/>
      <c r="QM98" s="25"/>
      <c r="QN98" s="25"/>
      <c r="QO98" s="25"/>
      <c r="QP98" s="25"/>
      <c r="QQ98" s="25"/>
      <c r="QR98" s="25"/>
      <c r="QS98" s="25"/>
      <c r="QT98" s="25"/>
      <c r="QU98" s="25"/>
      <c r="QV98" s="25"/>
      <c r="QW98" s="25"/>
      <c r="QX98" s="25"/>
      <c r="QY98" s="25"/>
      <c r="QZ98" s="25"/>
      <c r="RA98" s="25"/>
      <c r="RB98" s="25"/>
      <c r="RC98" s="25"/>
      <c r="RD98" s="25"/>
      <c r="RE98" s="25"/>
      <c r="RF98" s="25"/>
      <c r="RG98" s="25"/>
      <c r="RH98" s="25"/>
      <c r="RI98" s="25"/>
      <c r="RJ98" s="25"/>
      <c r="RK98" s="25"/>
      <c r="RL98" s="25"/>
      <c r="RM98" s="25"/>
      <c r="RN98" s="25"/>
      <c r="RO98" s="25"/>
      <c r="RP98" s="25"/>
      <c r="RQ98" s="25"/>
      <c r="RR98" s="25"/>
      <c r="RS98" s="25"/>
      <c r="RT98" s="25"/>
      <c r="RU98" s="25"/>
      <c r="RV98" s="25"/>
      <c r="RW98" s="25"/>
      <c r="RX98" s="25"/>
      <c r="RY98" s="25"/>
      <c r="RZ98" s="25"/>
      <c r="SA98" s="25"/>
      <c r="SB98" s="25"/>
      <c r="SC98" s="25"/>
      <c r="SD98" s="25"/>
      <c r="SE98" s="25"/>
      <c r="SF98" s="25"/>
      <c r="SG98" s="25"/>
      <c r="SH98" s="25"/>
      <c r="SI98" s="25"/>
      <c r="SJ98" s="25"/>
      <c r="SK98" s="25"/>
      <c r="SL98" s="25"/>
      <c r="SM98" s="25"/>
      <c r="SN98" s="25"/>
      <c r="SO98" s="25"/>
      <c r="SP98" s="25"/>
      <c r="SQ98" s="25"/>
      <c r="SR98" s="25"/>
      <c r="SS98" s="25"/>
      <c r="ST98" s="25"/>
      <c r="SU98" s="25"/>
      <c r="SV98" s="25"/>
      <c r="SW98" s="25"/>
      <c r="SX98" s="25"/>
      <c r="SY98" s="25"/>
      <c r="SZ98" s="25"/>
      <c r="TA98" s="25"/>
      <c r="TB98" s="25"/>
      <c r="TC98" s="25"/>
      <c r="TD98" s="25"/>
      <c r="TE98" s="25"/>
      <c r="TF98" s="25"/>
      <c r="TG98" s="25"/>
      <c r="TH98" s="25"/>
      <c r="TI98" s="25"/>
      <c r="TJ98" s="25"/>
      <c r="TK98" s="25"/>
      <c r="TL98" s="25"/>
      <c r="TM98" s="25"/>
      <c r="TN98" s="25"/>
      <c r="TO98" s="25"/>
      <c r="TP98" s="25"/>
      <c r="TQ98" s="25"/>
      <c r="TR98" s="25"/>
    </row>
    <row r="99" spans="1:538" s="25" customFormat="1" ht="36" customHeight="1" x14ac:dyDescent="0.25">
      <c r="A99" s="42" t="s">
        <v>218</v>
      </c>
      <c r="B99" s="43" t="str">
        <f>'дод 3'!A53</f>
        <v>3031</v>
      </c>
      <c r="C99" s="43" t="str">
        <f>'дод 3'!B53</f>
        <v>1030</v>
      </c>
      <c r="D99" s="23" t="str">
        <f>'дод 3'!C53</f>
        <v>Надання інших пільг окремим категоріям громадян відповідно до законодавства</v>
      </c>
      <c r="E99" s="67">
        <v>582400</v>
      </c>
      <c r="F99" s="67"/>
      <c r="G99" s="67"/>
      <c r="H99" s="67">
        <v>114064.95</v>
      </c>
      <c r="I99" s="67"/>
      <c r="J99" s="67"/>
      <c r="K99" s="140">
        <f t="shared" si="51"/>
        <v>19.585327953296702</v>
      </c>
      <c r="L99" s="67">
        <v>0</v>
      </c>
      <c r="M99" s="67">
        <f>232600-190600-42000</f>
        <v>0</v>
      </c>
      <c r="N99" s="67"/>
      <c r="O99" s="67"/>
      <c r="P99" s="67"/>
      <c r="Q99" s="67">
        <f>232600-190600-42000</f>
        <v>0</v>
      </c>
      <c r="R99" s="67">
        <f t="shared" ref="R99:R117" si="69">T99+W99</f>
        <v>0</v>
      </c>
      <c r="S99" s="67"/>
      <c r="T99" s="67"/>
      <c r="U99" s="67"/>
      <c r="V99" s="67"/>
      <c r="W99" s="67"/>
      <c r="X99" s="140"/>
      <c r="Y99" s="67">
        <f t="shared" si="68"/>
        <v>114064.95</v>
      </c>
      <c r="Z99" s="156"/>
    </row>
    <row r="100" spans="1:538" s="25" customFormat="1" ht="37.5" customHeight="1" x14ac:dyDescent="0.25">
      <c r="A100" s="42" t="s">
        <v>219</v>
      </c>
      <c r="B100" s="43" t="str">
        <f>'дод 3'!A54</f>
        <v>3032</v>
      </c>
      <c r="C100" s="43" t="str">
        <f>'дод 3'!B54</f>
        <v>1070</v>
      </c>
      <c r="D100" s="23" t="str">
        <f>'дод 3'!C54</f>
        <v>Надання пільг окремим категоріям громадян з оплати послуг зв'язку</v>
      </c>
      <c r="E100" s="67">
        <v>1259894</v>
      </c>
      <c r="F100" s="67"/>
      <c r="G100" s="67"/>
      <c r="H100" s="67">
        <v>585964.28</v>
      </c>
      <c r="I100" s="67"/>
      <c r="J100" s="67"/>
      <c r="K100" s="140">
        <f t="shared" si="51"/>
        <v>46.509014250405194</v>
      </c>
      <c r="L100" s="67">
        <v>0</v>
      </c>
      <c r="M100" s="67"/>
      <c r="N100" s="67"/>
      <c r="O100" s="67"/>
      <c r="P100" s="67"/>
      <c r="Q100" s="67"/>
      <c r="R100" s="67">
        <f t="shared" si="69"/>
        <v>0</v>
      </c>
      <c r="S100" s="67"/>
      <c r="T100" s="67"/>
      <c r="U100" s="67"/>
      <c r="V100" s="67"/>
      <c r="W100" s="67"/>
      <c r="X100" s="140"/>
      <c r="Y100" s="67">
        <f t="shared" si="68"/>
        <v>585964.28</v>
      </c>
      <c r="Z100" s="156"/>
    </row>
    <row r="101" spans="1:538" s="25" customFormat="1" ht="48.75" customHeight="1" x14ac:dyDescent="0.25">
      <c r="A101" s="42" t="s">
        <v>412</v>
      </c>
      <c r="B101" s="43" t="str">
        <f>'дод 3'!A55</f>
        <v>3033</v>
      </c>
      <c r="C101" s="43" t="str">
        <f>'дод 3'!B55</f>
        <v>1070</v>
      </c>
      <c r="D101" s="23" t="str">
        <f>'дод 3'!C55</f>
        <v>Компенсаційні виплати на пільговий проїзд автомобільним транспортом окремим категоріям громадян</v>
      </c>
      <c r="E101" s="67">
        <v>24021763.129999999</v>
      </c>
      <c r="F101" s="67"/>
      <c r="G101" s="67"/>
      <c r="H101" s="67">
        <v>8055863.5899999999</v>
      </c>
      <c r="I101" s="67"/>
      <c r="J101" s="67"/>
      <c r="K101" s="140">
        <f t="shared" si="51"/>
        <v>33.535688227394488</v>
      </c>
      <c r="L101" s="67">
        <v>0</v>
      </c>
      <c r="M101" s="67"/>
      <c r="N101" s="67"/>
      <c r="O101" s="67"/>
      <c r="P101" s="67"/>
      <c r="Q101" s="67"/>
      <c r="R101" s="67">
        <f t="shared" si="69"/>
        <v>0</v>
      </c>
      <c r="S101" s="67"/>
      <c r="T101" s="67"/>
      <c r="U101" s="67"/>
      <c r="V101" s="67"/>
      <c r="W101" s="67"/>
      <c r="X101" s="140"/>
      <c r="Y101" s="67">
        <f t="shared" si="68"/>
        <v>8055863.5899999999</v>
      </c>
      <c r="Z101" s="156"/>
    </row>
    <row r="102" spans="1:538" s="25" customFormat="1" ht="30" x14ac:dyDescent="0.25">
      <c r="A102" s="42" t="s">
        <v>380</v>
      </c>
      <c r="B102" s="43" t="str">
        <f>'дод 3'!A56</f>
        <v>3035</v>
      </c>
      <c r="C102" s="43" t="str">
        <f>'дод 3'!B56</f>
        <v>1070</v>
      </c>
      <c r="D102" s="23" t="str">
        <f>'дод 3'!C56</f>
        <v>Компенсаційні виплати за пільговий проїзд окремих категорій громадян на залізничному транспорті</v>
      </c>
      <c r="E102" s="67">
        <v>1000000</v>
      </c>
      <c r="F102" s="67"/>
      <c r="G102" s="67"/>
      <c r="H102" s="67">
        <v>249999</v>
      </c>
      <c r="I102" s="67"/>
      <c r="J102" s="67"/>
      <c r="K102" s="140">
        <f t="shared" si="51"/>
        <v>24.9999</v>
      </c>
      <c r="L102" s="67">
        <v>0</v>
      </c>
      <c r="M102" s="67"/>
      <c r="N102" s="67"/>
      <c r="O102" s="67"/>
      <c r="P102" s="67"/>
      <c r="Q102" s="67"/>
      <c r="R102" s="67">
        <f t="shared" si="69"/>
        <v>0</v>
      </c>
      <c r="S102" s="67"/>
      <c r="T102" s="67"/>
      <c r="U102" s="67"/>
      <c r="V102" s="67"/>
      <c r="W102" s="67"/>
      <c r="X102" s="140"/>
      <c r="Y102" s="67">
        <f t="shared" si="68"/>
        <v>249999</v>
      </c>
      <c r="Z102" s="156"/>
    </row>
    <row r="103" spans="1:538" s="25" customFormat="1" ht="36" customHeight="1" x14ac:dyDescent="0.25">
      <c r="A103" s="42" t="s">
        <v>220</v>
      </c>
      <c r="B103" s="43" t="str">
        <f>'дод 3'!A57</f>
        <v>3036</v>
      </c>
      <c r="C103" s="43" t="str">
        <f>'дод 3'!B57</f>
        <v>1070</v>
      </c>
      <c r="D103" s="23" t="str">
        <f>'дод 3'!C57</f>
        <v>Компенсаційні виплати на пільговий проїзд електротранспортом окремим категоріям громадян</v>
      </c>
      <c r="E103" s="67">
        <v>26077955.5</v>
      </c>
      <c r="F103" s="67"/>
      <c r="G103" s="67"/>
      <c r="H103" s="67">
        <v>10711411.5</v>
      </c>
      <c r="I103" s="67"/>
      <c r="J103" s="67"/>
      <c r="K103" s="140">
        <f t="shared" si="51"/>
        <v>41.074583089920523</v>
      </c>
      <c r="L103" s="67">
        <v>0</v>
      </c>
      <c r="M103" s="67"/>
      <c r="N103" s="67"/>
      <c r="O103" s="67"/>
      <c r="P103" s="67"/>
      <c r="Q103" s="67"/>
      <c r="R103" s="67">
        <f t="shared" si="69"/>
        <v>0</v>
      </c>
      <c r="S103" s="67"/>
      <c r="T103" s="67"/>
      <c r="U103" s="67"/>
      <c r="V103" s="67"/>
      <c r="W103" s="67"/>
      <c r="X103" s="140"/>
      <c r="Y103" s="67">
        <f t="shared" si="68"/>
        <v>10711411.5</v>
      </c>
      <c r="Z103" s="156"/>
    </row>
    <row r="104" spans="1:538" s="22" customFormat="1" ht="39" customHeight="1" x14ac:dyDescent="0.25">
      <c r="A104" s="42" t="s">
        <v>410</v>
      </c>
      <c r="B104" s="43" t="str">
        <f>'дод 3'!A58</f>
        <v>3050</v>
      </c>
      <c r="C104" s="43" t="str">
        <f>'дод 3'!B58</f>
        <v>1070</v>
      </c>
      <c r="D104" s="23" t="str">
        <f>'дод 3'!C58</f>
        <v>Пільгове медичне обслуговування осіб, які постраждали внаслідок Чорнобильської катастрофи</v>
      </c>
      <c r="E104" s="67">
        <v>853000</v>
      </c>
      <c r="F104" s="67"/>
      <c r="G104" s="67"/>
      <c r="H104" s="67">
        <v>89577.8</v>
      </c>
      <c r="I104" s="67"/>
      <c r="J104" s="67"/>
      <c r="K104" s="140">
        <f t="shared" si="51"/>
        <v>10.501500586166472</v>
      </c>
      <c r="L104" s="67">
        <v>0</v>
      </c>
      <c r="M104" s="67"/>
      <c r="N104" s="67"/>
      <c r="O104" s="67"/>
      <c r="P104" s="67"/>
      <c r="Q104" s="67"/>
      <c r="R104" s="67">
        <f t="shared" si="69"/>
        <v>0</v>
      </c>
      <c r="S104" s="67"/>
      <c r="T104" s="67"/>
      <c r="U104" s="67"/>
      <c r="V104" s="67"/>
      <c r="W104" s="67"/>
      <c r="X104" s="140"/>
      <c r="Y104" s="67">
        <f t="shared" si="68"/>
        <v>89577.8</v>
      </c>
      <c r="Z104" s="156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  <c r="LT104" s="25"/>
      <c r="LU104" s="25"/>
      <c r="LV104" s="25"/>
      <c r="LW104" s="25"/>
      <c r="LX104" s="25"/>
      <c r="LY104" s="25"/>
      <c r="LZ104" s="25"/>
      <c r="MA104" s="25"/>
      <c r="MB104" s="25"/>
      <c r="MC104" s="25"/>
      <c r="MD104" s="25"/>
      <c r="ME104" s="25"/>
      <c r="MF104" s="25"/>
      <c r="MG104" s="25"/>
      <c r="MH104" s="25"/>
      <c r="MI104" s="25"/>
      <c r="MJ104" s="25"/>
      <c r="MK104" s="25"/>
      <c r="ML104" s="25"/>
      <c r="MM104" s="25"/>
      <c r="MN104" s="25"/>
      <c r="MO104" s="25"/>
      <c r="MP104" s="25"/>
      <c r="MQ104" s="25"/>
      <c r="MR104" s="25"/>
      <c r="MS104" s="25"/>
      <c r="MT104" s="25"/>
      <c r="MU104" s="25"/>
      <c r="MV104" s="25"/>
      <c r="MW104" s="25"/>
      <c r="MX104" s="25"/>
      <c r="MY104" s="25"/>
      <c r="MZ104" s="25"/>
      <c r="NA104" s="25"/>
      <c r="NB104" s="25"/>
      <c r="NC104" s="25"/>
      <c r="ND104" s="25"/>
      <c r="NE104" s="25"/>
      <c r="NF104" s="25"/>
      <c r="NG104" s="25"/>
      <c r="NH104" s="25"/>
      <c r="NI104" s="25"/>
      <c r="NJ104" s="25"/>
      <c r="NK104" s="25"/>
      <c r="NL104" s="25"/>
      <c r="NM104" s="25"/>
      <c r="NN104" s="25"/>
      <c r="NO104" s="25"/>
      <c r="NP104" s="25"/>
      <c r="NQ104" s="25"/>
      <c r="NR104" s="25"/>
      <c r="NS104" s="25"/>
      <c r="NT104" s="25"/>
      <c r="NU104" s="25"/>
      <c r="NV104" s="25"/>
      <c r="NW104" s="25"/>
      <c r="NX104" s="25"/>
      <c r="NY104" s="25"/>
      <c r="NZ104" s="25"/>
      <c r="OA104" s="25"/>
      <c r="OB104" s="25"/>
      <c r="OC104" s="25"/>
      <c r="OD104" s="25"/>
      <c r="OE104" s="25"/>
      <c r="OF104" s="25"/>
      <c r="OG104" s="25"/>
      <c r="OH104" s="25"/>
      <c r="OI104" s="25"/>
      <c r="OJ104" s="25"/>
      <c r="OK104" s="25"/>
      <c r="OL104" s="25"/>
      <c r="OM104" s="25"/>
      <c r="ON104" s="25"/>
      <c r="OO104" s="25"/>
      <c r="OP104" s="25"/>
      <c r="OQ104" s="25"/>
      <c r="OR104" s="25"/>
      <c r="OS104" s="25"/>
      <c r="OT104" s="25"/>
      <c r="OU104" s="25"/>
      <c r="OV104" s="25"/>
      <c r="OW104" s="25"/>
      <c r="OX104" s="25"/>
      <c r="OY104" s="25"/>
      <c r="OZ104" s="25"/>
      <c r="PA104" s="25"/>
      <c r="PB104" s="25"/>
      <c r="PC104" s="25"/>
      <c r="PD104" s="25"/>
      <c r="PE104" s="25"/>
      <c r="PF104" s="25"/>
      <c r="PG104" s="25"/>
      <c r="PH104" s="25"/>
      <c r="PI104" s="25"/>
      <c r="PJ104" s="25"/>
      <c r="PK104" s="25"/>
      <c r="PL104" s="25"/>
      <c r="PM104" s="25"/>
      <c r="PN104" s="25"/>
      <c r="PO104" s="25"/>
      <c r="PP104" s="25"/>
      <c r="PQ104" s="25"/>
      <c r="PR104" s="25"/>
      <c r="PS104" s="25"/>
      <c r="PT104" s="25"/>
      <c r="PU104" s="25"/>
      <c r="PV104" s="25"/>
      <c r="PW104" s="25"/>
      <c r="PX104" s="25"/>
      <c r="PY104" s="25"/>
      <c r="PZ104" s="25"/>
      <c r="QA104" s="25"/>
      <c r="QB104" s="25"/>
      <c r="QC104" s="25"/>
      <c r="QD104" s="25"/>
      <c r="QE104" s="25"/>
      <c r="QF104" s="25"/>
      <c r="QG104" s="25"/>
      <c r="QH104" s="25"/>
      <c r="QI104" s="25"/>
      <c r="QJ104" s="25"/>
      <c r="QK104" s="25"/>
      <c r="QL104" s="25"/>
      <c r="QM104" s="25"/>
      <c r="QN104" s="25"/>
      <c r="QO104" s="25"/>
      <c r="QP104" s="25"/>
      <c r="QQ104" s="25"/>
      <c r="QR104" s="25"/>
      <c r="QS104" s="25"/>
      <c r="QT104" s="25"/>
      <c r="QU104" s="25"/>
      <c r="QV104" s="25"/>
      <c r="QW104" s="25"/>
      <c r="QX104" s="25"/>
      <c r="QY104" s="25"/>
      <c r="QZ104" s="25"/>
      <c r="RA104" s="25"/>
      <c r="RB104" s="25"/>
      <c r="RC104" s="25"/>
      <c r="RD104" s="25"/>
      <c r="RE104" s="25"/>
      <c r="RF104" s="25"/>
      <c r="RG104" s="25"/>
      <c r="RH104" s="25"/>
      <c r="RI104" s="25"/>
      <c r="RJ104" s="25"/>
      <c r="RK104" s="25"/>
      <c r="RL104" s="25"/>
      <c r="RM104" s="25"/>
      <c r="RN104" s="25"/>
      <c r="RO104" s="25"/>
      <c r="RP104" s="25"/>
      <c r="RQ104" s="25"/>
      <c r="RR104" s="25"/>
      <c r="RS104" s="25"/>
      <c r="RT104" s="25"/>
      <c r="RU104" s="25"/>
      <c r="RV104" s="25"/>
      <c r="RW104" s="25"/>
      <c r="RX104" s="25"/>
      <c r="RY104" s="25"/>
      <c r="RZ104" s="25"/>
      <c r="SA104" s="25"/>
      <c r="SB104" s="25"/>
      <c r="SC104" s="25"/>
      <c r="SD104" s="25"/>
      <c r="SE104" s="25"/>
      <c r="SF104" s="25"/>
      <c r="SG104" s="25"/>
      <c r="SH104" s="25"/>
      <c r="SI104" s="25"/>
      <c r="SJ104" s="25"/>
      <c r="SK104" s="25"/>
      <c r="SL104" s="25"/>
      <c r="SM104" s="25"/>
      <c r="SN104" s="25"/>
      <c r="SO104" s="25"/>
      <c r="SP104" s="25"/>
      <c r="SQ104" s="25"/>
      <c r="SR104" s="25"/>
      <c r="SS104" s="25"/>
      <c r="ST104" s="25"/>
      <c r="SU104" s="25"/>
      <c r="SV104" s="25"/>
      <c r="SW104" s="25"/>
      <c r="SX104" s="25"/>
      <c r="SY104" s="25"/>
      <c r="SZ104" s="25"/>
      <c r="TA104" s="25"/>
      <c r="TB104" s="25"/>
      <c r="TC104" s="25"/>
      <c r="TD104" s="25"/>
      <c r="TE104" s="25"/>
      <c r="TF104" s="25"/>
      <c r="TG104" s="25"/>
      <c r="TH104" s="25"/>
      <c r="TI104" s="25"/>
      <c r="TJ104" s="25"/>
      <c r="TK104" s="25"/>
      <c r="TL104" s="25"/>
      <c r="TM104" s="25"/>
      <c r="TN104" s="25"/>
      <c r="TO104" s="25"/>
      <c r="TP104" s="25"/>
      <c r="TQ104" s="25"/>
      <c r="TR104" s="25"/>
    </row>
    <row r="105" spans="1:538" s="22" customFormat="1" ht="38.25" customHeight="1" x14ac:dyDescent="0.25">
      <c r="A105" s="42" t="s">
        <v>411</v>
      </c>
      <c r="B105" s="43" t="str">
        <f>'дод 3'!A59</f>
        <v>3090</v>
      </c>
      <c r="C105" s="43" t="str">
        <f>'дод 3'!B59</f>
        <v>1030</v>
      </c>
      <c r="D105" s="23" t="str">
        <f>'дод 3'!C59</f>
        <v>Видатки на поховання учасників бойових дій та осіб з інвалідністю внаслідок війни</v>
      </c>
      <c r="E105" s="67">
        <v>228400</v>
      </c>
      <c r="F105" s="67"/>
      <c r="G105" s="67"/>
      <c r="H105" s="67">
        <v>79824.039999999994</v>
      </c>
      <c r="I105" s="67"/>
      <c r="J105" s="67"/>
      <c r="K105" s="140">
        <f t="shared" si="51"/>
        <v>34.949229422066544</v>
      </c>
      <c r="L105" s="67">
        <v>0</v>
      </c>
      <c r="M105" s="67"/>
      <c r="N105" s="67"/>
      <c r="O105" s="67"/>
      <c r="P105" s="67"/>
      <c r="Q105" s="67"/>
      <c r="R105" s="67">
        <f t="shared" si="69"/>
        <v>0</v>
      </c>
      <c r="S105" s="67"/>
      <c r="T105" s="67"/>
      <c r="U105" s="67"/>
      <c r="V105" s="67"/>
      <c r="W105" s="67"/>
      <c r="X105" s="140"/>
      <c r="Y105" s="67">
        <f t="shared" si="68"/>
        <v>79824.039999999994</v>
      </c>
      <c r="Z105" s="156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/>
      <c r="OX105" s="25"/>
      <c r="OY105" s="25"/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</row>
    <row r="106" spans="1:538" s="22" customFormat="1" ht="60.75" customHeight="1" x14ac:dyDescent="0.25">
      <c r="A106" s="42" t="s">
        <v>221</v>
      </c>
      <c r="B106" s="43" t="str">
        <f>'дод 3'!A60</f>
        <v>3104</v>
      </c>
      <c r="C106" s="43" t="str">
        <f>'дод 3'!B60</f>
        <v>1020</v>
      </c>
      <c r="D106" s="23" t="str">
        <f>'дод 3'!C60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06" s="67">
        <v>13559330</v>
      </c>
      <c r="F106" s="67">
        <v>10389550</v>
      </c>
      <c r="G106" s="67">
        <v>230060</v>
      </c>
      <c r="H106" s="67">
        <v>6649339.5999999996</v>
      </c>
      <c r="I106" s="67">
        <v>5200596.5999999996</v>
      </c>
      <c r="J106" s="67">
        <v>122253.69</v>
      </c>
      <c r="K106" s="140">
        <f t="shared" si="51"/>
        <v>49.03885073967519</v>
      </c>
      <c r="L106" s="67">
        <v>471000</v>
      </c>
      <c r="M106" s="67">
        <f>342900+20000</f>
        <v>362900</v>
      </c>
      <c r="N106" s="67">
        <v>108100</v>
      </c>
      <c r="O106" s="67">
        <v>85100</v>
      </c>
      <c r="P106" s="67"/>
      <c r="Q106" s="67">
        <f>342900+20000</f>
        <v>362900</v>
      </c>
      <c r="R106" s="67">
        <f t="shared" si="69"/>
        <v>234572.98</v>
      </c>
      <c r="S106" s="67"/>
      <c r="T106" s="67">
        <v>234572.98</v>
      </c>
      <c r="U106" s="67">
        <v>22580.57</v>
      </c>
      <c r="V106" s="67"/>
      <c r="W106" s="67"/>
      <c r="X106" s="140">
        <f t="shared" si="54"/>
        <v>49.803180467091295</v>
      </c>
      <c r="Y106" s="67">
        <f t="shared" si="68"/>
        <v>6883912.5800000001</v>
      </c>
      <c r="Z106" s="156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  <c r="LT106" s="25"/>
      <c r="LU106" s="25"/>
      <c r="LV106" s="25"/>
      <c r="LW106" s="25"/>
      <c r="LX106" s="25"/>
      <c r="LY106" s="25"/>
      <c r="LZ106" s="25"/>
      <c r="MA106" s="25"/>
      <c r="MB106" s="25"/>
      <c r="MC106" s="25"/>
      <c r="MD106" s="25"/>
      <c r="ME106" s="25"/>
      <c r="MF106" s="25"/>
      <c r="MG106" s="25"/>
      <c r="MH106" s="25"/>
      <c r="MI106" s="25"/>
      <c r="MJ106" s="25"/>
      <c r="MK106" s="25"/>
      <c r="ML106" s="25"/>
      <c r="MM106" s="25"/>
      <c r="MN106" s="25"/>
      <c r="MO106" s="25"/>
      <c r="MP106" s="25"/>
      <c r="MQ106" s="25"/>
      <c r="MR106" s="25"/>
      <c r="MS106" s="25"/>
      <c r="MT106" s="25"/>
      <c r="MU106" s="25"/>
      <c r="MV106" s="25"/>
      <c r="MW106" s="25"/>
      <c r="MX106" s="25"/>
      <c r="MY106" s="25"/>
      <c r="MZ106" s="25"/>
      <c r="NA106" s="25"/>
      <c r="NB106" s="25"/>
      <c r="NC106" s="25"/>
      <c r="ND106" s="25"/>
      <c r="NE106" s="25"/>
      <c r="NF106" s="25"/>
      <c r="NG106" s="25"/>
      <c r="NH106" s="25"/>
      <c r="NI106" s="25"/>
      <c r="NJ106" s="25"/>
      <c r="NK106" s="25"/>
      <c r="NL106" s="25"/>
      <c r="NM106" s="25"/>
      <c r="NN106" s="25"/>
      <c r="NO106" s="25"/>
      <c r="NP106" s="25"/>
      <c r="NQ106" s="25"/>
      <c r="NR106" s="25"/>
      <c r="NS106" s="25"/>
      <c r="NT106" s="25"/>
      <c r="NU106" s="25"/>
      <c r="NV106" s="25"/>
      <c r="NW106" s="25"/>
      <c r="NX106" s="25"/>
      <c r="NY106" s="25"/>
      <c r="NZ106" s="25"/>
      <c r="OA106" s="25"/>
      <c r="OB106" s="25"/>
      <c r="OC106" s="25"/>
      <c r="OD106" s="25"/>
      <c r="OE106" s="25"/>
      <c r="OF106" s="25"/>
      <c r="OG106" s="25"/>
      <c r="OH106" s="25"/>
      <c r="OI106" s="25"/>
      <c r="OJ106" s="25"/>
      <c r="OK106" s="25"/>
      <c r="OL106" s="25"/>
      <c r="OM106" s="25"/>
      <c r="ON106" s="25"/>
      <c r="OO106" s="25"/>
      <c r="OP106" s="25"/>
      <c r="OQ106" s="25"/>
      <c r="OR106" s="25"/>
      <c r="OS106" s="25"/>
      <c r="OT106" s="25"/>
      <c r="OU106" s="25"/>
      <c r="OV106" s="25"/>
      <c r="OW106" s="25"/>
      <c r="OX106" s="25"/>
      <c r="OY106" s="25"/>
      <c r="OZ106" s="25"/>
      <c r="PA106" s="25"/>
      <c r="PB106" s="25"/>
      <c r="PC106" s="25"/>
      <c r="PD106" s="25"/>
      <c r="PE106" s="25"/>
      <c r="PF106" s="25"/>
      <c r="PG106" s="25"/>
      <c r="PH106" s="25"/>
      <c r="PI106" s="25"/>
      <c r="PJ106" s="25"/>
      <c r="PK106" s="25"/>
      <c r="PL106" s="25"/>
      <c r="PM106" s="25"/>
      <c r="PN106" s="25"/>
      <c r="PO106" s="25"/>
      <c r="PP106" s="25"/>
      <c r="PQ106" s="25"/>
      <c r="PR106" s="25"/>
      <c r="PS106" s="25"/>
      <c r="PT106" s="25"/>
      <c r="PU106" s="25"/>
      <c r="PV106" s="25"/>
      <c r="PW106" s="25"/>
      <c r="PX106" s="25"/>
      <c r="PY106" s="25"/>
      <c r="PZ106" s="25"/>
      <c r="QA106" s="25"/>
      <c r="QB106" s="25"/>
      <c r="QC106" s="25"/>
      <c r="QD106" s="25"/>
      <c r="QE106" s="25"/>
      <c r="QF106" s="25"/>
      <c r="QG106" s="25"/>
      <c r="QH106" s="25"/>
      <c r="QI106" s="25"/>
      <c r="QJ106" s="25"/>
      <c r="QK106" s="25"/>
      <c r="QL106" s="25"/>
      <c r="QM106" s="25"/>
      <c r="QN106" s="25"/>
      <c r="QO106" s="25"/>
      <c r="QP106" s="25"/>
      <c r="QQ106" s="25"/>
      <c r="QR106" s="25"/>
      <c r="QS106" s="25"/>
      <c r="QT106" s="25"/>
      <c r="QU106" s="25"/>
      <c r="QV106" s="25"/>
      <c r="QW106" s="25"/>
      <c r="QX106" s="25"/>
      <c r="QY106" s="25"/>
      <c r="QZ106" s="25"/>
      <c r="RA106" s="25"/>
      <c r="RB106" s="25"/>
      <c r="RC106" s="25"/>
      <c r="RD106" s="25"/>
      <c r="RE106" s="25"/>
      <c r="RF106" s="25"/>
      <c r="RG106" s="25"/>
      <c r="RH106" s="25"/>
      <c r="RI106" s="25"/>
      <c r="RJ106" s="25"/>
      <c r="RK106" s="25"/>
      <c r="RL106" s="25"/>
      <c r="RM106" s="25"/>
      <c r="RN106" s="25"/>
      <c r="RO106" s="25"/>
      <c r="RP106" s="25"/>
      <c r="RQ106" s="25"/>
      <c r="RR106" s="25"/>
      <c r="RS106" s="25"/>
      <c r="RT106" s="25"/>
      <c r="RU106" s="25"/>
      <c r="RV106" s="25"/>
      <c r="RW106" s="25"/>
      <c r="RX106" s="25"/>
      <c r="RY106" s="25"/>
      <c r="RZ106" s="25"/>
      <c r="SA106" s="25"/>
      <c r="SB106" s="25"/>
      <c r="SC106" s="25"/>
      <c r="SD106" s="25"/>
      <c r="SE106" s="25"/>
      <c r="SF106" s="25"/>
      <c r="SG106" s="25"/>
      <c r="SH106" s="25"/>
      <c r="SI106" s="25"/>
      <c r="SJ106" s="25"/>
      <c r="SK106" s="25"/>
      <c r="SL106" s="25"/>
      <c r="SM106" s="25"/>
      <c r="SN106" s="25"/>
      <c r="SO106" s="25"/>
      <c r="SP106" s="25"/>
      <c r="SQ106" s="25"/>
      <c r="SR106" s="25"/>
      <c r="SS106" s="25"/>
      <c r="ST106" s="25"/>
      <c r="SU106" s="25"/>
      <c r="SV106" s="25"/>
      <c r="SW106" s="25"/>
      <c r="SX106" s="25"/>
      <c r="SY106" s="25"/>
      <c r="SZ106" s="25"/>
      <c r="TA106" s="25"/>
      <c r="TB106" s="25"/>
      <c r="TC106" s="25"/>
      <c r="TD106" s="25"/>
      <c r="TE106" s="25"/>
      <c r="TF106" s="25"/>
      <c r="TG106" s="25"/>
      <c r="TH106" s="25"/>
      <c r="TI106" s="25"/>
      <c r="TJ106" s="25"/>
      <c r="TK106" s="25"/>
      <c r="TL106" s="25"/>
      <c r="TM106" s="25"/>
      <c r="TN106" s="25"/>
      <c r="TO106" s="25"/>
      <c r="TP106" s="25"/>
      <c r="TQ106" s="25"/>
      <c r="TR106" s="25"/>
    </row>
    <row r="107" spans="1:538" s="22" customFormat="1" ht="87" customHeight="1" x14ac:dyDescent="0.25">
      <c r="A107" s="42" t="s">
        <v>222</v>
      </c>
      <c r="B107" s="43" t="str">
        <f>'дод 3'!A66</f>
        <v>3160</v>
      </c>
      <c r="C107" s="43">
        <f>'дод 3'!B66</f>
        <v>1010</v>
      </c>
      <c r="D107" s="23" t="str">
        <f>'дод 3'!C66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07" s="67">
        <v>1884220</v>
      </c>
      <c r="F107" s="67"/>
      <c r="G107" s="67"/>
      <c r="H107" s="67">
        <v>734564.89</v>
      </c>
      <c r="I107" s="67"/>
      <c r="J107" s="67"/>
      <c r="K107" s="140">
        <f t="shared" si="51"/>
        <v>38.985091443674307</v>
      </c>
      <c r="L107" s="67">
        <v>0</v>
      </c>
      <c r="M107" s="67"/>
      <c r="N107" s="67"/>
      <c r="O107" s="67"/>
      <c r="P107" s="67"/>
      <c r="Q107" s="67"/>
      <c r="R107" s="67">
        <f t="shared" si="69"/>
        <v>0</v>
      </c>
      <c r="S107" s="67"/>
      <c r="T107" s="67"/>
      <c r="U107" s="67"/>
      <c r="V107" s="67"/>
      <c r="W107" s="67"/>
      <c r="X107" s="140"/>
      <c r="Y107" s="67">
        <f t="shared" si="68"/>
        <v>734564.89</v>
      </c>
      <c r="Z107" s="156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  <c r="MI107" s="25"/>
      <c r="MJ107" s="25"/>
      <c r="MK107" s="25"/>
      <c r="ML107" s="25"/>
      <c r="MM107" s="25"/>
      <c r="MN107" s="25"/>
      <c r="MO107" s="25"/>
      <c r="MP107" s="25"/>
      <c r="MQ107" s="25"/>
      <c r="MR107" s="25"/>
      <c r="MS107" s="25"/>
      <c r="MT107" s="25"/>
      <c r="MU107" s="25"/>
      <c r="MV107" s="25"/>
      <c r="MW107" s="25"/>
      <c r="MX107" s="25"/>
      <c r="MY107" s="25"/>
      <c r="MZ107" s="25"/>
      <c r="NA107" s="25"/>
      <c r="NB107" s="25"/>
      <c r="NC107" s="25"/>
      <c r="ND107" s="25"/>
      <c r="NE107" s="25"/>
      <c r="NF107" s="25"/>
      <c r="NG107" s="25"/>
      <c r="NH107" s="25"/>
      <c r="NI107" s="25"/>
      <c r="NJ107" s="25"/>
      <c r="NK107" s="25"/>
      <c r="NL107" s="25"/>
      <c r="NM107" s="25"/>
      <c r="NN107" s="25"/>
      <c r="NO107" s="25"/>
      <c r="NP107" s="25"/>
      <c r="NQ107" s="25"/>
      <c r="NR107" s="25"/>
      <c r="NS107" s="25"/>
      <c r="NT107" s="25"/>
      <c r="NU107" s="25"/>
      <c r="NV107" s="25"/>
      <c r="NW107" s="25"/>
      <c r="NX107" s="25"/>
      <c r="NY107" s="25"/>
      <c r="NZ107" s="25"/>
      <c r="OA107" s="25"/>
      <c r="OB107" s="25"/>
      <c r="OC107" s="25"/>
      <c r="OD107" s="25"/>
      <c r="OE107" s="25"/>
      <c r="OF107" s="25"/>
      <c r="OG107" s="25"/>
      <c r="OH107" s="25"/>
      <c r="OI107" s="25"/>
      <c r="OJ107" s="25"/>
      <c r="OK107" s="25"/>
      <c r="OL107" s="25"/>
      <c r="OM107" s="25"/>
      <c r="ON107" s="25"/>
      <c r="OO107" s="25"/>
      <c r="OP107" s="25"/>
      <c r="OQ107" s="25"/>
      <c r="OR107" s="25"/>
      <c r="OS107" s="25"/>
      <c r="OT107" s="25"/>
      <c r="OU107" s="25"/>
      <c r="OV107" s="25"/>
      <c r="OW107" s="25"/>
      <c r="OX107" s="25"/>
      <c r="OY107" s="25"/>
      <c r="OZ107" s="25"/>
      <c r="PA107" s="25"/>
      <c r="PB107" s="25"/>
      <c r="PC107" s="25"/>
      <c r="PD107" s="25"/>
      <c r="PE107" s="25"/>
      <c r="PF107" s="25"/>
      <c r="PG107" s="25"/>
      <c r="PH107" s="25"/>
      <c r="PI107" s="25"/>
      <c r="PJ107" s="25"/>
      <c r="PK107" s="25"/>
      <c r="PL107" s="25"/>
      <c r="PM107" s="25"/>
      <c r="PN107" s="25"/>
      <c r="PO107" s="25"/>
      <c r="PP107" s="25"/>
      <c r="PQ107" s="25"/>
      <c r="PR107" s="25"/>
      <c r="PS107" s="25"/>
      <c r="PT107" s="25"/>
      <c r="PU107" s="25"/>
      <c r="PV107" s="25"/>
      <c r="PW107" s="25"/>
      <c r="PX107" s="25"/>
      <c r="PY107" s="25"/>
      <c r="PZ107" s="25"/>
      <c r="QA107" s="25"/>
      <c r="QB107" s="25"/>
      <c r="QC107" s="25"/>
      <c r="QD107" s="25"/>
      <c r="QE107" s="25"/>
      <c r="QF107" s="25"/>
      <c r="QG107" s="25"/>
      <c r="QH107" s="25"/>
      <c r="QI107" s="25"/>
      <c r="QJ107" s="25"/>
      <c r="QK107" s="25"/>
      <c r="QL107" s="25"/>
      <c r="QM107" s="25"/>
      <c r="QN107" s="25"/>
      <c r="QO107" s="25"/>
      <c r="QP107" s="25"/>
      <c r="QQ107" s="25"/>
      <c r="QR107" s="25"/>
      <c r="QS107" s="25"/>
      <c r="QT107" s="25"/>
      <c r="QU107" s="25"/>
      <c r="QV107" s="25"/>
      <c r="QW107" s="25"/>
      <c r="QX107" s="25"/>
      <c r="QY107" s="25"/>
      <c r="QZ107" s="25"/>
      <c r="RA107" s="25"/>
      <c r="RB107" s="25"/>
      <c r="RC107" s="25"/>
      <c r="RD107" s="25"/>
      <c r="RE107" s="25"/>
      <c r="RF107" s="25"/>
      <c r="RG107" s="25"/>
      <c r="RH107" s="25"/>
      <c r="RI107" s="25"/>
      <c r="RJ107" s="25"/>
      <c r="RK107" s="25"/>
      <c r="RL107" s="25"/>
      <c r="RM107" s="25"/>
      <c r="RN107" s="25"/>
      <c r="RO107" s="25"/>
      <c r="RP107" s="25"/>
      <c r="RQ107" s="25"/>
      <c r="RR107" s="25"/>
      <c r="RS107" s="25"/>
      <c r="RT107" s="25"/>
      <c r="RU107" s="25"/>
      <c r="RV107" s="25"/>
      <c r="RW107" s="25"/>
      <c r="RX107" s="25"/>
      <c r="RY107" s="25"/>
      <c r="RZ107" s="25"/>
      <c r="SA107" s="25"/>
      <c r="SB107" s="25"/>
      <c r="SC107" s="25"/>
      <c r="SD107" s="25"/>
      <c r="SE107" s="25"/>
      <c r="SF107" s="25"/>
      <c r="SG107" s="25"/>
      <c r="SH107" s="25"/>
      <c r="SI107" s="25"/>
      <c r="SJ107" s="25"/>
      <c r="SK107" s="25"/>
      <c r="SL107" s="25"/>
      <c r="SM107" s="25"/>
      <c r="SN107" s="25"/>
      <c r="SO107" s="25"/>
      <c r="SP107" s="25"/>
      <c r="SQ107" s="25"/>
      <c r="SR107" s="25"/>
      <c r="SS107" s="25"/>
      <c r="ST107" s="25"/>
      <c r="SU107" s="25"/>
      <c r="SV107" s="25"/>
      <c r="SW107" s="25"/>
      <c r="SX107" s="25"/>
      <c r="SY107" s="25"/>
      <c r="SZ107" s="25"/>
      <c r="TA107" s="25"/>
      <c r="TB107" s="25"/>
      <c r="TC107" s="25"/>
      <c r="TD107" s="25"/>
      <c r="TE107" s="25"/>
      <c r="TF107" s="25"/>
      <c r="TG107" s="25"/>
      <c r="TH107" s="25"/>
      <c r="TI107" s="25"/>
      <c r="TJ107" s="25"/>
      <c r="TK107" s="25"/>
      <c r="TL107" s="25"/>
      <c r="TM107" s="25"/>
      <c r="TN107" s="25"/>
      <c r="TO107" s="25"/>
      <c r="TP107" s="25"/>
      <c r="TQ107" s="25"/>
      <c r="TR107" s="25"/>
    </row>
    <row r="108" spans="1:538" s="22" customFormat="1" ht="55.5" customHeight="1" x14ac:dyDescent="0.25">
      <c r="A108" s="42" t="s">
        <v>413</v>
      </c>
      <c r="B108" s="43" t="str">
        <f>'дод 3'!A67</f>
        <v>3171</v>
      </c>
      <c r="C108" s="43">
        <f>'дод 3'!B67</f>
        <v>1010</v>
      </c>
      <c r="D108" s="23" t="str">
        <f>'дод 3'!C67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08" s="67">
        <v>228095</v>
      </c>
      <c r="F108" s="67"/>
      <c r="G108" s="67"/>
      <c r="H108" s="67">
        <v>85174.67</v>
      </c>
      <c r="I108" s="67"/>
      <c r="J108" s="67"/>
      <c r="K108" s="140">
        <f t="shared" si="51"/>
        <v>37.341752340033757</v>
      </c>
      <c r="L108" s="67">
        <v>0</v>
      </c>
      <c r="M108" s="67"/>
      <c r="N108" s="67"/>
      <c r="O108" s="67"/>
      <c r="P108" s="67"/>
      <c r="Q108" s="67"/>
      <c r="R108" s="67">
        <f t="shared" si="69"/>
        <v>0</v>
      </c>
      <c r="S108" s="67"/>
      <c r="T108" s="67"/>
      <c r="U108" s="67"/>
      <c r="V108" s="67"/>
      <c r="W108" s="67"/>
      <c r="X108" s="140"/>
      <c r="Y108" s="67">
        <f t="shared" si="68"/>
        <v>85174.67</v>
      </c>
      <c r="Z108" s="156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/>
      <c r="OX108" s="25"/>
      <c r="OY108" s="25"/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</row>
    <row r="109" spans="1:538" s="22" customFormat="1" ht="28.5" customHeight="1" x14ac:dyDescent="0.25">
      <c r="A109" s="42" t="s">
        <v>414</v>
      </c>
      <c r="B109" s="43" t="str">
        <f>'дод 3'!A68</f>
        <v>3172</v>
      </c>
      <c r="C109" s="43">
        <f>'дод 3'!B68</f>
        <v>1010</v>
      </c>
      <c r="D109" s="23" t="str">
        <f>'дод 3'!C68</f>
        <v>Встановлення телефонів особам з інвалідністю I і II груп</v>
      </c>
      <c r="E109" s="67">
        <v>90</v>
      </c>
      <c r="F109" s="67"/>
      <c r="G109" s="67"/>
      <c r="H109" s="67"/>
      <c r="I109" s="67"/>
      <c r="J109" s="67"/>
      <c r="K109" s="140">
        <f t="shared" si="51"/>
        <v>0</v>
      </c>
      <c r="L109" s="67">
        <v>0</v>
      </c>
      <c r="M109" s="67"/>
      <c r="N109" s="67"/>
      <c r="O109" s="67"/>
      <c r="P109" s="67"/>
      <c r="Q109" s="67"/>
      <c r="R109" s="67">
        <f t="shared" si="69"/>
        <v>0</v>
      </c>
      <c r="S109" s="67"/>
      <c r="T109" s="67"/>
      <c r="U109" s="67"/>
      <c r="V109" s="67"/>
      <c r="W109" s="67"/>
      <c r="X109" s="140"/>
      <c r="Y109" s="67">
        <f t="shared" si="68"/>
        <v>0</v>
      </c>
      <c r="Z109" s="156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  <c r="MI109" s="25"/>
      <c r="MJ109" s="25"/>
      <c r="MK109" s="25"/>
      <c r="ML109" s="25"/>
      <c r="MM109" s="25"/>
      <c r="MN109" s="25"/>
      <c r="MO109" s="25"/>
      <c r="MP109" s="25"/>
      <c r="MQ109" s="25"/>
      <c r="MR109" s="25"/>
      <c r="MS109" s="25"/>
      <c r="MT109" s="25"/>
      <c r="MU109" s="25"/>
      <c r="MV109" s="25"/>
      <c r="MW109" s="25"/>
      <c r="MX109" s="25"/>
      <c r="MY109" s="25"/>
      <c r="MZ109" s="25"/>
      <c r="NA109" s="25"/>
      <c r="NB109" s="25"/>
      <c r="NC109" s="25"/>
      <c r="ND109" s="25"/>
      <c r="NE109" s="25"/>
      <c r="NF109" s="25"/>
      <c r="NG109" s="25"/>
      <c r="NH109" s="25"/>
      <c r="NI109" s="25"/>
      <c r="NJ109" s="25"/>
      <c r="NK109" s="25"/>
      <c r="NL109" s="25"/>
      <c r="NM109" s="25"/>
      <c r="NN109" s="25"/>
      <c r="NO109" s="25"/>
      <c r="NP109" s="25"/>
      <c r="NQ109" s="25"/>
      <c r="NR109" s="25"/>
      <c r="NS109" s="25"/>
      <c r="NT109" s="25"/>
      <c r="NU109" s="25"/>
      <c r="NV109" s="25"/>
      <c r="NW109" s="25"/>
      <c r="NX109" s="25"/>
      <c r="NY109" s="25"/>
      <c r="NZ109" s="25"/>
      <c r="OA109" s="25"/>
      <c r="OB109" s="25"/>
      <c r="OC109" s="25"/>
      <c r="OD109" s="25"/>
      <c r="OE109" s="25"/>
      <c r="OF109" s="25"/>
      <c r="OG109" s="25"/>
      <c r="OH109" s="25"/>
      <c r="OI109" s="25"/>
      <c r="OJ109" s="25"/>
      <c r="OK109" s="25"/>
      <c r="OL109" s="25"/>
      <c r="OM109" s="25"/>
      <c r="ON109" s="25"/>
      <c r="OO109" s="25"/>
      <c r="OP109" s="25"/>
      <c r="OQ109" s="25"/>
      <c r="OR109" s="25"/>
      <c r="OS109" s="25"/>
      <c r="OT109" s="25"/>
      <c r="OU109" s="25"/>
      <c r="OV109" s="25"/>
      <c r="OW109" s="25"/>
      <c r="OX109" s="25"/>
      <c r="OY109" s="25"/>
      <c r="OZ109" s="25"/>
      <c r="PA109" s="25"/>
      <c r="PB109" s="25"/>
      <c r="PC109" s="25"/>
      <c r="PD109" s="25"/>
      <c r="PE109" s="25"/>
      <c r="PF109" s="25"/>
      <c r="PG109" s="25"/>
      <c r="PH109" s="25"/>
      <c r="PI109" s="25"/>
      <c r="PJ109" s="25"/>
      <c r="PK109" s="25"/>
      <c r="PL109" s="25"/>
      <c r="PM109" s="25"/>
      <c r="PN109" s="25"/>
      <c r="PO109" s="25"/>
      <c r="PP109" s="25"/>
      <c r="PQ109" s="25"/>
      <c r="PR109" s="25"/>
      <c r="PS109" s="25"/>
      <c r="PT109" s="25"/>
      <c r="PU109" s="25"/>
      <c r="PV109" s="25"/>
      <c r="PW109" s="25"/>
      <c r="PX109" s="25"/>
      <c r="PY109" s="25"/>
      <c r="PZ109" s="25"/>
      <c r="QA109" s="25"/>
      <c r="QB109" s="25"/>
      <c r="QC109" s="25"/>
      <c r="QD109" s="25"/>
      <c r="QE109" s="25"/>
      <c r="QF109" s="25"/>
      <c r="QG109" s="25"/>
      <c r="QH109" s="25"/>
      <c r="QI109" s="25"/>
      <c r="QJ109" s="25"/>
      <c r="QK109" s="25"/>
      <c r="QL109" s="25"/>
      <c r="QM109" s="25"/>
      <c r="QN109" s="25"/>
      <c r="QO109" s="25"/>
      <c r="QP109" s="25"/>
      <c r="QQ109" s="25"/>
      <c r="QR109" s="25"/>
      <c r="QS109" s="25"/>
      <c r="QT109" s="25"/>
      <c r="QU109" s="25"/>
      <c r="QV109" s="25"/>
      <c r="QW109" s="25"/>
      <c r="QX109" s="25"/>
      <c r="QY109" s="25"/>
      <c r="QZ109" s="25"/>
      <c r="RA109" s="25"/>
      <c r="RB109" s="25"/>
      <c r="RC109" s="25"/>
      <c r="RD109" s="25"/>
      <c r="RE109" s="25"/>
      <c r="RF109" s="25"/>
      <c r="RG109" s="25"/>
      <c r="RH109" s="25"/>
      <c r="RI109" s="25"/>
      <c r="RJ109" s="25"/>
      <c r="RK109" s="25"/>
      <c r="RL109" s="25"/>
      <c r="RM109" s="25"/>
      <c r="RN109" s="25"/>
      <c r="RO109" s="25"/>
      <c r="RP109" s="25"/>
      <c r="RQ109" s="25"/>
      <c r="RR109" s="25"/>
      <c r="RS109" s="25"/>
      <c r="RT109" s="25"/>
      <c r="RU109" s="25"/>
      <c r="RV109" s="25"/>
      <c r="RW109" s="25"/>
      <c r="RX109" s="25"/>
      <c r="RY109" s="25"/>
      <c r="RZ109" s="25"/>
      <c r="SA109" s="25"/>
      <c r="SB109" s="25"/>
      <c r="SC109" s="25"/>
      <c r="SD109" s="25"/>
      <c r="SE109" s="25"/>
      <c r="SF109" s="25"/>
      <c r="SG109" s="25"/>
      <c r="SH109" s="25"/>
      <c r="SI109" s="25"/>
      <c r="SJ109" s="25"/>
      <c r="SK109" s="25"/>
      <c r="SL109" s="25"/>
      <c r="SM109" s="25"/>
      <c r="SN109" s="25"/>
      <c r="SO109" s="25"/>
      <c r="SP109" s="25"/>
      <c r="SQ109" s="25"/>
      <c r="SR109" s="25"/>
      <c r="SS109" s="25"/>
      <c r="ST109" s="25"/>
      <c r="SU109" s="25"/>
      <c r="SV109" s="25"/>
      <c r="SW109" s="25"/>
      <c r="SX109" s="25"/>
      <c r="SY109" s="25"/>
      <c r="SZ109" s="25"/>
      <c r="TA109" s="25"/>
      <c r="TB109" s="25"/>
      <c r="TC109" s="25"/>
      <c r="TD109" s="25"/>
      <c r="TE109" s="25"/>
      <c r="TF109" s="25"/>
      <c r="TG109" s="25"/>
      <c r="TH109" s="25"/>
      <c r="TI109" s="25"/>
      <c r="TJ109" s="25"/>
      <c r="TK109" s="25"/>
      <c r="TL109" s="25"/>
      <c r="TM109" s="25"/>
      <c r="TN109" s="25"/>
      <c r="TO109" s="25"/>
      <c r="TP109" s="25"/>
      <c r="TQ109" s="25"/>
      <c r="TR109" s="25"/>
    </row>
    <row r="110" spans="1:538" s="22" customFormat="1" ht="65.25" customHeight="1" x14ac:dyDescent="0.25">
      <c r="A110" s="42" t="s">
        <v>223</v>
      </c>
      <c r="B110" s="43" t="str">
        <f>'дод 3'!A69</f>
        <v>3180</v>
      </c>
      <c r="C110" s="43" t="str">
        <f>'дод 3'!B69</f>
        <v>1060</v>
      </c>
      <c r="D110" s="23" t="str">
        <f>'дод 3'!C69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10" s="67">
        <v>2075000</v>
      </c>
      <c r="F110" s="67"/>
      <c r="G110" s="67"/>
      <c r="H110" s="67">
        <v>1273399.8999999999</v>
      </c>
      <c r="I110" s="67"/>
      <c r="J110" s="67"/>
      <c r="K110" s="140">
        <f t="shared" si="51"/>
        <v>61.368669879518066</v>
      </c>
      <c r="L110" s="67">
        <v>0</v>
      </c>
      <c r="M110" s="67"/>
      <c r="N110" s="67"/>
      <c r="O110" s="67"/>
      <c r="P110" s="67"/>
      <c r="Q110" s="67"/>
      <c r="R110" s="67">
        <f t="shared" si="69"/>
        <v>0</v>
      </c>
      <c r="S110" s="67"/>
      <c r="T110" s="67"/>
      <c r="U110" s="67"/>
      <c r="V110" s="67"/>
      <c r="W110" s="67"/>
      <c r="X110" s="140"/>
      <c r="Y110" s="67">
        <f t="shared" si="68"/>
        <v>1273399.8999999999</v>
      </c>
      <c r="Z110" s="156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</row>
    <row r="111" spans="1:538" s="22" customFormat="1" ht="27" customHeight="1" x14ac:dyDescent="0.25">
      <c r="A111" s="42" t="s">
        <v>359</v>
      </c>
      <c r="B111" s="43" t="str">
        <f>'дод 3'!A70</f>
        <v>3191</v>
      </c>
      <c r="C111" s="43" t="str">
        <f>'дод 3'!B70</f>
        <v>1030</v>
      </c>
      <c r="D111" s="23" t="str">
        <f>'дод 3'!C70</f>
        <v>Інші видатки на соціальний захист ветеранів війни та праці</v>
      </c>
      <c r="E111" s="67">
        <v>2170968</v>
      </c>
      <c r="F111" s="67"/>
      <c r="G111" s="67"/>
      <c r="H111" s="67">
        <v>1027396.08</v>
      </c>
      <c r="I111" s="67"/>
      <c r="J111" s="67"/>
      <c r="K111" s="140">
        <f t="shared" si="51"/>
        <v>47.32433089755353</v>
      </c>
      <c r="L111" s="67">
        <v>0</v>
      </c>
      <c r="M111" s="67"/>
      <c r="N111" s="67"/>
      <c r="O111" s="67"/>
      <c r="P111" s="67"/>
      <c r="Q111" s="67"/>
      <c r="R111" s="67">
        <f t="shared" si="69"/>
        <v>0</v>
      </c>
      <c r="S111" s="67"/>
      <c r="T111" s="67"/>
      <c r="U111" s="67"/>
      <c r="V111" s="67"/>
      <c r="W111" s="67"/>
      <c r="X111" s="140"/>
      <c r="Y111" s="67">
        <f t="shared" si="68"/>
        <v>1027396.08</v>
      </c>
      <c r="Z111" s="156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</row>
    <row r="112" spans="1:538" s="22" customFormat="1" ht="45" x14ac:dyDescent="0.25">
      <c r="A112" s="42" t="s">
        <v>360</v>
      </c>
      <c r="B112" s="43" t="str">
        <f>'дод 3'!A71</f>
        <v>3192</v>
      </c>
      <c r="C112" s="43" t="str">
        <f>'дод 3'!B71</f>
        <v>1030</v>
      </c>
      <c r="D112" s="23" t="str">
        <f>'дод 3'!C71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12" s="67">
        <v>1892237</v>
      </c>
      <c r="F112" s="67"/>
      <c r="G112" s="67"/>
      <c r="H112" s="67">
        <v>784939.02</v>
      </c>
      <c r="I112" s="67"/>
      <c r="J112" s="67"/>
      <c r="K112" s="140">
        <f t="shared" si="51"/>
        <v>41.482066992665295</v>
      </c>
      <c r="L112" s="67">
        <v>0</v>
      </c>
      <c r="M112" s="67"/>
      <c r="N112" s="67"/>
      <c r="O112" s="67"/>
      <c r="P112" s="67"/>
      <c r="Q112" s="67"/>
      <c r="R112" s="67">
        <f t="shared" si="69"/>
        <v>0</v>
      </c>
      <c r="S112" s="67"/>
      <c r="T112" s="67"/>
      <c r="U112" s="67"/>
      <c r="V112" s="67"/>
      <c r="W112" s="67"/>
      <c r="X112" s="140"/>
      <c r="Y112" s="67">
        <f t="shared" si="68"/>
        <v>784939.02</v>
      </c>
      <c r="Z112" s="156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</row>
    <row r="113" spans="1:538" s="22" customFormat="1" ht="41.25" customHeight="1" x14ac:dyDescent="0.25">
      <c r="A113" s="42" t="s">
        <v>224</v>
      </c>
      <c r="B113" s="43" t="str">
        <f>'дод 3'!A72</f>
        <v>3200</v>
      </c>
      <c r="C113" s="43" t="str">
        <f>'дод 3'!B72</f>
        <v>1090</v>
      </c>
      <c r="D113" s="23" t="str">
        <f>'дод 3'!C72</f>
        <v>Забезпечення обробки інформації з нарахування та виплати допомог і компенсацій</v>
      </c>
      <c r="E113" s="67">
        <v>86500</v>
      </c>
      <c r="F113" s="67"/>
      <c r="G113" s="67"/>
      <c r="H113" s="67">
        <v>39657</v>
      </c>
      <c r="I113" s="67"/>
      <c r="J113" s="67"/>
      <c r="K113" s="140">
        <f t="shared" si="51"/>
        <v>45.846242774566477</v>
      </c>
      <c r="L113" s="67">
        <v>0</v>
      </c>
      <c r="M113" s="67"/>
      <c r="N113" s="67"/>
      <c r="O113" s="67"/>
      <c r="P113" s="67"/>
      <c r="Q113" s="67"/>
      <c r="R113" s="67">
        <f t="shared" si="69"/>
        <v>0</v>
      </c>
      <c r="S113" s="67"/>
      <c r="T113" s="67"/>
      <c r="U113" s="67"/>
      <c r="V113" s="67"/>
      <c r="W113" s="67"/>
      <c r="X113" s="140"/>
      <c r="Y113" s="67">
        <f t="shared" si="68"/>
        <v>39657</v>
      </c>
      <c r="Z113" s="156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</row>
    <row r="114" spans="1:538" s="22" customFormat="1" ht="19.5" customHeight="1" x14ac:dyDescent="0.25">
      <c r="A114" s="51" t="s">
        <v>361</v>
      </c>
      <c r="B114" s="44" t="str">
        <f>'дод 3'!A73</f>
        <v>3210</v>
      </c>
      <c r="C114" s="44" t="str">
        <f>'дод 3'!B73</f>
        <v>1050</v>
      </c>
      <c r="D114" s="21" t="str">
        <f>'дод 3'!C73</f>
        <v>Організація та проведення громадських робіт</v>
      </c>
      <c r="E114" s="67">
        <v>200000</v>
      </c>
      <c r="F114" s="67">
        <v>163935</v>
      </c>
      <c r="G114" s="67"/>
      <c r="H114" s="67">
        <v>28070.79</v>
      </c>
      <c r="I114" s="67">
        <v>22917.58</v>
      </c>
      <c r="J114" s="67"/>
      <c r="K114" s="140">
        <f t="shared" si="51"/>
        <v>14.035395000000001</v>
      </c>
      <c r="L114" s="67">
        <v>0</v>
      </c>
      <c r="M114" s="67"/>
      <c r="N114" s="67"/>
      <c r="O114" s="67"/>
      <c r="P114" s="67"/>
      <c r="Q114" s="67"/>
      <c r="R114" s="67">
        <f t="shared" si="69"/>
        <v>0</v>
      </c>
      <c r="S114" s="67"/>
      <c r="T114" s="67"/>
      <c r="U114" s="67"/>
      <c r="V114" s="67"/>
      <c r="W114" s="67"/>
      <c r="X114" s="140"/>
      <c r="Y114" s="67">
        <f t="shared" si="68"/>
        <v>28070.79</v>
      </c>
      <c r="Z114" s="156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/>
      <c r="OF114" s="25"/>
      <c r="OG114" s="25"/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/>
      <c r="QQ114" s="25"/>
      <c r="QR114" s="25"/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</row>
    <row r="115" spans="1:538" s="22" customFormat="1" ht="31.5" customHeight="1" x14ac:dyDescent="0.25">
      <c r="A115" s="42" t="s">
        <v>358</v>
      </c>
      <c r="B115" s="43" t="str">
        <f>'дод 3'!A74</f>
        <v>3241</v>
      </c>
      <c r="C115" s="43" t="str">
        <f>'дод 3'!B74</f>
        <v>1090</v>
      </c>
      <c r="D115" s="23" t="str">
        <f>'дод 3'!C74</f>
        <v>Забезпечення діяльності інших закладів у сфері соціального захисту і соціального забезпечення</v>
      </c>
      <c r="E115" s="67">
        <v>5520906</v>
      </c>
      <c r="F115" s="67">
        <v>3343340</v>
      </c>
      <c r="G115" s="67">
        <v>492630</v>
      </c>
      <c r="H115" s="67">
        <v>2369098.79</v>
      </c>
      <c r="I115" s="67">
        <v>1475699.06</v>
      </c>
      <c r="J115" s="67">
        <v>160963.60999999999</v>
      </c>
      <c r="K115" s="140">
        <f t="shared" si="51"/>
        <v>42.911413271662298</v>
      </c>
      <c r="L115" s="67">
        <v>761000</v>
      </c>
      <c r="M115" s="67">
        <f>200000+500000+40000+21000</f>
        <v>761000</v>
      </c>
      <c r="N115" s="67"/>
      <c r="O115" s="67"/>
      <c r="P115" s="67"/>
      <c r="Q115" s="67">
        <f>200000+500000+40000+21000</f>
        <v>761000</v>
      </c>
      <c r="R115" s="67">
        <f t="shared" si="69"/>
        <v>80052.399999999994</v>
      </c>
      <c r="S115" s="67">
        <v>61000</v>
      </c>
      <c r="T115" s="67">
        <v>19052.400000000001</v>
      </c>
      <c r="U115" s="67"/>
      <c r="V115" s="67"/>
      <c r="W115" s="67">
        <v>61000</v>
      </c>
      <c r="X115" s="140">
        <f t="shared" si="54"/>
        <v>10.519369250985545</v>
      </c>
      <c r="Y115" s="67">
        <f t="shared" si="68"/>
        <v>2449151.19</v>
      </c>
      <c r="Z115" s="156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  <c r="LT115" s="25"/>
      <c r="LU115" s="25"/>
      <c r="LV115" s="25"/>
      <c r="LW115" s="25"/>
      <c r="LX115" s="25"/>
      <c r="LY115" s="25"/>
      <c r="LZ115" s="25"/>
      <c r="MA115" s="25"/>
      <c r="MB115" s="25"/>
      <c r="MC115" s="25"/>
      <c r="MD115" s="25"/>
      <c r="ME115" s="25"/>
      <c r="MF115" s="25"/>
      <c r="MG115" s="25"/>
      <c r="MH115" s="25"/>
      <c r="MI115" s="25"/>
      <c r="MJ115" s="25"/>
      <c r="MK115" s="25"/>
      <c r="ML115" s="25"/>
      <c r="MM115" s="25"/>
      <c r="MN115" s="25"/>
      <c r="MO115" s="25"/>
      <c r="MP115" s="25"/>
      <c r="MQ115" s="25"/>
      <c r="MR115" s="25"/>
      <c r="MS115" s="25"/>
      <c r="MT115" s="25"/>
      <c r="MU115" s="25"/>
      <c r="MV115" s="25"/>
      <c r="MW115" s="25"/>
      <c r="MX115" s="25"/>
      <c r="MY115" s="25"/>
      <c r="MZ115" s="25"/>
      <c r="NA115" s="25"/>
      <c r="NB115" s="25"/>
      <c r="NC115" s="25"/>
      <c r="ND115" s="25"/>
      <c r="NE115" s="25"/>
      <c r="NF115" s="25"/>
      <c r="NG115" s="25"/>
      <c r="NH115" s="25"/>
      <c r="NI115" s="25"/>
      <c r="NJ115" s="25"/>
      <c r="NK115" s="25"/>
      <c r="NL115" s="25"/>
      <c r="NM115" s="25"/>
      <c r="NN115" s="25"/>
      <c r="NO115" s="25"/>
      <c r="NP115" s="25"/>
      <c r="NQ115" s="25"/>
      <c r="NR115" s="25"/>
      <c r="NS115" s="25"/>
      <c r="NT115" s="25"/>
      <c r="NU115" s="25"/>
      <c r="NV115" s="25"/>
      <c r="NW115" s="25"/>
      <c r="NX115" s="25"/>
      <c r="NY115" s="25"/>
      <c r="NZ115" s="25"/>
      <c r="OA115" s="25"/>
      <c r="OB115" s="25"/>
      <c r="OC115" s="25"/>
      <c r="OD115" s="25"/>
      <c r="OE115" s="25"/>
      <c r="OF115" s="25"/>
      <c r="OG115" s="25"/>
      <c r="OH115" s="25"/>
      <c r="OI115" s="25"/>
      <c r="OJ115" s="25"/>
      <c r="OK115" s="25"/>
      <c r="OL115" s="25"/>
      <c r="OM115" s="25"/>
      <c r="ON115" s="25"/>
      <c r="OO115" s="25"/>
      <c r="OP115" s="25"/>
      <c r="OQ115" s="25"/>
      <c r="OR115" s="25"/>
      <c r="OS115" s="25"/>
      <c r="OT115" s="25"/>
      <c r="OU115" s="25"/>
      <c r="OV115" s="25"/>
      <c r="OW115" s="25"/>
      <c r="OX115" s="25"/>
      <c r="OY115" s="25"/>
      <c r="OZ115" s="25"/>
      <c r="PA115" s="25"/>
      <c r="PB115" s="25"/>
      <c r="PC115" s="25"/>
      <c r="PD115" s="25"/>
      <c r="PE115" s="25"/>
      <c r="PF115" s="25"/>
      <c r="PG115" s="25"/>
      <c r="PH115" s="25"/>
      <c r="PI115" s="25"/>
      <c r="PJ115" s="25"/>
      <c r="PK115" s="25"/>
      <c r="PL115" s="25"/>
      <c r="PM115" s="25"/>
      <c r="PN115" s="25"/>
      <c r="PO115" s="25"/>
      <c r="PP115" s="25"/>
      <c r="PQ115" s="25"/>
      <c r="PR115" s="25"/>
      <c r="PS115" s="25"/>
      <c r="PT115" s="25"/>
      <c r="PU115" s="25"/>
      <c r="PV115" s="25"/>
      <c r="PW115" s="25"/>
      <c r="PX115" s="25"/>
      <c r="PY115" s="25"/>
      <c r="PZ115" s="25"/>
      <c r="QA115" s="25"/>
      <c r="QB115" s="25"/>
      <c r="QC115" s="25"/>
      <c r="QD115" s="25"/>
      <c r="QE115" s="25"/>
      <c r="QF115" s="25"/>
      <c r="QG115" s="25"/>
      <c r="QH115" s="25"/>
      <c r="QI115" s="25"/>
      <c r="QJ115" s="25"/>
      <c r="QK115" s="25"/>
      <c r="QL115" s="25"/>
      <c r="QM115" s="25"/>
      <c r="QN115" s="25"/>
      <c r="QO115" s="25"/>
      <c r="QP115" s="25"/>
      <c r="QQ115" s="25"/>
      <c r="QR115" s="25"/>
      <c r="QS115" s="25"/>
      <c r="QT115" s="25"/>
      <c r="QU115" s="25"/>
      <c r="QV115" s="25"/>
      <c r="QW115" s="25"/>
      <c r="QX115" s="25"/>
      <c r="QY115" s="25"/>
      <c r="QZ115" s="25"/>
      <c r="RA115" s="25"/>
      <c r="RB115" s="25"/>
      <c r="RC115" s="25"/>
      <c r="RD115" s="25"/>
      <c r="RE115" s="25"/>
      <c r="RF115" s="25"/>
      <c r="RG115" s="25"/>
      <c r="RH115" s="25"/>
      <c r="RI115" s="25"/>
      <c r="RJ115" s="25"/>
      <c r="RK115" s="25"/>
      <c r="RL115" s="25"/>
      <c r="RM115" s="25"/>
      <c r="RN115" s="25"/>
      <c r="RO115" s="25"/>
      <c r="RP115" s="25"/>
      <c r="RQ115" s="25"/>
      <c r="RR115" s="25"/>
      <c r="RS115" s="25"/>
      <c r="RT115" s="25"/>
      <c r="RU115" s="25"/>
      <c r="RV115" s="25"/>
      <c r="RW115" s="25"/>
      <c r="RX115" s="25"/>
      <c r="RY115" s="25"/>
      <c r="RZ115" s="25"/>
      <c r="SA115" s="25"/>
      <c r="SB115" s="25"/>
      <c r="SC115" s="25"/>
      <c r="SD115" s="25"/>
      <c r="SE115" s="25"/>
      <c r="SF115" s="25"/>
      <c r="SG115" s="25"/>
      <c r="SH115" s="25"/>
      <c r="SI115" s="25"/>
      <c r="SJ115" s="25"/>
      <c r="SK115" s="25"/>
      <c r="SL115" s="25"/>
      <c r="SM115" s="25"/>
      <c r="SN115" s="25"/>
      <c r="SO115" s="25"/>
      <c r="SP115" s="25"/>
      <c r="SQ115" s="25"/>
      <c r="SR115" s="25"/>
      <c r="SS115" s="25"/>
      <c r="ST115" s="25"/>
      <c r="SU115" s="25"/>
      <c r="SV115" s="25"/>
      <c r="SW115" s="25"/>
      <c r="SX115" s="25"/>
      <c r="SY115" s="25"/>
      <c r="SZ115" s="25"/>
      <c r="TA115" s="25"/>
      <c r="TB115" s="25"/>
      <c r="TC115" s="25"/>
      <c r="TD115" s="25"/>
      <c r="TE115" s="25"/>
      <c r="TF115" s="25"/>
      <c r="TG115" s="25"/>
      <c r="TH115" s="25"/>
      <c r="TI115" s="25"/>
      <c r="TJ115" s="25"/>
      <c r="TK115" s="25"/>
      <c r="TL115" s="25"/>
      <c r="TM115" s="25"/>
      <c r="TN115" s="25"/>
      <c r="TO115" s="25"/>
      <c r="TP115" s="25"/>
      <c r="TQ115" s="25"/>
      <c r="TR115" s="25"/>
    </row>
    <row r="116" spans="1:538" s="22" customFormat="1" ht="33" customHeight="1" x14ac:dyDescent="0.25">
      <c r="A116" s="42" t="s">
        <v>415</v>
      </c>
      <c r="B116" s="43" t="str">
        <f>'дод 3'!A75</f>
        <v>3242</v>
      </c>
      <c r="C116" s="43" t="str">
        <f>'дод 3'!B75</f>
        <v>1090</v>
      </c>
      <c r="D116" s="23" t="str">
        <f>'дод 3'!C75</f>
        <v>Інші заходи у сфері соціального захисту і соціального забезпечення</v>
      </c>
      <c r="E116" s="67">
        <v>33970568</v>
      </c>
      <c r="F116" s="67"/>
      <c r="G116" s="67"/>
      <c r="H116" s="67">
        <v>12620050.57</v>
      </c>
      <c r="I116" s="67"/>
      <c r="J116" s="67"/>
      <c r="K116" s="140">
        <f t="shared" si="51"/>
        <v>37.149954543003226</v>
      </c>
      <c r="L116" s="67">
        <v>35640</v>
      </c>
      <c r="M116" s="67">
        <v>35640</v>
      </c>
      <c r="N116" s="67"/>
      <c r="O116" s="67"/>
      <c r="P116" s="67"/>
      <c r="Q116" s="67">
        <v>35640</v>
      </c>
      <c r="R116" s="67">
        <f t="shared" si="69"/>
        <v>0</v>
      </c>
      <c r="S116" s="67"/>
      <c r="T116" s="67"/>
      <c r="U116" s="67"/>
      <c r="V116" s="67"/>
      <c r="W116" s="67"/>
      <c r="X116" s="140">
        <f t="shared" si="54"/>
        <v>0</v>
      </c>
      <c r="Y116" s="67">
        <f t="shared" si="68"/>
        <v>12620050.57</v>
      </c>
      <c r="Z116" s="156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  <c r="MI116" s="25"/>
      <c r="MJ116" s="25"/>
      <c r="MK116" s="25"/>
      <c r="ML116" s="25"/>
      <c r="MM116" s="25"/>
      <c r="MN116" s="25"/>
      <c r="MO116" s="25"/>
      <c r="MP116" s="25"/>
      <c r="MQ116" s="25"/>
      <c r="MR116" s="25"/>
      <c r="MS116" s="25"/>
      <c r="MT116" s="25"/>
      <c r="MU116" s="25"/>
      <c r="MV116" s="25"/>
      <c r="MW116" s="25"/>
      <c r="MX116" s="25"/>
      <c r="MY116" s="25"/>
      <c r="MZ116" s="25"/>
      <c r="NA116" s="25"/>
      <c r="NB116" s="25"/>
      <c r="NC116" s="25"/>
      <c r="ND116" s="25"/>
      <c r="NE116" s="25"/>
      <c r="NF116" s="25"/>
      <c r="NG116" s="25"/>
      <c r="NH116" s="25"/>
      <c r="NI116" s="25"/>
      <c r="NJ116" s="25"/>
      <c r="NK116" s="25"/>
      <c r="NL116" s="25"/>
      <c r="NM116" s="25"/>
      <c r="NN116" s="25"/>
      <c r="NO116" s="25"/>
      <c r="NP116" s="25"/>
      <c r="NQ116" s="25"/>
      <c r="NR116" s="25"/>
      <c r="NS116" s="25"/>
      <c r="NT116" s="25"/>
      <c r="NU116" s="25"/>
      <c r="NV116" s="25"/>
      <c r="NW116" s="25"/>
      <c r="NX116" s="25"/>
      <c r="NY116" s="25"/>
      <c r="NZ116" s="25"/>
      <c r="OA116" s="25"/>
      <c r="OB116" s="25"/>
      <c r="OC116" s="25"/>
      <c r="OD116" s="25"/>
      <c r="OE116" s="25"/>
      <c r="OF116" s="25"/>
      <c r="OG116" s="25"/>
      <c r="OH116" s="25"/>
      <c r="OI116" s="25"/>
      <c r="OJ116" s="25"/>
      <c r="OK116" s="25"/>
      <c r="OL116" s="25"/>
      <c r="OM116" s="25"/>
      <c r="ON116" s="25"/>
      <c r="OO116" s="25"/>
      <c r="OP116" s="25"/>
      <c r="OQ116" s="25"/>
      <c r="OR116" s="25"/>
      <c r="OS116" s="25"/>
      <c r="OT116" s="25"/>
      <c r="OU116" s="25"/>
      <c r="OV116" s="25"/>
      <c r="OW116" s="25"/>
      <c r="OX116" s="25"/>
      <c r="OY116" s="25"/>
      <c r="OZ116" s="25"/>
      <c r="PA116" s="25"/>
      <c r="PB116" s="25"/>
      <c r="PC116" s="25"/>
      <c r="PD116" s="25"/>
      <c r="PE116" s="25"/>
      <c r="PF116" s="25"/>
      <c r="PG116" s="25"/>
      <c r="PH116" s="25"/>
      <c r="PI116" s="25"/>
      <c r="PJ116" s="25"/>
      <c r="PK116" s="25"/>
      <c r="PL116" s="25"/>
      <c r="PM116" s="25"/>
      <c r="PN116" s="25"/>
      <c r="PO116" s="25"/>
      <c r="PP116" s="25"/>
      <c r="PQ116" s="25"/>
      <c r="PR116" s="25"/>
      <c r="PS116" s="25"/>
      <c r="PT116" s="25"/>
      <c r="PU116" s="25"/>
      <c r="PV116" s="25"/>
      <c r="PW116" s="25"/>
      <c r="PX116" s="25"/>
      <c r="PY116" s="25"/>
      <c r="PZ116" s="25"/>
      <c r="QA116" s="25"/>
      <c r="QB116" s="25"/>
      <c r="QC116" s="25"/>
      <c r="QD116" s="25"/>
      <c r="QE116" s="25"/>
      <c r="QF116" s="25"/>
      <c r="QG116" s="25"/>
      <c r="QH116" s="25"/>
      <c r="QI116" s="25"/>
      <c r="QJ116" s="25"/>
      <c r="QK116" s="25"/>
      <c r="QL116" s="25"/>
      <c r="QM116" s="25"/>
      <c r="QN116" s="25"/>
      <c r="QO116" s="25"/>
      <c r="QP116" s="25"/>
      <c r="QQ116" s="25"/>
      <c r="QR116" s="25"/>
      <c r="QS116" s="25"/>
      <c r="QT116" s="25"/>
      <c r="QU116" s="25"/>
      <c r="QV116" s="25"/>
      <c r="QW116" s="25"/>
      <c r="QX116" s="25"/>
      <c r="QY116" s="25"/>
      <c r="QZ116" s="25"/>
      <c r="RA116" s="25"/>
      <c r="RB116" s="25"/>
      <c r="RC116" s="25"/>
      <c r="RD116" s="25"/>
      <c r="RE116" s="25"/>
      <c r="RF116" s="25"/>
      <c r="RG116" s="25"/>
      <c r="RH116" s="25"/>
      <c r="RI116" s="25"/>
      <c r="RJ116" s="25"/>
      <c r="RK116" s="25"/>
      <c r="RL116" s="25"/>
      <c r="RM116" s="25"/>
      <c r="RN116" s="25"/>
      <c r="RO116" s="25"/>
      <c r="RP116" s="25"/>
      <c r="RQ116" s="25"/>
      <c r="RR116" s="25"/>
      <c r="RS116" s="25"/>
      <c r="RT116" s="25"/>
      <c r="RU116" s="25"/>
      <c r="RV116" s="25"/>
      <c r="RW116" s="25"/>
      <c r="RX116" s="25"/>
      <c r="RY116" s="25"/>
      <c r="RZ116" s="25"/>
      <c r="SA116" s="25"/>
      <c r="SB116" s="25"/>
      <c r="SC116" s="25"/>
      <c r="SD116" s="25"/>
      <c r="SE116" s="25"/>
      <c r="SF116" s="25"/>
      <c r="SG116" s="25"/>
      <c r="SH116" s="25"/>
      <c r="SI116" s="25"/>
      <c r="SJ116" s="25"/>
      <c r="SK116" s="25"/>
      <c r="SL116" s="25"/>
      <c r="SM116" s="25"/>
      <c r="SN116" s="25"/>
      <c r="SO116" s="25"/>
      <c r="SP116" s="25"/>
      <c r="SQ116" s="25"/>
      <c r="SR116" s="25"/>
      <c r="SS116" s="25"/>
      <c r="ST116" s="25"/>
      <c r="SU116" s="25"/>
      <c r="SV116" s="25"/>
      <c r="SW116" s="25"/>
      <c r="SX116" s="25"/>
      <c r="SY116" s="25"/>
      <c r="SZ116" s="25"/>
      <c r="TA116" s="25"/>
      <c r="TB116" s="25"/>
      <c r="TC116" s="25"/>
      <c r="TD116" s="25"/>
      <c r="TE116" s="25"/>
      <c r="TF116" s="25"/>
      <c r="TG116" s="25"/>
      <c r="TH116" s="25"/>
      <c r="TI116" s="25"/>
      <c r="TJ116" s="25"/>
      <c r="TK116" s="25"/>
      <c r="TL116" s="25"/>
      <c r="TM116" s="25"/>
      <c r="TN116" s="25"/>
      <c r="TO116" s="25"/>
      <c r="TP116" s="25"/>
      <c r="TQ116" s="25"/>
      <c r="TR116" s="25"/>
    </row>
    <row r="117" spans="1:538" s="22" customFormat="1" ht="31.5" customHeight="1" x14ac:dyDescent="0.25">
      <c r="A117" s="42" t="s">
        <v>306</v>
      </c>
      <c r="B117" s="43" t="str">
        <f>'дод 3'!A150</f>
        <v>9770</v>
      </c>
      <c r="C117" s="43" t="str">
        <f>'дод 3'!B150</f>
        <v>0180</v>
      </c>
      <c r="D117" s="23" t="str">
        <f>'дод 3'!C150</f>
        <v>Інші субвенції з місцевого бюджету</v>
      </c>
      <c r="E117" s="67">
        <v>1070000</v>
      </c>
      <c r="F117" s="67"/>
      <c r="G117" s="67"/>
      <c r="H117" s="67">
        <v>573910</v>
      </c>
      <c r="I117" s="67"/>
      <c r="J117" s="67"/>
      <c r="K117" s="140">
        <f t="shared" si="51"/>
        <v>53.636448598130841</v>
      </c>
      <c r="L117" s="67">
        <v>0</v>
      </c>
      <c r="M117" s="67"/>
      <c r="N117" s="67"/>
      <c r="O117" s="67"/>
      <c r="P117" s="67"/>
      <c r="Q117" s="67"/>
      <c r="R117" s="67">
        <f t="shared" si="69"/>
        <v>0</v>
      </c>
      <c r="S117" s="67"/>
      <c r="T117" s="67"/>
      <c r="U117" s="67"/>
      <c r="V117" s="67"/>
      <c r="W117" s="67"/>
      <c r="X117" s="140"/>
      <c r="Y117" s="67">
        <f t="shared" si="68"/>
        <v>573910</v>
      </c>
      <c r="Z117" s="156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  <c r="LT117" s="25"/>
      <c r="LU117" s="25"/>
      <c r="LV117" s="25"/>
      <c r="LW117" s="25"/>
      <c r="LX117" s="25"/>
      <c r="LY117" s="25"/>
      <c r="LZ117" s="25"/>
      <c r="MA117" s="25"/>
      <c r="MB117" s="25"/>
      <c r="MC117" s="25"/>
      <c r="MD117" s="25"/>
      <c r="ME117" s="25"/>
      <c r="MF117" s="25"/>
      <c r="MG117" s="25"/>
      <c r="MH117" s="25"/>
      <c r="MI117" s="25"/>
      <c r="MJ117" s="25"/>
      <c r="MK117" s="25"/>
      <c r="ML117" s="25"/>
      <c r="MM117" s="25"/>
      <c r="MN117" s="25"/>
      <c r="MO117" s="25"/>
      <c r="MP117" s="25"/>
      <c r="MQ117" s="25"/>
      <c r="MR117" s="25"/>
      <c r="MS117" s="25"/>
      <c r="MT117" s="25"/>
      <c r="MU117" s="25"/>
      <c r="MV117" s="25"/>
      <c r="MW117" s="25"/>
      <c r="MX117" s="25"/>
      <c r="MY117" s="25"/>
      <c r="MZ117" s="25"/>
      <c r="NA117" s="25"/>
      <c r="NB117" s="25"/>
      <c r="NC117" s="25"/>
      <c r="ND117" s="25"/>
      <c r="NE117" s="25"/>
      <c r="NF117" s="25"/>
      <c r="NG117" s="25"/>
      <c r="NH117" s="25"/>
      <c r="NI117" s="25"/>
      <c r="NJ117" s="25"/>
      <c r="NK117" s="25"/>
      <c r="NL117" s="25"/>
      <c r="NM117" s="25"/>
      <c r="NN117" s="25"/>
      <c r="NO117" s="25"/>
      <c r="NP117" s="25"/>
      <c r="NQ117" s="25"/>
      <c r="NR117" s="25"/>
      <c r="NS117" s="25"/>
      <c r="NT117" s="25"/>
      <c r="NU117" s="25"/>
      <c r="NV117" s="25"/>
      <c r="NW117" s="25"/>
      <c r="NX117" s="25"/>
      <c r="NY117" s="25"/>
      <c r="NZ117" s="25"/>
      <c r="OA117" s="25"/>
      <c r="OB117" s="25"/>
      <c r="OC117" s="25"/>
      <c r="OD117" s="25"/>
      <c r="OE117" s="25"/>
      <c r="OF117" s="25"/>
      <c r="OG117" s="25"/>
      <c r="OH117" s="25"/>
      <c r="OI117" s="25"/>
      <c r="OJ117" s="25"/>
      <c r="OK117" s="25"/>
      <c r="OL117" s="25"/>
      <c r="OM117" s="25"/>
      <c r="ON117" s="25"/>
      <c r="OO117" s="25"/>
      <c r="OP117" s="25"/>
      <c r="OQ117" s="25"/>
      <c r="OR117" s="25"/>
      <c r="OS117" s="25"/>
      <c r="OT117" s="25"/>
      <c r="OU117" s="25"/>
      <c r="OV117" s="25"/>
      <c r="OW117" s="25"/>
      <c r="OX117" s="25"/>
      <c r="OY117" s="25"/>
      <c r="OZ117" s="25"/>
      <c r="PA117" s="25"/>
      <c r="PB117" s="25"/>
      <c r="PC117" s="25"/>
      <c r="PD117" s="25"/>
      <c r="PE117" s="25"/>
      <c r="PF117" s="25"/>
      <c r="PG117" s="25"/>
      <c r="PH117" s="25"/>
      <c r="PI117" s="25"/>
      <c r="PJ117" s="25"/>
      <c r="PK117" s="25"/>
      <c r="PL117" s="25"/>
      <c r="PM117" s="25"/>
      <c r="PN117" s="25"/>
      <c r="PO117" s="25"/>
      <c r="PP117" s="25"/>
      <c r="PQ117" s="25"/>
      <c r="PR117" s="25"/>
      <c r="PS117" s="25"/>
      <c r="PT117" s="25"/>
      <c r="PU117" s="25"/>
      <c r="PV117" s="25"/>
      <c r="PW117" s="25"/>
      <c r="PX117" s="25"/>
      <c r="PY117" s="25"/>
      <c r="PZ117" s="25"/>
      <c r="QA117" s="25"/>
      <c r="QB117" s="25"/>
      <c r="QC117" s="25"/>
      <c r="QD117" s="25"/>
      <c r="QE117" s="25"/>
      <c r="QF117" s="25"/>
      <c r="QG117" s="25"/>
      <c r="QH117" s="25"/>
      <c r="QI117" s="25"/>
      <c r="QJ117" s="25"/>
      <c r="QK117" s="25"/>
      <c r="QL117" s="25"/>
      <c r="QM117" s="25"/>
      <c r="QN117" s="25"/>
      <c r="QO117" s="25"/>
      <c r="QP117" s="25"/>
      <c r="QQ117" s="25"/>
      <c r="QR117" s="25"/>
      <c r="QS117" s="25"/>
      <c r="QT117" s="25"/>
      <c r="QU117" s="25"/>
      <c r="QV117" s="25"/>
      <c r="QW117" s="25"/>
      <c r="QX117" s="25"/>
      <c r="QY117" s="25"/>
      <c r="QZ117" s="25"/>
      <c r="RA117" s="25"/>
      <c r="RB117" s="25"/>
      <c r="RC117" s="25"/>
      <c r="RD117" s="25"/>
      <c r="RE117" s="25"/>
      <c r="RF117" s="25"/>
      <c r="RG117" s="25"/>
      <c r="RH117" s="25"/>
      <c r="RI117" s="25"/>
      <c r="RJ117" s="25"/>
      <c r="RK117" s="25"/>
      <c r="RL117" s="25"/>
      <c r="RM117" s="25"/>
      <c r="RN117" s="25"/>
      <c r="RO117" s="25"/>
      <c r="RP117" s="25"/>
      <c r="RQ117" s="25"/>
      <c r="RR117" s="25"/>
      <c r="RS117" s="25"/>
      <c r="RT117" s="25"/>
      <c r="RU117" s="25"/>
      <c r="RV117" s="25"/>
      <c r="RW117" s="25"/>
      <c r="RX117" s="25"/>
      <c r="RY117" s="25"/>
      <c r="RZ117" s="25"/>
      <c r="SA117" s="25"/>
      <c r="SB117" s="25"/>
      <c r="SC117" s="25"/>
      <c r="SD117" s="25"/>
      <c r="SE117" s="25"/>
      <c r="SF117" s="25"/>
      <c r="SG117" s="25"/>
      <c r="SH117" s="25"/>
      <c r="SI117" s="25"/>
      <c r="SJ117" s="25"/>
      <c r="SK117" s="25"/>
      <c r="SL117" s="25"/>
      <c r="SM117" s="25"/>
      <c r="SN117" s="25"/>
      <c r="SO117" s="25"/>
      <c r="SP117" s="25"/>
      <c r="SQ117" s="25"/>
      <c r="SR117" s="25"/>
      <c r="SS117" s="25"/>
      <c r="ST117" s="25"/>
      <c r="SU117" s="25"/>
      <c r="SV117" s="25"/>
      <c r="SW117" s="25"/>
      <c r="SX117" s="25"/>
      <c r="SY117" s="25"/>
      <c r="SZ117" s="25"/>
      <c r="TA117" s="25"/>
      <c r="TB117" s="25"/>
      <c r="TC117" s="25"/>
      <c r="TD117" s="25"/>
      <c r="TE117" s="25"/>
      <c r="TF117" s="25"/>
      <c r="TG117" s="25"/>
      <c r="TH117" s="25"/>
      <c r="TI117" s="25"/>
      <c r="TJ117" s="25"/>
      <c r="TK117" s="25"/>
      <c r="TL117" s="25"/>
      <c r="TM117" s="25"/>
      <c r="TN117" s="25"/>
      <c r="TO117" s="25"/>
      <c r="TP117" s="25"/>
      <c r="TQ117" s="25"/>
      <c r="TR117" s="25"/>
    </row>
    <row r="118" spans="1:538" s="30" customFormat="1" ht="28.5" customHeight="1" x14ac:dyDescent="0.2">
      <c r="A118" s="82" t="s">
        <v>225</v>
      </c>
      <c r="B118" s="69"/>
      <c r="C118" s="69"/>
      <c r="D118" s="29" t="s">
        <v>425</v>
      </c>
      <c r="E118" s="64">
        <f t="shared" ref="E118:J118" si="70">E119</f>
        <v>5077200</v>
      </c>
      <c r="F118" s="64">
        <f t="shared" si="70"/>
        <v>3933800</v>
      </c>
      <c r="G118" s="64">
        <f t="shared" si="70"/>
        <v>57500</v>
      </c>
      <c r="H118" s="64">
        <f t="shared" si="70"/>
        <v>2419140.27</v>
      </c>
      <c r="I118" s="64">
        <f t="shared" si="70"/>
        <v>1920823.19</v>
      </c>
      <c r="J118" s="64">
        <f t="shared" si="70"/>
        <v>24264.86</v>
      </c>
      <c r="K118" s="139">
        <f t="shared" si="51"/>
        <v>47.647133656346021</v>
      </c>
      <c r="L118" s="64">
        <v>20000</v>
      </c>
      <c r="M118" s="64">
        <f t="shared" ref="M118" si="71">M119</f>
        <v>20000</v>
      </c>
      <c r="N118" s="64">
        <f t="shared" ref="N118" si="72">N119</f>
        <v>0</v>
      </c>
      <c r="O118" s="64">
        <f t="shared" ref="O118" si="73">O119</f>
        <v>0</v>
      </c>
      <c r="P118" s="64">
        <f t="shared" ref="P118" si="74">P119</f>
        <v>0</v>
      </c>
      <c r="Q118" s="64">
        <f t="shared" ref="Q118:Y118" si="75">Q119</f>
        <v>20000</v>
      </c>
      <c r="R118" s="64">
        <f t="shared" ref="R118:V118" si="76">R119</f>
        <v>19999</v>
      </c>
      <c r="S118" s="64">
        <f t="shared" si="76"/>
        <v>19999</v>
      </c>
      <c r="T118" s="64">
        <f t="shared" si="76"/>
        <v>0</v>
      </c>
      <c r="U118" s="64">
        <f t="shared" si="76"/>
        <v>0</v>
      </c>
      <c r="V118" s="64">
        <f t="shared" si="76"/>
        <v>0</v>
      </c>
      <c r="W118" s="64">
        <f t="shared" si="75"/>
        <v>19999</v>
      </c>
      <c r="X118" s="139">
        <f t="shared" si="54"/>
        <v>99.995000000000005</v>
      </c>
      <c r="Y118" s="64">
        <f t="shared" si="75"/>
        <v>2439139.27</v>
      </c>
      <c r="Z118" s="156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  <c r="ME118" s="37"/>
      <c r="MF118" s="37"/>
      <c r="MG118" s="37"/>
      <c r="MH118" s="37"/>
      <c r="MI118" s="37"/>
      <c r="MJ118" s="37"/>
      <c r="MK118" s="37"/>
      <c r="ML118" s="37"/>
      <c r="MM118" s="37"/>
      <c r="MN118" s="37"/>
      <c r="MO118" s="37"/>
      <c r="MP118" s="37"/>
      <c r="MQ118" s="37"/>
      <c r="MR118" s="37"/>
      <c r="MS118" s="37"/>
      <c r="MT118" s="37"/>
      <c r="MU118" s="37"/>
      <c r="MV118" s="37"/>
      <c r="MW118" s="37"/>
      <c r="MX118" s="37"/>
      <c r="MY118" s="37"/>
      <c r="MZ118" s="37"/>
      <c r="NA118" s="37"/>
      <c r="NB118" s="37"/>
      <c r="NC118" s="37"/>
      <c r="ND118" s="37"/>
      <c r="NE118" s="37"/>
      <c r="NF118" s="37"/>
      <c r="NG118" s="37"/>
      <c r="NH118" s="37"/>
      <c r="NI118" s="37"/>
      <c r="NJ118" s="37"/>
      <c r="NK118" s="37"/>
      <c r="NL118" s="37"/>
      <c r="NM118" s="37"/>
      <c r="NN118" s="37"/>
      <c r="NO118" s="37"/>
      <c r="NP118" s="37"/>
      <c r="NQ118" s="37"/>
      <c r="NR118" s="37"/>
      <c r="NS118" s="37"/>
      <c r="NT118" s="37"/>
      <c r="NU118" s="37"/>
      <c r="NV118" s="37"/>
      <c r="NW118" s="37"/>
      <c r="NX118" s="37"/>
      <c r="NY118" s="37"/>
      <c r="NZ118" s="37"/>
      <c r="OA118" s="37"/>
      <c r="OB118" s="37"/>
      <c r="OC118" s="37"/>
      <c r="OD118" s="37"/>
      <c r="OE118" s="37"/>
      <c r="OF118" s="37"/>
      <c r="OG118" s="37"/>
      <c r="OH118" s="37"/>
      <c r="OI118" s="37"/>
      <c r="OJ118" s="37"/>
      <c r="OK118" s="37"/>
      <c r="OL118" s="37"/>
      <c r="OM118" s="37"/>
      <c r="ON118" s="37"/>
      <c r="OO118" s="37"/>
      <c r="OP118" s="37"/>
      <c r="OQ118" s="37"/>
      <c r="OR118" s="37"/>
      <c r="OS118" s="37"/>
      <c r="OT118" s="37"/>
      <c r="OU118" s="37"/>
      <c r="OV118" s="37"/>
      <c r="OW118" s="37"/>
      <c r="OX118" s="37"/>
      <c r="OY118" s="37"/>
      <c r="OZ118" s="37"/>
      <c r="PA118" s="37"/>
      <c r="PB118" s="37"/>
      <c r="PC118" s="37"/>
      <c r="PD118" s="37"/>
      <c r="PE118" s="37"/>
      <c r="PF118" s="37"/>
      <c r="PG118" s="37"/>
      <c r="PH118" s="37"/>
      <c r="PI118" s="37"/>
      <c r="PJ118" s="37"/>
      <c r="PK118" s="37"/>
      <c r="PL118" s="37"/>
      <c r="PM118" s="37"/>
      <c r="PN118" s="37"/>
      <c r="PO118" s="37"/>
      <c r="PP118" s="37"/>
      <c r="PQ118" s="37"/>
      <c r="PR118" s="37"/>
      <c r="PS118" s="37"/>
      <c r="PT118" s="37"/>
      <c r="PU118" s="37"/>
      <c r="PV118" s="37"/>
      <c r="PW118" s="37"/>
      <c r="PX118" s="37"/>
      <c r="PY118" s="37"/>
      <c r="PZ118" s="37"/>
      <c r="QA118" s="37"/>
      <c r="QB118" s="37"/>
      <c r="QC118" s="37"/>
      <c r="QD118" s="37"/>
      <c r="QE118" s="37"/>
      <c r="QF118" s="37"/>
      <c r="QG118" s="37"/>
      <c r="QH118" s="37"/>
      <c r="QI118" s="37"/>
      <c r="QJ118" s="37"/>
      <c r="QK118" s="37"/>
      <c r="QL118" s="37"/>
      <c r="QM118" s="37"/>
      <c r="QN118" s="37"/>
      <c r="QO118" s="37"/>
      <c r="QP118" s="37"/>
      <c r="QQ118" s="37"/>
      <c r="QR118" s="37"/>
      <c r="QS118" s="37"/>
      <c r="QT118" s="37"/>
      <c r="QU118" s="37"/>
      <c r="QV118" s="37"/>
      <c r="QW118" s="37"/>
      <c r="QX118" s="37"/>
      <c r="QY118" s="37"/>
      <c r="QZ118" s="37"/>
      <c r="RA118" s="37"/>
      <c r="RB118" s="37"/>
      <c r="RC118" s="37"/>
      <c r="RD118" s="37"/>
      <c r="RE118" s="37"/>
      <c r="RF118" s="37"/>
      <c r="RG118" s="37"/>
      <c r="RH118" s="37"/>
      <c r="RI118" s="37"/>
      <c r="RJ118" s="37"/>
      <c r="RK118" s="37"/>
      <c r="RL118" s="37"/>
      <c r="RM118" s="37"/>
      <c r="RN118" s="37"/>
      <c r="RO118" s="37"/>
      <c r="RP118" s="37"/>
      <c r="RQ118" s="37"/>
      <c r="RR118" s="37"/>
      <c r="RS118" s="37"/>
      <c r="RT118" s="37"/>
      <c r="RU118" s="37"/>
      <c r="RV118" s="37"/>
      <c r="RW118" s="37"/>
      <c r="RX118" s="37"/>
      <c r="RY118" s="37"/>
      <c r="RZ118" s="37"/>
      <c r="SA118" s="37"/>
      <c r="SB118" s="37"/>
      <c r="SC118" s="37"/>
      <c r="SD118" s="37"/>
      <c r="SE118" s="37"/>
      <c r="SF118" s="37"/>
      <c r="SG118" s="37"/>
      <c r="SH118" s="37"/>
      <c r="SI118" s="37"/>
      <c r="SJ118" s="37"/>
      <c r="SK118" s="37"/>
      <c r="SL118" s="37"/>
      <c r="SM118" s="37"/>
      <c r="SN118" s="37"/>
      <c r="SO118" s="37"/>
      <c r="SP118" s="37"/>
      <c r="SQ118" s="37"/>
      <c r="SR118" s="37"/>
      <c r="SS118" s="37"/>
      <c r="ST118" s="37"/>
      <c r="SU118" s="37"/>
      <c r="SV118" s="37"/>
      <c r="SW118" s="37"/>
      <c r="SX118" s="37"/>
      <c r="SY118" s="37"/>
      <c r="SZ118" s="37"/>
      <c r="TA118" s="37"/>
      <c r="TB118" s="37"/>
      <c r="TC118" s="37"/>
      <c r="TD118" s="37"/>
      <c r="TE118" s="37"/>
      <c r="TF118" s="37"/>
      <c r="TG118" s="37"/>
      <c r="TH118" s="37"/>
      <c r="TI118" s="37"/>
      <c r="TJ118" s="37"/>
      <c r="TK118" s="37"/>
      <c r="TL118" s="37"/>
      <c r="TM118" s="37"/>
      <c r="TN118" s="37"/>
      <c r="TO118" s="37"/>
      <c r="TP118" s="37"/>
      <c r="TQ118" s="37"/>
      <c r="TR118" s="37"/>
    </row>
    <row r="119" spans="1:538" s="39" customFormat="1" ht="29.25" customHeight="1" x14ac:dyDescent="0.25">
      <c r="A119" s="83" t="s">
        <v>226</v>
      </c>
      <c r="B119" s="70"/>
      <c r="C119" s="70"/>
      <c r="D119" s="32" t="s">
        <v>425</v>
      </c>
      <c r="E119" s="66">
        <f t="shared" ref="E119" si="77">E120+E121+E122</f>
        <v>5077200</v>
      </c>
      <c r="F119" s="66">
        <f t="shared" ref="F119:H119" si="78">F120+F121+F122</f>
        <v>3933800</v>
      </c>
      <c r="G119" s="66">
        <f t="shared" si="78"/>
        <v>57500</v>
      </c>
      <c r="H119" s="66">
        <f t="shared" si="78"/>
        <v>2419140.27</v>
      </c>
      <c r="I119" s="66">
        <f t="shared" ref="I119:J119" si="79">I120+I121+I122</f>
        <v>1920823.19</v>
      </c>
      <c r="J119" s="66">
        <f t="shared" si="79"/>
        <v>24264.86</v>
      </c>
      <c r="K119" s="139">
        <f t="shared" si="51"/>
        <v>47.647133656346021</v>
      </c>
      <c r="L119" s="66">
        <v>20000</v>
      </c>
      <c r="M119" s="66">
        <f t="shared" ref="M119:Y119" si="80">M120+M121+M122</f>
        <v>20000</v>
      </c>
      <c r="N119" s="66">
        <f t="shared" si="80"/>
        <v>0</v>
      </c>
      <c r="O119" s="66">
        <f t="shared" si="80"/>
        <v>0</v>
      </c>
      <c r="P119" s="66">
        <f t="shared" si="80"/>
        <v>0</v>
      </c>
      <c r="Q119" s="66">
        <f t="shared" si="80"/>
        <v>20000</v>
      </c>
      <c r="R119" s="66">
        <f t="shared" si="80"/>
        <v>19999</v>
      </c>
      <c r="S119" s="66">
        <f t="shared" ref="S119:W119" si="81">S120+S121+S122</f>
        <v>19999</v>
      </c>
      <c r="T119" s="66">
        <f t="shared" si="81"/>
        <v>0</v>
      </c>
      <c r="U119" s="66">
        <f t="shared" si="81"/>
        <v>0</v>
      </c>
      <c r="V119" s="66">
        <f t="shared" si="81"/>
        <v>0</v>
      </c>
      <c r="W119" s="66">
        <f t="shared" si="81"/>
        <v>19999</v>
      </c>
      <c r="X119" s="139">
        <f t="shared" si="54"/>
        <v>99.995000000000005</v>
      </c>
      <c r="Y119" s="66">
        <f t="shared" si="80"/>
        <v>2439139.27</v>
      </c>
      <c r="Z119" s="156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  <c r="ME119" s="38"/>
      <c r="MF119" s="38"/>
      <c r="MG119" s="38"/>
      <c r="MH119" s="38"/>
      <c r="MI119" s="38"/>
      <c r="MJ119" s="38"/>
      <c r="MK119" s="38"/>
      <c r="ML119" s="38"/>
      <c r="MM119" s="38"/>
      <c r="MN119" s="38"/>
      <c r="MO119" s="38"/>
      <c r="MP119" s="38"/>
      <c r="MQ119" s="38"/>
      <c r="MR119" s="38"/>
      <c r="MS119" s="38"/>
      <c r="MT119" s="38"/>
      <c r="MU119" s="38"/>
      <c r="MV119" s="38"/>
      <c r="MW119" s="38"/>
      <c r="MX119" s="38"/>
      <c r="MY119" s="38"/>
      <c r="MZ119" s="38"/>
      <c r="NA119" s="38"/>
      <c r="NB119" s="38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38"/>
      <c r="OI119" s="38"/>
      <c r="OJ119" s="38"/>
      <c r="OK119" s="38"/>
      <c r="OL119" s="38"/>
      <c r="OM119" s="38"/>
      <c r="ON119" s="38"/>
      <c r="OO119" s="38"/>
      <c r="OP119" s="38"/>
      <c r="OQ119" s="38"/>
      <c r="OR119" s="38"/>
      <c r="OS119" s="38"/>
      <c r="OT119" s="38"/>
      <c r="OU119" s="38"/>
      <c r="OV119" s="38"/>
      <c r="OW119" s="38"/>
      <c r="OX119" s="38"/>
      <c r="OY119" s="38"/>
      <c r="OZ119" s="38"/>
      <c r="PA119" s="38"/>
      <c r="PB119" s="38"/>
      <c r="PC119" s="38"/>
      <c r="PD119" s="38"/>
      <c r="PE119" s="38"/>
      <c r="PF119" s="38"/>
      <c r="PG119" s="38"/>
      <c r="PH119" s="38"/>
      <c r="PI119" s="38"/>
      <c r="PJ119" s="38"/>
      <c r="PK119" s="38"/>
      <c r="PL119" s="38"/>
      <c r="PM119" s="38"/>
      <c r="PN119" s="38"/>
      <c r="PO119" s="38"/>
      <c r="PP119" s="38"/>
      <c r="PQ119" s="38"/>
      <c r="PR119" s="38"/>
      <c r="PS119" s="38"/>
      <c r="PT119" s="38"/>
      <c r="PU119" s="38"/>
      <c r="PV119" s="38"/>
      <c r="PW119" s="38"/>
      <c r="PX119" s="38"/>
      <c r="PY119" s="38"/>
      <c r="PZ119" s="38"/>
      <c r="QA119" s="38"/>
      <c r="QB119" s="38"/>
      <c r="QC119" s="38"/>
      <c r="QD119" s="38"/>
      <c r="QE119" s="38"/>
      <c r="QF119" s="38"/>
      <c r="QG119" s="38"/>
      <c r="QH119" s="38"/>
      <c r="QI119" s="38"/>
      <c r="QJ119" s="38"/>
      <c r="QK119" s="38"/>
      <c r="QL119" s="38"/>
      <c r="QM119" s="38"/>
      <c r="QN119" s="38"/>
      <c r="QO119" s="38"/>
      <c r="QP119" s="38"/>
      <c r="QQ119" s="38"/>
      <c r="QR119" s="38"/>
      <c r="QS119" s="38"/>
      <c r="QT119" s="38"/>
      <c r="QU119" s="38"/>
      <c r="QV119" s="38"/>
      <c r="QW119" s="38"/>
      <c r="QX119" s="38"/>
      <c r="QY119" s="38"/>
      <c r="QZ119" s="38"/>
      <c r="RA119" s="38"/>
      <c r="RB119" s="38"/>
      <c r="RC119" s="38"/>
      <c r="RD119" s="38"/>
      <c r="RE119" s="38"/>
      <c r="RF119" s="38"/>
      <c r="RG119" s="38"/>
      <c r="RH119" s="38"/>
      <c r="RI119" s="38"/>
      <c r="RJ119" s="38"/>
      <c r="RK119" s="38"/>
      <c r="RL119" s="38"/>
      <c r="RM119" s="38"/>
      <c r="RN119" s="38"/>
      <c r="RO119" s="38"/>
      <c r="RP119" s="38"/>
      <c r="RQ119" s="38"/>
      <c r="RR119" s="38"/>
      <c r="RS119" s="38"/>
      <c r="RT119" s="38"/>
      <c r="RU119" s="38"/>
      <c r="RV119" s="38"/>
      <c r="RW119" s="38"/>
      <c r="RX119" s="38"/>
      <c r="RY119" s="38"/>
      <c r="RZ119" s="38"/>
      <c r="SA119" s="38"/>
      <c r="SB119" s="38"/>
      <c r="SC119" s="38"/>
      <c r="SD119" s="38"/>
      <c r="SE119" s="38"/>
      <c r="SF119" s="38"/>
      <c r="SG119" s="38"/>
      <c r="SH119" s="38"/>
      <c r="SI119" s="38"/>
      <c r="SJ119" s="38"/>
      <c r="SK119" s="38"/>
      <c r="SL119" s="38"/>
      <c r="SM119" s="38"/>
      <c r="SN119" s="38"/>
      <c r="SO119" s="38"/>
      <c r="SP119" s="38"/>
      <c r="SQ119" s="38"/>
      <c r="SR119" s="38"/>
      <c r="SS119" s="38"/>
      <c r="ST119" s="38"/>
      <c r="SU119" s="38"/>
      <c r="SV119" s="38"/>
      <c r="SW119" s="38"/>
      <c r="SX119" s="38"/>
      <c r="SY119" s="38"/>
      <c r="SZ119" s="38"/>
      <c r="TA119" s="38"/>
      <c r="TB119" s="38"/>
      <c r="TC119" s="38"/>
      <c r="TD119" s="38"/>
      <c r="TE119" s="38"/>
      <c r="TF119" s="38"/>
      <c r="TG119" s="38"/>
      <c r="TH119" s="38"/>
      <c r="TI119" s="38"/>
      <c r="TJ119" s="38"/>
      <c r="TK119" s="38"/>
      <c r="TL119" s="38"/>
      <c r="TM119" s="38"/>
      <c r="TN119" s="38"/>
      <c r="TO119" s="38"/>
      <c r="TP119" s="38"/>
      <c r="TQ119" s="38"/>
      <c r="TR119" s="38"/>
    </row>
    <row r="120" spans="1:538" s="22" customFormat="1" ht="42.75" customHeight="1" x14ac:dyDescent="0.25">
      <c r="A120" s="42" t="s">
        <v>227</v>
      </c>
      <c r="B120" s="43" t="str">
        <f>'дод 3'!A19</f>
        <v>0160</v>
      </c>
      <c r="C120" s="43" t="str">
        <f>'дод 3'!B19</f>
        <v>0111</v>
      </c>
      <c r="D120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20" s="67">
        <v>4986700</v>
      </c>
      <c r="F120" s="67">
        <v>3933800</v>
      </c>
      <c r="G120" s="67">
        <v>57500</v>
      </c>
      <c r="H120" s="67">
        <v>2392065.5499999998</v>
      </c>
      <c r="I120" s="67">
        <v>1920823.19</v>
      </c>
      <c r="J120" s="67">
        <v>24264.86</v>
      </c>
      <c r="K120" s="140">
        <f t="shared" si="51"/>
        <v>47.968908296067539</v>
      </c>
      <c r="L120" s="67">
        <v>0</v>
      </c>
      <c r="M120" s="67"/>
      <c r="N120" s="67"/>
      <c r="O120" s="67"/>
      <c r="P120" s="67"/>
      <c r="Q120" s="67"/>
      <c r="R120" s="67">
        <f t="shared" ref="R120:R122" si="82">T120+W120</f>
        <v>0</v>
      </c>
      <c r="S120" s="67"/>
      <c r="T120" s="67"/>
      <c r="U120" s="67"/>
      <c r="V120" s="67"/>
      <c r="W120" s="67"/>
      <c r="X120" s="140"/>
      <c r="Y120" s="67">
        <f t="shared" ref="Y120:Y121" si="83">H120+R120</f>
        <v>2392065.5499999998</v>
      </c>
      <c r="Z120" s="156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  <c r="MI120" s="25"/>
      <c r="MJ120" s="25"/>
      <c r="MK120" s="25"/>
      <c r="ML120" s="25"/>
      <c r="MM120" s="25"/>
      <c r="MN120" s="25"/>
      <c r="MO120" s="25"/>
      <c r="MP120" s="25"/>
      <c r="MQ120" s="25"/>
      <c r="MR120" s="25"/>
      <c r="MS120" s="25"/>
      <c r="MT120" s="25"/>
      <c r="MU120" s="25"/>
      <c r="MV120" s="25"/>
      <c r="MW120" s="25"/>
      <c r="MX120" s="25"/>
      <c r="MY120" s="25"/>
      <c r="MZ120" s="25"/>
      <c r="NA120" s="25"/>
      <c r="NB120" s="25"/>
      <c r="NC120" s="25"/>
      <c r="ND120" s="25"/>
      <c r="NE120" s="25"/>
      <c r="NF120" s="25"/>
      <c r="NG120" s="25"/>
      <c r="NH120" s="25"/>
      <c r="NI120" s="25"/>
      <c r="NJ120" s="25"/>
      <c r="NK120" s="25"/>
      <c r="NL120" s="25"/>
      <c r="NM120" s="25"/>
      <c r="NN120" s="25"/>
      <c r="NO120" s="25"/>
      <c r="NP120" s="25"/>
      <c r="NQ120" s="25"/>
      <c r="NR120" s="25"/>
      <c r="NS120" s="25"/>
      <c r="NT120" s="25"/>
      <c r="NU120" s="25"/>
      <c r="NV120" s="25"/>
      <c r="NW120" s="25"/>
      <c r="NX120" s="25"/>
      <c r="NY120" s="25"/>
      <c r="NZ120" s="25"/>
      <c r="OA120" s="25"/>
      <c r="OB120" s="25"/>
      <c r="OC120" s="25"/>
      <c r="OD120" s="25"/>
      <c r="OE120" s="25"/>
      <c r="OF120" s="25"/>
      <c r="OG120" s="25"/>
      <c r="OH120" s="25"/>
      <c r="OI120" s="25"/>
      <c r="OJ120" s="25"/>
      <c r="OK120" s="25"/>
      <c r="OL120" s="25"/>
      <c r="OM120" s="25"/>
      <c r="ON120" s="25"/>
      <c r="OO120" s="25"/>
      <c r="OP120" s="25"/>
      <c r="OQ120" s="25"/>
      <c r="OR120" s="25"/>
      <c r="OS120" s="25"/>
      <c r="OT120" s="25"/>
      <c r="OU120" s="25"/>
      <c r="OV120" s="25"/>
      <c r="OW120" s="25"/>
      <c r="OX120" s="25"/>
      <c r="OY120" s="25"/>
      <c r="OZ120" s="25"/>
      <c r="PA120" s="25"/>
      <c r="PB120" s="25"/>
      <c r="PC120" s="25"/>
      <c r="PD120" s="25"/>
      <c r="PE120" s="25"/>
      <c r="PF120" s="25"/>
      <c r="PG120" s="25"/>
      <c r="PH120" s="25"/>
      <c r="PI120" s="25"/>
      <c r="PJ120" s="25"/>
      <c r="PK120" s="25"/>
      <c r="PL120" s="25"/>
      <c r="PM120" s="25"/>
      <c r="PN120" s="25"/>
      <c r="PO120" s="25"/>
      <c r="PP120" s="25"/>
      <c r="PQ120" s="25"/>
      <c r="PR120" s="25"/>
      <c r="PS120" s="25"/>
      <c r="PT120" s="25"/>
      <c r="PU120" s="25"/>
      <c r="PV120" s="25"/>
      <c r="PW120" s="25"/>
      <c r="PX120" s="25"/>
      <c r="PY120" s="25"/>
      <c r="PZ120" s="25"/>
      <c r="QA120" s="25"/>
      <c r="QB120" s="25"/>
      <c r="QC120" s="25"/>
      <c r="QD120" s="25"/>
      <c r="QE120" s="25"/>
      <c r="QF120" s="25"/>
      <c r="QG120" s="25"/>
      <c r="QH120" s="25"/>
      <c r="QI120" s="25"/>
      <c r="QJ120" s="25"/>
      <c r="QK120" s="25"/>
      <c r="QL120" s="25"/>
      <c r="QM120" s="25"/>
      <c r="QN120" s="25"/>
      <c r="QO120" s="25"/>
      <c r="QP120" s="25"/>
      <c r="QQ120" s="25"/>
      <c r="QR120" s="25"/>
      <c r="QS120" s="25"/>
      <c r="QT120" s="25"/>
      <c r="QU120" s="25"/>
      <c r="QV120" s="25"/>
      <c r="QW120" s="25"/>
      <c r="QX120" s="25"/>
      <c r="QY120" s="25"/>
      <c r="QZ120" s="25"/>
      <c r="RA120" s="25"/>
      <c r="RB120" s="25"/>
      <c r="RC120" s="25"/>
      <c r="RD120" s="25"/>
      <c r="RE120" s="25"/>
      <c r="RF120" s="25"/>
      <c r="RG120" s="25"/>
      <c r="RH120" s="25"/>
      <c r="RI120" s="25"/>
      <c r="RJ120" s="25"/>
      <c r="RK120" s="25"/>
      <c r="RL120" s="25"/>
      <c r="RM120" s="25"/>
      <c r="RN120" s="25"/>
      <c r="RO120" s="25"/>
      <c r="RP120" s="25"/>
      <c r="RQ120" s="25"/>
      <c r="RR120" s="25"/>
      <c r="RS120" s="25"/>
      <c r="RT120" s="25"/>
      <c r="RU120" s="25"/>
      <c r="RV120" s="25"/>
      <c r="RW120" s="25"/>
      <c r="RX120" s="25"/>
      <c r="RY120" s="25"/>
      <c r="RZ120" s="25"/>
      <c r="SA120" s="25"/>
      <c r="SB120" s="25"/>
      <c r="SC120" s="25"/>
      <c r="SD120" s="25"/>
      <c r="SE120" s="25"/>
      <c r="SF120" s="25"/>
      <c r="SG120" s="25"/>
      <c r="SH120" s="25"/>
      <c r="SI120" s="25"/>
      <c r="SJ120" s="25"/>
      <c r="SK120" s="25"/>
      <c r="SL120" s="25"/>
      <c r="SM120" s="25"/>
      <c r="SN120" s="25"/>
      <c r="SO120" s="25"/>
      <c r="SP120" s="25"/>
      <c r="SQ120" s="25"/>
      <c r="SR120" s="25"/>
      <c r="SS120" s="25"/>
      <c r="ST120" s="25"/>
      <c r="SU120" s="25"/>
      <c r="SV120" s="25"/>
      <c r="SW120" s="25"/>
      <c r="SX120" s="25"/>
      <c r="SY120" s="25"/>
      <c r="SZ120" s="25"/>
      <c r="TA120" s="25"/>
      <c r="TB120" s="25"/>
      <c r="TC120" s="25"/>
      <c r="TD120" s="25"/>
      <c r="TE120" s="25"/>
      <c r="TF120" s="25"/>
      <c r="TG120" s="25"/>
      <c r="TH120" s="25"/>
      <c r="TI120" s="25"/>
      <c r="TJ120" s="25"/>
      <c r="TK120" s="25"/>
      <c r="TL120" s="25"/>
      <c r="TM120" s="25"/>
      <c r="TN120" s="25"/>
      <c r="TO120" s="25"/>
      <c r="TP120" s="25"/>
      <c r="TQ120" s="25"/>
      <c r="TR120" s="25"/>
    </row>
    <row r="121" spans="1:538" s="22" customFormat="1" ht="62.25" customHeight="1" x14ac:dyDescent="0.25">
      <c r="A121" s="42" t="s">
        <v>393</v>
      </c>
      <c r="B121" s="43">
        <v>3111</v>
      </c>
      <c r="C121" s="43">
        <v>1040</v>
      </c>
      <c r="D121" s="21" t="str">
        <f>'дод 3'!C61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21" s="67">
        <v>0</v>
      </c>
      <c r="F121" s="67"/>
      <c r="G121" s="67"/>
      <c r="H121" s="67"/>
      <c r="I121" s="67"/>
      <c r="J121" s="67"/>
      <c r="K121" s="140"/>
      <c r="L121" s="67">
        <v>20000</v>
      </c>
      <c r="M121" s="67">
        <v>20000</v>
      </c>
      <c r="N121" s="67"/>
      <c r="O121" s="67"/>
      <c r="P121" s="67"/>
      <c r="Q121" s="67">
        <v>20000</v>
      </c>
      <c r="R121" s="67">
        <f t="shared" si="82"/>
        <v>19999</v>
      </c>
      <c r="S121" s="67">
        <v>19999</v>
      </c>
      <c r="T121" s="67"/>
      <c r="U121" s="67"/>
      <c r="V121" s="67"/>
      <c r="W121" s="67">
        <v>19999</v>
      </c>
      <c r="X121" s="140">
        <f t="shared" si="54"/>
        <v>99.995000000000005</v>
      </c>
      <c r="Y121" s="67">
        <f t="shared" si="83"/>
        <v>19999</v>
      </c>
      <c r="Z121" s="156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  <c r="LT121" s="25"/>
      <c r="LU121" s="25"/>
      <c r="LV121" s="25"/>
      <c r="LW121" s="25"/>
      <c r="LX121" s="25"/>
      <c r="LY121" s="25"/>
      <c r="LZ121" s="25"/>
      <c r="MA121" s="25"/>
      <c r="MB121" s="25"/>
      <c r="MC121" s="25"/>
      <c r="MD121" s="25"/>
      <c r="ME121" s="25"/>
      <c r="MF121" s="25"/>
      <c r="MG121" s="25"/>
      <c r="MH121" s="25"/>
      <c r="MI121" s="25"/>
      <c r="MJ121" s="25"/>
      <c r="MK121" s="25"/>
      <c r="ML121" s="25"/>
      <c r="MM121" s="25"/>
      <c r="MN121" s="25"/>
      <c r="MO121" s="25"/>
      <c r="MP121" s="25"/>
      <c r="MQ121" s="25"/>
      <c r="MR121" s="25"/>
      <c r="MS121" s="25"/>
      <c r="MT121" s="25"/>
      <c r="MU121" s="25"/>
      <c r="MV121" s="25"/>
      <c r="MW121" s="25"/>
      <c r="MX121" s="25"/>
      <c r="MY121" s="25"/>
      <c r="MZ121" s="25"/>
      <c r="NA121" s="25"/>
      <c r="NB121" s="25"/>
      <c r="NC121" s="25"/>
      <c r="ND121" s="25"/>
      <c r="NE121" s="25"/>
      <c r="NF121" s="25"/>
      <c r="NG121" s="25"/>
      <c r="NH121" s="25"/>
      <c r="NI121" s="25"/>
      <c r="NJ121" s="25"/>
      <c r="NK121" s="25"/>
      <c r="NL121" s="25"/>
      <c r="NM121" s="25"/>
      <c r="NN121" s="25"/>
      <c r="NO121" s="25"/>
      <c r="NP121" s="25"/>
      <c r="NQ121" s="25"/>
      <c r="NR121" s="25"/>
      <c r="NS121" s="25"/>
      <c r="NT121" s="25"/>
      <c r="NU121" s="25"/>
      <c r="NV121" s="25"/>
      <c r="NW121" s="25"/>
      <c r="NX121" s="25"/>
      <c r="NY121" s="25"/>
      <c r="NZ121" s="25"/>
      <c r="OA121" s="25"/>
      <c r="OB121" s="25"/>
      <c r="OC121" s="25"/>
      <c r="OD121" s="25"/>
      <c r="OE121" s="25"/>
      <c r="OF121" s="25"/>
      <c r="OG121" s="25"/>
      <c r="OH121" s="25"/>
      <c r="OI121" s="25"/>
      <c r="OJ121" s="25"/>
      <c r="OK121" s="25"/>
      <c r="OL121" s="25"/>
      <c r="OM121" s="25"/>
      <c r="ON121" s="25"/>
      <c r="OO121" s="25"/>
      <c r="OP121" s="25"/>
      <c r="OQ121" s="25"/>
      <c r="OR121" s="25"/>
      <c r="OS121" s="25"/>
      <c r="OT121" s="25"/>
      <c r="OU121" s="25"/>
      <c r="OV121" s="25"/>
      <c r="OW121" s="25"/>
      <c r="OX121" s="25"/>
      <c r="OY121" s="25"/>
      <c r="OZ121" s="25"/>
      <c r="PA121" s="25"/>
      <c r="PB121" s="25"/>
      <c r="PC121" s="25"/>
      <c r="PD121" s="25"/>
      <c r="PE121" s="25"/>
      <c r="PF121" s="25"/>
      <c r="PG121" s="25"/>
      <c r="PH121" s="25"/>
      <c r="PI121" s="25"/>
      <c r="PJ121" s="25"/>
      <c r="PK121" s="25"/>
      <c r="PL121" s="25"/>
      <c r="PM121" s="25"/>
      <c r="PN121" s="25"/>
      <c r="PO121" s="25"/>
      <c r="PP121" s="25"/>
      <c r="PQ121" s="25"/>
      <c r="PR121" s="25"/>
      <c r="PS121" s="25"/>
      <c r="PT121" s="25"/>
      <c r="PU121" s="25"/>
      <c r="PV121" s="25"/>
      <c r="PW121" s="25"/>
      <c r="PX121" s="25"/>
      <c r="PY121" s="25"/>
      <c r="PZ121" s="25"/>
      <c r="QA121" s="25"/>
      <c r="QB121" s="25"/>
      <c r="QC121" s="25"/>
      <c r="QD121" s="25"/>
      <c r="QE121" s="25"/>
      <c r="QF121" s="25"/>
      <c r="QG121" s="25"/>
      <c r="QH121" s="25"/>
      <c r="QI121" s="25"/>
      <c r="QJ121" s="25"/>
      <c r="QK121" s="25"/>
      <c r="QL121" s="25"/>
      <c r="QM121" s="25"/>
      <c r="QN121" s="25"/>
      <c r="QO121" s="25"/>
      <c r="QP121" s="25"/>
      <c r="QQ121" s="25"/>
      <c r="QR121" s="25"/>
      <c r="QS121" s="25"/>
      <c r="QT121" s="25"/>
      <c r="QU121" s="25"/>
      <c r="QV121" s="25"/>
      <c r="QW121" s="25"/>
      <c r="QX121" s="25"/>
      <c r="QY121" s="25"/>
      <c r="QZ121" s="25"/>
      <c r="RA121" s="25"/>
      <c r="RB121" s="25"/>
      <c r="RC121" s="25"/>
      <c r="RD121" s="25"/>
      <c r="RE121" s="25"/>
      <c r="RF121" s="25"/>
      <c r="RG121" s="25"/>
      <c r="RH121" s="25"/>
      <c r="RI121" s="25"/>
      <c r="RJ121" s="25"/>
      <c r="RK121" s="25"/>
      <c r="RL121" s="25"/>
      <c r="RM121" s="25"/>
      <c r="RN121" s="25"/>
      <c r="RO121" s="25"/>
      <c r="RP121" s="25"/>
      <c r="RQ121" s="25"/>
      <c r="RR121" s="25"/>
      <c r="RS121" s="25"/>
      <c r="RT121" s="25"/>
      <c r="RU121" s="25"/>
      <c r="RV121" s="25"/>
      <c r="RW121" s="25"/>
      <c r="RX121" s="25"/>
      <c r="RY121" s="25"/>
      <c r="RZ121" s="25"/>
      <c r="SA121" s="25"/>
      <c r="SB121" s="25"/>
      <c r="SC121" s="25"/>
      <c r="SD121" s="25"/>
      <c r="SE121" s="25"/>
      <c r="SF121" s="25"/>
      <c r="SG121" s="25"/>
      <c r="SH121" s="25"/>
      <c r="SI121" s="25"/>
      <c r="SJ121" s="25"/>
      <c r="SK121" s="25"/>
      <c r="SL121" s="25"/>
      <c r="SM121" s="25"/>
      <c r="SN121" s="25"/>
      <c r="SO121" s="25"/>
      <c r="SP121" s="25"/>
      <c r="SQ121" s="25"/>
      <c r="SR121" s="25"/>
      <c r="SS121" s="25"/>
      <c r="ST121" s="25"/>
      <c r="SU121" s="25"/>
      <c r="SV121" s="25"/>
      <c r="SW121" s="25"/>
      <c r="SX121" s="25"/>
      <c r="SY121" s="25"/>
      <c r="SZ121" s="25"/>
      <c r="TA121" s="25"/>
      <c r="TB121" s="25"/>
      <c r="TC121" s="25"/>
      <c r="TD121" s="25"/>
      <c r="TE121" s="25"/>
      <c r="TF121" s="25"/>
      <c r="TG121" s="25"/>
      <c r="TH121" s="25"/>
      <c r="TI121" s="25"/>
      <c r="TJ121" s="25"/>
      <c r="TK121" s="25"/>
      <c r="TL121" s="25"/>
      <c r="TM121" s="25"/>
      <c r="TN121" s="25"/>
      <c r="TO121" s="25"/>
      <c r="TP121" s="25"/>
      <c r="TQ121" s="25"/>
      <c r="TR121" s="25"/>
    </row>
    <row r="122" spans="1:538" s="22" customFormat="1" ht="34.5" customHeight="1" x14ac:dyDescent="0.25">
      <c r="A122" s="42" t="s">
        <v>228</v>
      </c>
      <c r="B122" s="43" t="str">
        <f>'дод 3'!A62</f>
        <v>3112</v>
      </c>
      <c r="C122" s="43" t="str">
        <f>'дод 3'!B62</f>
        <v>1040</v>
      </c>
      <c r="D122" s="23" t="str">
        <f>'дод 3'!C62</f>
        <v>Заходи державної політики з питань дітей та їх соціального захисту</v>
      </c>
      <c r="E122" s="67">
        <v>90500</v>
      </c>
      <c r="F122" s="67"/>
      <c r="G122" s="67"/>
      <c r="H122" s="67">
        <v>27074.720000000001</v>
      </c>
      <c r="I122" s="67"/>
      <c r="J122" s="67"/>
      <c r="K122" s="140">
        <f t="shared" si="51"/>
        <v>29.916817679558012</v>
      </c>
      <c r="L122" s="67">
        <v>0</v>
      </c>
      <c r="M122" s="67"/>
      <c r="N122" s="67"/>
      <c r="O122" s="67"/>
      <c r="P122" s="67"/>
      <c r="Q122" s="67"/>
      <c r="R122" s="67">
        <f t="shared" si="82"/>
        <v>0</v>
      </c>
      <c r="S122" s="67"/>
      <c r="T122" s="67"/>
      <c r="U122" s="67"/>
      <c r="V122" s="67"/>
      <c r="W122" s="67"/>
      <c r="X122" s="140"/>
      <c r="Y122" s="67">
        <f>H122+R122</f>
        <v>27074.720000000001</v>
      </c>
      <c r="Z122" s="156">
        <v>11</v>
      </c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</row>
    <row r="123" spans="1:538" s="30" customFormat="1" ht="22.5" customHeight="1" x14ac:dyDescent="0.2">
      <c r="A123" s="131" t="s">
        <v>35</v>
      </c>
      <c r="B123" s="71"/>
      <c r="C123" s="71"/>
      <c r="D123" s="29" t="s">
        <v>395</v>
      </c>
      <c r="E123" s="64">
        <f t="shared" ref="E123:J123" si="84">E124</f>
        <v>65255365</v>
      </c>
      <c r="F123" s="64">
        <f t="shared" si="84"/>
        <v>47805300</v>
      </c>
      <c r="G123" s="64">
        <f t="shared" si="84"/>
        <v>2201760</v>
      </c>
      <c r="H123" s="64">
        <f t="shared" si="84"/>
        <v>33828623.780000001</v>
      </c>
      <c r="I123" s="64">
        <f t="shared" si="84"/>
        <v>26617323.100000001</v>
      </c>
      <c r="J123" s="64">
        <f t="shared" si="84"/>
        <v>932874.35000000009</v>
      </c>
      <c r="K123" s="139">
        <f t="shared" si="51"/>
        <v>51.840371715030628</v>
      </c>
      <c r="L123" s="64">
        <f t="shared" ref="L123:M123" si="85">L124</f>
        <v>4109635</v>
      </c>
      <c r="M123" s="64">
        <f t="shared" si="85"/>
        <v>1290995</v>
      </c>
      <c r="N123" s="64">
        <f t="shared" ref="N123" si="86">N124</f>
        <v>2813920</v>
      </c>
      <c r="O123" s="64">
        <f t="shared" ref="O123" si="87">O124</f>
        <v>2279416</v>
      </c>
      <c r="P123" s="64">
        <f t="shared" ref="P123" si="88">P124</f>
        <v>3300</v>
      </c>
      <c r="Q123" s="64">
        <f t="shared" ref="Q123:Y123" si="89">Q124</f>
        <v>1295715</v>
      </c>
      <c r="R123" s="64">
        <f t="shared" ref="R123:V123" si="90">R124</f>
        <v>1883015.9300000002</v>
      </c>
      <c r="S123" s="64">
        <f t="shared" si="90"/>
        <v>24006</v>
      </c>
      <c r="T123" s="64">
        <f t="shared" si="90"/>
        <v>1759654.4000000001</v>
      </c>
      <c r="U123" s="64">
        <f t="shared" si="90"/>
        <v>1297586.1600000001</v>
      </c>
      <c r="V123" s="64">
        <f t="shared" si="90"/>
        <v>0</v>
      </c>
      <c r="W123" s="64">
        <f t="shared" si="89"/>
        <v>123361.53</v>
      </c>
      <c r="X123" s="139">
        <f t="shared" si="54"/>
        <v>45.81954188145663</v>
      </c>
      <c r="Y123" s="64">
        <f t="shared" si="89"/>
        <v>35711639.710000001</v>
      </c>
      <c r="Z123" s="156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  <c r="IW123" s="37"/>
      <c r="IX123" s="37"/>
      <c r="IY123" s="37"/>
      <c r="IZ123" s="37"/>
      <c r="JA123" s="37"/>
      <c r="JB123" s="37"/>
      <c r="JC123" s="37"/>
      <c r="JD123" s="37"/>
      <c r="JE123" s="37"/>
      <c r="JF123" s="37"/>
      <c r="JG123" s="37"/>
      <c r="JH123" s="37"/>
      <c r="JI123" s="37"/>
      <c r="JJ123" s="37"/>
      <c r="JK123" s="37"/>
      <c r="JL123" s="37"/>
      <c r="JM123" s="37"/>
      <c r="JN123" s="37"/>
      <c r="JO123" s="37"/>
      <c r="JP123" s="37"/>
      <c r="JQ123" s="37"/>
      <c r="JR123" s="37"/>
      <c r="JS123" s="37"/>
      <c r="JT123" s="37"/>
      <c r="JU123" s="37"/>
      <c r="JV123" s="37"/>
      <c r="JW123" s="37"/>
      <c r="JX123" s="37"/>
      <c r="JY123" s="37"/>
      <c r="JZ123" s="37"/>
      <c r="KA123" s="37"/>
      <c r="KB123" s="37"/>
      <c r="KC123" s="37"/>
      <c r="KD123" s="37"/>
      <c r="KE123" s="37"/>
      <c r="KF123" s="37"/>
      <c r="KG123" s="37"/>
      <c r="KH123" s="37"/>
      <c r="KI123" s="37"/>
      <c r="KJ123" s="37"/>
      <c r="KK123" s="37"/>
      <c r="KL123" s="37"/>
      <c r="KM123" s="37"/>
      <c r="KN123" s="37"/>
      <c r="KO123" s="37"/>
      <c r="KP123" s="37"/>
      <c r="KQ123" s="37"/>
      <c r="KR123" s="37"/>
      <c r="KS123" s="37"/>
      <c r="KT123" s="37"/>
      <c r="KU123" s="37"/>
      <c r="KV123" s="37"/>
      <c r="KW123" s="37"/>
      <c r="KX123" s="37"/>
      <c r="KY123" s="37"/>
      <c r="KZ123" s="37"/>
      <c r="LA123" s="37"/>
      <c r="LB123" s="37"/>
      <c r="LC123" s="37"/>
      <c r="LD123" s="37"/>
      <c r="LE123" s="37"/>
      <c r="LF123" s="37"/>
      <c r="LG123" s="37"/>
      <c r="LH123" s="37"/>
      <c r="LI123" s="37"/>
      <c r="LJ123" s="37"/>
      <c r="LK123" s="37"/>
      <c r="LL123" s="37"/>
      <c r="LM123" s="37"/>
      <c r="LN123" s="37"/>
      <c r="LO123" s="37"/>
      <c r="LP123" s="37"/>
      <c r="LQ123" s="37"/>
      <c r="LR123" s="37"/>
      <c r="LS123" s="37"/>
      <c r="LT123" s="37"/>
      <c r="LU123" s="37"/>
      <c r="LV123" s="37"/>
      <c r="LW123" s="37"/>
      <c r="LX123" s="37"/>
      <c r="LY123" s="37"/>
      <c r="LZ123" s="37"/>
      <c r="MA123" s="37"/>
      <c r="MB123" s="37"/>
      <c r="MC123" s="37"/>
      <c r="MD123" s="37"/>
      <c r="ME123" s="37"/>
      <c r="MF123" s="37"/>
      <c r="MG123" s="37"/>
      <c r="MH123" s="37"/>
      <c r="MI123" s="37"/>
      <c r="MJ123" s="37"/>
      <c r="MK123" s="37"/>
      <c r="ML123" s="37"/>
      <c r="MM123" s="37"/>
      <c r="MN123" s="37"/>
      <c r="MO123" s="37"/>
      <c r="MP123" s="37"/>
      <c r="MQ123" s="37"/>
      <c r="MR123" s="37"/>
      <c r="MS123" s="37"/>
      <c r="MT123" s="37"/>
      <c r="MU123" s="37"/>
      <c r="MV123" s="37"/>
      <c r="MW123" s="37"/>
      <c r="MX123" s="37"/>
      <c r="MY123" s="37"/>
      <c r="MZ123" s="37"/>
      <c r="NA123" s="37"/>
      <c r="NB123" s="37"/>
      <c r="NC123" s="37"/>
      <c r="ND123" s="37"/>
      <c r="NE123" s="37"/>
      <c r="NF123" s="37"/>
      <c r="NG123" s="37"/>
      <c r="NH123" s="37"/>
      <c r="NI123" s="37"/>
      <c r="NJ123" s="37"/>
      <c r="NK123" s="37"/>
      <c r="NL123" s="37"/>
      <c r="NM123" s="37"/>
      <c r="NN123" s="37"/>
      <c r="NO123" s="37"/>
      <c r="NP123" s="37"/>
      <c r="NQ123" s="37"/>
      <c r="NR123" s="37"/>
      <c r="NS123" s="37"/>
      <c r="NT123" s="37"/>
      <c r="NU123" s="37"/>
      <c r="NV123" s="37"/>
      <c r="NW123" s="37"/>
      <c r="NX123" s="37"/>
      <c r="NY123" s="37"/>
      <c r="NZ123" s="37"/>
      <c r="OA123" s="37"/>
      <c r="OB123" s="37"/>
      <c r="OC123" s="37"/>
      <c r="OD123" s="37"/>
      <c r="OE123" s="37"/>
      <c r="OF123" s="37"/>
      <c r="OG123" s="37"/>
      <c r="OH123" s="37"/>
      <c r="OI123" s="37"/>
      <c r="OJ123" s="37"/>
      <c r="OK123" s="37"/>
      <c r="OL123" s="37"/>
      <c r="OM123" s="37"/>
      <c r="ON123" s="37"/>
      <c r="OO123" s="37"/>
      <c r="OP123" s="37"/>
      <c r="OQ123" s="37"/>
      <c r="OR123" s="37"/>
      <c r="OS123" s="37"/>
      <c r="OT123" s="37"/>
      <c r="OU123" s="37"/>
      <c r="OV123" s="37"/>
      <c r="OW123" s="37"/>
      <c r="OX123" s="37"/>
      <c r="OY123" s="37"/>
      <c r="OZ123" s="37"/>
      <c r="PA123" s="37"/>
      <c r="PB123" s="37"/>
      <c r="PC123" s="37"/>
      <c r="PD123" s="37"/>
      <c r="PE123" s="37"/>
      <c r="PF123" s="37"/>
      <c r="PG123" s="37"/>
      <c r="PH123" s="37"/>
      <c r="PI123" s="37"/>
      <c r="PJ123" s="37"/>
      <c r="PK123" s="37"/>
      <c r="PL123" s="37"/>
      <c r="PM123" s="37"/>
      <c r="PN123" s="37"/>
      <c r="PO123" s="37"/>
      <c r="PP123" s="37"/>
      <c r="PQ123" s="37"/>
      <c r="PR123" s="37"/>
      <c r="PS123" s="37"/>
      <c r="PT123" s="37"/>
      <c r="PU123" s="37"/>
      <c r="PV123" s="37"/>
      <c r="PW123" s="37"/>
      <c r="PX123" s="37"/>
      <c r="PY123" s="37"/>
      <c r="PZ123" s="37"/>
      <c r="QA123" s="37"/>
      <c r="QB123" s="37"/>
      <c r="QC123" s="37"/>
      <c r="QD123" s="37"/>
      <c r="QE123" s="37"/>
      <c r="QF123" s="37"/>
      <c r="QG123" s="37"/>
      <c r="QH123" s="37"/>
      <c r="QI123" s="37"/>
      <c r="QJ123" s="37"/>
      <c r="QK123" s="37"/>
      <c r="QL123" s="37"/>
      <c r="QM123" s="37"/>
      <c r="QN123" s="37"/>
      <c r="QO123" s="37"/>
      <c r="QP123" s="37"/>
      <c r="QQ123" s="37"/>
      <c r="QR123" s="37"/>
      <c r="QS123" s="37"/>
      <c r="QT123" s="37"/>
      <c r="QU123" s="37"/>
      <c r="QV123" s="37"/>
      <c r="QW123" s="37"/>
      <c r="QX123" s="37"/>
      <c r="QY123" s="37"/>
      <c r="QZ123" s="37"/>
      <c r="RA123" s="37"/>
      <c r="RB123" s="37"/>
      <c r="RC123" s="37"/>
      <c r="RD123" s="37"/>
      <c r="RE123" s="37"/>
      <c r="RF123" s="37"/>
      <c r="RG123" s="37"/>
      <c r="RH123" s="37"/>
      <c r="RI123" s="37"/>
      <c r="RJ123" s="37"/>
      <c r="RK123" s="37"/>
      <c r="RL123" s="37"/>
      <c r="RM123" s="37"/>
      <c r="RN123" s="37"/>
      <c r="RO123" s="37"/>
      <c r="RP123" s="37"/>
      <c r="RQ123" s="37"/>
      <c r="RR123" s="37"/>
      <c r="RS123" s="37"/>
      <c r="RT123" s="37"/>
      <c r="RU123" s="37"/>
      <c r="RV123" s="37"/>
      <c r="RW123" s="37"/>
      <c r="RX123" s="37"/>
      <c r="RY123" s="37"/>
      <c r="RZ123" s="37"/>
      <c r="SA123" s="37"/>
      <c r="SB123" s="37"/>
      <c r="SC123" s="37"/>
      <c r="SD123" s="37"/>
      <c r="SE123" s="37"/>
      <c r="SF123" s="37"/>
      <c r="SG123" s="37"/>
      <c r="SH123" s="37"/>
      <c r="SI123" s="37"/>
      <c r="SJ123" s="37"/>
      <c r="SK123" s="37"/>
      <c r="SL123" s="37"/>
      <c r="SM123" s="37"/>
      <c r="SN123" s="37"/>
      <c r="SO123" s="37"/>
      <c r="SP123" s="37"/>
      <c r="SQ123" s="37"/>
      <c r="SR123" s="37"/>
      <c r="SS123" s="37"/>
      <c r="ST123" s="37"/>
      <c r="SU123" s="37"/>
      <c r="SV123" s="37"/>
      <c r="SW123" s="37"/>
      <c r="SX123" s="37"/>
      <c r="SY123" s="37"/>
      <c r="SZ123" s="37"/>
      <c r="TA123" s="37"/>
      <c r="TB123" s="37"/>
      <c r="TC123" s="37"/>
      <c r="TD123" s="37"/>
      <c r="TE123" s="37"/>
      <c r="TF123" s="37"/>
      <c r="TG123" s="37"/>
      <c r="TH123" s="37"/>
      <c r="TI123" s="37"/>
      <c r="TJ123" s="37"/>
      <c r="TK123" s="37"/>
      <c r="TL123" s="37"/>
      <c r="TM123" s="37"/>
      <c r="TN123" s="37"/>
      <c r="TO123" s="37"/>
      <c r="TP123" s="37"/>
      <c r="TQ123" s="37"/>
      <c r="TR123" s="37"/>
    </row>
    <row r="124" spans="1:538" s="39" customFormat="1" ht="21.75" customHeight="1" x14ac:dyDescent="0.25">
      <c r="A124" s="73" t="s">
        <v>229</v>
      </c>
      <c r="B124" s="72"/>
      <c r="C124" s="72"/>
      <c r="D124" s="32" t="s">
        <v>395</v>
      </c>
      <c r="E124" s="66">
        <f t="shared" ref="E124" si="91">E125+E126+E127+E129+E130++E131+E128+E132</f>
        <v>65255365</v>
      </c>
      <c r="F124" s="66">
        <f t="shared" ref="F124:H124" si="92">F125+F126+F127+F129+F130++F131+F128+F132</f>
        <v>47805300</v>
      </c>
      <c r="G124" s="66">
        <f t="shared" si="92"/>
        <v>2201760</v>
      </c>
      <c r="H124" s="66">
        <f t="shared" si="92"/>
        <v>33828623.780000001</v>
      </c>
      <c r="I124" s="66">
        <f t="shared" ref="I124:J124" si="93">I125+I126+I127+I129+I130++I131+I128+I132</f>
        <v>26617323.100000001</v>
      </c>
      <c r="J124" s="66">
        <f t="shared" si="93"/>
        <v>932874.35000000009</v>
      </c>
      <c r="K124" s="139">
        <f t="shared" si="51"/>
        <v>51.840371715030628</v>
      </c>
      <c r="L124" s="66">
        <f>L125+L126+L127+L129+L130++L131+L128+L132</f>
        <v>4109635</v>
      </c>
      <c r="M124" s="66">
        <f>M125+M126+M127+M129+M130++M131+M128+M132</f>
        <v>1290995</v>
      </c>
      <c r="N124" s="66">
        <f t="shared" ref="N124:Y124" si="94">N125+N126+N127+N129+N130++N131+N128+N132</f>
        <v>2813920</v>
      </c>
      <c r="O124" s="66">
        <f t="shared" si="94"/>
        <v>2279416</v>
      </c>
      <c r="P124" s="66">
        <f t="shared" si="94"/>
        <v>3300</v>
      </c>
      <c r="Q124" s="66">
        <f t="shared" si="94"/>
        <v>1295715</v>
      </c>
      <c r="R124" s="66">
        <f>R125+R126+R127+R129+R130++R131+R128+R132</f>
        <v>1883015.9300000002</v>
      </c>
      <c r="S124" s="66">
        <f>S125+S126+S127+S129+S130++S131+S128+S132</f>
        <v>24006</v>
      </c>
      <c r="T124" s="66">
        <f t="shared" ref="T124:W124" si="95">T125+T126+T127+T129+T130++T131+T128+T132</f>
        <v>1759654.4000000001</v>
      </c>
      <c r="U124" s="66">
        <f t="shared" si="95"/>
        <v>1297586.1600000001</v>
      </c>
      <c r="V124" s="66">
        <f t="shared" si="95"/>
        <v>0</v>
      </c>
      <c r="W124" s="66">
        <f t="shared" si="95"/>
        <v>123361.53</v>
      </c>
      <c r="X124" s="139">
        <f t="shared" si="54"/>
        <v>45.81954188145663</v>
      </c>
      <c r="Y124" s="66">
        <f t="shared" si="94"/>
        <v>35711639.710000001</v>
      </c>
      <c r="Z124" s="156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8"/>
      <c r="JO124" s="38"/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8"/>
      <c r="KK124" s="38"/>
      <c r="KL124" s="38"/>
      <c r="KM124" s="38"/>
      <c r="KN124" s="38"/>
      <c r="KO124" s="38"/>
      <c r="KP124" s="38"/>
      <c r="KQ124" s="38"/>
      <c r="KR124" s="38"/>
      <c r="KS124" s="38"/>
      <c r="KT124" s="38"/>
      <c r="KU124" s="38"/>
      <c r="KV124" s="38"/>
      <c r="KW124" s="38"/>
      <c r="KX124" s="38"/>
      <c r="KY124" s="38"/>
      <c r="KZ124" s="38"/>
      <c r="LA124" s="38"/>
      <c r="LB124" s="38"/>
      <c r="LC124" s="38"/>
      <c r="LD124" s="38"/>
      <c r="LE124" s="38"/>
      <c r="LF124" s="38"/>
      <c r="LG124" s="38"/>
      <c r="LH124" s="38"/>
      <c r="LI124" s="38"/>
      <c r="LJ124" s="38"/>
      <c r="LK124" s="38"/>
      <c r="LL124" s="38"/>
      <c r="LM124" s="38"/>
      <c r="LN124" s="38"/>
      <c r="LO124" s="38"/>
      <c r="LP124" s="38"/>
      <c r="LQ124" s="38"/>
      <c r="LR124" s="38"/>
      <c r="LS124" s="38"/>
      <c r="LT124" s="38"/>
      <c r="LU124" s="38"/>
      <c r="LV124" s="38"/>
      <c r="LW124" s="38"/>
      <c r="LX124" s="38"/>
      <c r="LY124" s="38"/>
      <c r="LZ124" s="38"/>
      <c r="MA124" s="38"/>
      <c r="MB124" s="38"/>
      <c r="MC124" s="38"/>
      <c r="MD124" s="38"/>
      <c r="ME124" s="38"/>
      <c r="MF124" s="38"/>
      <c r="MG124" s="38"/>
      <c r="MH124" s="38"/>
      <c r="MI124" s="38"/>
      <c r="MJ124" s="38"/>
      <c r="MK124" s="38"/>
      <c r="ML124" s="38"/>
      <c r="MM124" s="38"/>
      <c r="MN124" s="38"/>
      <c r="MO124" s="38"/>
      <c r="MP124" s="38"/>
      <c r="MQ124" s="38"/>
      <c r="MR124" s="38"/>
      <c r="MS124" s="38"/>
      <c r="MT124" s="38"/>
      <c r="MU124" s="38"/>
      <c r="MV124" s="38"/>
      <c r="MW124" s="38"/>
      <c r="MX124" s="38"/>
      <c r="MY124" s="38"/>
      <c r="MZ124" s="38"/>
      <c r="NA124" s="38"/>
      <c r="NB124" s="38"/>
      <c r="NC124" s="38"/>
      <c r="ND124" s="38"/>
      <c r="NE124" s="38"/>
      <c r="NF124" s="38"/>
      <c r="NG124" s="38"/>
      <c r="NH124" s="3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"/>
      <c r="OC124" s="38"/>
      <c r="OD124" s="38"/>
      <c r="OE124" s="38"/>
      <c r="OF124" s="38"/>
      <c r="OG124" s="38"/>
      <c r="OH124" s="38"/>
      <c r="OI124" s="38"/>
      <c r="OJ124" s="38"/>
      <c r="OK124" s="38"/>
      <c r="OL124" s="38"/>
      <c r="OM124" s="38"/>
      <c r="ON124" s="38"/>
      <c r="OO124" s="38"/>
      <c r="OP124" s="38"/>
      <c r="OQ124" s="38"/>
      <c r="OR124" s="38"/>
      <c r="OS124" s="38"/>
      <c r="OT124" s="38"/>
      <c r="OU124" s="38"/>
      <c r="OV124" s="38"/>
      <c r="OW124" s="38"/>
      <c r="OX124" s="38"/>
      <c r="OY124" s="38"/>
      <c r="OZ124" s="38"/>
      <c r="PA124" s="38"/>
      <c r="PB124" s="38"/>
      <c r="PC124" s="38"/>
      <c r="PD124" s="38"/>
      <c r="PE124" s="38"/>
      <c r="PF124" s="38"/>
      <c r="PG124" s="38"/>
      <c r="PH124" s="38"/>
      <c r="PI124" s="38"/>
      <c r="PJ124" s="38"/>
      <c r="PK124" s="38"/>
      <c r="PL124" s="38"/>
      <c r="PM124" s="38"/>
      <c r="PN124" s="38"/>
      <c r="PO124" s="38"/>
      <c r="PP124" s="38"/>
      <c r="PQ124" s="38"/>
      <c r="PR124" s="38"/>
      <c r="PS124" s="38"/>
      <c r="PT124" s="38"/>
      <c r="PU124" s="38"/>
      <c r="PV124" s="38"/>
      <c r="PW124" s="38"/>
      <c r="PX124" s="38"/>
      <c r="PY124" s="38"/>
      <c r="PZ124" s="38"/>
      <c r="QA124" s="38"/>
      <c r="QB124" s="38"/>
      <c r="QC124" s="38"/>
      <c r="QD124" s="38"/>
      <c r="QE124" s="38"/>
      <c r="QF124" s="38"/>
      <c r="QG124" s="38"/>
      <c r="QH124" s="38"/>
      <c r="QI124" s="38"/>
      <c r="QJ124" s="38"/>
      <c r="QK124" s="38"/>
      <c r="QL124" s="38"/>
      <c r="QM124" s="38"/>
      <c r="QN124" s="38"/>
      <c r="QO124" s="38"/>
      <c r="QP124" s="38"/>
      <c r="QQ124" s="38"/>
      <c r="QR124" s="38"/>
      <c r="QS124" s="38"/>
      <c r="QT124" s="38"/>
      <c r="QU124" s="38"/>
      <c r="QV124" s="38"/>
      <c r="QW124" s="38"/>
      <c r="QX124" s="38"/>
      <c r="QY124" s="38"/>
      <c r="QZ124" s="38"/>
      <c r="RA124" s="38"/>
      <c r="RB124" s="38"/>
      <c r="RC124" s="38"/>
      <c r="RD124" s="38"/>
      <c r="RE124" s="38"/>
      <c r="RF124" s="38"/>
      <c r="RG124" s="38"/>
      <c r="RH124" s="38"/>
      <c r="RI124" s="38"/>
      <c r="RJ124" s="38"/>
      <c r="RK124" s="38"/>
      <c r="RL124" s="38"/>
      <c r="RM124" s="38"/>
      <c r="RN124" s="38"/>
      <c r="RO124" s="38"/>
      <c r="RP124" s="38"/>
      <c r="RQ124" s="38"/>
      <c r="RR124" s="38"/>
      <c r="RS124" s="38"/>
      <c r="RT124" s="38"/>
      <c r="RU124" s="38"/>
      <c r="RV124" s="38"/>
      <c r="RW124" s="38"/>
      <c r="RX124" s="38"/>
      <c r="RY124" s="38"/>
      <c r="RZ124" s="38"/>
      <c r="SA124" s="38"/>
      <c r="SB124" s="38"/>
      <c r="SC124" s="38"/>
      <c r="SD124" s="38"/>
      <c r="SE124" s="38"/>
      <c r="SF124" s="38"/>
      <c r="SG124" s="38"/>
      <c r="SH124" s="38"/>
      <c r="SI124" s="38"/>
      <c r="SJ124" s="38"/>
      <c r="SK124" s="38"/>
      <c r="SL124" s="38"/>
      <c r="SM124" s="38"/>
      <c r="SN124" s="38"/>
      <c r="SO124" s="38"/>
      <c r="SP124" s="38"/>
      <c r="SQ124" s="38"/>
      <c r="SR124" s="38"/>
      <c r="SS124" s="38"/>
      <c r="ST124" s="38"/>
      <c r="SU124" s="38"/>
      <c r="SV124" s="38"/>
      <c r="SW124" s="38"/>
      <c r="SX124" s="38"/>
      <c r="SY124" s="38"/>
      <c r="SZ124" s="38"/>
      <c r="TA124" s="38"/>
      <c r="TB124" s="38"/>
      <c r="TC124" s="38"/>
      <c r="TD124" s="38"/>
      <c r="TE124" s="38"/>
      <c r="TF124" s="38"/>
      <c r="TG124" s="38"/>
      <c r="TH124" s="38"/>
      <c r="TI124" s="38"/>
      <c r="TJ124" s="38"/>
      <c r="TK124" s="38"/>
      <c r="TL124" s="38"/>
      <c r="TM124" s="38"/>
      <c r="TN124" s="38"/>
      <c r="TO124" s="38"/>
      <c r="TP124" s="38"/>
      <c r="TQ124" s="38"/>
      <c r="TR124" s="38"/>
    </row>
    <row r="125" spans="1:538" s="22" customFormat="1" ht="48" customHeight="1" x14ac:dyDescent="0.25">
      <c r="A125" s="42" t="s">
        <v>169</v>
      </c>
      <c r="B125" s="43" t="str">
        <f>'дод 3'!A19</f>
        <v>0160</v>
      </c>
      <c r="C125" s="43" t="str">
        <f>'дод 3'!B19</f>
        <v>0111</v>
      </c>
      <c r="D125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25" s="67">
        <v>1905700</v>
      </c>
      <c r="F125" s="67">
        <v>1382900</v>
      </c>
      <c r="G125" s="67">
        <v>17700</v>
      </c>
      <c r="H125" s="67">
        <v>788833.58</v>
      </c>
      <c r="I125" s="67">
        <v>600226.71</v>
      </c>
      <c r="J125" s="67">
        <v>7705.8</v>
      </c>
      <c r="K125" s="140">
        <f t="shared" si="51"/>
        <v>41.393376711969353</v>
      </c>
      <c r="L125" s="67">
        <v>0</v>
      </c>
      <c r="M125" s="67"/>
      <c r="N125" s="67"/>
      <c r="O125" s="67"/>
      <c r="P125" s="67"/>
      <c r="Q125" s="67"/>
      <c r="R125" s="67">
        <f t="shared" ref="R125:R132" si="96">T125+W125</f>
        <v>0</v>
      </c>
      <c r="S125" s="67"/>
      <c r="T125" s="67"/>
      <c r="U125" s="67"/>
      <c r="V125" s="67"/>
      <c r="W125" s="67"/>
      <c r="X125" s="140"/>
      <c r="Y125" s="67">
        <f t="shared" ref="Y125:Y132" si="97">H125+R125</f>
        <v>788833.58</v>
      </c>
      <c r="Z125" s="156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  <c r="MI125" s="25"/>
      <c r="MJ125" s="25"/>
      <c r="MK125" s="25"/>
      <c r="ML125" s="25"/>
      <c r="MM125" s="25"/>
      <c r="MN125" s="25"/>
      <c r="MO125" s="25"/>
      <c r="MP125" s="25"/>
      <c r="MQ125" s="25"/>
      <c r="MR125" s="25"/>
      <c r="MS125" s="25"/>
      <c r="MT125" s="25"/>
      <c r="MU125" s="25"/>
      <c r="MV125" s="25"/>
      <c r="MW125" s="25"/>
      <c r="MX125" s="25"/>
      <c r="MY125" s="25"/>
      <c r="MZ125" s="25"/>
      <c r="NA125" s="25"/>
      <c r="NB125" s="25"/>
      <c r="NC125" s="25"/>
      <c r="ND125" s="25"/>
      <c r="NE125" s="25"/>
      <c r="NF125" s="25"/>
      <c r="NG125" s="25"/>
      <c r="NH125" s="25"/>
      <c r="NI125" s="25"/>
      <c r="NJ125" s="25"/>
      <c r="NK125" s="25"/>
      <c r="NL125" s="25"/>
      <c r="NM125" s="25"/>
      <c r="NN125" s="25"/>
      <c r="NO125" s="25"/>
      <c r="NP125" s="25"/>
      <c r="NQ125" s="25"/>
      <c r="NR125" s="25"/>
      <c r="NS125" s="25"/>
      <c r="NT125" s="25"/>
      <c r="NU125" s="25"/>
      <c r="NV125" s="25"/>
      <c r="NW125" s="25"/>
      <c r="NX125" s="25"/>
      <c r="NY125" s="25"/>
      <c r="NZ125" s="25"/>
      <c r="OA125" s="25"/>
      <c r="OB125" s="25"/>
      <c r="OC125" s="25"/>
      <c r="OD125" s="25"/>
      <c r="OE125" s="25"/>
      <c r="OF125" s="25"/>
      <c r="OG125" s="25"/>
      <c r="OH125" s="25"/>
      <c r="OI125" s="25"/>
      <c r="OJ125" s="25"/>
      <c r="OK125" s="25"/>
      <c r="OL125" s="25"/>
      <c r="OM125" s="25"/>
      <c r="ON125" s="25"/>
      <c r="OO125" s="25"/>
      <c r="OP125" s="25"/>
      <c r="OQ125" s="25"/>
      <c r="OR125" s="25"/>
      <c r="OS125" s="25"/>
      <c r="OT125" s="25"/>
      <c r="OU125" s="25"/>
      <c r="OV125" s="25"/>
      <c r="OW125" s="25"/>
      <c r="OX125" s="25"/>
      <c r="OY125" s="25"/>
      <c r="OZ125" s="25"/>
      <c r="PA125" s="25"/>
      <c r="PB125" s="25"/>
      <c r="PC125" s="25"/>
      <c r="PD125" s="25"/>
      <c r="PE125" s="25"/>
      <c r="PF125" s="25"/>
      <c r="PG125" s="25"/>
      <c r="PH125" s="25"/>
      <c r="PI125" s="25"/>
      <c r="PJ125" s="25"/>
      <c r="PK125" s="25"/>
      <c r="PL125" s="25"/>
      <c r="PM125" s="25"/>
      <c r="PN125" s="25"/>
      <c r="PO125" s="25"/>
      <c r="PP125" s="25"/>
      <c r="PQ125" s="25"/>
      <c r="PR125" s="25"/>
      <c r="PS125" s="25"/>
      <c r="PT125" s="25"/>
      <c r="PU125" s="25"/>
      <c r="PV125" s="25"/>
      <c r="PW125" s="25"/>
      <c r="PX125" s="25"/>
      <c r="PY125" s="25"/>
      <c r="PZ125" s="25"/>
      <c r="QA125" s="25"/>
      <c r="QB125" s="25"/>
      <c r="QC125" s="25"/>
      <c r="QD125" s="25"/>
      <c r="QE125" s="25"/>
      <c r="QF125" s="25"/>
      <c r="QG125" s="25"/>
      <c r="QH125" s="25"/>
      <c r="QI125" s="25"/>
      <c r="QJ125" s="25"/>
      <c r="QK125" s="25"/>
      <c r="QL125" s="25"/>
      <c r="QM125" s="25"/>
      <c r="QN125" s="25"/>
      <c r="QO125" s="25"/>
      <c r="QP125" s="25"/>
      <c r="QQ125" s="25"/>
      <c r="QR125" s="25"/>
      <c r="QS125" s="25"/>
      <c r="QT125" s="25"/>
      <c r="QU125" s="25"/>
      <c r="QV125" s="25"/>
      <c r="QW125" s="25"/>
      <c r="QX125" s="25"/>
      <c r="QY125" s="25"/>
      <c r="QZ125" s="25"/>
      <c r="RA125" s="25"/>
      <c r="RB125" s="25"/>
      <c r="RC125" s="25"/>
      <c r="RD125" s="25"/>
      <c r="RE125" s="25"/>
      <c r="RF125" s="25"/>
      <c r="RG125" s="25"/>
      <c r="RH125" s="25"/>
      <c r="RI125" s="25"/>
      <c r="RJ125" s="25"/>
      <c r="RK125" s="25"/>
      <c r="RL125" s="25"/>
      <c r="RM125" s="25"/>
      <c r="RN125" s="25"/>
      <c r="RO125" s="25"/>
      <c r="RP125" s="25"/>
      <c r="RQ125" s="25"/>
      <c r="RR125" s="25"/>
      <c r="RS125" s="25"/>
      <c r="RT125" s="25"/>
      <c r="RU125" s="25"/>
      <c r="RV125" s="25"/>
      <c r="RW125" s="25"/>
      <c r="RX125" s="25"/>
      <c r="RY125" s="25"/>
      <c r="RZ125" s="25"/>
      <c r="SA125" s="25"/>
      <c r="SB125" s="25"/>
      <c r="SC125" s="25"/>
      <c r="SD125" s="25"/>
      <c r="SE125" s="25"/>
      <c r="SF125" s="25"/>
      <c r="SG125" s="25"/>
      <c r="SH125" s="25"/>
      <c r="SI125" s="25"/>
      <c r="SJ125" s="25"/>
      <c r="SK125" s="25"/>
      <c r="SL125" s="25"/>
      <c r="SM125" s="25"/>
      <c r="SN125" s="25"/>
      <c r="SO125" s="25"/>
      <c r="SP125" s="25"/>
      <c r="SQ125" s="25"/>
      <c r="SR125" s="25"/>
      <c r="SS125" s="25"/>
      <c r="ST125" s="25"/>
      <c r="SU125" s="25"/>
      <c r="SV125" s="25"/>
      <c r="SW125" s="25"/>
      <c r="SX125" s="25"/>
      <c r="SY125" s="25"/>
      <c r="SZ125" s="25"/>
      <c r="TA125" s="25"/>
      <c r="TB125" s="25"/>
      <c r="TC125" s="25"/>
      <c r="TD125" s="25"/>
      <c r="TE125" s="25"/>
      <c r="TF125" s="25"/>
      <c r="TG125" s="25"/>
      <c r="TH125" s="25"/>
      <c r="TI125" s="25"/>
      <c r="TJ125" s="25"/>
      <c r="TK125" s="25"/>
      <c r="TL125" s="25"/>
      <c r="TM125" s="25"/>
      <c r="TN125" s="25"/>
      <c r="TO125" s="25"/>
      <c r="TP125" s="25"/>
      <c r="TQ125" s="25"/>
      <c r="TR125" s="25"/>
    </row>
    <row r="126" spans="1:538" s="22" customFormat="1" ht="33.75" customHeight="1" x14ac:dyDescent="0.25">
      <c r="A126" s="42" t="s">
        <v>260</v>
      </c>
      <c r="B126" s="43" t="str">
        <f>'дод 3'!A30</f>
        <v>1100</v>
      </c>
      <c r="C126" s="43" t="str">
        <f>'дод 3'!B30</f>
        <v>0960</v>
      </c>
      <c r="D126" s="23" t="str">
        <f>'дод 3'!C30</f>
        <v>Надання спеціальної освіти мистецькими школами</v>
      </c>
      <c r="E126" s="67">
        <v>39114600</v>
      </c>
      <c r="F126" s="67">
        <v>30830000</v>
      </c>
      <c r="G126" s="67">
        <v>793600</v>
      </c>
      <c r="H126" s="67">
        <v>22954860.32</v>
      </c>
      <c r="I126" s="67">
        <v>18421693.399999999</v>
      </c>
      <c r="J126" s="67">
        <v>339327.25</v>
      </c>
      <c r="K126" s="140">
        <f t="shared" si="51"/>
        <v>58.68616915422885</v>
      </c>
      <c r="L126" s="67">
        <v>3336640</v>
      </c>
      <c r="M126" s="67">
        <f>100000+400000+7000+5000+30000+15000</f>
        <v>557000</v>
      </c>
      <c r="N126" s="67">
        <v>2774920</v>
      </c>
      <c r="O126" s="67">
        <v>2267316</v>
      </c>
      <c r="P126" s="67"/>
      <c r="Q126" s="67">
        <f>4720+500000+7000+5000+30000+15000</f>
        <v>561720</v>
      </c>
      <c r="R126" s="67">
        <f t="shared" si="96"/>
        <v>1764213.6</v>
      </c>
      <c r="S126" s="67"/>
      <c r="T126" s="67">
        <v>1755533.6</v>
      </c>
      <c r="U126" s="67">
        <v>1295032.07</v>
      </c>
      <c r="V126" s="67"/>
      <c r="W126" s="67">
        <v>8680</v>
      </c>
      <c r="X126" s="140">
        <f t="shared" si="54"/>
        <v>52.873957034621654</v>
      </c>
      <c r="Y126" s="67">
        <f t="shared" si="97"/>
        <v>24719073.920000002</v>
      </c>
      <c r="Z126" s="156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  <c r="MI126" s="25"/>
      <c r="MJ126" s="25"/>
      <c r="MK126" s="25"/>
      <c r="ML126" s="25"/>
      <c r="MM126" s="25"/>
      <c r="MN126" s="25"/>
      <c r="MO126" s="25"/>
      <c r="MP126" s="25"/>
      <c r="MQ126" s="25"/>
      <c r="MR126" s="25"/>
      <c r="MS126" s="25"/>
      <c r="MT126" s="25"/>
      <c r="MU126" s="25"/>
      <c r="MV126" s="25"/>
      <c r="MW126" s="25"/>
      <c r="MX126" s="25"/>
      <c r="MY126" s="25"/>
      <c r="MZ126" s="25"/>
      <c r="NA126" s="25"/>
      <c r="NB126" s="25"/>
      <c r="NC126" s="25"/>
      <c r="ND126" s="25"/>
      <c r="NE126" s="25"/>
      <c r="NF126" s="25"/>
      <c r="NG126" s="25"/>
      <c r="NH126" s="25"/>
      <c r="NI126" s="25"/>
      <c r="NJ126" s="25"/>
      <c r="NK126" s="25"/>
      <c r="NL126" s="25"/>
      <c r="NM126" s="25"/>
      <c r="NN126" s="25"/>
      <c r="NO126" s="25"/>
      <c r="NP126" s="25"/>
      <c r="NQ126" s="25"/>
      <c r="NR126" s="25"/>
      <c r="NS126" s="25"/>
      <c r="NT126" s="25"/>
      <c r="NU126" s="25"/>
      <c r="NV126" s="25"/>
      <c r="NW126" s="25"/>
      <c r="NX126" s="25"/>
      <c r="NY126" s="25"/>
      <c r="NZ126" s="25"/>
      <c r="OA126" s="25"/>
      <c r="OB126" s="25"/>
      <c r="OC126" s="25"/>
      <c r="OD126" s="25"/>
      <c r="OE126" s="25"/>
      <c r="OF126" s="25"/>
      <c r="OG126" s="25"/>
      <c r="OH126" s="25"/>
      <c r="OI126" s="25"/>
      <c r="OJ126" s="25"/>
      <c r="OK126" s="25"/>
      <c r="OL126" s="25"/>
      <c r="OM126" s="25"/>
      <c r="ON126" s="25"/>
      <c r="OO126" s="25"/>
      <c r="OP126" s="25"/>
      <c r="OQ126" s="25"/>
      <c r="OR126" s="25"/>
      <c r="OS126" s="25"/>
      <c r="OT126" s="25"/>
      <c r="OU126" s="25"/>
      <c r="OV126" s="25"/>
      <c r="OW126" s="25"/>
      <c r="OX126" s="25"/>
      <c r="OY126" s="25"/>
      <c r="OZ126" s="25"/>
      <c r="PA126" s="25"/>
      <c r="PB126" s="25"/>
      <c r="PC126" s="25"/>
      <c r="PD126" s="25"/>
      <c r="PE126" s="25"/>
      <c r="PF126" s="25"/>
      <c r="PG126" s="25"/>
      <c r="PH126" s="25"/>
      <c r="PI126" s="25"/>
      <c r="PJ126" s="25"/>
      <c r="PK126" s="25"/>
      <c r="PL126" s="25"/>
      <c r="PM126" s="25"/>
      <c r="PN126" s="25"/>
      <c r="PO126" s="25"/>
      <c r="PP126" s="25"/>
      <c r="PQ126" s="25"/>
      <c r="PR126" s="25"/>
      <c r="PS126" s="25"/>
      <c r="PT126" s="25"/>
      <c r="PU126" s="25"/>
      <c r="PV126" s="25"/>
      <c r="PW126" s="25"/>
      <c r="PX126" s="25"/>
      <c r="PY126" s="25"/>
      <c r="PZ126" s="25"/>
      <c r="QA126" s="25"/>
      <c r="QB126" s="25"/>
      <c r="QC126" s="25"/>
      <c r="QD126" s="25"/>
      <c r="QE126" s="25"/>
      <c r="QF126" s="25"/>
      <c r="QG126" s="25"/>
      <c r="QH126" s="25"/>
      <c r="QI126" s="25"/>
      <c r="QJ126" s="25"/>
      <c r="QK126" s="25"/>
      <c r="QL126" s="25"/>
      <c r="QM126" s="25"/>
      <c r="QN126" s="25"/>
      <c r="QO126" s="25"/>
      <c r="QP126" s="25"/>
      <c r="QQ126" s="25"/>
      <c r="QR126" s="25"/>
      <c r="QS126" s="25"/>
      <c r="QT126" s="25"/>
      <c r="QU126" s="25"/>
      <c r="QV126" s="25"/>
      <c r="QW126" s="25"/>
      <c r="QX126" s="25"/>
      <c r="QY126" s="25"/>
      <c r="QZ126" s="25"/>
      <c r="RA126" s="25"/>
      <c r="RB126" s="25"/>
      <c r="RC126" s="25"/>
      <c r="RD126" s="25"/>
      <c r="RE126" s="25"/>
      <c r="RF126" s="25"/>
      <c r="RG126" s="25"/>
      <c r="RH126" s="25"/>
      <c r="RI126" s="25"/>
      <c r="RJ126" s="25"/>
      <c r="RK126" s="25"/>
      <c r="RL126" s="25"/>
      <c r="RM126" s="25"/>
      <c r="RN126" s="25"/>
      <c r="RO126" s="25"/>
      <c r="RP126" s="25"/>
      <c r="RQ126" s="25"/>
      <c r="RR126" s="25"/>
      <c r="RS126" s="25"/>
      <c r="RT126" s="25"/>
      <c r="RU126" s="25"/>
      <c r="RV126" s="25"/>
      <c r="RW126" s="25"/>
      <c r="RX126" s="25"/>
      <c r="RY126" s="25"/>
      <c r="RZ126" s="25"/>
      <c r="SA126" s="25"/>
      <c r="SB126" s="25"/>
      <c r="SC126" s="25"/>
      <c r="SD126" s="25"/>
      <c r="SE126" s="25"/>
      <c r="SF126" s="25"/>
      <c r="SG126" s="25"/>
      <c r="SH126" s="25"/>
      <c r="SI126" s="25"/>
      <c r="SJ126" s="25"/>
      <c r="SK126" s="25"/>
      <c r="SL126" s="25"/>
      <c r="SM126" s="25"/>
      <c r="SN126" s="25"/>
      <c r="SO126" s="25"/>
      <c r="SP126" s="25"/>
      <c r="SQ126" s="25"/>
      <c r="SR126" s="25"/>
      <c r="SS126" s="25"/>
      <c r="ST126" s="25"/>
      <c r="SU126" s="25"/>
      <c r="SV126" s="25"/>
      <c r="SW126" s="25"/>
      <c r="SX126" s="25"/>
      <c r="SY126" s="25"/>
      <c r="SZ126" s="25"/>
      <c r="TA126" s="25"/>
      <c r="TB126" s="25"/>
      <c r="TC126" s="25"/>
      <c r="TD126" s="25"/>
      <c r="TE126" s="25"/>
      <c r="TF126" s="25"/>
      <c r="TG126" s="25"/>
      <c r="TH126" s="25"/>
      <c r="TI126" s="25"/>
      <c r="TJ126" s="25"/>
      <c r="TK126" s="25"/>
      <c r="TL126" s="25"/>
      <c r="TM126" s="25"/>
      <c r="TN126" s="25"/>
      <c r="TO126" s="25"/>
      <c r="TP126" s="25"/>
      <c r="TQ126" s="25"/>
      <c r="TR126" s="25"/>
    </row>
    <row r="127" spans="1:538" s="22" customFormat="1" ht="21" customHeight="1" x14ac:dyDescent="0.25">
      <c r="A127" s="42" t="s">
        <v>230</v>
      </c>
      <c r="B127" s="43" t="str">
        <f>'дод 3'!A77</f>
        <v>4030</v>
      </c>
      <c r="C127" s="43" t="str">
        <f>'дод 3'!B77</f>
        <v>0824</v>
      </c>
      <c r="D127" s="23" t="str">
        <f>'дод 3'!C77</f>
        <v>Забезпечення діяльності бібліотек</v>
      </c>
      <c r="E127" s="67">
        <v>19303085</v>
      </c>
      <c r="F127" s="67">
        <v>13804000</v>
      </c>
      <c r="G127" s="67">
        <v>1346200</v>
      </c>
      <c r="H127" s="67">
        <v>8921683.25</v>
      </c>
      <c r="I127" s="67">
        <v>6744148.1900000004</v>
      </c>
      <c r="J127" s="67">
        <v>572933.29</v>
      </c>
      <c r="K127" s="140">
        <f t="shared" si="51"/>
        <v>46.218950235156711</v>
      </c>
      <c r="L127" s="67">
        <v>346795</v>
      </c>
      <c r="M127" s="67">
        <f>100000+216795</f>
        <v>316795</v>
      </c>
      <c r="N127" s="67">
        <v>30000</v>
      </c>
      <c r="O127" s="67">
        <v>12100</v>
      </c>
      <c r="P127" s="67"/>
      <c r="Q127" s="67">
        <f>100000+216795</f>
        <v>316795</v>
      </c>
      <c r="R127" s="67">
        <f t="shared" si="96"/>
        <v>114794.33</v>
      </c>
      <c r="S127" s="67">
        <v>19998</v>
      </c>
      <c r="T127" s="67">
        <v>4120.8</v>
      </c>
      <c r="U127" s="67">
        <v>2554.09</v>
      </c>
      <c r="V127" s="67"/>
      <c r="W127" s="67">
        <v>110673.53</v>
      </c>
      <c r="X127" s="140">
        <f t="shared" si="54"/>
        <v>33.10149511959515</v>
      </c>
      <c r="Y127" s="67">
        <f t="shared" si="97"/>
        <v>9036477.5800000001</v>
      </c>
      <c r="Z127" s="156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  <c r="MI127" s="25"/>
      <c r="MJ127" s="25"/>
      <c r="MK127" s="25"/>
      <c r="ML127" s="25"/>
      <c r="MM127" s="25"/>
      <c r="MN127" s="25"/>
      <c r="MO127" s="25"/>
      <c r="MP127" s="25"/>
      <c r="MQ127" s="25"/>
      <c r="MR127" s="25"/>
      <c r="MS127" s="25"/>
      <c r="MT127" s="25"/>
      <c r="MU127" s="25"/>
      <c r="MV127" s="25"/>
      <c r="MW127" s="25"/>
      <c r="MX127" s="25"/>
      <c r="MY127" s="25"/>
      <c r="MZ127" s="25"/>
      <c r="NA127" s="25"/>
      <c r="NB127" s="25"/>
      <c r="NC127" s="25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/>
      <c r="OL127" s="25"/>
      <c r="OM127" s="25"/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</row>
    <row r="128" spans="1:538" s="22" customFormat="1" ht="27.75" customHeight="1" x14ac:dyDescent="0.25">
      <c r="A128" s="42">
        <v>1014060</v>
      </c>
      <c r="B128" s="43" t="str">
        <f>'дод 3'!A78</f>
        <v>4060</v>
      </c>
      <c r="C128" s="43" t="str">
        <f>'дод 3'!B78</f>
        <v>0828</v>
      </c>
      <c r="D128" s="23" t="str">
        <f>'дод 3'!C78</f>
        <v>Забезпечення діяльності палаців i будинків культури, клубів, центрів дозвілля та iнших клубних закладів</v>
      </c>
      <c r="E128" s="67">
        <v>628280</v>
      </c>
      <c r="F128" s="67">
        <v>424400</v>
      </c>
      <c r="G128" s="67">
        <v>11360</v>
      </c>
      <c r="H128" s="67">
        <v>203106.7</v>
      </c>
      <c r="I128" s="67">
        <v>160974.60999999999</v>
      </c>
      <c r="J128" s="67"/>
      <c r="K128" s="140">
        <f t="shared" si="51"/>
        <v>32.32741771184822</v>
      </c>
      <c r="L128" s="67">
        <v>27200</v>
      </c>
      <c r="M128" s="67">
        <v>21200</v>
      </c>
      <c r="N128" s="67">
        <v>6000</v>
      </c>
      <c r="O128" s="67"/>
      <c r="P128" s="67">
        <v>3300</v>
      </c>
      <c r="Q128" s="67">
        <v>21200</v>
      </c>
      <c r="R128" s="67">
        <f t="shared" si="96"/>
        <v>0</v>
      </c>
      <c r="S128" s="67"/>
      <c r="T128" s="67"/>
      <c r="U128" s="67"/>
      <c r="V128" s="67"/>
      <c r="W128" s="67"/>
      <c r="X128" s="140">
        <f t="shared" si="54"/>
        <v>0</v>
      </c>
      <c r="Y128" s="67">
        <f t="shared" si="97"/>
        <v>203106.7</v>
      </c>
      <c r="Z128" s="156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</row>
    <row r="129" spans="1:538" s="26" customFormat="1" ht="33.75" customHeight="1" x14ac:dyDescent="0.25">
      <c r="A129" s="42">
        <v>1014081</v>
      </c>
      <c r="B129" s="43" t="str">
        <f>'дод 3'!A79</f>
        <v>4081</v>
      </c>
      <c r="C129" s="43" t="str">
        <f>'дод 3'!B79</f>
        <v>0829</v>
      </c>
      <c r="D129" s="23" t="str">
        <f>'дод 3'!C79</f>
        <v>Забезпечення діяльності інших закладів в галузі культури і мистецтва</v>
      </c>
      <c r="E129" s="67">
        <v>1803000</v>
      </c>
      <c r="F129" s="67">
        <v>1364000</v>
      </c>
      <c r="G129" s="67">
        <v>32900</v>
      </c>
      <c r="H129" s="67">
        <v>881435.55</v>
      </c>
      <c r="I129" s="67">
        <v>690280.19</v>
      </c>
      <c r="J129" s="67">
        <v>12908.01</v>
      </c>
      <c r="K129" s="140">
        <f t="shared" si="51"/>
        <v>48.887163061564067</v>
      </c>
      <c r="L129" s="67">
        <v>0</v>
      </c>
      <c r="M129" s="67"/>
      <c r="N129" s="67"/>
      <c r="O129" s="67"/>
      <c r="P129" s="67"/>
      <c r="Q129" s="67"/>
      <c r="R129" s="67">
        <f t="shared" si="96"/>
        <v>0</v>
      </c>
      <c r="S129" s="67"/>
      <c r="T129" s="67"/>
      <c r="U129" s="67"/>
      <c r="V129" s="67"/>
      <c r="W129" s="67"/>
      <c r="X129" s="140"/>
      <c r="Y129" s="67">
        <f t="shared" si="97"/>
        <v>881435.55</v>
      </c>
      <c r="Z129" s="156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  <c r="IW129" s="35"/>
      <c r="IX129" s="35"/>
      <c r="IY129" s="35"/>
      <c r="IZ129" s="35"/>
      <c r="JA129" s="35"/>
      <c r="JB129" s="35"/>
      <c r="JC129" s="35"/>
      <c r="JD129" s="35"/>
      <c r="JE129" s="35"/>
      <c r="JF129" s="35"/>
      <c r="JG129" s="35"/>
      <c r="JH129" s="35"/>
      <c r="JI129" s="35"/>
      <c r="JJ129" s="35"/>
      <c r="JK129" s="35"/>
      <c r="JL129" s="35"/>
      <c r="JM129" s="35"/>
      <c r="JN129" s="35"/>
      <c r="JO129" s="35"/>
      <c r="JP129" s="35"/>
      <c r="JQ129" s="35"/>
      <c r="JR129" s="35"/>
      <c r="JS129" s="35"/>
      <c r="JT129" s="35"/>
      <c r="JU129" s="35"/>
      <c r="JV129" s="35"/>
      <c r="JW129" s="35"/>
      <c r="JX129" s="35"/>
      <c r="JY129" s="35"/>
      <c r="JZ129" s="35"/>
      <c r="KA129" s="35"/>
      <c r="KB129" s="35"/>
      <c r="KC129" s="35"/>
      <c r="KD129" s="35"/>
      <c r="KE129" s="35"/>
      <c r="KF129" s="35"/>
      <c r="KG129" s="35"/>
      <c r="KH129" s="35"/>
      <c r="KI129" s="35"/>
      <c r="KJ129" s="35"/>
      <c r="KK129" s="35"/>
      <c r="KL129" s="35"/>
      <c r="KM129" s="35"/>
      <c r="KN129" s="35"/>
      <c r="KO129" s="35"/>
      <c r="KP129" s="35"/>
      <c r="KQ129" s="35"/>
      <c r="KR129" s="35"/>
      <c r="KS129" s="35"/>
      <c r="KT129" s="35"/>
      <c r="KU129" s="35"/>
      <c r="KV129" s="35"/>
      <c r="KW129" s="35"/>
      <c r="KX129" s="35"/>
      <c r="KY129" s="35"/>
      <c r="KZ129" s="35"/>
      <c r="LA129" s="35"/>
      <c r="LB129" s="35"/>
      <c r="LC129" s="35"/>
      <c r="LD129" s="35"/>
      <c r="LE129" s="35"/>
      <c r="LF129" s="35"/>
      <c r="LG129" s="35"/>
      <c r="LH129" s="35"/>
      <c r="LI129" s="35"/>
      <c r="LJ129" s="35"/>
      <c r="LK129" s="35"/>
      <c r="LL129" s="35"/>
      <c r="LM129" s="35"/>
      <c r="LN129" s="35"/>
      <c r="LO129" s="35"/>
      <c r="LP129" s="35"/>
      <c r="LQ129" s="35"/>
      <c r="LR129" s="35"/>
      <c r="LS129" s="35"/>
      <c r="LT129" s="35"/>
      <c r="LU129" s="35"/>
      <c r="LV129" s="35"/>
      <c r="LW129" s="35"/>
      <c r="LX129" s="35"/>
      <c r="LY129" s="35"/>
      <c r="LZ129" s="35"/>
      <c r="MA129" s="35"/>
      <c r="MB129" s="35"/>
      <c r="MC129" s="35"/>
      <c r="MD129" s="35"/>
      <c r="ME129" s="35"/>
      <c r="MF129" s="35"/>
      <c r="MG129" s="35"/>
      <c r="MH129" s="35"/>
      <c r="MI129" s="35"/>
      <c r="MJ129" s="35"/>
      <c r="MK129" s="35"/>
      <c r="ML129" s="35"/>
      <c r="MM129" s="35"/>
      <c r="MN129" s="35"/>
      <c r="MO129" s="35"/>
      <c r="MP129" s="35"/>
      <c r="MQ129" s="35"/>
      <c r="MR129" s="35"/>
      <c r="MS129" s="35"/>
      <c r="MT129" s="35"/>
      <c r="MU129" s="35"/>
      <c r="MV129" s="35"/>
      <c r="MW129" s="35"/>
      <c r="MX129" s="35"/>
      <c r="MY129" s="35"/>
      <c r="MZ129" s="35"/>
      <c r="NA129" s="35"/>
      <c r="NB129" s="35"/>
      <c r="NC129" s="35"/>
      <c r="ND129" s="35"/>
      <c r="NE129" s="35"/>
      <c r="NF129" s="35"/>
      <c r="NG129" s="35"/>
      <c r="NH129" s="35"/>
      <c r="NI129" s="35"/>
      <c r="NJ129" s="35"/>
      <c r="NK129" s="35"/>
      <c r="NL129" s="35"/>
      <c r="NM129" s="35"/>
      <c r="NN129" s="35"/>
      <c r="NO129" s="35"/>
      <c r="NP129" s="35"/>
      <c r="NQ129" s="35"/>
      <c r="NR129" s="35"/>
      <c r="NS129" s="35"/>
      <c r="NT129" s="35"/>
      <c r="NU129" s="35"/>
      <c r="NV129" s="35"/>
      <c r="NW129" s="35"/>
      <c r="NX129" s="35"/>
      <c r="NY129" s="35"/>
      <c r="NZ129" s="35"/>
      <c r="OA129" s="35"/>
      <c r="OB129" s="35"/>
      <c r="OC129" s="35"/>
      <c r="OD129" s="35"/>
      <c r="OE129" s="35"/>
      <c r="OF129" s="35"/>
      <c r="OG129" s="35"/>
      <c r="OH129" s="35"/>
      <c r="OI129" s="35"/>
      <c r="OJ129" s="35"/>
      <c r="OK129" s="35"/>
      <c r="OL129" s="35"/>
      <c r="OM129" s="35"/>
      <c r="ON129" s="35"/>
      <c r="OO129" s="35"/>
      <c r="OP129" s="35"/>
      <c r="OQ129" s="35"/>
      <c r="OR129" s="35"/>
      <c r="OS129" s="35"/>
      <c r="OT129" s="35"/>
      <c r="OU129" s="35"/>
      <c r="OV129" s="35"/>
      <c r="OW129" s="35"/>
      <c r="OX129" s="35"/>
      <c r="OY129" s="35"/>
      <c r="OZ129" s="35"/>
      <c r="PA129" s="35"/>
      <c r="PB129" s="35"/>
      <c r="PC129" s="35"/>
      <c r="PD129" s="35"/>
      <c r="PE129" s="35"/>
      <c r="PF129" s="35"/>
      <c r="PG129" s="35"/>
      <c r="PH129" s="35"/>
      <c r="PI129" s="35"/>
      <c r="PJ129" s="35"/>
      <c r="PK129" s="35"/>
      <c r="PL129" s="35"/>
      <c r="PM129" s="35"/>
      <c r="PN129" s="35"/>
      <c r="PO129" s="35"/>
      <c r="PP129" s="35"/>
      <c r="PQ129" s="35"/>
      <c r="PR129" s="35"/>
      <c r="PS129" s="35"/>
      <c r="PT129" s="35"/>
      <c r="PU129" s="35"/>
      <c r="PV129" s="35"/>
      <c r="PW129" s="35"/>
      <c r="PX129" s="35"/>
      <c r="PY129" s="35"/>
      <c r="PZ129" s="35"/>
      <c r="QA129" s="35"/>
      <c r="QB129" s="35"/>
      <c r="QC129" s="35"/>
      <c r="QD129" s="35"/>
      <c r="QE129" s="35"/>
      <c r="QF129" s="35"/>
      <c r="QG129" s="35"/>
      <c r="QH129" s="35"/>
      <c r="QI129" s="35"/>
      <c r="QJ129" s="35"/>
      <c r="QK129" s="35"/>
      <c r="QL129" s="35"/>
      <c r="QM129" s="35"/>
      <c r="QN129" s="35"/>
      <c r="QO129" s="35"/>
      <c r="QP129" s="35"/>
      <c r="QQ129" s="35"/>
      <c r="QR129" s="35"/>
      <c r="QS129" s="35"/>
      <c r="QT129" s="35"/>
      <c r="QU129" s="35"/>
      <c r="QV129" s="35"/>
      <c r="QW129" s="35"/>
      <c r="QX129" s="35"/>
      <c r="QY129" s="35"/>
      <c r="QZ129" s="35"/>
      <c r="RA129" s="35"/>
      <c r="RB129" s="35"/>
      <c r="RC129" s="35"/>
      <c r="RD129" s="35"/>
      <c r="RE129" s="35"/>
      <c r="RF129" s="35"/>
      <c r="RG129" s="35"/>
      <c r="RH129" s="35"/>
      <c r="RI129" s="35"/>
      <c r="RJ129" s="35"/>
      <c r="RK129" s="35"/>
      <c r="RL129" s="35"/>
      <c r="RM129" s="35"/>
      <c r="RN129" s="35"/>
      <c r="RO129" s="35"/>
      <c r="RP129" s="35"/>
      <c r="RQ129" s="35"/>
      <c r="RR129" s="35"/>
      <c r="RS129" s="35"/>
      <c r="RT129" s="35"/>
      <c r="RU129" s="35"/>
      <c r="RV129" s="35"/>
      <c r="RW129" s="35"/>
      <c r="RX129" s="35"/>
      <c r="RY129" s="35"/>
      <c r="RZ129" s="35"/>
      <c r="SA129" s="35"/>
      <c r="SB129" s="35"/>
      <c r="SC129" s="35"/>
      <c r="SD129" s="35"/>
      <c r="SE129" s="35"/>
      <c r="SF129" s="35"/>
      <c r="SG129" s="35"/>
      <c r="SH129" s="35"/>
      <c r="SI129" s="35"/>
      <c r="SJ129" s="35"/>
      <c r="SK129" s="35"/>
      <c r="SL129" s="35"/>
      <c r="SM129" s="35"/>
      <c r="SN129" s="35"/>
      <c r="SO129" s="35"/>
      <c r="SP129" s="35"/>
      <c r="SQ129" s="35"/>
      <c r="SR129" s="35"/>
      <c r="SS129" s="35"/>
      <c r="ST129" s="35"/>
      <c r="SU129" s="35"/>
      <c r="SV129" s="35"/>
      <c r="SW129" s="35"/>
      <c r="SX129" s="35"/>
      <c r="SY129" s="35"/>
      <c r="SZ129" s="35"/>
      <c r="TA129" s="35"/>
      <c r="TB129" s="35"/>
      <c r="TC129" s="35"/>
      <c r="TD129" s="35"/>
      <c r="TE129" s="35"/>
      <c r="TF129" s="35"/>
      <c r="TG129" s="35"/>
      <c r="TH129" s="35"/>
      <c r="TI129" s="35"/>
      <c r="TJ129" s="35"/>
      <c r="TK129" s="35"/>
      <c r="TL129" s="35"/>
      <c r="TM129" s="35"/>
      <c r="TN129" s="35"/>
      <c r="TO129" s="35"/>
      <c r="TP129" s="35"/>
      <c r="TQ129" s="35"/>
      <c r="TR129" s="35"/>
    </row>
    <row r="130" spans="1:538" s="26" customFormat="1" ht="25.5" customHeight="1" x14ac:dyDescent="0.25">
      <c r="A130" s="42">
        <v>1014082</v>
      </c>
      <c r="B130" s="43" t="str">
        <f>'дод 3'!A80</f>
        <v>4082</v>
      </c>
      <c r="C130" s="43" t="str">
        <f>'дод 3'!B80</f>
        <v>0829</v>
      </c>
      <c r="D130" s="23" t="str">
        <f>'дод 3'!C80</f>
        <v>Інші заходи в галузі культури і мистецтва</v>
      </c>
      <c r="E130" s="67">
        <v>2500700</v>
      </c>
      <c r="F130" s="67"/>
      <c r="G130" s="67"/>
      <c r="H130" s="67">
        <v>78704.38</v>
      </c>
      <c r="I130" s="67"/>
      <c r="J130" s="67"/>
      <c r="K130" s="140">
        <f t="shared" si="51"/>
        <v>3.1472939576918462</v>
      </c>
      <c r="L130" s="67">
        <v>0</v>
      </c>
      <c r="M130" s="67"/>
      <c r="N130" s="67"/>
      <c r="O130" s="67"/>
      <c r="P130" s="67"/>
      <c r="Q130" s="67"/>
      <c r="R130" s="67">
        <f t="shared" si="96"/>
        <v>0</v>
      </c>
      <c r="S130" s="67"/>
      <c r="T130" s="67"/>
      <c r="U130" s="67"/>
      <c r="V130" s="67"/>
      <c r="W130" s="67"/>
      <c r="X130" s="140"/>
      <c r="Y130" s="67">
        <f t="shared" si="97"/>
        <v>78704.38</v>
      </c>
      <c r="Z130" s="156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  <c r="IW130" s="35"/>
      <c r="IX130" s="35"/>
      <c r="IY130" s="35"/>
      <c r="IZ130" s="35"/>
      <c r="JA130" s="35"/>
      <c r="JB130" s="35"/>
      <c r="JC130" s="35"/>
      <c r="JD130" s="35"/>
      <c r="JE130" s="35"/>
      <c r="JF130" s="35"/>
      <c r="JG130" s="35"/>
      <c r="JH130" s="35"/>
      <c r="JI130" s="35"/>
      <c r="JJ130" s="35"/>
      <c r="JK130" s="35"/>
      <c r="JL130" s="35"/>
      <c r="JM130" s="35"/>
      <c r="JN130" s="35"/>
      <c r="JO130" s="35"/>
      <c r="JP130" s="35"/>
      <c r="JQ130" s="35"/>
      <c r="JR130" s="35"/>
      <c r="JS130" s="35"/>
      <c r="JT130" s="35"/>
      <c r="JU130" s="35"/>
      <c r="JV130" s="35"/>
      <c r="JW130" s="35"/>
      <c r="JX130" s="35"/>
      <c r="JY130" s="35"/>
      <c r="JZ130" s="35"/>
      <c r="KA130" s="35"/>
      <c r="KB130" s="35"/>
      <c r="KC130" s="35"/>
      <c r="KD130" s="35"/>
      <c r="KE130" s="35"/>
      <c r="KF130" s="35"/>
      <c r="KG130" s="35"/>
      <c r="KH130" s="35"/>
      <c r="KI130" s="35"/>
      <c r="KJ130" s="35"/>
      <c r="KK130" s="35"/>
      <c r="KL130" s="35"/>
      <c r="KM130" s="35"/>
      <c r="KN130" s="35"/>
      <c r="KO130" s="35"/>
      <c r="KP130" s="35"/>
      <c r="KQ130" s="35"/>
      <c r="KR130" s="35"/>
      <c r="KS130" s="35"/>
      <c r="KT130" s="35"/>
      <c r="KU130" s="35"/>
      <c r="KV130" s="35"/>
      <c r="KW130" s="35"/>
      <c r="KX130" s="35"/>
      <c r="KY130" s="35"/>
      <c r="KZ130" s="35"/>
      <c r="LA130" s="35"/>
      <c r="LB130" s="35"/>
      <c r="LC130" s="35"/>
      <c r="LD130" s="35"/>
      <c r="LE130" s="35"/>
      <c r="LF130" s="35"/>
      <c r="LG130" s="35"/>
      <c r="LH130" s="35"/>
      <c r="LI130" s="35"/>
      <c r="LJ130" s="35"/>
      <c r="LK130" s="35"/>
      <c r="LL130" s="35"/>
      <c r="LM130" s="35"/>
      <c r="LN130" s="35"/>
      <c r="LO130" s="35"/>
      <c r="LP130" s="35"/>
      <c r="LQ130" s="35"/>
      <c r="LR130" s="35"/>
      <c r="LS130" s="35"/>
      <c r="LT130" s="35"/>
      <c r="LU130" s="35"/>
      <c r="LV130" s="35"/>
      <c r="LW130" s="35"/>
      <c r="LX130" s="35"/>
      <c r="LY130" s="35"/>
      <c r="LZ130" s="35"/>
      <c r="MA130" s="35"/>
      <c r="MB130" s="35"/>
      <c r="MC130" s="35"/>
      <c r="MD130" s="35"/>
      <c r="ME130" s="35"/>
      <c r="MF130" s="35"/>
      <c r="MG130" s="35"/>
      <c r="MH130" s="35"/>
      <c r="MI130" s="35"/>
      <c r="MJ130" s="35"/>
      <c r="MK130" s="35"/>
      <c r="ML130" s="35"/>
      <c r="MM130" s="35"/>
      <c r="MN130" s="35"/>
      <c r="MO130" s="35"/>
      <c r="MP130" s="35"/>
      <c r="MQ130" s="35"/>
      <c r="MR130" s="35"/>
      <c r="MS130" s="35"/>
      <c r="MT130" s="35"/>
      <c r="MU130" s="35"/>
      <c r="MV130" s="35"/>
      <c r="MW130" s="35"/>
      <c r="MX130" s="35"/>
      <c r="MY130" s="35"/>
      <c r="MZ130" s="35"/>
      <c r="NA130" s="35"/>
      <c r="NB130" s="35"/>
      <c r="NC130" s="35"/>
      <c r="ND130" s="35"/>
      <c r="NE130" s="35"/>
      <c r="NF130" s="35"/>
      <c r="NG130" s="35"/>
      <c r="NH130" s="35"/>
      <c r="NI130" s="35"/>
      <c r="NJ130" s="35"/>
      <c r="NK130" s="35"/>
      <c r="NL130" s="35"/>
      <c r="NM130" s="35"/>
      <c r="NN130" s="35"/>
      <c r="NO130" s="35"/>
      <c r="NP130" s="35"/>
      <c r="NQ130" s="35"/>
      <c r="NR130" s="35"/>
      <c r="NS130" s="35"/>
      <c r="NT130" s="35"/>
      <c r="NU130" s="35"/>
      <c r="NV130" s="35"/>
      <c r="NW130" s="35"/>
      <c r="NX130" s="35"/>
      <c r="NY130" s="35"/>
      <c r="NZ130" s="35"/>
      <c r="OA130" s="35"/>
      <c r="OB130" s="35"/>
      <c r="OC130" s="35"/>
      <c r="OD130" s="35"/>
      <c r="OE130" s="35"/>
      <c r="OF130" s="35"/>
      <c r="OG130" s="35"/>
      <c r="OH130" s="35"/>
      <c r="OI130" s="35"/>
      <c r="OJ130" s="35"/>
      <c r="OK130" s="35"/>
      <c r="OL130" s="35"/>
      <c r="OM130" s="35"/>
      <c r="ON130" s="35"/>
      <c r="OO130" s="35"/>
      <c r="OP130" s="35"/>
      <c r="OQ130" s="35"/>
      <c r="OR130" s="35"/>
      <c r="OS130" s="35"/>
      <c r="OT130" s="35"/>
      <c r="OU130" s="35"/>
      <c r="OV130" s="35"/>
      <c r="OW130" s="35"/>
      <c r="OX130" s="35"/>
      <c r="OY130" s="35"/>
      <c r="OZ130" s="35"/>
      <c r="PA130" s="35"/>
      <c r="PB130" s="35"/>
      <c r="PC130" s="35"/>
      <c r="PD130" s="35"/>
      <c r="PE130" s="35"/>
      <c r="PF130" s="35"/>
      <c r="PG130" s="35"/>
      <c r="PH130" s="35"/>
      <c r="PI130" s="35"/>
      <c r="PJ130" s="35"/>
      <c r="PK130" s="35"/>
      <c r="PL130" s="35"/>
      <c r="PM130" s="35"/>
      <c r="PN130" s="35"/>
      <c r="PO130" s="35"/>
      <c r="PP130" s="35"/>
      <c r="PQ130" s="35"/>
      <c r="PR130" s="35"/>
      <c r="PS130" s="35"/>
      <c r="PT130" s="35"/>
      <c r="PU130" s="35"/>
      <c r="PV130" s="35"/>
      <c r="PW130" s="35"/>
      <c r="PX130" s="35"/>
      <c r="PY130" s="35"/>
      <c r="PZ130" s="35"/>
      <c r="QA130" s="35"/>
      <c r="QB130" s="35"/>
      <c r="QC130" s="35"/>
      <c r="QD130" s="35"/>
      <c r="QE130" s="35"/>
      <c r="QF130" s="35"/>
      <c r="QG130" s="35"/>
      <c r="QH130" s="35"/>
      <c r="QI130" s="35"/>
      <c r="QJ130" s="35"/>
      <c r="QK130" s="35"/>
      <c r="QL130" s="35"/>
      <c r="QM130" s="35"/>
      <c r="QN130" s="35"/>
      <c r="QO130" s="35"/>
      <c r="QP130" s="35"/>
      <c r="QQ130" s="35"/>
      <c r="QR130" s="35"/>
      <c r="QS130" s="35"/>
      <c r="QT130" s="35"/>
      <c r="QU130" s="35"/>
      <c r="QV130" s="35"/>
      <c r="QW130" s="35"/>
      <c r="QX130" s="35"/>
      <c r="QY130" s="35"/>
      <c r="QZ130" s="35"/>
      <c r="RA130" s="35"/>
      <c r="RB130" s="35"/>
      <c r="RC130" s="35"/>
      <c r="RD130" s="35"/>
      <c r="RE130" s="35"/>
      <c r="RF130" s="35"/>
      <c r="RG130" s="35"/>
      <c r="RH130" s="35"/>
      <c r="RI130" s="35"/>
      <c r="RJ130" s="35"/>
      <c r="RK130" s="35"/>
      <c r="RL130" s="35"/>
      <c r="RM130" s="35"/>
      <c r="RN130" s="35"/>
      <c r="RO130" s="35"/>
      <c r="RP130" s="35"/>
      <c r="RQ130" s="35"/>
      <c r="RR130" s="35"/>
      <c r="RS130" s="35"/>
      <c r="RT130" s="35"/>
      <c r="RU130" s="35"/>
      <c r="RV130" s="35"/>
      <c r="RW130" s="35"/>
      <c r="RX130" s="35"/>
      <c r="RY130" s="35"/>
      <c r="RZ130" s="35"/>
      <c r="SA130" s="35"/>
      <c r="SB130" s="35"/>
      <c r="SC130" s="35"/>
      <c r="SD130" s="35"/>
      <c r="SE130" s="35"/>
      <c r="SF130" s="35"/>
      <c r="SG130" s="35"/>
      <c r="SH130" s="35"/>
      <c r="SI130" s="35"/>
      <c r="SJ130" s="35"/>
      <c r="SK130" s="35"/>
      <c r="SL130" s="35"/>
      <c r="SM130" s="35"/>
      <c r="SN130" s="35"/>
      <c r="SO130" s="35"/>
      <c r="SP130" s="35"/>
      <c r="SQ130" s="35"/>
      <c r="SR130" s="35"/>
      <c r="SS130" s="35"/>
      <c r="ST130" s="35"/>
      <c r="SU130" s="35"/>
      <c r="SV130" s="35"/>
      <c r="SW130" s="35"/>
      <c r="SX130" s="35"/>
      <c r="SY130" s="35"/>
      <c r="SZ130" s="35"/>
      <c r="TA130" s="35"/>
      <c r="TB130" s="35"/>
      <c r="TC130" s="35"/>
      <c r="TD130" s="35"/>
      <c r="TE130" s="35"/>
      <c r="TF130" s="35"/>
      <c r="TG130" s="35"/>
      <c r="TH130" s="35"/>
      <c r="TI130" s="35"/>
      <c r="TJ130" s="35"/>
      <c r="TK130" s="35"/>
      <c r="TL130" s="35"/>
      <c r="TM130" s="35"/>
      <c r="TN130" s="35"/>
      <c r="TO130" s="35"/>
      <c r="TP130" s="35"/>
      <c r="TQ130" s="35"/>
      <c r="TR130" s="35"/>
    </row>
    <row r="131" spans="1:538" s="22" customFormat="1" ht="22.5" customHeight="1" x14ac:dyDescent="0.25">
      <c r="A131" s="42" t="s">
        <v>176</v>
      </c>
      <c r="B131" s="43" t="str">
        <f>'дод 3'!A124</f>
        <v>7640</v>
      </c>
      <c r="C131" s="43" t="str">
        <f>'дод 3'!B124</f>
        <v>0470</v>
      </c>
      <c r="D131" s="23" t="str">
        <f>'дод 3'!C124</f>
        <v>Заходи з енергозбереження</v>
      </c>
      <c r="E131" s="67">
        <v>0</v>
      </c>
      <c r="F131" s="67"/>
      <c r="G131" s="67"/>
      <c r="H131" s="67"/>
      <c r="I131" s="67"/>
      <c r="J131" s="67"/>
      <c r="K131" s="140"/>
      <c r="L131" s="67">
        <v>396000</v>
      </c>
      <c r="M131" s="67">
        <v>396000</v>
      </c>
      <c r="N131" s="67"/>
      <c r="O131" s="67"/>
      <c r="P131" s="67"/>
      <c r="Q131" s="67">
        <v>396000</v>
      </c>
      <c r="R131" s="67">
        <f t="shared" si="96"/>
        <v>4008</v>
      </c>
      <c r="S131" s="67">
        <v>4008</v>
      </c>
      <c r="T131" s="67"/>
      <c r="U131" s="67"/>
      <c r="V131" s="67"/>
      <c r="W131" s="67">
        <v>4008</v>
      </c>
      <c r="X131" s="140">
        <f t="shared" si="54"/>
        <v>1.0121212121212122</v>
      </c>
      <c r="Y131" s="67">
        <f t="shared" si="97"/>
        <v>4008</v>
      </c>
      <c r="Z131" s="156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</row>
    <row r="132" spans="1:538" s="22" customFormat="1" ht="22.5" customHeight="1" x14ac:dyDescent="0.25">
      <c r="A132" s="42">
        <v>1018340</v>
      </c>
      <c r="B132" s="43" t="str">
        <f>'дод 3'!A141</f>
        <v>8340</v>
      </c>
      <c r="C132" s="43" t="str">
        <f>'дод 3'!B141</f>
        <v>0540</v>
      </c>
      <c r="D132" s="74" t="str">
        <f>'дод 3'!C141</f>
        <v>Природоохоронні заходи за рахунок цільових фондів</v>
      </c>
      <c r="E132" s="67">
        <v>0</v>
      </c>
      <c r="F132" s="67"/>
      <c r="G132" s="67"/>
      <c r="H132" s="67"/>
      <c r="I132" s="67"/>
      <c r="J132" s="67"/>
      <c r="K132" s="140"/>
      <c r="L132" s="67">
        <v>3000</v>
      </c>
      <c r="M132" s="67"/>
      <c r="N132" s="67">
        <v>3000</v>
      </c>
      <c r="O132" s="67"/>
      <c r="P132" s="67"/>
      <c r="Q132" s="67"/>
      <c r="R132" s="67">
        <f t="shared" si="96"/>
        <v>0</v>
      </c>
      <c r="S132" s="67"/>
      <c r="T132" s="67"/>
      <c r="U132" s="67"/>
      <c r="V132" s="67"/>
      <c r="W132" s="67"/>
      <c r="X132" s="140">
        <f t="shared" si="54"/>
        <v>0</v>
      </c>
      <c r="Y132" s="67">
        <f t="shared" si="97"/>
        <v>0</v>
      </c>
      <c r="Z132" s="156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</row>
    <row r="133" spans="1:538" s="30" customFormat="1" ht="34.5" customHeight="1" x14ac:dyDescent="0.2">
      <c r="A133" s="131" t="s">
        <v>231</v>
      </c>
      <c r="B133" s="71"/>
      <c r="C133" s="71"/>
      <c r="D133" s="29" t="s">
        <v>44</v>
      </c>
      <c r="E133" s="64">
        <f t="shared" ref="E133:J133" si="98">E134</f>
        <v>255447124.95999998</v>
      </c>
      <c r="F133" s="64">
        <f t="shared" si="98"/>
        <v>10410700</v>
      </c>
      <c r="G133" s="64">
        <f t="shared" si="98"/>
        <v>27870106</v>
      </c>
      <c r="H133" s="64">
        <f t="shared" si="98"/>
        <v>95482470.649999991</v>
      </c>
      <c r="I133" s="64">
        <f t="shared" si="98"/>
        <v>4843739.46</v>
      </c>
      <c r="J133" s="64">
        <f t="shared" si="98"/>
        <v>13174206.340000002</v>
      </c>
      <c r="K133" s="139">
        <f t="shared" si="51"/>
        <v>37.378565393895677</v>
      </c>
      <c r="L133" s="64">
        <v>196571455.63999999</v>
      </c>
      <c r="M133" s="64">
        <f t="shared" ref="M133" si="99">M134</f>
        <v>110602321.92</v>
      </c>
      <c r="N133" s="64">
        <f t="shared" ref="N133" si="100">N134</f>
        <v>82026890.269999996</v>
      </c>
      <c r="O133" s="64">
        <f t="shared" ref="O133" si="101">O134</f>
        <v>0</v>
      </c>
      <c r="P133" s="64">
        <f t="shared" ref="P133" si="102">P134</f>
        <v>540000</v>
      </c>
      <c r="Q133" s="64">
        <f t="shared" ref="Q133:Y133" si="103">Q134</f>
        <v>114544565.37</v>
      </c>
      <c r="R133" s="64">
        <f t="shared" ref="R133:V133" si="104">R134</f>
        <v>68521625.489999995</v>
      </c>
      <c r="S133" s="64">
        <f t="shared" si="104"/>
        <v>28409421.109999999</v>
      </c>
      <c r="T133" s="64">
        <f t="shared" si="104"/>
        <v>40112204.380000003</v>
      </c>
      <c r="U133" s="64">
        <f t="shared" si="104"/>
        <v>0</v>
      </c>
      <c r="V133" s="64">
        <f t="shared" si="104"/>
        <v>54999.9</v>
      </c>
      <c r="W133" s="64">
        <f t="shared" si="103"/>
        <v>28409421.109999999</v>
      </c>
      <c r="X133" s="139">
        <f t="shared" si="54"/>
        <v>34.858380260199205</v>
      </c>
      <c r="Y133" s="64">
        <f t="shared" si="103"/>
        <v>164004096.13999996</v>
      </c>
      <c r="Z133" s="156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  <c r="IV133" s="37"/>
      <c r="IW133" s="37"/>
      <c r="IX133" s="37"/>
      <c r="IY133" s="37"/>
      <c r="IZ133" s="37"/>
      <c r="JA133" s="37"/>
      <c r="JB133" s="37"/>
      <c r="JC133" s="37"/>
      <c r="JD133" s="37"/>
      <c r="JE133" s="37"/>
      <c r="JF133" s="37"/>
      <c r="JG133" s="37"/>
      <c r="JH133" s="37"/>
      <c r="JI133" s="37"/>
      <c r="JJ133" s="37"/>
      <c r="JK133" s="37"/>
      <c r="JL133" s="37"/>
      <c r="JM133" s="37"/>
      <c r="JN133" s="37"/>
      <c r="JO133" s="37"/>
      <c r="JP133" s="37"/>
      <c r="JQ133" s="37"/>
      <c r="JR133" s="37"/>
      <c r="JS133" s="37"/>
      <c r="JT133" s="37"/>
      <c r="JU133" s="37"/>
      <c r="JV133" s="37"/>
      <c r="JW133" s="37"/>
      <c r="JX133" s="37"/>
      <c r="JY133" s="37"/>
      <c r="JZ133" s="37"/>
      <c r="KA133" s="37"/>
      <c r="KB133" s="37"/>
      <c r="KC133" s="37"/>
      <c r="KD133" s="37"/>
      <c r="KE133" s="37"/>
      <c r="KF133" s="37"/>
      <c r="KG133" s="37"/>
      <c r="KH133" s="37"/>
      <c r="KI133" s="37"/>
      <c r="KJ133" s="37"/>
      <c r="KK133" s="37"/>
      <c r="KL133" s="37"/>
      <c r="KM133" s="37"/>
      <c r="KN133" s="37"/>
      <c r="KO133" s="37"/>
      <c r="KP133" s="37"/>
      <c r="KQ133" s="37"/>
      <c r="KR133" s="37"/>
      <c r="KS133" s="37"/>
      <c r="KT133" s="37"/>
      <c r="KU133" s="37"/>
      <c r="KV133" s="37"/>
      <c r="KW133" s="37"/>
      <c r="KX133" s="37"/>
      <c r="KY133" s="37"/>
      <c r="KZ133" s="37"/>
      <c r="LA133" s="37"/>
      <c r="LB133" s="37"/>
      <c r="LC133" s="37"/>
      <c r="LD133" s="37"/>
      <c r="LE133" s="37"/>
      <c r="LF133" s="37"/>
      <c r="LG133" s="37"/>
      <c r="LH133" s="37"/>
      <c r="LI133" s="37"/>
      <c r="LJ133" s="37"/>
      <c r="LK133" s="37"/>
      <c r="LL133" s="37"/>
      <c r="LM133" s="37"/>
      <c r="LN133" s="37"/>
      <c r="LO133" s="37"/>
      <c r="LP133" s="37"/>
      <c r="LQ133" s="37"/>
      <c r="LR133" s="37"/>
      <c r="LS133" s="37"/>
      <c r="LT133" s="37"/>
      <c r="LU133" s="37"/>
      <c r="LV133" s="37"/>
      <c r="LW133" s="37"/>
      <c r="LX133" s="37"/>
      <c r="LY133" s="37"/>
      <c r="LZ133" s="37"/>
      <c r="MA133" s="37"/>
      <c r="MB133" s="37"/>
      <c r="MC133" s="37"/>
      <c r="MD133" s="37"/>
      <c r="ME133" s="37"/>
      <c r="MF133" s="37"/>
      <c r="MG133" s="37"/>
      <c r="MH133" s="37"/>
      <c r="MI133" s="37"/>
      <c r="MJ133" s="37"/>
      <c r="MK133" s="37"/>
      <c r="ML133" s="37"/>
      <c r="MM133" s="37"/>
      <c r="MN133" s="37"/>
      <c r="MO133" s="37"/>
      <c r="MP133" s="37"/>
      <c r="MQ133" s="37"/>
      <c r="MR133" s="37"/>
      <c r="MS133" s="37"/>
      <c r="MT133" s="37"/>
      <c r="MU133" s="37"/>
      <c r="MV133" s="37"/>
      <c r="MW133" s="37"/>
      <c r="MX133" s="37"/>
      <c r="MY133" s="37"/>
      <c r="MZ133" s="37"/>
      <c r="NA133" s="37"/>
      <c r="NB133" s="37"/>
      <c r="NC133" s="37"/>
      <c r="ND133" s="37"/>
      <c r="NE133" s="37"/>
      <c r="NF133" s="37"/>
      <c r="NG133" s="37"/>
      <c r="NH133" s="37"/>
      <c r="NI133" s="37"/>
      <c r="NJ133" s="37"/>
      <c r="NK133" s="37"/>
      <c r="NL133" s="37"/>
      <c r="NM133" s="37"/>
      <c r="NN133" s="37"/>
      <c r="NO133" s="37"/>
      <c r="NP133" s="37"/>
      <c r="NQ133" s="37"/>
      <c r="NR133" s="37"/>
      <c r="NS133" s="37"/>
      <c r="NT133" s="37"/>
      <c r="NU133" s="37"/>
      <c r="NV133" s="37"/>
      <c r="NW133" s="37"/>
      <c r="NX133" s="37"/>
      <c r="NY133" s="37"/>
      <c r="NZ133" s="37"/>
      <c r="OA133" s="37"/>
      <c r="OB133" s="37"/>
      <c r="OC133" s="37"/>
      <c r="OD133" s="37"/>
      <c r="OE133" s="37"/>
      <c r="OF133" s="37"/>
      <c r="OG133" s="37"/>
      <c r="OH133" s="37"/>
      <c r="OI133" s="37"/>
      <c r="OJ133" s="37"/>
      <c r="OK133" s="37"/>
      <c r="OL133" s="37"/>
      <c r="OM133" s="37"/>
      <c r="ON133" s="37"/>
      <c r="OO133" s="37"/>
      <c r="OP133" s="37"/>
      <c r="OQ133" s="37"/>
      <c r="OR133" s="37"/>
      <c r="OS133" s="37"/>
      <c r="OT133" s="37"/>
      <c r="OU133" s="37"/>
      <c r="OV133" s="37"/>
      <c r="OW133" s="37"/>
      <c r="OX133" s="37"/>
      <c r="OY133" s="37"/>
      <c r="OZ133" s="37"/>
      <c r="PA133" s="37"/>
      <c r="PB133" s="37"/>
      <c r="PC133" s="37"/>
      <c r="PD133" s="37"/>
      <c r="PE133" s="37"/>
      <c r="PF133" s="37"/>
      <c r="PG133" s="37"/>
      <c r="PH133" s="37"/>
      <c r="PI133" s="37"/>
      <c r="PJ133" s="37"/>
      <c r="PK133" s="37"/>
      <c r="PL133" s="37"/>
      <c r="PM133" s="37"/>
      <c r="PN133" s="37"/>
      <c r="PO133" s="37"/>
      <c r="PP133" s="37"/>
      <c r="PQ133" s="37"/>
      <c r="PR133" s="37"/>
      <c r="PS133" s="37"/>
      <c r="PT133" s="37"/>
      <c r="PU133" s="37"/>
      <c r="PV133" s="37"/>
      <c r="PW133" s="37"/>
      <c r="PX133" s="37"/>
      <c r="PY133" s="37"/>
      <c r="PZ133" s="37"/>
      <c r="QA133" s="37"/>
      <c r="QB133" s="37"/>
      <c r="QC133" s="37"/>
      <c r="QD133" s="37"/>
      <c r="QE133" s="37"/>
      <c r="QF133" s="37"/>
      <c r="QG133" s="37"/>
      <c r="QH133" s="37"/>
      <c r="QI133" s="37"/>
      <c r="QJ133" s="37"/>
      <c r="QK133" s="37"/>
      <c r="QL133" s="37"/>
      <c r="QM133" s="37"/>
      <c r="QN133" s="37"/>
      <c r="QO133" s="37"/>
      <c r="QP133" s="37"/>
      <c r="QQ133" s="37"/>
      <c r="QR133" s="37"/>
      <c r="QS133" s="37"/>
      <c r="QT133" s="37"/>
      <c r="QU133" s="37"/>
      <c r="QV133" s="37"/>
      <c r="QW133" s="37"/>
      <c r="QX133" s="37"/>
      <c r="QY133" s="37"/>
      <c r="QZ133" s="37"/>
      <c r="RA133" s="37"/>
      <c r="RB133" s="37"/>
      <c r="RC133" s="37"/>
      <c r="RD133" s="37"/>
      <c r="RE133" s="37"/>
      <c r="RF133" s="37"/>
      <c r="RG133" s="37"/>
      <c r="RH133" s="37"/>
      <c r="RI133" s="37"/>
      <c r="RJ133" s="37"/>
      <c r="RK133" s="37"/>
      <c r="RL133" s="37"/>
      <c r="RM133" s="37"/>
      <c r="RN133" s="37"/>
      <c r="RO133" s="37"/>
      <c r="RP133" s="37"/>
      <c r="RQ133" s="37"/>
      <c r="RR133" s="37"/>
      <c r="RS133" s="37"/>
      <c r="RT133" s="37"/>
      <c r="RU133" s="37"/>
      <c r="RV133" s="37"/>
      <c r="RW133" s="37"/>
      <c r="RX133" s="37"/>
      <c r="RY133" s="37"/>
      <c r="RZ133" s="37"/>
      <c r="SA133" s="37"/>
      <c r="SB133" s="37"/>
      <c r="SC133" s="37"/>
      <c r="SD133" s="37"/>
      <c r="SE133" s="37"/>
      <c r="SF133" s="37"/>
      <c r="SG133" s="37"/>
      <c r="SH133" s="37"/>
      <c r="SI133" s="37"/>
      <c r="SJ133" s="37"/>
      <c r="SK133" s="37"/>
      <c r="SL133" s="37"/>
      <c r="SM133" s="37"/>
      <c r="SN133" s="37"/>
      <c r="SO133" s="37"/>
      <c r="SP133" s="37"/>
      <c r="SQ133" s="37"/>
      <c r="SR133" s="37"/>
      <c r="SS133" s="37"/>
      <c r="ST133" s="37"/>
      <c r="SU133" s="37"/>
      <c r="SV133" s="37"/>
      <c r="SW133" s="37"/>
      <c r="SX133" s="37"/>
      <c r="SY133" s="37"/>
      <c r="SZ133" s="37"/>
      <c r="TA133" s="37"/>
      <c r="TB133" s="37"/>
      <c r="TC133" s="37"/>
      <c r="TD133" s="37"/>
      <c r="TE133" s="37"/>
      <c r="TF133" s="37"/>
      <c r="TG133" s="37"/>
      <c r="TH133" s="37"/>
      <c r="TI133" s="37"/>
      <c r="TJ133" s="37"/>
      <c r="TK133" s="37"/>
      <c r="TL133" s="37"/>
      <c r="TM133" s="37"/>
      <c r="TN133" s="37"/>
      <c r="TO133" s="37"/>
      <c r="TP133" s="37"/>
      <c r="TQ133" s="37"/>
      <c r="TR133" s="37"/>
    </row>
    <row r="134" spans="1:538" s="39" customFormat="1" ht="36.75" customHeight="1" x14ac:dyDescent="0.25">
      <c r="A134" s="73" t="s">
        <v>232</v>
      </c>
      <c r="B134" s="72"/>
      <c r="C134" s="72"/>
      <c r="D134" s="32" t="s">
        <v>44</v>
      </c>
      <c r="E134" s="66">
        <f>E136+E137+E138+E139+E140+E141+E142+E143+E144+E145+E146+E148+E147+E150+E154+E155+E156+E159+E160+E149+E152+E158+E157</f>
        <v>255447124.95999998</v>
      </c>
      <c r="F134" s="66">
        <f t="shared" ref="F134:G134" si="105">F136+F137+F138+F139+F140+F141+F142+F143+F144+F145+F146+F148+F147+F150+F154+F155+F156+F159+F160+F149+F152+F158+F157</f>
        <v>10410700</v>
      </c>
      <c r="G134" s="66">
        <f t="shared" si="105"/>
        <v>27870106</v>
      </c>
      <c r="H134" s="66">
        <f>H136+H137+H138+H139+H140+H141+H142+H143+H144+H145+H146+H148+H147+H150+H154+H155+H156+H159+H160+H149+H152+H158+H157</f>
        <v>95482470.649999991</v>
      </c>
      <c r="I134" s="66">
        <f t="shared" ref="I134:J134" si="106">I136+I137+I138+I139+I140+I141+I142+I143+I144+I145+I146+I148+I147+I150+I154+I155+I156+I159+I160+I149+I152+I158+I157</f>
        <v>4843739.46</v>
      </c>
      <c r="J134" s="66">
        <f t="shared" si="106"/>
        <v>13174206.340000002</v>
      </c>
      <c r="K134" s="139">
        <f t="shared" si="51"/>
        <v>37.378565393895677</v>
      </c>
      <c r="L134" s="66">
        <v>196571455.63999999</v>
      </c>
      <c r="M134" s="66">
        <f t="shared" ref="M134:Y134" si="107">M136+M137+M138+M139+M140+M141+M142+M143+M144+M145+M146+M148+M147+M150+M154+M155+M156+M159+M160+M149+M152+M158+M157</f>
        <v>110602321.92</v>
      </c>
      <c r="N134" s="66">
        <f t="shared" si="107"/>
        <v>82026890.269999996</v>
      </c>
      <c r="O134" s="66">
        <f t="shared" si="107"/>
        <v>0</v>
      </c>
      <c r="P134" s="66">
        <f t="shared" si="107"/>
        <v>540000</v>
      </c>
      <c r="Q134" s="66">
        <f t="shared" si="107"/>
        <v>114544565.37</v>
      </c>
      <c r="R134" s="66">
        <f t="shared" si="107"/>
        <v>68521625.489999995</v>
      </c>
      <c r="S134" s="66">
        <f t="shared" ref="S134:W134" si="108">S136+S137+S138+S139+S140+S141+S142+S143+S144+S145+S146+S148+S147+S150+S154+S155+S156+S159+S160+S149+S152+S158+S157</f>
        <v>28409421.109999999</v>
      </c>
      <c r="T134" s="66">
        <f t="shared" si="108"/>
        <v>40112204.380000003</v>
      </c>
      <c r="U134" s="66">
        <f t="shared" si="108"/>
        <v>0</v>
      </c>
      <c r="V134" s="66">
        <f t="shared" si="108"/>
        <v>54999.9</v>
      </c>
      <c r="W134" s="66">
        <f t="shared" si="108"/>
        <v>28409421.109999999</v>
      </c>
      <c r="X134" s="139">
        <f t="shared" si="54"/>
        <v>34.858380260199205</v>
      </c>
      <c r="Y134" s="66">
        <f t="shared" si="107"/>
        <v>164004096.13999996</v>
      </c>
      <c r="Z134" s="156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8"/>
      <c r="JO134" s="38"/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8"/>
      <c r="KK134" s="38"/>
      <c r="KL134" s="38"/>
      <c r="KM134" s="38"/>
      <c r="KN134" s="38"/>
      <c r="KO134" s="38"/>
      <c r="KP134" s="38"/>
      <c r="KQ134" s="38"/>
      <c r="KR134" s="38"/>
      <c r="KS134" s="38"/>
      <c r="KT134" s="38"/>
      <c r="KU134" s="38"/>
      <c r="KV134" s="38"/>
      <c r="KW134" s="38"/>
      <c r="KX134" s="38"/>
      <c r="KY134" s="38"/>
      <c r="KZ134" s="38"/>
      <c r="LA134" s="38"/>
      <c r="LB134" s="38"/>
      <c r="LC134" s="38"/>
      <c r="LD134" s="38"/>
      <c r="LE134" s="38"/>
      <c r="LF134" s="38"/>
      <c r="LG134" s="38"/>
      <c r="LH134" s="38"/>
      <c r="LI134" s="38"/>
      <c r="LJ134" s="38"/>
      <c r="LK134" s="38"/>
      <c r="LL134" s="38"/>
      <c r="LM134" s="38"/>
      <c r="LN134" s="38"/>
      <c r="LO134" s="38"/>
      <c r="LP134" s="38"/>
      <c r="LQ134" s="38"/>
      <c r="LR134" s="38"/>
      <c r="LS134" s="38"/>
      <c r="LT134" s="38"/>
      <c r="LU134" s="38"/>
      <c r="LV134" s="38"/>
      <c r="LW134" s="38"/>
      <c r="LX134" s="38"/>
      <c r="LY134" s="38"/>
      <c r="LZ134" s="38"/>
      <c r="MA134" s="38"/>
      <c r="MB134" s="38"/>
      <c r="MC134" s="38"/>
      <c r="MD134" s="38"/>
      <c r="ME134" s="38"/>
      <c r="MF134" s="38"/>
      <c r="MG134" s="38"/>
      <c r="MH134" s="38"/>
      <c r="MI134" s="38"/>
      <c r="MJ134" s="38"/>
      <c r="MK134" s="38"/>
      <c r="ML134" s="38"/>
      <c r="MM134" s="38"/>
      <c r="MN134" s="38"/>
      <c r="MO134" s="38"/>
      <c r="MP134" s="38"/>
      <c r="MQ134" s="38"/>
      <c r="MR134" s="38"/>
      <c r="MS134" s="38"/>
      <c r="MT134" s="38"/>
      <c r="MU134" s="38"/>
      <c r="MV134" s="38"/>
      <c r="MW134" s="38"/>
      <c r="MX134" s="38"/>
      <c r="MY134" s="38"/>
      <c r="MZ134" s="38"/>
      <c r="NA134" s="38"/>
      <c r="NB134" s="38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38"/>
      <c r="OI134" s="38"/>
      <c r="OJ134" s="38"/>
      <c r="OK134" s="38"/>
      <c r="OL134" s="38"/>
      <c r="OM134" s="38"/>
      <c r="ON134" s="38"/>
      <c r="OO134" s="38"/>
      <c r="OP134" s="38"/>
      <c r="OQ134" s="38"/>
      <c r="OR134" s="38"/>
      <c r="OS134" s="38"/>
      <c r="OT134" s="38"/>
      <c r="OU134" s="38"/>
      <c r="OV134" s="38"/>
      <c r="OW134" s="38"/>
      <c r="OX134" s="38"/>
      <c r="OY134" s="38"/>
      <c r="OZ134" s="38"/>
      <c r="PA134" s="38"/>
      <c r="PB134" s="38"/>
      <c r="PC134" s="38"/>
      <c r="PD134" s="38"/>
      <c r="PE134" s="38"/>
      <c r="PF134" s="38"/>
      <c r="PG134" s="38"/>
      <c r="PH134" s="38"/>
      <c r="PI134" s="38"/>
      <c r="PJ134" s="38"/>
      <c r="PK134" s="38"/>
      <c r="PL134" s="38"/>
      <c r="PM134" s="38"/>
      <c r="PN134" s="38"/>
      <c r="PO134" s="38"/>
      <c r="PP134" s="38"/>
      <c r="PQ134" s="38"/>
      <c r="PR134" s="38"/>
      <c r="PS134" s="38"/>
      <c r="PT134" s="38"/>
      <c r="PU134" s="38"/>
      <c r="PV134" s="38"/>
      <c r="PW134" s="38"/>
      <c r="PX134" s="38"/>
      <c r="PY134" s="38"/>
      <c r="PZ134" s="38"/>
      <c r="QA134" s="38"/>
      <c r="QB134" s="38"/>
      <c r="QC134" s="38"/>
      <c r="QD134" s="38"/>
      <c r="QE134" s="38"/>
      <c r="QF134" s="38"/>
      <c r="QG134" s="38"/>
      <c r="QH134" s="38"/>
      <c r="QI134" s="38"/>
      <c r="QJ134" s="38"/>
      <c r="QK134" s="38"/>
      <c r="QL134" s="38"/>
      <c r="QM134" s="38"/>
      <c r="QN134" s="38"/>
      <c r="QO134" s="38"/>
      <c r="QP134" s="38"/>
      <c r="QQ134" s="38"/>
      <c r="QR134" s="38"/>
      <c r="QS134" s="38"/>
      <c r="QT134" s="38"/>
      <c r="QU134" s="38"/>
      <c r="QV134" s="38"/>
      <c r="QW134" s="38"/>
      <c r="QX134" s="38"/>
      <c r="QY134" s="38"/>
      <c r="QZ134" s="38"/>
      <c r="RA134" s="38"/>
      <c r="RB134" s="38"/>
      <c r="RC134" s="38"/>
      <c r="RD134" s="38"/>
      <c r="RE134" s="38"/>
      <c r="RF134" s="38"/>
      <c r="RG134" s="38"/>
      <c r="RH134" s="38"/>
      <c r="RI134" s="38"/>
      <c r="RJ134" s="38"/>
      <c r="RK134" s="38"/>
      <c r="RL134" s="38"/>
      <c r="RM134" s="38"/>
      <c r="RN134" s="38"/>
      <c r="RO134" s="38"/>
      <c r="RP134" s="38"/>
      <c r="RQ134" s="38"/>
      <c r="RR134" s="38"/>
      <c r="RS134" s="38"/>
      <c r="RT134" s="38"/>
      <c r="RU134" s="38"/>
      <c r="RV134" s="38"/>
      <c r="RW134" s="38"/>
      <c r="RX134" s="38"/>
      <c r="RY134" s="38"/>
      <c r="RZ134" s="38"/>
      <c r="SA134" s="38"/>
      <c r="SB134" s="38"/>
      <c r="SC134" s="38"/>
      <c r="SD134" s="38"/>
      <c r="SE134" s="38"/>
      <c r="SF134" s="38"/>
      <c r="SG134" s="38"/>
      <c r="SH134" s="38"/>
      <c r="SI134" s="38"/>
      <c r="SJ134" s="38"/>
      <c r="SK134" s="38"/>
      <c r="SL134" s="38"/>
      <c r="SM134" s="38"/>
      <c r="SN134" s="38"/>
      <c r="SO134" s="38"/>
      <c r="SP134" s="38"/>
      <c r="SQ134" s="38"/>
      <c r="SR134" s="38"/>
      <c r="SS134" s="38"/>
      <c r="ST134" s="38"/>
      <c r="SU134" s="38"/>
      <c r="SV134" s="38"/>
      <c r="SW134" s="38"/>
      <c r="SX134" s="38"/>
      <c r="SY134" s="38"/>
      <c r="SZ134" s="38"/>
      <c r="TA134" s="38"/>
      <c r="TB134" s="38"/>
      <c r="TC134" s="38"/>
      <c r="TD134" s="38"/>
      <c r="TE134" s="38"/>
      <c r="TF134" s="38"/>
      <c r="TG134" s="38"/>
      <c r="TH134" s="38"/>
      <c r="TI134" s="38"/>
      <c r="TJ134" s="38"/>
      <c r="TK134" s="38"/>
      <c r="TL134" s="38"/>
      <c r="TM134" s="38"/>
      <c r="TN134" s="38"/>
      <c r="TO134" s="38"/>
      <c r="TP134" s="38"/>
      <c r="TQ134" s="38"/>
      <c r="TR134" s="38"/>
    </row>
    <row r="135" spans="1:538" s="39" customFormat="1" ht="15" customHeight="1" x14ac:dyDescent="0.25">
      <c r="A135" s="73"/>
      <c r="B135" s="72"/>
      <c r="C135" s="72"/>
      <c r="D135" s="32" t="s">
        <v>307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139"/>
      <c r="L135" s="66">
        <v>80937420.379999995</v>
      </c>
      <c r="M135" s="66">
        <f t="shared" ref="M135:Y135" si="109">M151+M153</f>
        <v>937420.38</v>
      </c>
      <c r="N135" s="66">
        <f t="shared" si="109"/>
        <v>80000000</v>
      </c>
      <c r="O135" s="66">
        <f t="shared" si="109"/>
        <v>0</v>
      </c>
      <c r="P135" s="66">
        <f t="shared" si="109"/>
        <v>0</v>
      </c>
      <c r="Q135" s="66">
        <f t="shared" si="109"/>
        <v>937420.38</v>
      </c>
      <c r="R135" s="66">
        <f t="shared" si="109"/>
        <v>40287338.829999998</v>
      </c>
      <c r="S135" s="66">
        <f t="shared" ref="S135:W135" si="110">S151+S153</f>
        <v>287338.83</v>
      </c>
      <c r="T135" s="66">
        <f t="shared" si="110"/>
        <v>40000000</v>
      </c>
      <c r="U135" s="66">
        <f t="shared" si="110"/>
        <v>0</v>
      </c>
      <c r="V135" s="66">
        <f t="shared" si="110"/>
        <v>0</v>
      </c>
      <c r="W135" s="66">
        <f t="shared" si="110"/>
        <v>287338.83</v>
      </c>
      <c r="X135" s="139">
        <f t="shared" si="54"/>
        <v>49.775911612763956</v>
      </c>
      <c r="Y135" s="66">
        <f t="shared" si="109"/>
        <v>40287338.829999998</v>
      </c>
      <c r="Z135" s="156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8"/>
      <c r="JO135" s="38"/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8"/>
      <c r="KK135" s="38"/>
      <c r="KL135" s="38"/>
      <c r="KM135" s="38"/>
      <c r="KN135" s="38"/>
      <c r="KO135" s="38"/>
      <c r="KP135" s="38"/>
      <c r="KQ135" s="38"/>
      <c r="KR135" s="38"/>
      <c r="KS135" s="38"/>
      <c r="KT135" s="38"/>
      <c r="KU135" s="38"/>
      <c r="KV135" s="38"/>
      <c r="KW135" s="38"/>
      <c r="KX135" s="38"/>
      <c r="KY135" s="38"/>
      <c r="KZ135" s="38"/>
      <c r="LA135" s="38"/>
      <c r="LB135" s="38"/>
      <c r="LC135" s="38"/>
      <c r="LD135" s="38"/>
      <c r="LE135" s="38"/>
      <c r="LF135" s="38"/>
      <c r="LG135" s="38"/>
      <c r="LH135" s="38"/>
      <c r="LI135" s="38"/>
      <c r="LJ135" s="38"/>
      <c r="LK135" s="38"/>
      <c r="LL135" s="38"/>
      <c r="LM135" s="38"/>
      <c r="LN135" s="38"/>
      <c r="LO135" s="38"/>
      <c r="LP135" s="38"/>
      <c r="LQ135" s="38"/>
      <c r="LR135" s="38"/>
      <c r="LS135" s="38"/>
      <c r="LT135" s="38"/>
      <c r="LU135" s="38"/>
      <c r="LV135" s="38"/>
      <c r="LW135" s="38"/>
      <c r="LX135" s="38"/>
      <c r="LY135" s="38"/>
      <c r="LZ135" s="38"/>
      <c r="MA135" s="38"/>
      <c r="MB135" s="38"/>
      <c r="MC135" s="38"/>
      <c r="MD135" s="38"/>
      <c r="ME135" s="38"/>
      <c r="MF135" s="38"/>
      <c r="MG135" s="38"/>
      <c r="MH135" s="38"/>
      <c r="MI135" s="38"/>
      <c r="MJ135" s="38"/>
      <c r="MK135" s="38"/>
      <c r="ML135" s="38"/>
      <c r="MM135" s="38"/>
      <c r="MN135" s="38"/>
      <c r="MO135" s="38"/>
      <c r="MP135" s="38"/>
      <c r="MQ135" s="38"/>
      <c r="MR135" s="38"/>
      <c r="MS135" s="38"/>
      <c r="MT135" s="38"/>
      <c r="MU135" s="38"/>
      <c r="MV135" s="38"/>
      <c r="MW135" s="38"/>
      <c r="MX135" s="38"/>
      <c r="MY135" s="38"/>
      <c r="MZ135" s="38"/>
      <c r="NA135" s="38"/>
      <c r="NB135" s="38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38"/>
      <c r="OI135" s="38"/>
      <c r="OJ135" s="38"/>
      <c r="OK135" s="38"/>
      <c r="OL135" s="38"/>
      <c r="OM135" s="38"/>
      <c r="ON135" s="38"/>
      <c r="OO135" s="38"/>
      <c r="OP135" s="38"/>
      <c r="OQ135" s="38"/>
      <c r="OR135" s="38"/>
      <c r="OS135" s="38"/>
      <c r="OT135" s="38"/>
      <c r="OU135" s="38"/>
      <c r="OV135" s="38"/>
      <c r="OW135" s="38"/>
      <c r="OX135" s="38"/>
      <c r="OY135" s="38"/>
      <c r="OZ135" s="38"/>
      <c r="PA135" s="38"/>
      <c r="PB135" s="38"/>
      <c r="PC135" s="38"/>
      <c r="PD135" s="38"/>
      <c r="PE135" s="38"/>
      <c r="PF135" s="38"/>
      <c r="PG135" s="38"/>
      <c r="PH135" s="38"/>
      <c r="PI135" s="38"/>
      <c r="PJ135" s="38"/>
      <c r="PK135" s="38"/>
      <c r="PL135" s="38"/>
      <c r="PM135" s="38"/>
      <c r="PN135" s="38"/>
      <c r="PO135" s="38"/>
      <c r="PP135" s="38"/>
      <c r="PQ135" s="38"/>
      <c r="PR135" s="38"/>
      <c r="PS135" s="38"/>
      <c r="PT135" s="38"/>
      <c r="PU135" s="38"/>
      <c r="PV135" s="38"/>
      <c r="PW135" s="38"/>
      <c r="PX135" s="38"/>
      <c r="PY135" s="38"/>
      <c r="PZ135" s="38"/>
      <c r="QA135" s="38"/>
      <c r="QB135" s="38"/>
      <c r="QC135" s="38"/>
      <c r="QD135" s="38"/>
      <c r="QE135" s="38"/>
      <c r="QF135" s="38"/>
      <c r="QG135" s="38"/>
      <c r="QH135" s="38"/>
      <c r="QI135" s="38"/>
      <c r="QJ135" s="38"/>
      <c r="QK135" s="38"/>
      <c r="QL135" s="38"/>
      <c r="QM135" s="38"/>
      <c r="QN135" s="38"/>
      <c r="QO135" s="38"/>
      <c r="QP135" s="38"/>
      <c r="QQ135" s="38"/>
      <c r="QR135" s="38"/>
      <c r="QS135" s="38"/>
      <c r="QT135" s="38"/>
      <c r="QU135" s="38"/>
      <c r="QV135" s="38"/>
      <c r="QW135" s="38"/>
      <c r="QX135" s="38"/>
      <c r="QY135" s="38"/>
      <c r="QZ135" s="38"/>
      <c r="RA135" s="38"/>
      <c r="RB135" s="38"/>
      <c r="RC135" s="38"/>
      <c r="RD135" s="38"/>
      <c r="RE135" s="38"/>
      <c r="RF135" s="38"/>
      <c r="RG135" s="38"/>
      <c r="RH135" s="38"/>
      <c r="RI135" s="38"/>
      <c r="RJ135" s="38"/>
      <c r="RK135" s="38"/>
      <c r="RL135" s="38"/>
      <c r="RM135" s="38"/>
      <c r="RN135" s="38"/>
      <c r="RO135" s="38"/>
      <c r="RP135" s="38"/>
      <c r="RQ135" s="38"/>
      <c r="RR135" s="38"/>
      <c r="RS135" s="38"/>
      <c r="RT135" s="38"/>
      <c r="RU135" s="38"/>
      <c r="RV135" s="38"/>
      <c r="RW135" s="38"/>
      <c r="RX135" s="38"/>
      <c r="RY135" s="38"/>
      <c r="RZ135" s="38"/>
      <c r="SA135" s="38"/>
      <c r="SB135" s="38"/>
      <c r="SC135" s="38"/>
      <c r="SD135" s="38"/>
      <c r="SE135" s="38"/>
      <c r="SF135" s="38"/>
      <c r="SG135" s="38"/>
      <c r="SH135" s="38"/>
      <c r="SI135" s="38"/>
      <c r="SJ135" s="38"/>
      <c r="SK135" s="38"/>
      <c r="SL135" s="38"/>
      <c r="SM135" s="38"/>
      <c r="SN135" s="38"/>
      <c r="SO135" s="38"/>
      <c r="SP135" s="38"/>
      <c r="SQ135" s="38"/>
      <c r="SR135" s="38"/>
      <c r="SS135" s="38"/>
      <c r="ST135" s="38"/>
      <c r="SU135" s="38"/>
      <c r="SV135" s="38"/>
      <c r="SW135" s="38"/>
      <c r="SX135" s="38"/>
      <c r="SY135" s="38"/>
      <c r="SZ135" s="38"/>
      <c r="TA135" s="38"/>
      <c r="TB135" s="38"/>
      <c r="TC135" s="38"/>
      <c r="TD135" s="38"/>
      <c r="TE135" s="38"/>
      <c r="TF135" s="38"/>
      <c r="TG135" s="38"/>
      <c r="TH135" s="38"/>
      <c r="TI135" s="38"/>
      <c r="TJ135" s="38"/>
      <c r="TK135" s="38"/>
      <c r="TL135" s="38"/>
      <c r="TM135" s="38"/>
      <c r="TN135" s="38"/>
      <c r="TO135" s="38"/>
      <c r="TP135" s="38"/>
      <c r="TQ135" s="38"/>
      <c r="TR135" s="38"/>
    </row>
    <row r="136" spans="1:538" s="22" customFormat="1" ht="48.75" customHeight="1" x14ac:dyDescent="0.25">
      <c r="A136" s="42" t="s">
        <v>233</v>
      </c>
      <c r="B136" s="43" t="str">
        <f>'дод 3'!A19</f>
        <v>0160</v>
      </c>
      <c r="C136" s="43" t="str">
        <f>'дод 3'!B19</f>
        <v>0111</v>
      </c>
      <c r="D136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36" s="67">
        <v>13501800</v>
      </c>
      <c r="F136" s="67">
        <v>10410700</v>
      </c>
      <c r="G136" s="67">
        <v>164000</v>
      </c>
      <c r="H136" s="67">
        <v>6203434.5499999998</v>
      </c>
      <c r="I136" s="67">
        <v>4843739.46</v>
      </c>
      <c r="J136" s="67">
        <v>65206.32</v>
      </c>
      <c r="K136" s="140">
        <f t="shared" si="51"/>
        <v>45.945241004903046</v>
      </c>
      <c r="L136" s="67">
        <v>0</v>
      </c>
      <c r="M136" s="67"/>
      <c r="N136" s="67"/>
      <c r="O136" s="67"/>
      <c r="P136" s="67"/>
      <c r="Q136" s="67"/>
      <c r="R136" s="67">
        <f t="shared" ref="R136:R160" si="111">T136+W136</f>
        <v>0</v>
      </c>
      <c r="S136" s="67"/>
      <c r="T136" s="67"/>
      <c r="U136" s="67"/>
      <c r="V136" s="67"/>
      <c r="W136" s="67"/>
      <c r="X136" s="140"/>
      <c r="Y136" s="67">
        <f t="shared" ref="Y136:Y160" si="112">H136+R136</f>
        <v>6203434.5499999998</v>
      </c>
      <c r="Z136" s="156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/>
      <c r="PP136" s="25"/>
      <c r="PQ136" s="25"/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</row>
    <row r="137" spans="1:538" s="22" customFormat="1" ht="19.5" customHeight="1" x14ac:dyDescent="0.25">
      <c r="A137" s="51" t="s">
        <v>351</v>
      </c>
      <c r="B137" s="44" t="str">
        <f>'дод 3'!A73</f>
        <v>3210</v>
      </c>
      <c r="C137" s="44" t="str">
        <f>'дод 3'!B73</f>
        <v>1050</v>
      </c>
      <c r="D137" s="21" t="str">
        <f>'дод 3'!C73</f>
        <v>Організація та проведення громадських робіт</v>
      </c>
      <c r="E137" s="67">
        <v>400000</v>
      </c>
      <c r="F137" s="67"/>
      <c r="G137" s="67"/>
      <c r="H137" s="67">
        <v>108838.36</v>
      </c>
      <c r="I137" s="67"/>
      <c r="J137" s="67"/>
      <c r="K137" s="140">
        <f t="shared" si="51"/>
        <v>27.209589999999999</v>
      </c>
      <c r="L137" s="67">
        <v>0</v>
      </c>
      <c r="M137" s="67"/>
      <c r="N137" s="67"/>
      <c r="O137" s="67"/>
      <c r="P137" s="67"/>
      <c r="Q137" s="67"/>
      <c r="R137" s="67">
        <f t="shared" si="111"/>
        <v>0</v>
      </c>
      <c r="S137" s="67"/>
      <c r="T137" s="67"/>
      <c r="U137" s="67"/>
      <c r="V137" s="67"/>
      <c r="W137" s="67"/>
      <c r="X137" s="140"/>
      <c r="Y137" s="67">
        <f t="shared" si="112"/>
        <v>108838.36</v>
      </c>
      <c r="Z137" s="156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  <c r="NG137" s="25"/>
      <c r="NH137" s="25"/>
      <c r="NI137" s="25"/>
      <c r="NJ137" s="25"/>
      <c r="NK137" s="25"/>
      <c r="NL137" s="25"/>
      <c r="NM137" s="25"/>
      <c r="NN137" s="25"/>
      <c r="NO137" s="25"/>
      <c r="NP137" s="25"/>
      <c r="NQ137" s="25"/>
      <c r="NR137" s="25"/>
      <c r="NS137" s="25"/>
      <c r="NT137" s="25"/>
      <c r="NU137" s="25"/>
      <c r="NV137" s="25"/>
      <c r="NW137" s="25"/>
      <c r="NX137" s="25"/>
      <c r="NY137" s="25"/>
      <c r="NZ137" s="25"/>
      <c r="OA137" s="25"/>
      <c r="OB137" s="25"/>
      <c r="OC137" s="25"/>
      <c r="OD137" s="25"/>
      <c r="OE137" s="25"/>
      <c r="OF137" s="25"/>
      <c r="OG137" s="25"/>
      <c r="OH137" s="25"/>
      <c r="OI137" s="25"/>
      <c r="OJ137" s="25"/>
      <c r="OK137" s="25"/>
      <c r="OL137" s="25"/>
      <c r="OM137" s="25"/>
      <c r="ON137" s="25"/>
      <c r="OO137" s="25"/>
      <c r="OP137" s="25"/>
      <c r="OQ137" s="25"/>
      <c r="OR137" s="25"/>
      <c r="OS137" s="25"/>
      <c r="OT137" s="25"/>
      <c r="OU137" s="25"/>
      <c r="OV137" s="25"/>
      <c r="OW137" s="25"/>
      <c r="OX137" s="25"/>
      <c r="OY137" s="25"/>
      <c r="OZ137" s="25"/>
      <c r="PA137" s="25"/>
      <c r="PB137" s="25"/>
      <c r="PC137" s="25"/>
      <c r="PD137" s="25"/>
      <c r="PE137" s="25"/>
      <c r="PF137" s="25"/>
      <c r="PG137" s="25"/>
      <c r="PH137" s="25"/>
      <c r="PI137" s="25"/>
      <c r="PJ137" s="25"/>
      <c r="PK137" s="25"/>
      <c r="PL137" s="25"/>
      <c r="PM137" s="25"/>
      <c r="PN137" s="25"/>
      <c r="PO137" s="25"/>
      <c r="PP137" s="25"/>
      <c r="PQ137" s="25"/>
      <c r="PR137" s="25"/>
      <c r="PS137" s="25"/>
      <c r="PT137" s="25"/>
      <c r="PU137" s="25"/>
      <c r="PV137" s="25"/>
      <c r="PW137" s="25"/>
      <c r="PX137" s="25"/>
      <c r="PY137" s="25"/>
      <c r="PZ137" s="25"/>
      <c r="QA137" s="25"/>
      <c r="QB137" s="25"/>
      <c r="QC137" s="25"/>
      <c r="QD137" s="25"/>
      <c r="QE137" s="25"/>
      <c r="QF137" s="25"/>
      <c r="QG137" s="25"/>
      <c r="QH137" s="25"/>
      <c r="QI137" s="25"/>
      <c r="QJ137" s="25"/>
      <c r="QK137" s="25"/>
      <c r="QL137" s="25"/>
      <c r="QM137" s="25"/>
      <c r="QN137" s="25"/>
      <c r="QO137" s="25"/>
      <c r="QP137" s="25"/>
      <c r="QQ137" s="25"/>
      <c r="QR137" s="25"/>
      <c r="QS137" s="25"/>
      <c r="QT137" s="25"/>
      <c r="QU137" s="25"/>
      <c r="QV137" s="25"/>
      <c r="QW137" s="25"/>
      <c r="QX137" s="25"/>
      <c r="QY137" s="25"/>
      <c r="QZ137" s="25"/>
      <c r="RA137" s="25"/>
      <c r="RB137" s="25"/>
      <c r="RC137" s="25"/>
      <c r="RD137" s="25"/>
      <c r="RE137" s="25"/>
      <c r="RF137" s="25"/>
      <c r="RG137" s="25"/>
      <c r="RH137" s="25"/>
      <c r="RI137" s="25"/>
      <c r="RJ137" s="25"/>
      <c r="RK137" s="25"/>
      <c r="RL137" s="25"/>
      <c r="RM137" s="25"/>
      <c r="RN137" s="25"/>
      <c r="RO137" s="25"/>
      <c r="RP137" s="25"/>
      <c r="RQ137" s="25"/>
      <c r="RR137" s="25"/>
      <c r="RS137" s="25"/>
      <c r="RT137" s="25"/>
      <c r="RU137" s="25"/>
      <c r="RV137" s="25"/>
      <c r="RW137" s="25"/>
      <c r="RX137" s="25"/>
      <c r="RY137" s="25"/>
      <c r="RZ137" s="25"/>
      <c r="SA137" s="25"/>
      <c r="SB137" s="25"/>
      <c r="SC137" s="25"/>
      <c r="SD137" s="25"/>
      <c r="SE137" s="25"/>
      <c r="SF137" s="25"/>
      <c r="SG137" s="25"/>
      <c r="SH137" s="25"/>
      <c r="SI137" s="25"/>
      <c r="SJ137" s="25"/>
      <c r="SK137" s="25"/>
      <c r="SL137" s="25"/>
      <c r="SM137" s="25"/>
      <c r="SN137" s="25"/>
      <c r="SO137" s="25"/>
      <c r="SP137" s="25"/>
      <c r="SQ137" s="25"/>
      <c r="SR137" s="25"/>
      <c r="SS137" s="25"/>
      <c r="ST137" s="25"/>
      <c r="SU137" s="25"/>
      <c r="SV137" s="25"/>
      <c r="SW137" s="25"/>
      <c r="SX137" s="25"/>
      <c r="SY137" s="25"/>
      <c r="SZ137" s="25"/>
      <c r="TA137" s="25"/>
      <c r="TB137" s="25"/>
      <c r="TC137" s="25"/>
      <c r="TD137" s="25"/>
      <c r="TE137" s="25"/>
      <c r="TF137" s="25"/>
      <c r="TG137" s="25"/>
      <c r="TH137" s="25"/>
      <c r="TI137" s="25"/>
      <c r="TJ137" s="25"/>
      <c r="TK137" s="25"/>
      <c r="TL137" s="25"/>
      <c r="TM137" s="25"/>
      <c r="TN137" s="25"/>
      <c r="TO137" s="25"/>
      <c r="TP137" s="25"/>
      <c r="TQ137" s="25"/>
      <c r="TR137" s="25"/>
    </row>
    <row r="138" spans="1:538" s="22" customFormat="1" ht="38.25" customHeight="1" x14ac:dyDescent="0.25">
      <c r="A138" s="42" t="s">
        <v>234</v>
      </c>
      <c r="B138" s="43" t="str">
        <f>'дод 3'!A89</f>
        <v>6011</v>
      </c>
      <c r="C138" s="43" t="str">
        <f>'дод 3'!B89</f>
        <v>0610</v>
      </c>
      <c r="D138" s="23" t="str">
        <f>'дод 3'!C89</f>
        <v>Експлуатація та технічне обслуговування житлового фонду</v>
      </c>
      <c r="E138" s="67">
        <v>0</v>
      </c>
      <c r="F138" s="67"/>
      <c r="G138" s="67"/>
      <c r="H138" s="67"/>
      <c r="I138" s="67"/>
      <c r="J138" s="67"/>
      <c r="K138" s="140"/>
      <c r="L138" s="67">
        <v>12167333.93</v>
      </c>
      <c r="M138" s="67">
        <f>20000000-4500000-5000000-1188215.76-766.31+827545+291000+100000+309505+49000+1200000+49266</f>
        <v>12137333.93</v>
      </c>
      <c r="N138" s="67"/>
      <c r="O138" s="67"/>
      <c r="P138" s="67"/>
      <c r="Q138" s="67">
        <f>20000000+30000-4500000-5000000-1188215.76-766.31+827545+291000+100000+309505+49000+1200000+49266</f>
        <v>12167333.93</v>
      </c>
      <c r="R138" s="67">
        <f t="shared" si="111"/>
        <v>6965955.79</v>
      </c>
      <c r="S138" s="67">
        <v>6965955.79</v>
      </c>
      <c r="T138" s="67"/>
      <c r="U138" s="67"/>
      <c r="V138" s="67"/>
      <c r="W138" s="67">
        <v>6965955.79</v>
      </c>
      <c r="X138" s="140">
        <f t="shared" si="54"/>
        <v>57.251291285962104</v>
      </c>
      <c r="Y138" s="67">
        <f t="shared" si="112"/>
        <v>6965955.79</v>
      </c>
      <c r="Z138" s="156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  <c r="NG138" s="25"/>
      <c r="NH138" s="25"/>
      <c r="NI138" s="25"/>
      <c r="NJ138" s="25"/>
      <c r="NK138" s="25"/>
      <c r="NL138" s="25"/>
      <c r="NM138" s="25"/>
      <c r="NN138" s="25"/>
      <c r="NO138" s="25"/>
      <c r="NP138" s="25"/>
      <c r="NQ138" s="25"/>
      <c r="NR138" s="25"/>
      <c r="NS138" s="25"/>
      <c r="NT138" s="25"/>
      <c r="NU138" s="25"/>
      <c r="NV138" s="25"/>
      <c r="NW138" s="25"/>
      <c r="NX138" s="25"/>
      <c r="NY138" s="25"/>
      <c r="NZ138" s="25"/>
      <c r="OA138" s="25"/>
      <c r="OB138" s="25"/>
      <c r="OC138" s="25"/>
      <c r="OD138" s="25"/>
      <c r="OE138" s="25"/>
      <c r="OF138" s="25"/>
      <c r="OG138" s="25"/>
      <c r="OH138" s="25"/>
      <c r="OI138" s="25"/>
      <c r="OJ138" s="25"/>
      <c r="OK138" s="25"/>
      <c r="OL138" s="25"/>
      <c r="OM138" s="25"/>
      <c r="ON138" s="25"/>
      <c r="OO138" s="25"/>
      <c r="OP138" s="25"/>
      <c r="OQ138" s="25"/>
      <c r="OR138" s="25"/>
      <c r="OS138" s="25"/>
      <c r="OT138" s="25"/>
      <c r="OU138" s="25"/>
      <c r="OV138" s="25"/>
      <c r="OW138" s="25"/>
      <c r="OX138" s="25"/>
      <c r="OY138" s="25"/>
      <c r="OZ138" s="25"/>
      <c r="PA138" s="25"/>
      <c r="PB138" s="25"/>
      <c r="PC138" s="25"/>
      <c r="PD138" s="25"/>
      <c r="PE138" s="25"/>
      <c r="PF138" s="25"/>
      <c r="PG138" s="25"/>
      <c r="PH138" s="25"/>
      <c r="PI138" s="25"/>
      <c r="PJ138" s="25"/>
      <c r="PK138" s="25"/>
      <c r="PL138" s="25"/>
      <c r="PM138" s="25"/>
      <c r="PN138" s="25"/>
      <c r="PO138" s="25"/>
      <c r="PP138" s="25"/>
      <c r="PQ138" s="25"/>
      <c r="PR138" s="25"/>
      <c r="PS138" s="25"/>
      <c r="PT138" s="25"/>
      <c r="PU138" s="25"/>
      <c r="PV138" s="25"/>
      <c r="PW138" s="25"/>
      <c r="PX138" s="25"/>
      <c r="PY138" s="25"/>
      <c r="PZ138" s="25"/>
      <c r="QA138" s="25"/>
      <c r="QB138" s="25"/>
      <c r="QC138" s="25"/>
      <c r="QD138" s="25"/>
      <c r="QE138" s="25"/>
      <c r="QF138" s="25"/>
      <c r="QG138" s="25"/>
      <c r="QH138" s="25"/>
      <c r="QI138" s="25"/>
      <c r="QJ138" s="25"/>
      <c r="QK138" s="25"/>
      <c r="QL138" s="25"/>
      <c r="QM138" s="25"/>
      <c r="QN138" s="25"/>
      <c r="QO138" s="25"/>
      <c r="QP138" s="25"/>
      <c r="QQ138" s="25"/>
      <c r="QR138" s="25"/>
      <c r="QS138" s="25"/>
      <c r="QT138" s="25"/>
      <c r="QU138" s="25"/>
      <c r="QV138" s="25"/>
      <c r="QW138" s="25"/>
      <c r="QX138" s="25"/>
      <c r="QY138" s="25"/>
      <c r="QZ138" s="25"/>
      <c r="RA138" s="25"/>
      <c r="RB138" s="25"/>
      <c r="RC138" s="25"/>
      <c r="RD138" s="25"/>
      <c r="RE138" s="25"/>
      <c r="RF138" s="25"/>
      <c r="RG138" s="25"/>
      <c r="RH138" s="25"/>
      <c r="RI138" s="25"/>
      <c r="RJ138" s="25"/>
      <c r="RK138" s="25"/>
      <c r="RL138" s="25"/>
      <c r="RM138" s="25"/>
      <c r="RN138" s="25"/>
      <c r="RO138" s="25"/>
      <c r="RP138" s="25"/>
      <c r="RQ138" s="25"/>
      <c r="RR138" s="25"/>
      <c r="RS138" s="25"/>
      <c r="RT138" s="25"/>
      <c r="RU138" s="25"/>
      <c r="RV138" s="25"/>
      <c r="RW138" s="25"/>
      <c r="RX138" s="25"/>
      <c r="RY138" s="25"/>
      <c r="RZ138" s="25"/>
      <c r="SA138" s="25"/>
      <c r="SB138" s="25"/>
      <c r="SC138" s="25"/>
      <c r="SD138" s="25"/>
      <c r="SE138" s="25"/>
      <c r="SF138" s="25"/>
      <c r="SG138" s="25"/>
      <c r="SH138" s="25"/>
      <c r="SI138" s="25"/>
      <c r="SJ138" s="25"/>
      <c r="SK138" s="25"/>
      <c r="SL138" s="25"/>
      <c r="SM138" s="25"/>
      <c r="SN138" s="25"/>
      <c r="SO138" s="25"/>
      <c r="SP138" s="25"/>
      <c r="SQ138" s="25"/>
      <c r="SR138" s="25"/>
      <c r="SS138" s="25"/>
      <c r="ST138" s="25"/>
      <c r="SU138" s="25"/>
      <c r="SV138" s="25"/>
      <c r="SW138" s="25"/>
      <c r="SX138" s="25"/>
      <c r="SY138" s="25"/>
      <c r="SZ138" s="25"/>
      <c r="TA138" s="25"/>
      <c r="TB138" s="25"/>
      <c r="TC138" s="25"/>
      <c r="TD138" s="25"/>
      <c r="TE138" s="25"/>
      <c r="TF138" s="25"/>
      <c r="TG138" s="25"/>
      <c r="TH138" s="25"/>
      <c r="TI138" s="25"/>
      <c r="TJ138" s="25"/>
      <c r="TK138" s="25"/>
      <c r="TL138" s="25"/>
      <c r="TM138" s="25"/>
      <c r="TN138" s="25"/>
      <c r="TO138" s="25"/>
      <c r="TP138" s="25"/>
      <c r="TQ138" s="25"/>
      <c r="TR138" s="25"/>
    </row>
    <row r="139" spans="1:538" s="22" customFormat="1" ht="33" customHeight="1" x14ac:dyDescent="0.25">
      <c r="A139" s="42" t="s">
        <v>235</v>
      </c>
      <c r="B139" s="43" t="str">
        <f>'дод 3'!A90</f>
        <v>6013</v>
      </c>
      <c r="C139" s="43" t="str">
        <f>'дод 3'!B90</f>
        <v>0620</v>
      </c>
      <c r="D139" s="23" t="str">
        <f>'дод 3'!C90</f>
        <v>Забезпечення діяльності водопровідно-каналізаційного господарства</v>
      </c>
      <c r="E139" s="67">
        <v>30925000</v>
      </c>
      <c r="F139" s="67"/>
      <c r="G139" s="67"/>
      <c r="H139" s="67">
        <v>15685594.76</v>
      </c>
      <c r="I139" s="67"/>
      <c r="J139" s="67"/>
      <c r="K139" s="140">
        <f t="shared" si="51"/>
        <v>50.72140585286985</v>
      </c>
      <c r="L139" s="67">
        <v>1721000</v>
      </c>
      <c r="M139" s="67">
        <f>1700000+20000+1000</f>
        <v>1721000</v>
      </c>
      <c r="N139" s="67"/>
      <c r="O139" s="67"/>
      <c r="P139" s="67"/>
      <c r="Q139" s="67">
        <f>1700000+20000+1000</f>
        <v>1721000</v>
      </c>
      <c r="R139" s="67">
        <f t="shared" si="111"/>
        <v>0</v>
      </c>
      <c r="S139" s="67"/>
      <c r="T139" s="67"/>
      <c r="U139" s="67"/>
      <c r="V139" s="67"/>
      <c r="W139" s="67"/>
      <c r="X139" s="140">
        <f t="shared" si="54"/>
        <v>0</v>
      </c>
      <c r="Y139" s="67">
        <f t="shared" si="112"/>
        <v>15685594.76</v>
      </c>
      <c r="Z139" s="156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</row>
    <row r="140" spans="1:538" s="22" customFormat="1" ht="27.75" customHeight="1" x14ac:dyDescent="0.25">
      <c r="A140" s="42" t="s">
        <v>300</v>
      </c>
      <c r="B140" s="43" t="str">
        <f>'дод 3'!A91</f>
        <v>6015</v>
      </c>
      <c r="C140" s="43" t="str">
        <f>'дод 3'!B91</f>
        <v>0620</v>
      </c>
      <c r="D140" s="23" t="str">
        <f>'дод 3'!C91</f>
        <v>Забезпечення надійної та безперебійної експлуатації ліфтів</v>
      </c>
      <c r="E140" s="67">
        <v>193887</v>
      </c>
      <c r="F140" s="67"/>
      <c r="G140" s="67"/>
      <c r="H140" s="67">
        <v>18319.14</v>
      </c>
      <c r="I140" s="67"/>
      <c r="J140" s="67"/>
      <c r="K140" s="140">
        <f t="shared" si="51"/>
        <v>9.4483590957619636</v>
      </c>
      <c r="L140" s="67">
        <v>13408448.83</v>
      </c>
      <c r="M140" s="67">
        <f>15000000+9-1500000-405560.17+164000+100000-935318+935318</f>
        <v>13358448.83</v>
      </c>
      <c r="N140" s="67"/>
      <c r="O140" s="67"/>
      <c r="P140" s="67"/>
      <c r="Q140" s="67">
        <f>15000000+50000+9-1500000-405560.17+164000+100000-935318+935318</f>
        <v>13408448.83</v>
      </c>
      <c r="R140" s="67">
        <f t="shared" si="111"/>
        <v>3603943.81</v>
      </c>
      <c r="S140" s="67">
        <v>3603943.81</v>
      </c>
      <c r="T140" s="67"/>
      <c r="U140" s="67"/>
      <c r="V140" s="67"/>
      <c r="W140" s="67">
        <v>3603943.81</v>
      </c>
      <c r="X140" s="140">
        <f t="shared" si="54"/>
        <v>26.878156121508649</v>
      </c>
      <c r="Y140" s="67">
        <f t="shared" si="112"/>
        <v>3622262.95</v>
      </c>
      <c r="Z140" s="156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/>
      <c r="OX140" s="25"/>
      <c r="OY140" s="25"/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</row>
    <row r="141" spans="1:538" s="22" customFormat="1" ht="38.25" customHeight="1" x14ac:dyDescent="0.25">
      <c r="A141" s="42" t="s">
        <v>303</v>
      </c>
      <c r="B141" s="43" t="str">
        <f>'дод 3'!A92</f>
        <v>6017</v>
      </c>
      <c r="C141" s="43" t="str">
        <f>'дод 3'!B92</f>
        <v>0620</v>
      </c>
      <c r="D141" s="23" t="str">
        <f>'дод 3'!C92</f>
        <v>Інша діяльність, пов’язана з експлуатацією об’єктів житлово-комунального господарства</v>
      </c>
      <c r="E141" s="67">
        <v>100000</v>
      </c>
      <c r="F141" s="67"/>
      <c r="G141" s="67"/>
      <c r="H141" s="67"/>
      <c r="I141" s="67"/>
      <c r="J141" s="67"/>
      <c r="K141" s="140">
        <f t="shared" si="51"/>
        <v>0</v>
      </c>
      <c r="L141" s="67">
        <v>0</v>
      </c>
      <c r="M141" s="67"/>
      <c r="N141" s="67"/>
      <c r="O141" s="67"/>
      <c r="P141" s="67"/>
      <c r="Q141" s="67"/>
      <c r="R141" s="67">
        <f t="shared" si="111"/>
        <v>0</v>
      </c>
      <c r="S141" s="67"/>
      <c r="T141" s="67"/>
      <c r="U141" s="67"/>
      <c r="V141" s="67"/>
      <c r="W141" s="67"/>
      <c r="X141" s="140"/>
      <c r="Y141" s="67">
        <f t="shared" si="112"/>
        <v>0</v>
      </c>
      <c r="Z141" s="156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</row>
    <row r="142" spans="1:538" s="22" customFormat="1" ht="45" x14ac:dyDescent="0.25">
      <c r="A142" s="42" t="s">
        <v>236</v>
      </c>
      <c r="B142" s="43" t="str">
        <f>'дод 3'!A93</f>
        <v>6020</v>
      </c>
      <c r="C142" s="43" t="str">
        <f>'дод 3'!B93</f>
        <v>0620</v>
      </c>
      <c r="D142" s="23" t="str">
        <f>'дод 3'!C93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42" s="67">
        <v>2605232</v>
      </c>
      <c r="F142" s="67"/>
      <c r="G142" s="67"/>
      <c r="H142" s="67">
        <v>146562.48000000001</v>
      </c>
      <c r="I142" s="67"/>
      <c r="J142" s="67"/>
      <c r="K142" s="140">
        <f t="shared" si="51"/>
        <v>5.6256978265275421</v>
      </c>
      <c r="L142" s="67">
        <v>2000000</v>
      </c>
      <c r="M142" s="67">
        <f>2000000-2000000+2000000</f>
        <v>2000000</v>
      </c>
      <c r="N142" s="67"/>
      <c r="O142" s="67"/>
      <c r="P142" s="67"/>
      <c r="Q142" s="67">
        <f>2000000-2000000+2000000</f>
        <v>2000000</v>
      </c>
      <c r="R142" s="67">
        <f t="shared" si="111"/>
        <v>599323.9</v>
      </c>
      <c r="S142" s="67">
        <v>599323.9</v>
      </c>
      <c r="T142" s="67"/>
      <c r="U142" s="67"/>
      <c r="V142" s="67"/>
      <c r="W142" s="67">
        <v>599323.9</v>
      </c>
      <c r="X142" s="140">
        <f t="shared" si="54"/>
        <v>29.966195000000003</v>
      </c>
      <c r="Y142" s="67">
        <f t="shared" si="112"/>
        <v>745886.38</v>
      </c>
      <c r="Z142" s="156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</row>
    <row r="143" spans="1:538" s="22" customFormat="1" ht="21.75" customHeight="1" x14ac:dyDescent="0.25">
      <c r="A143" s="42" t="s">
        <v>237</v>
      </c>
      <c r="B143" s="43" t="str">
        <f>'дод 3'!A94</f>
        <v>6030</v>
      </c>
      <c r="C143" s="43" t="str">
        <f>'дод 3'!B94</f>
        <v>0620</v>
      </c>
      <c r="D143" s="23" t="str">
        <f>'дод 3'!C94</f>
        <v>Організація благоустрою населених пунктів</v>
      </c>
      <c r="E143" s="67">
        <v>192585770.56999999</v>
      </c>
      <c r="F143" s="67"/>
      <c r="G143" s="67">
        <v>27615706</v>
      </c>
      <c r="H143" s="67">
        <v>71380027.049999997</v>
      </c>
      <c r="I143" s="67"/>
      <c r="J143" s="67">
        <v>13078474.83</v>
      </c>
      <c r="K143" s="140">
        <f t="shared" si="51"/>
        <v>37.064019236070813</v>
      </c>
      <c r="L143" s="67">
        <v>34361415.150000006</v>
      </c>
      <c r="M143" s="67">
        <f>27800000+1000000+5000000+5550000-5000000+150000+100000-4000000+10112784.63-4629526.59+12715677.07-18000+75000+110000-575000+163369.04+569000-199000-6600000-6700000-50000+110000+177000-1499889</f>
        <v>34361415.150000006</v>
      </c>
      <c r="N143" s="68"/>
      <c r="O143" s="67"/>
      <c r="P143" s="67"/>
      <c r="Q143" s="67">
        <f>27800000+1000000+5000000+5550000-5000000+150000+100000-4000000+10112784.63-4629526.59+12715677.07-18000+75000+110000-575000+163369.04+569000-199000-6600000-6700000-50000+110000+177000-1499889</f>
        <v>34361415.150000006</v>
      </c>
      <c r="R143" s="67">
        <f t="shared" si="111"/>
        <v>13309171.960000001</v>
      </c>
      <c r="S143" s="67">
        <v>13309171.960000001</v>
      </c>
      <c r="T143" s="68"/>
      <c r="U143" s="67"/>
      <c r="V143" s="67"/>
      <c r="W143" s="67">
        <v>13309171.960000001</v>
      </c>
      <c r="X143" s="140">
        <f t="shared" si="54"/>
        <v>38.732898228727343</v>
      </c>
      <c r="Y143" s="67">
        <f t="shared" si="112"/>
        <v>84689199.00999999</v>
      </c>
      <c r="Z143" s="156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</row>
    <row r="144" spans="1:538" s="22" customFormat="1" ht="31.5" customHeight="1" x14ac:dyDescent="0.25">
      <c r="A144" s="42" t="s">
        <v>293</v>
      </c>
      <c r="B144" s="43" t="str">
        <f>'дод 3'!A96</f>
        <v>6090</v>
      </c>
      <c r="C144" s="43" t="str">
        <f>'дод 3'!B96</f>
        <v>0640</v>
      </c>
      <c r="D144" s="23" t="str">
        <f>'дод 3'!C96</f>
        <v>Інша діяльність у сфері житлово-комунального господарства</v>
      </c>
      <c r="E144" s="67">
        <v>11179117.390000001</v>
      </c>
      <c r="F144" s="67"/>
      <c r="G144" s="67">
        <v>42400</v>
      </c>
      <c r="H144" s="67">
        <v>823391.21</v>
      </c>
      <c r="I144" s="67"/>
      <c r="J144" s="67">
        <v>8010.89</v>
      </c>
      <c r="K144" s="140">
        <f t="shared" ref="K144:K205" si="113">H144/E144*100</f>
        <v>7.3654402335603342</v>
      </c>
      <c r="L144" s="67">
        <v>800708.78999999911</v>
      </c>
      <c r="M144" s="67">
        <f>21793738-10545638.97-1288734.74-6359655.5-305000-2494000</f>
        <v>800708.78999999911</v>
      </c>
      <c r="N144" s="67"/>
      <c r="O144" s="67"/>
      <c r="P144" s="67"/>
      <c r="Q144" s="67">
        <f>21793738-10545638.97-1288734.74-6359655.5-305000-2494000</f>
        <v>800708.78999999911</v>
      </c>
      <c r="R144" s="67">
        <f t="shared" si="111"/>
        <v>0</v>
      </c>
      <c r="S144" s="67"/>
      <c r="T144" s="67"/>
      <c r="U144" s="67"/>
      <c r="V144" s="67"/>
      <c r="W144" s="67"/>
      <c r="X144" s="140">
        <f t="shared" ref="X144:X205" si="114">R144/L144*100</f>
        <v>0</v>
      </c>
      <c r="Y144" s="67">
        <f t="shared" si="112"/>
        <v>823391.21</v>
      </c>
      <c r="Z144" s="156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</row>
    <row r="145" spans="1:538" s="22" customFormat="1" ht="33" customHeight="1" x14ac:dyDescent="0.25">
      <c r="A145" s="42" t="s">
        <v>313</v>
      </c>
      <c r="B145" s="43" t="str">
        <f>'дод 3'!A103</f>
        <v>7310</v>
      </c>
      <c r="C145" s="43" t="str">
        <f>'дод 3'!B103</f>
        <v>0443</v>
      </c>
      <c r="D145" s="23" t="str">
        <f>'дод 3'!C103</f>
        <v>Будівництво об'єктів житлово-комунального господарства</v>
      </c>
      <c r="E145" s="67">
        <v>0</v>
      </c>
      <c r="F145" s="67"/>
      <c r="G145" s="67"/>
      <c r="H145" s="67"/>
      <c r="I145" s="67"/>
      <c r="J145" s="67"/>
      <c r="K145" s="140"/>
      <c r="L145" s="67">
        <v>8872297.7599999979</v>
      </c>
      <c r="M145" s="67">
        <f>12540000-60000+40000+8953612-4000000+2338215.76-3000+2000-8410000-1200000-494730+230000-1380000+300000+16200</f>
        <v>8872297.7599999979</v>
      </c>
      <c r="N145" s="67"/>
      <c r="O145" s="67"/>
      <c r="P145" s="67"/>
      <c r="Q145" s="67">
        <f>12540000-60000+40000+8953612-4000000+2338215.76-3000+2000-8410000-1200000-494730+230000-1380000+300000+16200</f>
        <v>8872297.7599999979</v>
      </c>
      <c r="R145" s="67">
        <f t="shared" si="111"/>
        <v>2385249.63</v>
      </c>
      <c r="S145" s="67">
        <v>2385249.63</v>
      </c>
      <c r="T145" s="67"/>
      <c r="U145" s="67"/>
      <c r="V145" s="67"/>
      <c r="W145" s="67">
        <v>2385249.63</v>
      </c>
      <c r="X145" s="140">
        <f t="shared" si="114"/>
        <v>26.884237821161676</v>
      </c>
      <c r="Y145" s="67">
        <f t="shared" si="112"/>
        <v>2385249.63</v>
      </c>
      <c r="Z145" s="156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</row>
    <row r="146" spans="1:538" s="22" customFormat="1" ht="21.75" customHeight="1" x14ac:dyDescent="0.25">
      <c r="A146" s="42" t="s">
        <v>315</v>
      </c>
      <c r="B146" s="43" t="str">
        <f>'дод 3'!A107</f>
        <v>7330</v>
      </c>
      <c r="C146" s="43" t="str">
        <f>'дод 3'!B107</f>
        <v>0443</v>
      </c>
      <c r="D146" s="23" t="str">
        <f>'дод 3'!C107</f>
        <v>Будівництво інших об'єктів комунальної власності</v>
      </c>
      <c r="E146" s="67">
        <v>0</v>
      </c>
      <c r="F146" s="67"/>
      <c r="G146" s="67"/>
      <c r="H146" s="67"/>
      <c r="I146" s="67"/>
      <c r="J146" s="67"/>
      <c r="K146" s="140"/>
      <c r="L146" s="67">
        <v>7258887.7699999996</v>
      </c>
      <c r="M146" s="67">
        <f>15750000+4777000+3000-50000-100000-5550000-700000+550000-4000000+432854.34-1950000+4818144.43+210000+68000-8500000+1499889</f>
        <v>7258887.7699999996</v>
      </c>
      <c r="N146" s="67"/>
      <c r="O146" s="67"/>
      <c r="P146" s="67"/>
      <c r="Q146" s="67">
        <f>15750000+4777000+3000-50000-100000-5550000-700000+550000-4000000+432854.34-1950000+4818144.43+210000+68000-8500000+1499889</f>
        <v>7258887.7699999996</v>
      </c>
      <c r="R146" s="67">
        <f t="shared" si="111"/>
        <v>1258437.19</v>
      </c>
      <c r="S146" s="67">
        <v>1258437.19</v>
      </c>
      <c r="T146" s="67"/>
      <c r="U146" s="67"/>
      <c r="V146" s="67"/>
      <c r="W146" s="67">
        <v>1258437.19</v>
      </c>
      <c r="X146" s="140">
        <f t="shared" si="114"/>
        <v>17.336501539546465</v>
      </c>
      <c r="Y146" s="67">
        <f t="shared" si="112"/>
        <v>1258437.19</v>
      </c>
      <c r="Z146" s="156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</row>
    <row r="147" spans="1:538" s="22" customFormat="1" ht="29.25" customHeight="1" x14ac:dyDescent="0.25">
      <c r="A147" s="42" t="s">
        <v>238</v>
      </c>
      <c r="B147" s="43" t="str">
        <f>'дод 3'!A108</f>
        <v>7340</v>
      </c>
      <c r="C147" s="42" t="s">
        <v>132</v>
      </c>
      <c r="D147" s="23" t="str">
        <f>'дод 3'!C108</f>
        <v>Проектування, реставрація та охорона пам'яток архітектури</v>
      </c>
      <c r="E147" s="67">
        <v>0</v>
      </c>
      <c r="F147" s="67"/>
      <c r="G147" s="67"/>
      <c r="H147" s="67"/>
      <c r="I147" s="67"/>
      <c r="J147" s="67"/>
      <c r="K147" s="140"/>
      <c r="L147" s="67">
        <v>3000000</v>
      </c>
      <c r="M147" s="67">
        <v>3000000</v>
      </c>
      <c r="N147" s="67"/>
      <c r="O147" s="67"/>
      <c r="P147" s="67"/>
      <c r="Q147" s="67">
        <v>3000000</v>
      </c>
      <c r="R147" s="67">
        <f t="shared" si="111"/>
        <v>0</v>
      </c>
      <c r="S147" s="67"/>
      <c r="T147" s="67"/>
      <c r="U147" s="67"/>
      <c r="V147" s="67"/>
      <c r="W147" s="67"/>
      <c r="X147" s="140">
        <f t="shared" si="114"/>
        <v>0</v>
      </c>
      <c r="Y147" s="67">
        <f t="shared" si="112"/>
        <v>0</v>
      </c>
      <c r="Z147" s="156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</row>
    <row r="148" spans="1:538" s="22" customFormat="1" ht="49.5" customHeight="1" x14ac:dyDescent="0.25">
      <c r="A148" s="42" t="s">
        <v>443</v>
      </c>
      <c r="B148" s="43">
        <f>'дод 3'!A109</f>
        <v>7361</v>
      </c>
      <c r="C148" s="43" t="str">
        <f>'дод 3'!B109</f>
        <v>0490</v>
      </c>
      <c r="D148" s="23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48" s="67">
        <v>0</v>
      </c>
      <c r="F148" s="67"/>
      <c r="G148" s="67"/>
      <c r="H148" s="67"/>
      <c r="I148" s="67"/>
      <c r="J148" s="67"/>
      <c r="K148" s="140"/>
      <c r="L148" s="67">
        <v>1386113</v>
      </c>
      <c r="M148" s="67">
        <v>1386113</v>
      </c>
      <c r="N148" s="67"/>
      <c r="O148" s="67"/>
      <c r="P148" s="67"/>
      <c r="Q148" s="67">
        <v>1386113</v>
      </c>
      <c r="R148" s="67">
        <f t="shared" si="111"/>
        <v>0</v>
      </c>
      <c r="S148" s="67"/>
      <c r="T148" s="67"/>
      <c r="U148" s="67"/>
      <c r="V148" s="67"/>
      <c r="W148" s="67"/>
      <c r="X148" s="140">
        <f t="shared" si="114"/>
        <v>0</v>
      </c>
      <c r="Y148" s="67">
        <f t="shared" si="112"/>
        <v>0</v>
      </c>
      <c r="Z148" s="156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</row>
    <row r="149" spans="1:538" s="22" customFormat="1" ht="30" x14ac:dyDescent="0.25">
      <c r="A149" s="42">
        <v>1217362</v>
      </c>
      <c r="B149" s="43">
        <f>'дод 3'!A110</f>
        <v>7362</v>
      </c>
      <c r="C149" s="43" t="str">
        <f>'дод 3'!B110</f>
        <v>0490</v>
      </c>
      <c r="D149" s="23" t="str">
        <f>'дод 3'!C110</f>
        <v>Виконання інвестиційних проектів в рамках підтримки розвитку об'єднаних територіальних громад</v>
      </c>
      <c r="E149" s="67">
        <v>0</v>
      </c>
      <c r="F149" s="67"/>
      <c r="G149" s="67"/>
      <c r="H149" s="67"/>
      <c r="I149" s="67"/>
      <c r="J149" s="67"/>
      <c r="K149" s="140"/>
      <c r="L149" s="67">
        <v>75600</v>
      </c>
      <c r="M149" s="67">
        <v>75600</v>
      </c>
      <c r="N149" s="67"/>
      <c r="O149" s="67"/>
      <c r="P149" s="67"/>
      <c r="Q149" s="67">
        <v>75600</v>
      </c>
      <c r="R149" s="67">
        <f t="shared" si="111"/>
        <v>0</v>
      </c>
      <c r="S149" s="67"/>
      <c r="T149" s="67"/>
      <c r="U149" s="67"/>
      <c r="V149" s="67"/>
      <c r="W149" s="67"/>
      <c r="X149" s="140">
        <f t="shared" si="114"/>
        <v>0</v>
      </c>
      <c r="Y149" s="67">
        <f t="shared" si="112"/>
        <v>0</v>
      </c>
      <c r="Z149" s="156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</row>
    <row r="150" spans="1:538" s="22" customFormat="1" ht="45" x14ac:dyDescent="0.25">
      <c r="A150" s="42" t="s">
        <v>439</v>
      </c>
      <c r="B150" s="43">
        <v>7363</v>
      </c>
      <c r="C150" s="102" t="s">
        <v>102</v>
      </c>
      <c r="D150" s="103" t="s">
        <v>435</v>
      </c>
      <c r="E150" s="67">
        <v>0</v>
      </c>
      <c r="F150" s="67"/>
      <c r="G150" s="67"/>
      <c r="H150" s="67"/>
      <c r="I150" s="67"/>
      <c r="J150" s="67"/>
      <c r="K150" s="140"/>
      <c r="L150" s="67">
        <v>956186.69000000006</v>
      </c>
      <c r="M150" s="67">
        <f>18766.31+937420.38</f>
        <v>956186.69000000006</v>
      </c>
      <c r="N150" s="67"/>
      <c r="O150" s="67"/>
      <c r="P150" s="67"/>
      <c r="Q150" s="67">
        <f>18766.31+937420.38</f>
        <v>956186.69000000006</v>
      </c>
      <c r="R150" s="67">
        <f t="shared" si="111"/>
        <v>287338.83</v>
      </c>
      <c r="S150" s="67">
        <v>287338.83</v>
      </c>
      <c r="T150" s="67"/>
      <c r="U150" s="67"/>
      <c r="V150" s="67"/>
      <c r="W150" s="67">
        <v>287338.83</v>
      </c>
      <c r="X150" s="140">
        <f t="shared" si="114"/>
        <v>30.05049463719266</v>
      </c>
      <c r="Y150" s="67">
        <f t="shared" si="112"/>
        <v>287338.83</v>
      </c>
      <c r="Z150" s="156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</row>
    <row r="151" spans="1:538" s="22" customFormat="1" ht="15" x14ac:dyDescent="0.25">
      <c r="A151" s="42"/>
      <c r="B151" s="43"/>
      <c r="C151" s="43"/>
      <c r="D151" s="21" t="s">
        <v>307</v>
      </c>
      <c r="E151" s="67">
        <v>0</v>
      </c>
      <c r="F151" s="67"/>
      <c r="G151" s="67"/>
      <c r="H151" s="67"/>
      <c r="I151" s="67"/>
      <c r="J151" s="67"/>
      <c r="K151" s="140"/>
      <c r="L151" s="67">
        <v>937420.38</v>
      </c>
      <c r="M151" s="67">
        <v>937420.38</v>
      </c>
      <c r="N151" s="67"/>
      <c r="O151" s="67"/>
      <c r="P151" s="67"/>
      <c r="Q151" s="67">
        <v>937420.38</v>
      </c>
      <c r="R151" s="67">
        <f t="shared" si="111"/>
        <v>287338.83</v>
      </c>
      <c r="S151" s="67">
        <v>287338.83</v>
      </c>
      <c r="T151" s="67"/>
      <c r="U151" s="67"/>
      <c r="V151" s="67"/>
      <c r="W151" s="67">
        <v>287338.83</v>
      </c>
      <c r="X151" s="140">
        <f t="shared" si="114"/>
        <v>30.652078419716034</v>
      </c>
      <c r="Y151" s="67">
        <f t="shared" si="112"/>
        <v>287338.83</v>
      </c>
      <c r="Z151" s="156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</row>
    <row r="152" spans="1:538" s="22" customFormat="1" ht="47.25" customHeight="1" x14ac:dyDescent="0.25">
      <c r="A152" s="42" t="s">
        <v>448</v>
      </c>
      <c r="B152" s="43">
        <f>'дод 3'!A118</f>
        <v>7462</v>
      </c>
      <c r="C152" s="42" t="s">
        <v>471</v>
      </c>
      <c r="D152" s="74" t="str">
        <f>'дод 3'!C118</f>
        <v>Утримання та розвиток автомобільних доріг та дорожньої інфраструктури за рахунок субвенції з державного бюджету</v>
      </c>
      <c r="E152" s="67">
        <v>0</v>
      </c>
      <c r="F152" s="67"/>
      <c r="G152" s="67"/>
      <c r="H152" s="67"/>
      <c r="I152" s="67"/>
      <c r="J152" s="67"/>
      <c r="K152" s="140"/>
      <c r="L152" s="67">
        <v>80000000</v>
      </c>
      <c r="M152" s="67"/>
      <c r="N152" s="67">
        <v>80000000</v>
      </c>
      <c r="O152" s="67"/>
      <c r="P152" s="67"/>
      <c r="Q152" s="67"/>
      <c r="R152" s="67">
        <f t="shared" si="111"/>
        <v>40000000</v>
      </c>
      <c r="S152" s="67"/>
      <c r="T152" s="67">
        <v>40000000</v>
      </c>
      <c r="U152" s="67"/>
      <c r="V152" s="67"/>
      <c r="W152" s="67"/>
      <c r="X152" s="140">
        <f t="shared" si="114"/>
        <v>50</v>
      </c>
      <c r="Y152" s="67">
        <f t="shared" si="112"/>
        <v>40000000</v>
      </c>
      <c r="Z152" s="156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</row>
    <row r="153" spans="1:538" s="22" customFormat="1" ht="15" x14ac:dyDescent="0.25">
      <c r="A153" s="42"/>
      <c r="B153" s="43"/>
      <c r="C153" s="43"/>
      <c r="D153" s="21" t="s">
        <v>307</v>
      </c>
      <c r="E153" s="67">
        <v>0</v>
      </c>
      <c r="F153" s="67"/>
      <c r="G153" s="67"/>
      <c r="H153" s="67"/>
      <c r="I153" s="67"/>
      <c r="J153" s="67"/>
      <c r="K153" s="140"/>
      <c r="L153" s="67">
        <v>80000000</v>
      </c>
      <c r="M153" s="67"/>
      <c r="N153" s="67">
        <v>80000000</v>
      </c>
      <c r="O153" s="67"/>
      <c r="P153" s="67"/>
      <c r="Q153" s="67"/>
      <c r="R153" s="67">
        <f t="shared" si="111"/>
        <v>40000000</v>
      </c>
      <c r="S153" s="67"/>
      <c r="T153" s="67">
        <v>40000000</v>
      </c>
      <c r="U153" s="67"/>
      <c r="V153" s="67"/>
      <c r="W153" s="67"/>
      <c r="X153" s="140">
        <f t="shared" si="114"/>
        <v>50</v>
      </c>
      <c r="Y153" s="67">
        <f t="shared" si="112"/>
        <v>40000000</v>
      </c>
      <c r="Z153" s="156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</row>
    <row r="154" spans="1:538" s="22" customFormat="1" ht="20.25" customHeight="1" x14ac:dyDescent="0.25">
      <c r="A154" s="42" t="s">
        <v>239</v>
      </c>
      <c r="B154" s="43" t="str">
        <f>'дод 3'!A124</f>
        <v>7640</v>
      </c>
      <c r="C154" s="43" t="str">
        <f>'дод 3'!B124</f>
        <v>0470</v>
      </c>
      <c r="D154" s="23" t="str">
        <f>'дод 3'!C124</f>
        <v>Заходи з енергозбереження</v>
      </c>
      <c r="E154" s="67">
        <v>1500000</v>
      </c>
      <c r="F154" s="67"/>
      <c r="G154" s="67"/>
      <c r="H154" s="67">
        <v>665764.41</v>
      </c>
      <c r="I154" s="67"/>
      <c r="J154" s="67"/>
      <c r="K154" s="140">
        <f t="shared" si="113"/>
        <v>44.384294000000004</v>
      </c>
      <c r="L154" s="67">
        <v>0</v>
      </c>
      <c r="M154" s="67"/>
      <c r="N154" s="67"/>
      <c r="O154" s="67"/>
      <c r="P154" s="67"/>
      <c r="Q154" s="67"/>
      <c r="R154" s="67">
        <f t="shared" si="111"/>
        <v>0</v>
      </c>
      <c r="S154" s="67"/>
      <c r="T154" s="67"/>
      <c r="U154" s="67"/>
      <c r="V154" s="67"/>
      <c r="W154" s="67"/>
      <c r="X154" s="140"/>
      <c r="Y154" s="67">
        <f t="shared" si="112"/>
        <v>665764.41</v>
      </c>
      <c r="Z154" s="156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</row>
    <row r="155" spans="1:538" s="22" customFormat="1" ht="23.25" customHeight="1" x14ac:dyDescent="0.25">
      <c r="A155" s="42" t="s">
        <v>387</v>
      </c>
      <c r="B155" s="43" t="str">
        <f>'дод 3'!A127</f>
        <v>7670</v>
      </c>
      <c r="C155" s="43" t="str">
        <f>'дод 3'!B127</f>
        <v>0490</v>
      </c>
      <c r="D155" s="23" t="str">
        <f>'дод 3'!C127</f>
        <v>Внески до статутного капіталу суб’єктів господарювання</v>
      </c>
      <c r="E155" s="67">
        <v>0</v>
      </c>
      <c r="F155" s="67"/>
      <c r="G155" s="67"/>
      <c r="H155" s="67"/>
      <c r="I155" s="67"/>
      <c r="J155" s="67"/>
      <c r="K155" s="140"/>
      <c r="L155" s="67">
        <v>17042330</v>
      </c>
      <c r="M155" s="67">
        <f>7042330+10000000</f>
        <v>17042330</v>
      </c>
      <c r="N155" s="67"/>
      <c r="O155" s="67"/>
      <c r="P155" s="67"/>
      <c r="Q155" s="67">
        <f>7042330+10000000</f>
        <v>17042330</v>
      </c>
      <c r="R155" s="67">
        <f t="shared" si="111"/>
        <v>0</v>
      </c>
      <c r="S155" s="67"/>
      <c r="T155" s="67"/>
      <c r="U155" s="67"/>
      <c r="V155" s="67"/>
      <c r="W155" s="67"/>
      <c r="X155" s="140">
        <f t="shared" si="114"/>
        <v>0</v>
      </c>
      <c r="Y155" s="67">
        <f t="shared" si="112"/>
        <v>0</v>
      </c>
      <c r="Z155" s="156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</row>
    <row r="156" spans="1:538" s="22" customFormat="1" ht="102" customHeight="1" x14ac:dyDescent="0.25">
      <c r="A156" s="51" t="s">
        <v>349</v>
      </c>
      <c r="B156" s="44">
        <v>7691</v>
      </c>
      <c r="C156" s="44" t="s">
        <v>102</v>
      </c>
      <c r="D156" s="21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56" s="67">
        <v>0</v>
      </c>
      <c r="F156" s="67"/>
      <c r="G156" s="67"/>
      <c r="H156" s="67"/>
      <c r="I156" s="67"/>
      <c r="J156" s="67"/>
      <c r="K156" s="140"/>
      <c r="L156" s="67">
        <v>290090.27</v>
      </c>
      <c r="M156" s="67"/>
      <c r="N156" s="67">
        <f>41000+115890.27</f>
        <v>156890.27000000002</v>
      </c>
      <c r="O156" s="67"/>
      <c r="P156" s="67"/>
      <c r="Q156" s="67">
        <v>133200</v>
      </c>
      <c r="R156" s="67">
        <f t="shared" si="111"/>
        <v>0</v>
      </c>
      <c r="S156" s="67"/>
      <c r="T156" s="67"/>
      <c r="U156" s="67"/>
      <c r="V156" s="67"/>
      <c r="W156" s="67"/>
      <c r="X156" s="140">
        <f t="shared" si="114"/>
        <v>0</v>
      </c>
      <c r="Y156" s="67">
        <f t="shared" si="112"/>
        <v>0</v>
      </c>
      <c r="Z156" s="156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</row>
    <row r="157" spans="1:538" s="22" customFormat="1" ht="38.25" customHeight="1" x14ac:dyDescent="0.25">
      <c r="A157" s="51" t="s">
        <v>454</v>
      </c>
      <c r="B157" s="44" t="str">
        <f>'дод 3'!A135</f>
        <v>8110</v>
      </c>
      <c r="C157" s="44" t="str">
        <f>'дод 3'!B135</f>
        <v>0320</v>
      </c>
      <c r="D157" s="121" t="str">
        <f>'дод 3'!C135</f>
        <v>Заходи із запобігання та ліквідації надзвичайних ситуацій та наслідків стихійного лиха</v>
      </c>
      <c r="E157" s="67">
        <v>2088318</v>
      </c>
      <c r="F157" s="67"/>
      <c r="G157" s="67">
        <v>48000</v>
      </c>
      <c r="H157" s="67">
        <v>450538.69</v>
      </c>
      <c r="I157" s="67"/>
      <c r="J157" s="67">
        <v>22514.3</v>
      </c>
      <c r="K157" s="140">
        <f t="shared" si="113"/>
        <v>21.574237735823758</v>
      </c>
      <c r="L157" s="67">
        <v>0</v>
      </c>
      <c r="M157" s="67"/>
      <c r="N157" s="67"/>
      <c r="O157" s="67"/>
      <c r="P157" s="67"/>
      <c r="Q157" s="67"/>
      <c r="R157" s="67">
        <f t="shared" si="111"/>
        <v>0</v>
      </c>
      <c r="S157" s="67"/>
      <c r="T157" s="67"/>
      <c r="U157" s="67"/>
      <c r="V157" s="67"/>
      <c r="W157" s="67"/>
      <c r="X157" s="140"/>
      <c r="Y157" s="67">
        <f t="shared" si="112"/>
        <v>450538.69</v>
      </c>
      <c r="Z157" s="156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</row>
    <row r="158" spans="1:538" s="22" customFormat="1" ht="33.75" hidden="1" customHeight="1" x14ac:dyDescent="0.25">
      <c r="A158" s="51" t="s">
        <v>453</v>
      </c>
      <c r="B158" s="44" t="str">
        <f>'дод 3'!A138</f>
        <v>8230</v>
      </c>
      <c r="C158" s="44" t="str">
        <f>'дод 3'!B138</f>
        <v>0380</v>
      </c>
      <c r="D158" s="121" t="str">
        <f>'дод 3'!C138</f>
        <v>Інші заходи громадського порядку та безпеки</v>
      </c>
      <c r="E158" s="67">
        <v>0</v>
      </c>
      <c r="F158" s="67"/>
      <c r="G158" s="67"/>
      <c r="H158" s="67"/>
      <c r="I158" s="67"/>
      <c r="J158" s="67"/>
      <c r="K158" s="140" t="e">
        <f t="shared" si="113"/>
        <v>#DIV/0!</v>
      </c>
      <c r="L158" s="67">
        <v>0</v>
      </c>
      <c r="M158" s="67"/>
      <c r="N158" s="67"/>
      <c r="O158" s="67"/>
      <c r="P158" s="67"/>
      <c r="Q158" s="67"/>
      <c r="R158" s="67">
        <f t="shared" si="111"/>
        <v>0</v>
      </c>
      <c r="S158" s="67"/>
      <c r="T158" s="67"/>
      <c r="U158" s="67"/>
      <c r="V158" s="67"/>
      <c r="W158" s="67"/>
      <c r="X158" s="140" t="e">
        <f t="shared" si="114"/>
        <v>#DIV/0!</v>
      </c>
      <c r="Y158" s="67">
        <f t="shared" si="112"/>
        <v>0</v>
      </c>
      <c r="Z158" s="156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</row>
    <row r="159" spans="1:538" s="22" customFormat="1" ht="24.75" customHeight="1" x14ac:dyDescent="0.25">
      <c r="A159" s="42" t="s">
        <v>240</v>
      </c>
      <c r="B159" s="43" t="str">
        <f>'дод 3'!A141</f>
        <v>8340</v>
      </c>
      <c r="C159" s="43" t="str">
        <f>'дод 3'!B141</f>
        <v>0540</v>
      </c>
      <c r="D159" s="23" t="str">
        <f>'дод 3'!C141</f>
        <v>Природоохоронні заходи за рахунок цільових фондів</v>
      </c>
      <c r="E159" s="67">
        <v>0</v>
      </c>
      <c r="F159" s="67"/>
      <c r="G159" s="67"/>
      <c r="H159" s="67"/>
      <c r="I159" s="67"/>
      <c r="J159" s="67"/>
      <c r="K159" s="140"/>
      <c r="L159" s="67">
        <v>5599043.4500000002</v>
      </c>
      <c r="M159" s="67"/>
      <c r="N159" s="67">
        <v>1870000</v>
      </c>
      <c r="O159" s="67"/>
      <c r="P159" s="67">
        <v>540000</v>
      </c>
      <c r="Q159" s="67">
        <f>1946500+1782543.45</f>
        <v>3729043.45</v>
      </c>
      <c r="R159" s="67">
        <f t="shared" si="111"/>
        <v>112204.38</v>
      </c>
      <c r="S159" s="67"/>
      <c r="T159" s="67">
        <v>112204.38</v>
      </c>
      <c r="U159" s="67"/>
      <c r="V159" s="67">
        <v>54999.9</v>
      </c>
      <c r="W159" s="67"/>
      <c r="X159" s="140">
        <f t="shared" si="114"/>
        <v>2.0039919497320566</v>
      </c>
      <c r="Y159" s="67">
        <f t="shared" si="112"/>
        <v>112204.38</v>
      </c>
      <c r="Z159" s="156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</row>
    <row r="160" spans="1:538" s="22" customFormat="1" ht="23.25" customHeight="1" x14ac:dyDescent="0.25">
      <c r="A160" s="42" t="s">
        <v>241</v>
      </c>
      <c r="B160" s="43" t="str">
        <f>'дод 3'!A150</f>
        <v>9770</v>
      </c>
      <c r="C160" s="43" t="str">
        <f>'дод 3'!B150</f>
        <v>0180</v>
      </c>
      <c r="D160" s="23" t="str">
        <f>'дод 3'!C150</f>
        <v>Інші субвенції з місцевого бюджету</v>
      </c>
      <c r="E160" s="67">
        <v>368000</v>
      </c>
      <c r="F160" s="67"/>
      <c r="G160" s="67"/>
      <c r="H160" s="67"/>
      <c r="I160" s="67"/>
      <c r="J160" s="67"/>
      <c r="K160" s="140">
        <f t="shared" si="113"/>
        <v>0</v>
      </c>
      <c r="L160" s="67">
        <v>7632000</v>
      </c>
      <c r="M160" s="67">
        <f>8000000-368000</f>
        <v>7632000</v>
      </c>
      <c r="N160" s="67"/>
      <c r="O160" s="67"/>
      <c r="P160" s="67"/>
      <c r="Q160" s="67">
        <f>8000000-368000</f>
        <v>7632000</v>
      </c>
      <c r="R160" s="67">
        <f t="shared" si="111"/>
        <v>0</v>
      </c>
      <c r="S160" s="67"/>
      <c r="T160" s="67"/>
      <c r="U160" s="67"/>
      <c r="V160" s="67"/>
      <c r="W160" s="67"/>
      <c r="X160" s="140">
        <f t="shared" si="114"/>
        <v>0</v>
      </c>
      <c r="Y160" s="67">
        <f t="shared" si="112"/>
        <v>0</v>
      </c>
      <c r="Z160" s="156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</row>
    <row r="161" spans="1:538" s="30" customFormat="1" ht="33.75" customHeight="1" x14ac:dyDescent="0.2">
      <c r="A161" s="131" t="s">
        <v>37</v>
      </c>
      <c r="B161" s="71"/>
      <c r="C161" s="71"/>
      <c r="D161" s="29" t="s">
        <v>47</v>
      </c>
      <c r="E161" s="64">
        <f t="shared" ref="E161:J162" si="115">E162</f>
        <v>6146000</v>
      </c>
      <c r="F161" s="64">
        <f t="shared" si="115"/>
        <v>4779400</v>
      </c>
      <c r="G161" s="64">
        <f t="shared" si="115"/>
        <v>98300</v>
      </c>
      <c r="H161" s="64">
        <f t="shared" si="115"/>
        <v>2865778.24</v>
      </c>
      <c r="I161" s="64">
        <f t="shared" si="115"/>
        <v>2271739.56</v>
      </c>
      <c r="J161" s="64">
        <f t="shared" si="115"/>
        <v>40243.82</v>
      </c>
      <c r="K161" s="139">
        <f t="shared" si="113"/>
        <v>46.628347543117478</v>
      </c>
      <c r="L161" s="64">
        <v>160000</v>
      </c>
      <c r="M161" s="64">
        <f t="shared" ref="M161:M162" si="116">M162</f>
        <v>160000</v>
      </c>
      <c r="N161" s="64">
        <f t="shared" ref="N161:N162" si="117">N162</f>
        <v>0</v>
      </c>
      <c r="O161" s="64">
        <f t="shared" ref="O161:O162" si="118">O162</f>
        <v>0</v>
      </c>
      <c r="P161" s="64">
        <f t="shared" ref="P161:P162" si="119">P162</f>
        <v>0</v>
      </c>
      <c r="Q161" s="64">
        <f t="shared" ref="Q161:Y162" si="120">Q162</f>
        <v>160000</v>
      </c>
      <c r="R161" s="64">
        <f t="shared" ref="R161:V162" si="121">R162</f>
        <v>0</v>
      </c>
      <c r="S161" s="64">
        <f t="shared" si="121"/>
        <v>0</v>
      </c>
      <c r="T161" s="64">
        <f t="shared" si="121"/>
        <v>0</v>
      </c>
      <c r="U161" s="64">
        <f t="shared" si="121"/>
        <v>0</v>
      </c>
      <c r="V161" s="64">
        <f t="shared" si="121"/>
        <v>0</v>
      </c>
      <c r="W161" s="64">
        <f t="shared" si="120"/>
        <v>0</v>
      </c>
      <c r="X161" s="139">
        <f t="shared" si="114"/>
        <v>0</v>
      </c>
      <c r="Y161" s="64">
        <f t="shared" si="120"/>
        <v>2865778.24</v>
      </c>
      <c r="Z161" s="156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  <c r="IV161" s="37"/>
      <c r="IW161" s="37"/>
      <c r="IX161" s="37"/>
      <c r="IY161" s="37"/>
      <c r="IZ161" s="37"/>
      <c r="JA161" s="37"/>
      <c r="JB161" s="37"/>
      <c r="JC161" s="37"/>
      <c r="JD161" s="37"/>
      <c r="JE161" s="37"/>
      <c r="JF161" s="37"/>
      <c r="JG161" s="37"/>
      <c r="JH161" s="37"/>
      <c r="JI161" s="37"/>
      <c r="JJ161" s="37"/>
      <c r="JK161" s="37"/>
      <c r="JL161" s="37"/>
      <c r="JM161" s="37"/>
      <c r="JN161" s="37"/>
      <c r="JO161" s="37"/>
      <c r="JP161" s="37"/>
      <c r="JQ161" s="37"/>
      <c r="JR161" s="37"/>
      <c r="JS161" s="37"/>
      <c r="JT161" s="37"/>
      <c r="JU161" s="37"/>
      <c r="JV161" s="37"/>
      <c r="JW161" s="37"/>
      <c r="JX161" s="37"/>
      <c r="JY161" s="37"/>
      <c r="JZ161" s="37"/>
      <c r="KA161" s="37"/>
      <c r="KB161" s="37"/>
      <c r="KC161" s="37"/>
      <c r="KD161" s="37"/>
      <c r="KE161" s="37"/>
      <c r="KF161" s="37"/>
      <c r="KG161" s="37"/>
      <c r="KH161" s="37"/>
      <c r="KI161" s="37"/>
      <c r="KJ161" s="37"/>
      <c r="KK161" s="37"/>
      <c r="KL161" s="37"/>
      <c r="KM161" s="37"/>
      <c r="KN161" s="37"/>
      <c r="KO161" s="37"/>
      <c r="KP161" s="37"/>
      <c r="KQ161" s="37"/>
      <c r="KR161" s="37"/>
      <c r="KS161" s="37"/>
      <c r="KT161" s="37"/>
      <c r="KU161" s="37"/>
      <c r="KV161" s="37"/>
      <c r="KW161" s="37"/>
      <c r="KX161" s="37"/>
      <c r="KY161" s="37"/>
      <c r="KZ161" s="37"/>
      <c r="LA161" s="37"/>
      <c r="LB161" s="37"/>
      <c r="LC161" s="37"/>
      <c r="LD161" s="37"/>
      <c r="LE161" s="37"/>
      <c r="LF161" s="37"/>
      <c r="LG161" s="37"/>
      <c r="LH161" s="37"/>
      <c r="LI161" s="37"/>
      <c r="LJ161" s="37"/>
      <c r="LK161" s="37"/>
      <c r="LL161" s="37"/>
      <c r="LM161" s="37"/>
      <c r="LN161" s="37"/>
      <c r="LO161" s="37"/>
      <c r="LP161" s="37"/>
      <c r="LQ161" s="37"/>
      <c r="LR161" s="37"/>
      <c r="LS161" s="37"/>
      <c r="LT161" s="37"/>
      <c r="LU161" s="37"/>
      <c r="LV161" s="37"/>
      <c r="LW161" s="37"/>
      <c r="LX161" s="37"/>
      <c r="LY161" s="37"/>
      <c r="LZ161" s="37"/>
      <c r="MA161" s="37"/>
      <c r="MB161" s="37"/>
      <c r="MC161" s="37"/>
      <c r="MD161" s="37"/>
      <c r="ME161" s="37"/>
      <c r="MF161" s="37"/>
      <c r="MG161" s="37"/>
      <c r="MH161" s="37"/>
      <c r="MI161" s="37"/>
      <c r="MJ161" s="37"/>
      <c r="MK161" s="37"/>
      <c r="ML161" s="37"/>
      <c r="MM161" s="37"/>
      <c r="MN161" s="37"/>
      <c r="MO161" s="37"/>
      <c r="MP161" s="37"/>
      <c r="MQ161" s="37"/>
      <c r="MR161" s="37"/>
      <c r="MS161" s="37"/>
      <c r="MT161" s="37"/>
      <c r="MU161" s="37"/>
      <c r="MV161" s="37"/>
      <c r="MW161" s="37"/>
      <c r="MX161" s="37"/>
      <c r="MY161" s="37"/>
      <c r="MZ161" s="37"/>
      <c r="NA161" s="37"/>
      <c r="NB161" s="37"/>
      <c r="NC161" s="37"/>
      <c r="ND161" s="37"/>
      <c r="NE161" s="37"/>
      <c r="NF161" s="37"/>
      <c r="NG161" s="37"/>
      <c r="NH161" s="37"/>
      <c r="NI161" s="37"/>
      <c r="NJ161" s="37"/>
      <c r="NK161" s="37"/>
      <c r="NL161" s="37"/>
      <c r="NM161" s="37"/>
      <c r="NN161" s="37"/>
      <c r="NO161" s="37"/>
      <c r="NP161" s="37"/>
      <c r="NQ161" s="37"/>
      <c r="NR161" s="37"/>
      <c r="NS161" s="37"/>
      <c r="NT161" s="37"/>
      <c r="NU161" s="37"/>
      <c r="NV161" s="37"/>
      <c r="NW161" s="37"/>
      <c r="NX161" s="37"/>
      <c r="NY161" s="37"/>
      <c r="NZ161" s="37"/>
      <c r="OA161" s="37"/>
      <c r="OB161" s="37"/>
      <c r="OC161" s="37"/>
      <c r="OD161" s="37"/>
      <c r="OE161" s="37"/>
      <c r="OF161" s="37"/>
      <c r="OG161" s="37"/>
      <c r="OH161" s="37"/>
      <c r="OI161" s="37"/>
      <c r="OJ161" s="37"/>
      <c r="OK161" s="37"/>
      <c r="OL161" s="37"/>
      <c r="OM161" s="37"/>
      <c r="ON161" s="37"/>
      <c r="OO161" s="37"/>
      <c r="OP161" s="37"/>
      <c r="OQ161" s="37"/>
      <c r="OR161" s="37"/>
      <c r="OS161" s="37"/>
      <c r="OT161" s="37"/>
      <c r="OU161" s="37"/>
      <c r="OV161" s="37"/>
      <c r="OW161" s="37"/>
      <c r="OX161" s="37"/>
      <c r="OY161" s="37"/>
      <c r="OZ161" s="37"/>
      <c r="PA161" s="37"/>
      <c r="PB161" s="37"/>
      <c r="PC161" s="37"/>
      <c r="PD161" s="37"/>
      <c r="PE161" s="37"/>
      <c r="PF161" s="37"/>
      <c r="PG161" s="37"/>
      <c r="PH161" s="37"/>
      <c r="PI161" s="37"/>
      <c r="PJ161" s="37"/>
      <c r="PK161" s="37"/>
      <c r="PL161" s="37"/>
      <c r="PM161" s="37"/>
      <c r="PN161" s="37"/>
      <c r="PO161" s="37"/>
      <c r="PP161" s="37"/>
      <c r="PQ161" s="37"/>
      <c r="PR161" s="37"/>
      <c r="PS161" s="37"/>
      <c r="PT161" s="37"/>
      <c r="PU161" s="37"/>
      <c r="PV161" s="37"/>
      <c r="PW161" s="37"/>
      <c r="PX161" s="37"/>
      <c r="PY161" s="37"/>
      <c r="PZ161" s="37"/>
      <c r="QA161" s="37"/>
      <c r="QB161" s="37"/>
      <c r="QC161" s="37"/>
      <c r="QD161" s="37"/>
      <c r="QE161" s="37"/>
      <c r="QF161" s="37"/>
      <c r="QG161" s="37"/>
      <c r="QH161" s="37"/>
      <c r="QI161" s="37"/>
      <c r="QJ161" s="37"/>
      <c r="QK161" s="37"/>
      <c r="QL161" s="37"/>
      <c r="QM161" s="37"/>
      <c r="QN161" s="37"/>
      <c r="QO161" s="37"/>
      <c r="QP161" s="37"/>
      <c r="QQ161" s="37"/>
      <c r="QR161" s="37"/>
      <c r="QS161" s="37"/>
      <c r="QT161" s="37"/>
      <c r="QU161" s="37"/>
      <c r="QV161" s="37"/>
      <c r="QW161" s="37"/>
      <c r="QX161" s="37"/>
      <c r="QY161" s="37"/>
      <c r="QZ161" s="37"/>
      <c r="RA161" s="37"/>
      <c r="RB161" s="37"/>
      <c r="RC161" s="37"/>
      <c r="RD161" s="37"/>
      <c r="RE161" s="37"/>
      <c r="RF161" s="37"/>
      <c r="RG161" s="37"/>
      <c r="RH161" s="37"/>
      <c r="RI161" s="37"/>
      <c r="RJ161" s="37"/>
      <c r="RK161" s="37"/>
      <c r="RL161" s="37"/>
      <c r="RM161" s="37"/>
      <c r="RN161" s="37"/>
      <c r="RO161" s="37"/>
      <c r="RP161" s="37"/>
      <c r="RQ161" s="37"/>
      <c r="RR161" s="37"/>
      <c r="RS161" s="37"/>
      <c r="RT161" s="37"/>
      <c r="RU161" s="37"/>
      <c r="RV161" s="37"/>
      <c r="RW161" s="37"/>
      <c r="RX161" s="37"/>
      <c r="RY161" s="37"/>
      <c r="RZ161" s="37"/>
      <c r="SA161" s="37"/>
      <c r="SB161" s="37"/>
      <c r="SC161" s="37"/>
      <c r="SD161" s="37"/>
      <c r="SE161" s="37"/>
      <c r="SF161" s="37"/>
      <c r="SG161" s="37"/>
      <c r="SH161" s="37"/>
      <c r="SI161" s="37"/>
      <c r="SJ161" s="37"/>
      <c r="SK161" s="37"/>
      <c r="SL161" s="37"/>
      <c r="SM161" s="37"/>
      <c r="SN161" s="37"/>
      <c r="SO161" s="37"/>
      <c r="SP161" s="37"/>
      <c r="SQ161" s="37"/>
      <c r="SR161" s="37"/>
      <c r="SS161" s="37"/>
      <c r="ST161" s="37"/>
      <c r="SU161" s="37"/>
      <c r="SV161" s="37"/>
      <c r="SW161" s="37"/>
      <c r="SX161" s="37"/>
      <c r="SY161" s="37"/>
      <c r="SZ161" s="37"/>
      <c r="TA161" s="37"/>
      <c r="TB161" s="37"/>
      <c r="TC161" s="37"/>
      <c r="TD161" s="37"/>
      <c r="TE161" s="37"/>
      <c r="TF161" s="37"/>
      <c r="TG161" s="37"/>
      <c r="TH161" s="37"/>
      <c r="TI161" s="37"/>
      <c r="TJ161" s="37"/>
      <c r="TK161" s="37"/>
      <c r="TL161" s="37"/>
      <c r="TM161" s="37"/>
      <c r="TN161" s="37"/>
      <c r="TO161" s="37"/>
      <c r="TP161" s="37"/>
      <c r="TQ161" s="37"/>
      <c r="TR161" s="37"/>
    </row>
    <row r="162" spans="1:538" s="39" customFormat="1" ht="36.75" customHeight="1" x14ac:dyDescent="0.25">
      <c r="A162" s="73" t="s">
        <v>139</v>
      </c>
      <c r="B162" s="72"/>
      <c r="C162" s="72"/>
      <c r="D162" s="32" t="s">
        <v>47</v>
      </c>
      <c r="E162" s="66">
        <f t="shared" si="115"/>
        <v>6146000</v>
      </c>
      <c r="F162" s="66">
        <f t="shared" si="115"/>
        <v>4779400</v>
      </c>
      <c r="G162" s="66">
        <f t="shared" si="115"/>
        <v>98300</v>
      </c>
      <c r="H162" s="66">
        <f t="shared" si="115"/>
        <v>2865778.24</v>
      </c>
      <c r="I162" s="66">
        <f t="shared" si="115"/>
        <v>2271739.56</v>
      </c>
      <c r="J162" s="66">
        <f t="shared" si="115"/>
        <v>40243.82</v>
      </c>
      <c r="K162" s="139">
        <f t="shared" si="113"/>
        <v>46.628347543117478</v>
      </c>
      <c r="L162" s="66">
        <v>160000</v>
      </c>
      <c r="M162" s="66">
        <f t="shared" si="116"/>
        <v>160000</v>
      </c>
      <c r="N162" s="66">
        <f t="shared" si="117"/>
        <v>0</v>
      </c>
      <c r="O162" s="66">
        <f t="shared" si="118"/>
        <v>0</v>
      </c>
      <c r="P162" s="66">
        <f t="shared" si="119"/>
        <v>0</v>
      </c>
      <c r="Q162" s="66">
        <f t="shared" si="120"/>
        <v>160000</v>
      </c>
      <c r="R162" s="66">
        <f t="shared" si="121"/>
        <v>0</v>
      </c>
      <c r="S162" s="66">
        <f t="shared" si="121"/>
        <v>0</v>
      </c>
      <c r="T162" s="66">
        <f t="shared" si="121"/>
        <v>0</v>
      </c>
      <c r="U162" s="66">
        <f t="shared" si="121"/>
        <v>0</v>
      </c>
      <c r="V162" s="66">
        <f t="shared" si="121"/>
        <v>0</v>
      </c>
      <c r="W162" s="66">
        <f t="shared" si="120"/>
        <v>0</v>
      </c>
      <c r="X162" s="139">
        <f t="shared" si="114"/>
        <v>0</v>
      </c>
      <c r="Y162" s="66">
        <f t="shared" si="120"/>
        <v>2865778.24</v>
      </c>
      <c r="Z162" s="156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/>
      <c r="KT162" s="38"/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/>
      <c r="MB162" s="38"/>
      <c r="MC162" s="38"/>
      <c r="MD162" s="38"/>
      <c r="ME162" s="38"/>
      <c r="MF162" s="38"/>
      <c r="MG162" s="38"/>
      <c r="MH162" s="38"/>
      <c r="MI162" s="38"/>
      <c r="MJ162" s="38"/>
      <c r="MK162" s="38"/>
      <c r="ML162" s="38"/>
      <c r="MM162" s="38"/>
      <c r="MN162" s="38"/>
      <c r="MO162" s="38"/>
      <c r="MP162" s="38"/>
      <c r="MQ162" s="38"/>
      <c r="MR162" s="38"/>
      <c r="MS162" s="38"/>
      <c r="MT162" s="38"/>
      <c r="MU162" s="38"/>
      <c r="MV162" s="38"/>
      <c r="MW162" s="38"/>
      <c r="MX162" s="38"/>
      <c r="MY162" s="38"/>
      <c r="MZ162" s="38"/>
      <c r="NA162" s="38"/>
      <c r="NB162" s="38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38"/>
      <c r="OI162" s="38"/>
      <c r="OJ162" s="38"/>
      <c r="OK162" s="38"/>
      <c r="OL162" s="38"/>
      <c r="OM162" s="38"/>
      <c r="ON162" s="38"/>
      <c r="OO162" s="38"/>
      <c r="OP162" s="38"/>
      <c r="OQ162" s="38"/>
      <c r="OR162" s="38"/>
      <c r="OS162" s="38"/>
      <c r="OT162" s="38"/>
      <c r="OU162" s="38"/>
      <c r="OV162" s="38"/>
      <c r="OW162" s="38"/>
      <c r="OX162" s="38"/>
      <c r="OY162" s="38"/>
      <c r="OZ162" s="38"/>
      <c r="PA162" s="38"/>
      <c r="PB162" s="38"/>
      <c r="PC162" s="38"/>
      <c r="PD162" s="38"/>
      <c r="PE162" s="38"/>
      <c r="PF162" s="38"/>
      <c r="PG162" s="38"/>
      <c r="PH162" s="38"/>
      <c r="PI162" s="38"/>
      <c r="PJ162" s="38"/>
      <c r="PK162" s="38"/>
      <c r="PL162" s="38"/>
      <c r="PM162" s="38"/>
      <c r="PN162" s="38"/>
      <c r="PO162" s="38"/>
      <c r="PP162" s="38"/>
      <c r="PQ162" s="38"/>
      <c r="PR162" s="38"/>
      <c r="PS162" s="38"/>
      <c r="PT162" s="38"/>
      <c r="PU162" s="38"/>
      <c r="PV162" s="38"/>
      <c r="PW162" s="38"/>
      <c r="PX162" s="38"/>
      <c r="PY162" s="38"/>
      <c r="PZ162" s="38"/>
      <c r="QA162" s="38"/>
      <c r="QB162" s="38"/>
      <c r="QC162" s="38"/>
      <c r="QD162" s="38"/>
      <c r="QE162" s="38"/>
      <c r="QF162" s="38"/>
      <c r="QG162" s="38"/>
      <c r="QH162" s="38"/>
      <c r="QI162" s="38"/>
      <c r="QJ162" s="38"/>
      <c r="QK162" s="38"/>
      <c r="QL162" s="38"/>
      <c r="QM162" s="38"/>
      <c r="QN162" s="38"/>
      <c r="QO162" s="38"/>
      <c r="QP162" s="38"/>
      <c r="QQ162" s="38"/>
      <c r="QR162" s="38"/>
      <c r="QS162" s="38"/>
      <c r="QT162" s="38"/>
      <c r="QU162" s="38"/>
      <c r="QV162" s="38"/>
      <c r="QW162" s="38"/>
      <c r="QX162" s="38"/>
      <c r="QY162" s="38"/>
      <c r="QZ162" s="38"/>
      <c r="RA162" s="38"/>
      <c r="RB162" s="38"/>
      <c r="RC162" s="38"/>
      <c r="RD162" s="38"/>
      <c r="RE162" s="38"/>
      <c r="RF162" s="38"/>
      <c r="RG162" s="38"/>
      <c r="RH162" s="38"/>
      <c r="RI162" s="38"/>
      <c r="RJ162" s="38"/>
      <c r="RK162" s="38"/>
      <c r="RL162" s="38"/>
      <c r="RM162" s="38"/>
      <c r="RN162" s="38"/>
      <c r="RO162" s="38"/>
      <c r="RP162" s="38"/>
      <c r="RQ162" s="38"/>
      <c r="RR162" s="38"/>
      <c r="RS162" s="38"/>
      <c r="RT162" s="38"/>
      <c r="RU162" s="38"/>
      <c r="RV162" s="38"/>
      <c r="RW162" s="38"/>
      <c r="RX162" s="38"/>
      <c r="RY162" s="38"/>
      <c r="RZ162" s="38"/>
      <c r="SA162" s="38"/>
      <c r="SB162" s="38"/>
      <c r="SC162" s="38"/>
      <c r="SD162" s="38"/>
      <c r="SE162" s="38"/>
      <c r="SF162" s="38"/>
      <c r="SG162" s="38"/>
      <c r="SH162" s="38"/>
      <c r="SI162" s="38"/>
      <c r="SJ162" s="38"/>
      <c r="SK162" s="38"/>
      <c r="SL162" s="38"/>
      <c r="SM162" s="38"/>
      <c r="SN162" s="38"/>
      <c r="SO162" s="38"/>
      <c r="SP162" s="38"/>
      <c r="SQ162" s="38"/>
      <c r="SR162" s="38"/>
      <c r="SS162" s="38"/>
      <c r="ST162" s="38"/>
      <c r="SU162" s="38"/>
      <c r="SV162" s="38"/>
      <c r="SW162" s="38"/>
      <c r="SX162" s="38"/>
      <c r="SY162" s="38"/>
      <c r="SZ162" s="38"/>
      <c r="TA162" s="38"/>
      <c r="TB162" s="38"/>
      <c r="TC162" s="38"/>
      <c r="TD162" s="38"/>
      <c r="TE162" s="38"/>
      <c r="TF162" s="38"/>
      <c r="TG162" s="38"/>
      <c r="TH162" s="38"/>
      <c r="TI162" s="38"/>
      <c r="TJ162" s="38"/>
      <c r="TK162" s="38"/>
      <c r="TL162" s="38"/>
      <c r="TM162" s="38"/>
      <c r="TN162" s="38"/>
      <c r="TO162" s="38"/>
      <c r="TP162" s="38"/>
      <c r="TQ162" s="38"/>
      <c r="TR162" s="38"/>
    </row>
    <row r="163" spans="1:538" s="22" customFormat="1" ht="45" x14ac:dyDescent="0.25">
      <c r="A163" s="42" t="s">
        <v>0</v>
      </c>
      <c r="B163" s="43" t="str">
        <f>'дод 3'!A19</f>
        <v>0160</v>
      </c>
      <c r="C163" s="43" t="str">
        <f>'дод 3'!B19</f>
        <v>0111</v>
      </c>
      <c r="D163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63" s="67">
        <v>6146000</v>
      </c>
      <c r="F163" s="67">
        <v>4779400</v>
      </c>
      <c r="G163" s="67">
        <v>98300</v>
      </c>
      <c r="H163" s="67">
        <v>2865778.24</v>
      </c>
      <c r="I163" s="67">
        <v>2271739.56</v>
      </c>
      <c r="J163" s="67">
        <v>40243.82</v>
      </c>
      <c r="K163" s="140">
        <f t="shared" si="113"/>
        <v>46.628347543117478</v>
      </c>
      <c r="L163" s="67">
        <v>160000</v>
      </c>
      <c r="M163" s="67">
        <v>160000</v>
      </c>
      <c r="N163" s="67"/>
      <c r="O163" s="67"/>
      <c r="P163" s="67"/>
      <c r="Q163" s="67">
        <v>160000</v>
      </c>
      <c r="R163" s="67">
        <f>T163+W163</f>
        <v>0</v>
      </c>
      <c r="S163" s="67"/>
      <c r="T163" s="67"/>
      <c r="U163" s="67"/>
      <c r="V163" s="67"/>
      <c r="W163" s="67"/>
      <c r="X163" s="140">
        <f t="shared" si="114"/>
        <v>0</v>
      </c>
      <c r="Y163" s="67">
        <f>H163+R163</f>
        <v>2865778.24</v>
      </c>
      <c r="Z163" s="156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</row>
    <row r="164" spans="1:538" s="30" customFormat="1" ht="34.5" customHeight="1" x14ac:dyDescent="0.2">
      <c r="A164" s="131" t="s">
        <v>39</v>
      </c>
      <c r="B164" s="71"/>
      <c r="C164" s="71"/>
      <c r="D164" s="29" t="s">
        <v>46</v>
      </c>
      <c r="E164" s="64">
        <f t="shared" ref="E164:J164" si="122">E165</f>
        <v>3706717</v>
      </c>
      <c r="F164" s="64">
        <f t="shared" si="122"/>
        <v>1552300</v>
      </c>
      <c r="G164" s="64">
        <f t="shared" si="122"/>
        <v>0</v>
      </c>
      <c r="H164" s="64">
        <f t="shared" si="122"/>
        <v>1916139.29</v>
      </c>
      <c r="I164" s="64">
        <f t="shared" si="122"/>
        <v>1548826.91</v>
      </c>
      <c r="J164" s="64">
        <f t="shared" si="122"/>
        <v>0</v>
      </c>
      <c r="K164" s="139">
        <f t="shared" si="113"/>
        <v>51.693703349891564</v>
      </c>
      <c r="L164" s="64">
        <f t="shared" ref="L164:M164" si="123">L165</f>
        <v>173564492.18000001</v>
      </c>
      <c r="M164" s="64">
        <f t="shared" si="123"/>
        <v>159717220</v>
      </c>
      <c r="N164" s="64">
        <f t="shared" ref="N164" si="124">N165</f>
        <v>3200000</v>
      </c>
      <c r="O164" s="64">
        <f t="shared" ref="O164" si="125">O165</f>
        <v>2348000</v>
      </c>
      <c r="P164" s="64">
        <f t="shared" ref="P164" si="126">P165</f>
        <v>90600</v>
      </c>
      <c r="Q164" s="64">
        <f t="shared" ref="Q164:Y164" si="127">Q165</f>
        <v>170364492.18000001</v>
      </c>
      <c r="R164" s="64">
        <f t="shared" ref="R164:V164" si="128">R165</f>
        <v>31237999</v>
      </c>
      <c r="S164" s="64">
        <f t="shared" si="128"/>
        <v>30303263</v>
      </c>
      <c r="T164" s="64">
        <f t="shared" si="128"/>
        <v>495025</v>
      </c>
      <c r="U164" s="64">
        <f t="shared" si="128"/>
        <v>339427.49</v>
      </c>
      <c r="V164" s="64">
        <f t="shared" si="128"/>
        <v>40923.24</v>
      </c>
      <c r="W164" s="64">
        <f t="shared" si="127"/>
        <v>30742974</v>
      </c>
      <c r="X164" s="139">
        <f t="shared" si="114"/>
        <v>17.99792031633045</v>
      </c>
      <c r="Y164" s="64">
        <f t="shared" si="127"/>
        <v>33154138.289999999</v>
      </c>
      <c r="Z164" s="156">
        <v>12</v>
      </c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  <c r="IW164" s="37"/>
      <c r="IX164" s="37"/>
      <c r="IY164" s="37"/>
      <c r="IZ164" s="37"/>
      <c r="JA164" s="37"/>
      <c r="JB164" s="37"/>
      <c r="JC164" s="37"/>
      <c r="JD164" s="37"/>
      <c r="JE164" s="37"/>
      <c r="JF164" s="37"/>
      <c r="JG164" s="37"/>
      <c r="JH164" s="37"/>
      <c r="JI164" s="37"/>
      <c r="JJ164" s="37"/>
      <c r="JK164" s="37"/>
      <c r="JL164" s="37"/>
      <c r="JM164" s="37"/>
      <c r="JN164" s="37"/>
      <c r="JO164" s="37"/>
      <c r="JP164" s="37"/>
      <c r="JQ164" s="37"/>
      <c r="JR164" s="37"/>
      <c r="JS164" s="37"/>
      <c r="JT164" s="37"/>
      <c r="JU164" s="37"/>
      <c r="JV164" s="37"/>
      <c r="JW164" s="37"/>
      <c r="JX164" s="37"/>
      <c r="JY164" s="37"/>
      <c r="JZ164" s="37"/>
      <c r="KA164" s="37"/>
      <c r="KB164" s="37"/>
      <c r="KC164" s="37"/>
      <c r="KD164" s="37"/>
      <c r="KE164" s="37"/>
      <c r="KF164" s="37"/>
      <c r="KG164" s="37"/>
      <c r="KH164" s="37"/>
      <c r="KI164" s="37"/>
      <c r="KJ164" s="37"/>
      <c r="KK164" s="37"/>
      <c r="KL164" s="37"/>
      <c r="KM164" s="37"/>
      <c r="KN164" s="37"/>
      <c r="KO164" s="37"/>
      <c r="KP164" s="37"/>
      <c r="KQ164" s="37"/>
      <c r="KR164" s="37"/>
      <c r="KS164" s="37"/>
      <c r="KT164" s="37"/>
      <c r="KU164" s="37"/>
      <c r="KV164" s="37"/>
      <c r="KW164" s="37"/>
      <c r="KX164" s="37"/>
      <c r="KY164" s="37"/>
      <c r="KZ164" s="37"/>
      <c r="LA164" s="37"/>
      <c r="LB164" s="37"/>
      <c r="LC164" s="37"/>
      <c r="LD164" s="37"/>
      <c r="LE164" s="37"/>
      <c r="LF164" s="37"/>
      <c r="LG164" s="37"/>
      <c r="LH164" s="37"/>
      <c r="LI164" s="37"/>
      <c r="LJ164" s="37"/>
      <c r="LK164" s="37"/>
      <c r="LL164" s="37"/>
      <c r="LM164" s="37"/>
      <c r="LN164" s="37"/>
      <c r="LO164" s="37"/>
      <c r="LP164" s="37"/>
      <c r="LQ164" s="37"/>
      <c r="LR164" s="37"/>
      <c r="LS164" s="37"/>
      <c r="LT164" s="37"/>
      <c r="LU164" s="37"/>
      <c r="LV164" s="37"/>
      <c r="LW164" s="37"/>
      <c r="LX164" s="37"/>
      <c r="LY164" s="37"/>
      <c r="LZ164" s="37"/>
      <c r="MA164" s="37"/>
      <c r="MB164" s="37"/>
      <c r="MC164" s="37"/>
      <c r="MD164" s="37"/>
      <c r="ME164" s="37"/>
      <c r="MF164" s="37"/>
      <c r="MG164" s="37"/>
      <c r="MH164" s="37"/>
      <c r="MI164" s="37"/>
      <c r="MJ164" s="37"/>
      <c r="MK164" s="37"/>
      <c r="ML164" s="37"/>
      <c r="MM164" s="37"/>
      <c r="MN164" s="37"/>
      <c r="MO164" s="37"/>
      <c r="MP164" s="37"/>
      <c r="MQ164" s="37"/>
      <c r="MR164" s="37"/>
      <c r="MS164" s="37"/>
      <c r="MT164" s="37"/>
      <c r="MU164" s="37"/>
      <c r="MV164" s="37"/>
      <c r="MW164" s="37"/>
      <c r="MX164" s="37"/>
      <c r="MY164" s="37"/>
      <c r="MZ164" s="37"/>
      <c r="NA164" s="37"/>
      <c r="NB164" s="37"/>
      <c r="NC164" s="37"/>
      <c r="ND164" s="37"/>
      <c r="NE164" s="37"/>
      <c r="NF164" s="37"/>
      <c r="NG164" s="37"/>
      <c r="NH164" s="37"/>
      <c r="NI164" s="37"/>
      <c r="NJ164" s="37"/>
      <c r="NK164" s="37"/>
      <c r="NL164" s="37"/>
      <c r="NM164" s="37"/>
      <c r="NN164" s="37"/>
      <c r="NO164" s="37"/>
      <c r="NP164" s="37"/>
      <c r="NQ164" s="37"/>
      <c r="NR164" s="37"/>
      <c r="NS164" s="37"/>
      <c r="NT164" s="37"/>
      <c r="NU164" s="37"/>
      <c r="NV164" s="37"/>
      <c r="NW164" s="37"/>
      <c r="NX164" s="37"/>
      <c r="NY164" s="37"/>
      <c r="NZ164" s="37"/>
      <c r="OA164" s="37"/>
      <c r="OB164" s="37"/>
      <c r="OC164" s="37"/>
      <c r="OD164" s="37"/>
      <c r="OE164" s="37"/>
      <c r="OF164" s="37"/>
      <c r="OG164" s="37"/>
      <c r="OH164" s="37"/>
      <c r="OI164" s="37"/>
      <c r="OJ164" s="37"/>
      <c r="OK164" s="37"/>
      <c r="OL164" s="37"/>
      <c r="OM164" s="37"/>
      <c r="ON164" s="37"/>
      <c r="OO164" s="37"/>
      <c r="OP164" s="37"/>
      <c r="OQ164" s="37"/>
      <c r="OR164" s="37"/>
      <c r="OS164" s="37"/>
      <c r="OT164" s="37"/>
      <c r="OU164" s="37"/>
      <c r="OV164" s="37"/>
      <c r="OW164" s="37"/>
      <c r="OX164" s="37"/>
      <c r="OY164" s="37"/>
      <c r="OZ164" s="37"/>
      <c r="PA164" s="37"/>
      <c r="PB164" s="37"/>
      <c r="PC164" s="37"/>
      <c r="PD164" s="37"/>
      <c r="PE164" s="37"/>
      <c r="PF164" s="37"/>
      <c r="PG164" s="37"/>
      <c r="PH164" s="37"/>
      <c r="PI164" s="37"/>
      <c r="PJ164" s="37"/>
      <c r="PK164" s="37"/>
      <c r="PL164" s="37"/>
      <c r="PM164" s="37"/>
      <c r="PN164" s="37"/>
      <c r="PO164" s="37"/>
      <c r="PP164" s="37"/>
      <c r="PQ164" s="37"/>
      <c r="PR164" s="37"/>
      <c r="PS164" s="37"/>
      <c r="PT164" s="37"/>
      <c r="PU164" s="37"/>
      <c r="PV164" s="37"/>
      <c r="PW164" s="37"/>
      <c r="PX164" s="37"/>
      <c r="PY164" s="37"/>
      <c r="PZ164" s="37"/>
      <c r="QA164" s="37"/>
      <c r="QB164" s="37"/>
      <c r="QC164" s="37"/>
      <c r="QD164" s="37"/>
      <c r="QE164" s="37"/>
      <c r="QF164" s="37"/>
      <c r="QG164" s="37"/>
      <c r="QH164" s="37"/>
      <c r="QI164" s="37"/>
      <c r="QJ164" s="37"/>
      <c r="QK164" s="37"/>
      <c r="QL164" s="37"/>
      <c r="QM164" s="37"/>
      <c r="QN164" s="37"/>
      <c r="QO164" s="37"/>
      <c r="QP164" s="37"/>
      <c r="QQ164" s="37"/>
      <c r="QR164" s="37"/>
      <c r="QS164" s="37"/>
      <c r="QT164" s="37"/>
      <c r="QU164" s="37"/>
      <c r="QV164" s="37"/>
      <c r="QW164" s="37"/>
      <c r="QX164" s="37"/>
      <c r="QY164" s="37"/>
      <c r="QZ164" s="37"/>
      <c r="RA164" s="37"/>
      <c r="RB164" s="37"/>
      <c r="RC164" s="37"/>
      <c r="RD164" s="37"/>
      <c r="RE164" s="37"/>
      <c r="RF164" s="37"/>
      <c r="RG164" s="37"/>
      <c r="RH164" s="37"/>
      <c r="RI164" s="37"/>
      <c r="RJ164" s="37"/>
      <c r="RK164" s="37"/>
      <c r="RL164" s="37"/>
      <c r="RM164" s="37"/>
      <c r="RN164" s="37"/>
      <c r="RO164" s="37"/>
      <c r="RP164" s="37"/>
      <c r="RQ164" s="37"/>
      <c r="RR164" s="37"/>
      <c r="RS164" s="37"/>
      <c r="RT164" s="37"/>
      <c r="RU164" s="37"/>
      <c r="RV164" s="37"/>
      <c r="RW164" s="37"/>
      <c r="RX164" s="37"/>
      <c r="RY164" s="37"/>
      <c r="RZ164" s="37"/>
      <c r="SA164" s="37"/>
      <c r="SB164" s="37"/>
      <c r="SC164" s="37"/>
      <c r="SD164" s="37"/>
      <c r="SE164" s="37"/>
      <c r="SF164" s="37"/>
      <c r="SG164" s="37"/>
      <c r="SH164" s="37"/>
      <c r="SI164" s="37"/>
      <c r="SJ164" s="37"/>
      <c r="SK164" s="37"/>
      <c r="SL164" s="37"/>
      <c r="SM164" s="37"/>
      <c r="SN164" s="37"/>
      <c r="SO164" s="37"/>
      <c r="SP164" s="37"/>
      <c r="SQ164" s="37"/>
      <c r="SR164" s="37"/>
      <c r="SS164" s="37"/>
      <c r="ST164" s="37"/>
      <c r="SU164" s="37"/>
      <c r="SV164" s="37"/>
      <c r="SW164" s="37"/>
      <c r="SX164" s="37"/>
      <c r="SY164" s="37"/>
      <c r="SZ164" s="37"/>
      <c r="TA164" s="37"/>
      <c r="TB164" s="37"/>
      <c r="TC164" s="37"/>
      <c r="TD164" s="37"/>
      <c r="TE164" s="37"/>
      <c r="TF164" s="37"/>
      <c r="TG164" s="37"/>
      <c r="TH164" s="37"/>
      <c r="TI164" s="37"/>
      <c r="TJ164" s="37"/>
      <c r="TK164" s="37"/>
      <c r="TL164" s="37"/>
      <c r="TM164" s="37"/>
      <c r="TN164" s="37"/>
      <c r="TO164" s="37"/>
      <c r="TP164" s="37"/>
      <c r="TQ164" s="37"/>
      <c r="TR164" s="37"/>
    </row>
    <row r="165" spans="1:538" s="39" customFormat="1" ht="38.25" customHeight="1" x14ac:dyDescent="0.25">
      <c r="A165" s="73" t="s">
        <v>40</v>
      </c>
      <c r="B165" s="72"/>
      <c r="C165" s="72"/>
      <c r="D165" s="32" t="s">
        <v>46</v>
      </c>
      <c r="E165" s="66">
        <f t="shared" ref="E165" si="129">SUM(E166+E167+E168+E169+E170+E171+E173+E174+E175+E176+E172+E177)</f>
        <v>3706717</v>
      </c>
      <c r="F165" s="66">
        <f t="shared" ref="F165:H165" si="130">SUM(F166+F167+F168+F169+F170+F171+F173+F174+F175+F176+F172+F177)</f>
        <v>1552300</v>
      </c>
      <c r="G165" s="66">
        <f t="shared" si="130"/>
        <v>0</v>
      </c>
      <c r="H165" s="66">
        <f t="shared" si="130"/>
        <v>1916139.29</v>
      </c>
      <c r="I165" s="66">
        <f t="shared" ref="I165:J165" si="131">SUM(I166+I167+I168+I169+I170+I171+I173+I174+I175+I176+I172+I177)</f>
        <v>1548826.91</v>
      </c>
      <c r="J165" s="66">
        <f t="shared" si="131"/>
        <v>0</v>
      </c>
      <c r="K165" s="139">
        <f t="shared" si="113"/>
        <v>51.693703349891564</v>
      </c>
      <c r="L165" s="66">
        <f t="shared" ref="L165" si="132">SUM(L166+L167+L168+L169+L170+L171+L173+L174+L175+L176+L172+L177)</f>
        <v>173564492.18000001</v>
      </c>
      <c r="M165" s="66">
        <f t="shared" ref="M165:Y165" si="133">SUM(M166+M167+M168+M169+M170+M171+M173+M174+M175+M176+M172+M177)</f>
        <v>159717220</v>
      </c>
      <c r="N165" s="66">
        <f t="shared" si="133"/>
        <v>3200000</v>
      </c>
      <c r="O165" s="66">
        <f t="shared" si="133"/>
        <v>2348000</v>
      </c>
      <c r="P165" s="66">
        <f t="shared" si="133"/>
        <v>90600</v>
      </c>
      <c r="Q165" s="66">
        <f t="shared" si="133"/>
        <v>170364492.18000001</v>
      </c>
      <c r="R165" s="66">
        <f t="shared" si="133"/>
        <v>31237999</v>
      </c>
      <c r="S165" s="66">
        <f t="shared" ref="S165:W165" si="134">SUM(S166+S167+S168+S169+S170+S171+S173+S174+S175+S176+S172+S177)</f>
        <v>30303263</v>
      </c>
      <c r="T165" s="66">
        <f t="shared" si="134"/>
        <v>495025</v>
      </c>
      <c r="U165" s="66">
        <f t="shared" si="134"/>
        <v>339427.49</v>
      </c>
      <c r="V165" s="66">
        <f t="shared" si="134"/>
        <v>40923.24</v>
      </c>
      <c r="W165" s="66">
        <f t="shared" si="134"/>
        <v>30742974</v>
      </c>
      <c r="X165" s="139">
        <f t="shared" si="114"/>
        <v>17.99792031633045</v>
      </c>
      <c r="Y165" s="66">
        <f t="shared" si="133"/>
        <v>33154138.289999999</v>
      </c>
      <c r="Z165" s="156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/>
      <c r="MX165" s="38"/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/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38"/>
      <c r="PM165" s="38"/>
      <c r="PN165" s="38"/>
      <c r="PO165" s="38"/>
      <c r="PP165" s="38"/>
      <c r="PQ165" s="38"/>
      <c r="PR165" s="38"/>
      <c r="PS165" s="38"/>
      <c r="PT165" s="38"/>
      <c r="PU165" s="38"/>
      <c r="PV165" s="38"/>
      <c r="PW165" s="38"/>
      <c r="PX165" s="38"/>
      <c r="PY165" s="38"/>
      <c r="PZ165" s="38"/>
      <c r="QA165" s="38"/>
      <c r="QB165" s="38"/>
      <c r="QC165" s="38"/>
      <c r="QD165" s="38"/>
      <c r="QE165" s="38"/>
      <c r="QF165" s="38"/>
      <c r="QG165" s="38"/>
      <c r="QH165" s="38"/>
      <c r="QI165" s="38"/>
      <c r="QJ165" s="38"/>
      <c r="QK165" s="38"/>
      <c r="QL165" s="38"/>
      <c r="QM165" s="38"/>
      <c r="QN165" s="38"/>
      <c r="QO165" s="38"/>
      <c r="QP165" s="38"/>
      <c r="QQ165" s="38"/>
      <c r="QR165" s="38"/>
      <c r="QS165" s="38"/>
      <c r="QT165" s="38"/>
      <c r="QU165" s="38"/>
      <c r="QV165" s="38"/>
      <c r="QW165" s="38"/>
      <c r="QX165" s="38"/>
      <c r="QY165" s="38"/>
      <c r="QZ165" s="38"/>
      <c r="RA165" s="38"/>
      <c r="RB165" s="38"/>
      <c r="RC165" s="38"/>
      <c r="RD165" s="38"/>
      <c r="RE165" s="38"/>
      <c r="RF165" s="38"/>
      <c r="RG165" s="38"/>
      <c r="RH165" s="38"/>
      <c r="RI165" s="38"/>
      <c r="RJ165" s="38"/>
      <c r="RK165" s="38"/>
      <c r="RL165" s="38"/>
      <c r="RM165" s="38"/>
      <c r="RN165" s="38"/>
      <c r="RO165" s="38"/>
      <c r="RP165" s="38"/>
      <c r="RQ165" s="38"/>
      <c r="RR165" s="38"/>
      <c r="RS165" s="38"/>
      <c r="RT165" s="38"/>
      <c r="RU165" s="38"/>
      <c r="RV165" s="38"/>
      <c r="RW165" s="38"/>
      <c r="RX165" s="38"/>
      <c r="RY165" s="38"/>
      <c r="RZ165" s="38"/>
      <c r="SA165" s="38"/>
      <c r="SB165" s="38"/>
      <c r="SC165" s="38"/>
      <c r="SD165" s="38"/>
      <c r="SE165" s="38"/>
      <c r="SF165" s="38"/>
      <c r="SG165" s="38"/>
      <c r="SH165" s="38"/>
      <c r="SI165" s="38"/>
      <c r="SJ165" s="38"/>
      <c r="SK165" s="38"/>
      <c r="SL165" s="38"/>
      <c r="SM165" s="38"/>
      <c r="SN165" s="38"/>
      <c r="SO165" s="38"/>
      <c r="SP165" s="38"/>
      <c r="SQ165" s="38"/>
      <c r="SR165" s="38"/>
      <c r="SS165" s="38"/>
      <c r="ST165" s="38"/>
      <c r="SU165" s="38"/>
      <c r="SV165" s="38"/>
      <c r="SW165" s="38"/>
      <c r="SX165" s="38"/>
      <c r="SY165" s="38"/>
      <c r="SZ165" s="38"/>
      <c r="TA165" s="38"/>
      <c r="TB165" s="38"/>
      <c r="TC165" s="38"/>
      <c r="TD165" s="38"/>
      <c r="TE165" s="38"/>
      <c r="TF165" s="38"/>
      <c r="TG165" s="38"/>
      <c r="TH165" s="38"/>
      <c r="TI165" s="38"/>
      <c r="TJ165" s="38"/>
      <c r="TK165" s="38"/>
      <c r="TL165" s="38"/>
      <c r="TM165" s="38"/>
      <c r="TN165" s="38"/>
      <c r="TO165" s="38"/>
      <c r="TP165" s="38"/>
      <c r="TQ165" s="38"/>
      <c r="TR165" s="38"/>
    </row>
    <row r="166" spans="1:538" s="22" customFormat="1" ht="44.25" customHeight="1" x14ac:dyDescent="0.25">
      <c r="A166" s="42" t="s">
        <v>170</v>
      </c>
      <c r="B166" s="43" t="str">
        <f>'дод 3'!A19</f>
        <v>0160</v>
      </c>
      <c r="C166" s="43" t="str">
        <f>'дод 3'!B19</f>
        <v>0111</v>
      </c>
      <c r="D166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66" s="67">
        <v>1893800</v>
      </c>
      <c r="F166" s="67">
        <v>1552300</v>
      </c>
      <c r="G166" s="67"/>
      <c r="H166" s="67">
        <v>1860916.19</v>
      </c>
      <c r="I166" s="67">
        <v>1548826.91</v>
      </c>
      <c r="J166" s="67"/>
      <c r="K166" s="140">
        <f t="shared" si="113"/>
        <v>98.263607033477669</v>
      </c>
      <c r="L166" s="67">
        <v>3200000</v>
      </c>
      <c r="M166" s="67"/>
      <c r="N166" s="67">
        <v>3200000</v>
      </c>
      <c r="O166" s="67">
        <v>2348000</v>
      </c>
      <c r="P166" s="67">
        <v>90600</v>
      </c>
      <c r="Q166" s="67"/>
      <c r="R166" s="67">
        <f t="shared" ref="R166:R177" si="135">T166+W166</f>
        <v>495025</v>
      </c>
      <c r="S166" s="67"/>
      <c r="T166" s="67">
        <v>495025</v>
      </c>
      <c r="U166" s="67">
        <v>339427.49</v>
      </c>
      <c r="V166" s="67">
        <v>40923.24</v>
      </c>
      <c r="W166" s="67"/>
      <c r="X166" s="140">
        <f t="shared" si="114"/>
        <v>15.469531249999999</v>
      </c>
      <c r="Y166" s="67">
        <f t="shared" ref="Y166:Y176" si="136">H166+R166</f>
        <v>2355941.19</v>
      </c>
      <c r="Z166" s="156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</row>
    <row r="167" spans="1:538" s="22" customFormat="1" ht="22.5" customHeight="1" x14ac:dyDescent="0.25">
      <c r="A167" s="42" t="s">
        <v>242</v>
      </c>
      <c r="B167" s="43" t="str">
        <f>'дод 3'!A94</f>
        <v>6030</v>
      </c>
      <c r="C167" s="43" t="str">
        <f>'дод 3'!B94</f>
        <v>0620</v>
      </c>
      <c r="D167" s="23" t="str">
        <f>'дод 3'!C94</f>
        <v>Організація благоустрою населених пунктів</v>
      </c>
      <c r="E167" s="67">
        <v>0</v>
      </c>
      <c r="F167" s="67"/>
      <c r="G167" s="67"/>
      <c r="H167" s="67"/>
      <c r="I167" s="67"/>
      <c r="J167" s="67"/>
      <c r="K167" s="140"/>
      <c r="L167" s="67">
        <v>15454000</v>
      </c>
      <c r="M167" s="67">
        <f>60000000-5000000-3750000-35796000</f>
        <v>15454000</v>
      </c>
      <c r="N167" s="67"/>
      <c r="O167" s="67"/>
      <c r="P167" s="67"/>
      <c r="Q167" s="67">
        <f>60000000-5000000-3750000-35796000</f>
        <v>15454000</v>
      </c>
      <c r="R167" s="67">
        <f t="shared" si="135"/>
        <v>8097185</v>
      </c>
      <c r="S167" s="67">
        <v>8097185</v>
      </c>
      <c r="T167" s="67"/>
      <c r="U167" s="67"/>
      <c r="V167" s="67"/>
      <c r="W167" s="67">
        <v>8097185</v>
      </c>
      <c r="X167" s="140">
        <f t="shared" si="114"/>
        <v>52.395399249385278</v>
      </c>
      <c r="Y167" s="67">
        <f t="shared" si="136"/>
        <v>8097185</v>
      </c>
      <c r="Z167" s="156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/>
      <c r="QE167" s="25"/>
      <c r="QF167" s="25"/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</row>
    <row r="168" spans="1:538" s="22" customFormat="1" ht="54.75" customHeight="1" x14ac:dyDescent="0.25">
      <c r="A168" s="42" t="s">
        <v>243</v>
      </c>
      <c r="B168" s="43" t="str">
        <f>'дод 3'!A95</f>
        <v>6084</v>
      </c>
      <c r="C168" s="43" t="str">
        <f>'дод 3'!B95</f>
        <v>0610</v>
      </c>
      <c r="D168" s="23" t="str">
        <f>'дод 3'!C95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68" s="67">
        <v>84906</v>
      </c>
      <c r="F168" s="67"/>
      <c r="G168" s="67"/>
      <c r="H168" s="67"/>
      <c r="I168" s="67"/>
      <c r="J168" s="67"/>
      <c r="K168" s="140">
        <f t="shared" si="113"/>
        <v>0</v>
      </c>
      <c r="L168" s="67">
        <v>77703.06</v>
      </c>
      <c r="M168" s="67"/>
      <c r="N168" s="68"/>
      <c r="O168" s="67"/>
      <c r="P168" s="67"/>
      <c r="Q168" s="67">
        <f>46724+30979.06</f>
        <v>77703.06</v>
      </c>
      <c r="R168" s="67">
        <f t="shared" si="135"/>
        <v>0</v>
      </c>
      <c r="S168" s="67"/>
      <c r="T168" s="68"/>
      <c r="U168" s="67"/>
      <c r="V168" s="67"/>
      <c r="W168" s="67"/>
      <c r="X168" s="140">
        <f t="shared" si="114"/>
        <v>0</v>
      </c>
      <c r="Y168" s="67">
        <f t="shared" si="136"/>
        <v>0</v>
      </c>
      <c r="Z168" s="156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  <c r="NG168" s="25"/>
      <c r="NH168" s="25"/>
      <c r="NI168" s="25"/>
      <c r="NJ168" s="25"/>
      <c r="NK168" s="25"/>
      <c r="NL168" s="25"/>
      <c r="NM168" s="25"/>
      <c r="NN168" s="25"/>
      <c r="NO168" s="25"/>
      <c r="NP168" s="25"/>
      <c r="NQ168" s="25"/>
      <c r="NR168" s="25"/>
      <c r="NS168" s="25"/>
      <c r="NT168" s="25"/>
      <c r="NU168" s="25"/>
      <c r="NV168" s="25"/>
      <c r="NW168" s="25"/>
      <c r="NX168" s="25"/>
      <c r="NY168" s="25"/>
      <c r="NZ168" s="25"/>
      <c r="OA168" s="25"/>
      <c r="OB168" s="25"/>
      <c r="OC168" s="25"/>
      <c r="OD168" s="25"/>
      <c r="OE168" s="25"/>
      <c r="OF168" s="25"/>
      <c r="OG168" s="25"/>
      <c r="OH168" s="25"/>
      <c r="OI168" s="25"/>
      <c r="OJ168" s="25"/>
      <c r="OK168" s="25"/>
      <c r="OL168" s="25"/>
      <c r="OM168" s="25"/>
      <c r="ON168" s="25"/>
      <c r="OO168" s="25"/>
      <c r="OP168" s="25"/>
      <c r="OQ168" s="25"/>
      <c r="OR168" s="25"/>
      <c r="OS168" s="25"/>
      <c r="OT168" s="25"/>
      <c r="OU168" s="25"/>
      <c r="OV168" s="25"/>
      <c r="OW168" s="25"/>
      <c r="OX168" s="25"/>
      <c r="OY168" s="25"/>
      <c r="OZ168" s="25"/>
      <c r="PA168" s="25"/>
      <c r="PB168" s="25"/>
      <c r="PC168" s="25"/>
      <c r="PD168" s="25"/>
      <c r="PE168" s="25"/>
      <c r="PF168" s="25"/>
      <c r="PG168" s="25"/>
      <c r="PH168" s="25"/>
      <c r="PI168" s="25"/>
      <c r="PJ168" s="25"/>
      <c r="PK168" s="25"/>
      <c r="PL168" s="25"/>
      <c r="PM168" s="25"/>
      <c r="PN168" s="25"/>
      <c r="PO168" s="25"/>
      <c r="PP168" s="25"/>
      <c r="PQ168" s="25"/>
      <c r="PR168" s="25"/>
      <c r="PS168" s="25"/>
      <c r="PT168" s="25"/>
      <c r="PU168" s="25"/>
      <c r="PV168" s="25"/>
      <c r="PW168" s="25"/>
      <c r="PX168" s="25"/>
      <c r="PY168" s="25"/>
      <c r="PZ168" s="25"/>
      <c r="QA168" s="25"/>
      <c r="QB168" s="25"/>
      <c r="QC168" s="25"/>
      <c r="QD168" s="25"/>
      <c r="QE168" s="25"/>
      <c r="QF168" s="25"/>
      <c r="QG168" s="25"/>
      <c r="QH168" s="25"/>
      <c r="QI168" s="25"/>
      <c r="QJ168" s="25"/>
      <c r="QK168" s="25"/>
      <c r="QL168" s="25"/>
      <c r="QM168" s="25"/>
      <c r="QN168" s="25"/>
      <c r="QO168" s="25"/>
      <c r="QP168" s="25"/>
      <c r="QQ168" s="25"/>
      <c r="QR168" s="25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/>
      <c r="RU168" s="25"/>
      <c r="RV168" s="25"/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/>
      <c r="SY168" s="25"/>
      <c r="SZ168" s="25"/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</row>
    <row r="169" spans="1:538" s="22" customFormat="1" ht="33.75" customHeight="1" x14ac:dyDescent="0.25">
      <c r="A169" s="42" t="s">
        <v>317</v>
      </c>
      <c r="B169" s="43" t="str">
        <f>'дод 3'!A103</f>
        <v>7310</v>
      </c>
      <c r="C169" s="43" t="str">
        <f>'дод 3'!B103</f>
        <v>0443</v>
      </c>
      <c r="D169" s="23" t="str">
        <f>'дод 3'!C103</f>
        <v>Будівництво об'єктів житлово-комунального господарства</v>
      </c>
      <c r="E169" s="67">
        <v>0</v>
      </c>
      <c r="F169" s="67"/>
      <c r="G169" s="67"/>
      <c r="H169" s="67"/>
      <c r="I169" s="67"/>
      <c r="J169" s="67"/>
      <c r="K169" s="140"/>
      <c r="L169" s="67">
        <v>4590000</v>
      </c>
      <c r="M169" s="67">
        <f>3000000+1590000</f>
        <v>4590000</v>
      </c>
      <c r="N169" s="67"/>
      <c r="O169" s="67"/>
      <c r="P169" s="67"/>
      <c r="Q169" s="67">
        <f>3000000+1590000</f>
        <v>4590000</v>
      </c>
      <c r="R169" s="67">
        <f t="shared" si="135"/>
        <v>3136050</v>
      </c>
      <c r="S169" s="67">
        <v>3136050</v>
      </c>
      <c r="T169" s="67"/>
      <c r="U169" s="67"/>
      <c r="V169" s="67"/>
      <c r="W169" s="67">
        <v>3136050</v>
      </c>
      <c r="X169" s="140">
        <f t="shared" si="114"/>
        <v>68.32352941176471</v>
      </c>
      <c r="Y169" s="67">
        <f t="shared" si="136"/>
        <v>3136050</v>
      </c>
      <c r="Z169" s="156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</row>
    <row r="170" spans="1:538" s="22" customFormat="1" ht="21.75" customHeight="1" x14ac:dyDescent="0.25">
      <c r="A170" s="42" t="s">
        <v>318</v>
      </c>
      <c r="B170" s="43" t="str">
        <f>'дод 3'!A104</f>
        <v>7321</v>
      </c>
      <c r="C170" s="43" t="str">
        <f>'дод 3'!B104</f>
        <v>0443</v>
      </c>
      <c r="D170" s="23" t="str">
        <f>'дод 3'!C104</f>
        <v>Будівництво освітніх установ та закладів</v>
      </c>
      <c r="E170" s="67">
        <v>0</v>
      </c>
      <c r="F170" s="67"/>
      <c r="G170" s="67"/>
      <c r="H170" s="67"/>
      <c r="I170" s="67"/>
      <c r="J170" s="67"/>
      <c r="K170" s="140"/>
      <c r="L170" s="67">
        <v>4000000</v>
      </c>
      <c r="M170" s="67">
        <f>9000000-5000000</f>
        <v>4000000</v>
      </c>
      <c r="N170" s="67"/>
      <c r="O170" s="67"/>
      <c r="P170" s="67"/>
      <c r="Q170" s="67">
        <f>9000000-5000000</f>
        <v>4000000</v>
      </c>
      <c r="R170" s="67">
        <f t="shared" si="135"/>
        <v>0</v>
      </c>
      <c r="S170" s="67"/>
      <c r="T170" s="67"/>
      <c r="U170" s="67"/>
      <c r="V170" s="67"/>
      <c r="W170" s="67"/>
      <c r="X170" s="140">
        <f t="shared" si="114"/>
        <v>0</v>
      </c>
      <c r="Y170" s="67">
        <f t="shared" si="136"/>
        <v>0</v>
      </c>
      <c r="Z170" s="156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</row>
    <row r="171" spans="1:538" s="22" customFormat="1" ht="18" customHeight="1" x14ac:dyDescent="0.25">
      <c r="A171" s="42" t="s">
        <v>320</v>
      </c>
      <c r="B171" s="43" t="str">
        <f>'дод 3'!A105</f>
        <v>7322</v>
      </c>
      <c r="C171" s="43" t="str">
        <f>'дод 3'!B105</f>
        <v>0443</v>
      </c>
      <c r="D171" s="23" t="str">
        <f>'дод 3'!C105</f>
        <v>Будівництво медичних установ та закладів</v>
      </c>
      <c r="E171" s="67">
        <v>0</v>
      </c>
      <c r="F171" s="67"/>
      <c r="G171" s="67"/>
      <c r="H171" s="67"/>
      <c r="I171" s="67"/>
      <c r="J171" s="67"/>
      <c r="K171" s="140"/>
      <c r="L171" s="67">
        <v>12454849</v>
      </c>
      <c r="M171" s="67">
        <f>7000000-3286719+741568+8000000</f>
        <v>12454849</v>
      </c>
      <c r="N171" s="67"/>
      <c r="O171" s="67"/>
      <c r="P171" s="67"/>
      <c r="Q171" s="67">
        <f>7000000-3286719+741568+8000000</f>
        <v>12454849</v>
      </c>
      <c r="R171" s="67">
        <f t="shared" si="135"/>
        <v>4417109</v>
      </c>
      <c r="S171" s="67">
        <v>4417109</v>
      </c>
      <c r="T171" s="67"/>
      <c r="U171" s="67"/>
      <c r="V171" s="67"/>
      <c r="W171" s="67">
        <v>4417109</v>
      </c>
      <c r="X171" s="140">
        <f t="shared" si="114"/>
        <v>35.464974324457884</v>
      </c>
      <c r="Y171" s="67">
        <f t="shared" si="136"/>
        <v>4417109</v>
      </c>
      <c r="Z171" s="156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</row>
    <row r="172" spans="1:538" s="22" customFormat="1" ht="30" x14ac:dyDescent="0.25">
      <c r="A172" s="42" t="s">
        <v>419</v>
      </c>
      <c r="B172" s="43">
        <f>'дод 3'!A106</f>
        <v>7325</v>
      </c>
      <c r="C172" s="42" t="s">
        <v>132</v>
      </c>
      <c r="D172" s="23" t="str">
        <f>'дод 3'!C106</f>
        <v>Будівництво споруд, установ та закладів фізичної культури і спорту</v>
      </c>
      <c r="E172" s="67"/>
      <c r="F172" s="67"/>
      <c r="G172" s="67"/>
      <c r="H172" s="67"/>
      <c r="I172" s="67"/>
      <c r="J172" s="67"/>
      <c r="K172" s="140"/>
      <c r="L172" s="67">
        <v>500000</v>
      </c>
      <c r="M172" s="67">
        <f>7000000-7000000+100000+400000</f>
        <v>500000</v>
      </c>
      <c r="N172" s="67"/>
      <c r="O172" s="67"/>
      <c r="P172" s="67"/>
      <c r="Q172" s="67">
        <f>7000000-7000000+100000+400000</f>
        <v>500000</v>
      </c>
      <c r="R172" s="67">
        <f t="shared" si="135"/>
        <v>150454</v>
      </c>
      <c r="S172" s="67">
        <v>150454</v>
      </c>
      <c r="T172" s="67"/>
      <c r="U172" s="67"/>
      <c r="V172" s="67"/>
      <c r="W172" s="67">
        <v>150454</v>
      </c>
      <c r="X172" s="140">
        <f t="shared" si="114"/>
        <v>30.090800000000002</v>
      </c>
      <c r="Y172" s="67">
        <f t="shared" si="136"/>
        <v>150454</v>
      </c>
      <c r="Z172" s="156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PW172" s="25"/>
      <c r="PX172" s="25"/>
      <c r="PY172" s="25"/>
      <c r="PZ172" s="25"/>
      <c r="QA172" s="25"/>
      <c r="QB172" s="25"/>
      <c r="QC172" s="25"/>
      <c r="QD172" s="25"/>
      <c r="QE172" s="25"/>
      <c r="QF172" s="25"/>
      <c r="QG172" s="25"/>
      <c r="QH172" s="25"/>
      <c r="QI172" s="25"/>
      <c r="QJ172" s="25"/>
      <c r="QK172" s="25"/>
      <c r="QL172" s="25"/>
      <c r="QM172" s="25"/>
      <c r="QN172" s="25"/>
      <c r="QO172" s="25"/>
      <c r="QP172" s="25"/>
      <c r="QQ172" s="25"/>
      <c r="QR172" s="25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/>
      <c r="RL172" s="25"/>
      <c r="RM172" s="25"/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/>
      <c r="TN172" s="25"/>
      <c r="TO172" s="25"/>
      <c r="TP172" s="25"/>
      <c r="TQ172" s="25"/>
      <c r="TR172" s="25"/>
    </row>
    <row r="173" spans="1:538" s="22" customFormat="1" ht="23.25" customHeight="1" x14ac:dyDescent="0.25">
      <c r="A173" s="42" t="s">
        <v>322</v>
      </c>
      <c r="B173" s="43" t="str">
        <f>'дод 3'!A107</f>
        <v>7330</v>
      </c>
      <c r="C173" s="43" t="str">
        <f>'дод 3'!B107</f>
        <v>0443</v>
      </c>
      <c r="D173" s="23" t="str">
        <f>'дод 3'!C107</f>
        <v>Будівництво інших об'єктів комунальної власності</v>
      </c>
      <c r="E173" s="67">
        <v>0</v>
      </c>
      <c r="F173" s="67"/>
      <c r="G173" s="67"/>
      <c r="H173" s="67"/>
      <c r="I173" s="67"/>
      <c r="J173" s="67"/>
      <c r="K173" s="140"/>
      <c r="L173" s="67">
        <v>43270823</v>
      </c>
      <c r="M173" s="67">
        <f>41200000+100000-1000000+300000+1000000+1000000-1800000+860151+8034260+1003444+2000000+282968-10000000+290000</f>
        <v>43270823</v>
      </c>
      <c r="N173" s="67"/>
      <c r="O173" s="67"/>
      <c r="P173" s="67"/>
      <c r="Q173" s="67">
        <f>41200000+100000-1000000+300000+1000000+1000000-1800000+860151+8034260+1003444+2000000+282968-10000000+290000</f>
        <v>43270823</v>
      </c>
      <c r="R173" s="67">
        <f t="shared" si="135"/>
        <v>11917432</v>
      </c>
      <c r="S173" s="67">
        <v>11917432</v>
      </c>
      <c r="T173" s="67"/>
      <c r="U173" s="67"/>
      <c r="V173" s="67"/>
      <c r="W173" s="67">
        <v>11917432</v>
      </c>
      <c r="X173" s="140">
        <f t="shared" si="114"/>
        <v>27.541496033019758</v>
      </c>
      <c r="Y173" s="67">
        <f t="shared" si="136"/>
        <v>11917432</v>
      </c>
      <c r="Z173" s="156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/>
      <c r="QE173" s="25"/>
      <c r="QF173" s="25"/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</row>
    <row r="174" spans="1:538" s="22" customFormat="1" ht="44.25" customHeight="1" x14ac:dyDescent="0.25">
      <c r="A174" s="42" t="s">
        <v>444</v>
      </c>
      <c r="B174" s="43">
        <f>'дод 3'!A109</f>
        <v>7361</v>
      </c>
      <c r="C174" s="43" t="str">
        <f>'дод 3'!B109</f>
        <v>0490</v>
      </c>
      <c r="D174" s="23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74" s="67">
        <v>0</v>
      </c>
      <c r="F174" s="67"/>
      <c r="G174" s="67"/>
      <c r="H174" s="67"/>
      <c r="I174" s="67"/>
      <c r="J174" s="67"/>
      <c r="K174" s="140"/>
      <c r="L174" s="67">
        <v>5000000</v>
      </c>
      <c r="M174" s="67">
        <v>5000000</v>
      </c>
      <c r="N174" s="67"/>
      <c r="O174" s="67"/>
      <c r="P174" s="67"/>
      <c r="Q174" s="67">
        <v>5000000</v>
      </c>
      <c r="R174" s="67">
        <f t="shared" si="135"/>
        <v>993835</v>
      </c>
      <c r="S174" s="67">
        <v>993835</v>
      </c>
      <c r="T174" s="67"/>
      <c r="U174" s="67"/>
      <c r="V174" s="67"/>
      <c r="W174" s="67">
        <v>993835</v>
      </c>
      <c r="X174" s="140">
        <f t="shared" si="114"/>
        <v>19.8767</v>
      </c>
      <c r="Y174" s="67">
        <f t="shared" si="136"/>
        <v>993835</v>
      </c>
      <c r="Z174" s="156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  <c r="NG174" s="25"/>
      <c r="NH174" s="25"/>
      <c r="NI174" s="25"/>
      <c r="NJ174" s="25"/>
      <c r="NK174" s="25"/>
      <c r="NL174" s="25"/>
      <c r="NM174" s="25"/>
      <c r="NN174" s="25"/>
      <c r="NO174" s="25"/>
      <c r="NP174" s="25"/>
      <c r="NQ174" s="25"/>
      <c r="NR174" s="25"/>
      <c r="NS174" s="25"/>
      <c r="NT174" s="25"/>
      <c r="NU174" s="25"/>
      <c r="NV174" s="25"/>
      <c r="NW174" s="25"/>
      <c r="NX174" s="25"/>
      <c r="NY174" s="25"/>
      <c r="NZ174" s="25"/>
      <c r="OA174" s="25"/>
      <c r="OB174" s="25"/>
      <c r="OC174" s="25"/>
      <c r="OD174" s="25"/>
      <c r="OE174" s="25"/>
      <c r="OF174" s="25"/>
      <c r="OG174" s="25"/>
      <c r="OH174" s="25"/>
      <c r="OI174" s="25"/>
      <c r="OJ174" s="25"/>
      <c r="OK174" s="25"/>
      <c r="OL174" s="25"/>
      <c r="OM174" s="25"/>
      <c r="ON174" s="25"/>
      <c r="OO174" s="25"/>
      <c r="OP174" s="25"/>
      <c r="OQ174" s="25"/>
      <c r="OR174" s="25"/>
      <c r="OS174" s="25"/>
      <c r="OT174" s="25"/>
      <c r="OU174" s="25"/>
      <c r="OV174" s="25"/>
      <c r="OW174" s="25"/>
      <c r="OX174" s="25"/>
      <c r="OY174" s="25"/>
      <c r="OZ174" s="25"/>
      <c r="PA174" s="25"/>
      <c r="PB174" s="25"/>
      <c r="PC174" s="25"/>
      <c r="PD174" s="25"/>
      <c r="PE174" s="25"/>
      <c r="PF174" s="25"/>
      <c r="PG174" s="25"/>
      <c r="PH174" s="25"/>
      <c r="PI174" s="25"/>
      <c r="PJ174" s="25"/>
      <c r="PK174" s="25"/>
      <c r="PL174" s="25"/>
      <c r="PM174" s="25"/>
      <c r="PN174" s="25"/>
      <c r="PO174" s="25"/>
      <c r="PP174" s="25"/>
      <c r="PQ174" s="25"/>
      <c r="PR174" s="25"/>
      <c r="PS174" s="25"/>
      <c r="PT174" s="25"/>
      <c r="PU174" s="25"/>
      <c r="PV174" s="25"/>
      <c r="PW174" s="25"/>
      <c r="PX174" s="25"/>
      <c r="PY174" s="25"/>
      <c r="PZ174" s="25"/>
      <c r="QA174" s="25"/>
      <c r="QB174" s="25"/>
      <c r="QC174" s="25"/>
      <c r="QD174" s="25"/>
      <c r="QE174" s="25"/>
      <c r="QF174" s="25"/>
      <c r="QG174" s="25"/>
      <c r="QH174" s="25"/>
      <c r="QI174" s="25"/>
      <c r="QJ174" s="25"/>
      <c r="QK174" s="25"/>
      <c r="QL174" s="25"/>
      <c r="QM174" s="25"/>
      <c r="QN174" s="25"/>
      <c r="QO174" s="25"/>
      <c r="QP174" s="25"/>
      <c r="QQ174" s="25"/>
      <c r="QR174" s="25"/>
      <c r="QS174" s="25"/>
      <c r="QT174" s="25"/>
      <c r="QU174" s="25"/>
      <c r="QV174" s="25"/>
      <c r="QW174" s="25"/>
      <c r="QX174" s="25"/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</row>
    <row r="175" spans="1:538" s="22" customFormat="1" ht="42.75" customHeight="1" x14ac:dyDescent="0.25">
      <c r="A175" s="42" t="s">
        <v>434</v>
      </c>
      <c r="B175" s="43">
        <v>7363</v>
      </c>
      <c r="C175" s="42" t="s">
        <v>102</v>
      </c>
      <c r="D175" s="23" t="s">
        <v>435</v>
      </c>
      <c r="E175" s="67">
        <v>0</v>
      </c>
      <c r="F175" s="67"/>
      <c r="G175" s="67"/>
      <c r="H175" s="67"/>
      <c r="I175" s="67"/>
      <c r="J175" s="67"/>
      <c r="K175" s="140"/>
      <c r="L175" s="67">
        <v>95000</v>
      </c>
      <c r="M175" s="67">
        <v>95000</v>
      </c>
      <c r="N175" s="67"/>
      <c r="O175" s="67"/>
      <c r="P175" s="67"/>
      <c r="Q175" s="67">
        <v>95000</v>
      </c>
      <c r="R175" s="67">
        <f t="shared" si="135"/>
        <v>0</v>
      </c>
      <c r="S175" s="67"/>
      <c r="T175" s="67"/>
      <c r="U175" s="67"/>
      <c r="V175" s="67"/>
      <c r="W175" s="67"/>
      <c r="X175" s="140">
        <f t="shared" si="114"/>
        <v>0</v>
      </c>
      <c r="Y175" s="67">
        <f t="shared" si="136"/>
        <v>0</v>
      </c>
      <c r="Z175" s="156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/>
      <c r="PP175" s="25"/>
      <c r="PQ175" s="25"/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</row>
    <row r="176" spans="1:538" s="22" customFormat="1" ht="21.75" customHeight="1" x14ac:dyDescent="0.25">
      <c r="A176" s="42" t="s">
        <v>177</v>
      </c>
      <c r="B176" s="43" t="str">
        <f>'дод 3'!A124</f>
        <v>7640</v>
      </c>
      <c r="C176" s="43" t="str">
        <f>'дод 3'!B124</f>
        <v>0470</v>
      </c>
      <c r="D176" s="23" t="str">
        <f>'дод 3'!C124</f>
        <v>Заходи з енергозбереження</v>
      </c>
      <c r="E176" s="67">
        <v>1728011</v>
      </c>
      <c r="F176" s="67"/>
      <c r="G176" s="67"/>
      <c r="H176" s="67">
        <v>55223.1</v>
      </c>
      <c r="I176" s="67"/>
      <c r="J176" s="67"/>
      <c r="K176" s="140">
        <f t="shared" si="113"/>
        <v>3.1957609066145989</v>
      </c>
      <c r="L176" s="67">
        <v>84089000</v>
      </c>
      <c r="M176" s="67">
        <v>74352548</v>
      </c>
      <c r="N176" s="68"/>
      <c r="O176" s="67"/>
      <c r="P176" s="67"/>
      <c r="Q176" s="67">
        <f>74352548+9736452</f>
        <v>84089000</v>
      </c>
      <c r="R176" s="67">
        <f t="shared" si="135"/>
        <v>2030909</v>
      </c>
      <c r="S176" s="67">
        <v>1591198</v>
      </c>
      <c r="T176" s="68"/>
      <c r="U176" s="67"/>
      <c r="V176" s="67"/>
      <c r="W176" s="67">
        <v>2030909</v>
      </c>
      <c r="X176" s="140">
        <f t="shared" si="114"/>
        <v>2.4151898583643518</v>
      </c>
      <c r="Y176" s="67">
        <f t="shared" si="136"/>
        <v>2086132.1</v>
      </c>
      <c r="Z176" s="156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/>
      <c r="OU176" s="25"/>
      <c r="OV176" s="25"/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</row>
    <row r="177" spans="1:538" s="22" customFormat="1" ht="107.25" customHeight="1" x14ac:dyDescent="0.25">
      <c r="A177" s="42" t="s">
        <v>440</v>
      </c>
      <c r="B177" s="43">
        <v>7691</v>
      </c>
      <c r="C177" s="45" t="s">
        <v>102</v>
      </c>
      <c r="D177" s="23" t="s">
        <v>366</v>
      </c>
      <c r="E177" s="67">
        <v>0</v>
      </c>
      <c r="F177" s="67"/>
      <c r="G177" s="67"/>
      <c r="H177" s="67"/>
      <c r="I177" s="67"/>
      <c r="J177" s="67"/>
      <c r="K177" s="140"/>
      <c r="L177" s="67">
        <v>833117.12</v>
      </c>
      <c r="M177" s="67"/>
      <c r="N177" s="68"/>
      <c r="O177" s="67"/>
      <c r="P177" s="67"/>
      <c r="Q177" s="67">
        <v>833117.12</v>
      </c>
      <c r="R177" s="67">
        <f t="shared" si="135"/>
        <v>0</v>
      </c>
      <c r="S177" s="67"/>
      <c r="T177" s="68"/>
      <c r="U177" s="67"/>
      <c r="V177" s="67"/>
      <c r="W177" s="67"/>
      <c r="X177" s="140">
        <f t="shared" si="114"/>
        <v>0</v>
      </c>
      <c r="Y177" s="67">
        <f>H177+R177</f>
        <v>0</v>
      </c>
      <c r="Z177" s="156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  <c r="NG177" s="25"/>
      <c r="NH177" s="25"/>
      <c r="NI177" s="25"/>
      <c r="NJ177" s="25"/>
      <c r="NK177" s="25"/>
      <c r="NL177" s="25"/>
      <c r="NM177" s="25"/>
      <c r="NN177" s="25"/>
      <c r="NO177" s="25"/>
      <c r="NP177" s="25"/>
      <c r="NQ177" s="25"/>
      <c r="NR177" s="25"/>
      <c r="NS177" s="25"/>
      <c r="NT177" s="25"/>
      <c r="NU177" s="25"/>
      <c r="NV177" s="25"/>
      <c r="NW177" s="25"/>
      <c r="NX177" s="25"/>
      <c r="NY177" s="25"/>
      <c r="NZ177" s="25"/>
      <c r="OA177" s="25"/>
      <c r="OB177" s="25"/>
      <c r="OC177" s="25"/>
      <c r="OD177" s="25"/>
      <c r="OE177" s="25"/>
      <c r="OF177" s="25"/>
      <c r="OG177" s="25"/>
      <c r="OH177" s="25"/>
      <c r="OI177" s="25"/>
      <c r="OJ177" s="25"/>
      <c r="OK177" s="25"/>
      <c r="OL177" s="25"/>
      <c r="OM177" s="25"/>
      <c r="ON177" s="25"/>
      <c r="OO177" s="25"/>
      <c r="OP177" s="25"/>
      <c r="OQ177" s="25"/>
      <c r="OR177" s="25"/>
      <c r="OS177" s="25"/>
      <c r="OT177" s="25"/>
      <c r="OU177" s="25"/>
      <c r="OV177" s="25"/>
      <c r="OW177" s="25"/>
      <c r="OX177" s="25"/>
      <c r="OY177" s="25"/>
      <c r="OZ177" s="25"/>
      <c r="PA177" s="25"/>
      <c r="PB177" s="25"/>
      <c r="PC177" s="25"/>
      <c r="PD177" s="25"/>
      <c r="PE177" s="25"/>
      <c r="PF177" s="25"/>
      <c r="PG177" s="25"/>
      <c r="PH177" s="25"/>
      <c r="PI177" s="25"/>
      <c r="PJ177" s="25"/>
      <c r="PK177" s="25"/>
      <c r="PL177" s="25"/>
      <c r="PM177" s="25"/>
      <c r="PN177" s="25"/>
      <c r="PO177" s="25"/>
      <c r="PP177" s="25"/>
      <c r="PQ177" s="25"/>
      <c r="PR177" s="25"/>
      <c r="PS177" s="25"/>
      <c r="PT177" s="25"/>
      <c r="PU177" s="25"/>
      <c r="PV177" s="25"/>
      <c r="PW177" s="25"/>
      <c r="PX177" s="25"/>
      <c r="PY177" s="25"/>
      <c r="PZ177" s="25"/>
      <c r="QA177" s="25"/>
      <c r="QB177" s="25"/>
      <c r="QC177" s="25"/>
      <c r="QD177" s="25"/>
      <c r="QE177" s="25"/>
      <c r="QF177" s="25"/>
      <c r="QG177" s="25"/>
      <c r="QH177" s="25"/>
      <c r="QI177" s="25"/>
      <c r="QJ177" s="25"/>
      <c r="QK177" s="25"/>
      <c r="QL177" s="25"/>
      <c r="QM177" s="25"/>
      <c r="QN177" s="25"/>
      <c r="QO177" s="25"/>
      <c r="QP177" s="25"/>
      <c r="QQ177" s="25"/>
      <c r="QR177" s="25"/>
      <c r="QS177" s="25"/>
      <c r="QT177" s="25"/>
      <c r="QU177" s="25"/>
      <c r="QV177" s="25"/>
      <c r="QW177" s="25"/>
      <c r="QX177" s="25"/>
      <c r="QY177" s="25"/>
      <c r="QZ177" s="25"/>
      <c r="RA177" s="25"/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</row>
    <row r="178" spans="1:538" s="30" customFormat="1" ht="35.25" customHeight="1" x14ac:dyDescent="0.2">
      <c r="A178" s="131" t="s">
        <v>244</v>
      </c>
      <c r="B178" s="71"/>
      <c r="C178" s="71"/>
      <c r="D178" s="29" t="s">
        <v>53</v>
      </c>
      <c r="E178" s="64">
        <f t="shared" ref="E178:J178" si="137">E179</f>
        <v>9048300</v>
      </c>
      <c r="F178" s="64">
        <f t="shared" si="137"/>
        <v>6934200</v>
      </c>
      <c r="G178" s="64">
        <f t="shared" si="137"/>
        <v>92400</v>
      </c>
      <c r="H178" s="64">
        <f t="shared" si="137"/>
        <v>4513346.3999999994</v>
      </c>
      <c r="I178" s="64">
        <f t="shared" si="137"/>
        <v>3535413.38</v>
      </c>
      <c r="J178" s="64">
        <f t="shared" si="137"/>
        <v>37703.980000000003</v>
      </c>
      <c r="K178" s="139">
        <f t="shared" si="113"/>
        <v>49.880600775836335</v>
      </c>
      <c r="L178" s="64">
        <f t="shared" ref="L178:M178" si="138">L179</f>
        <v>2696249.54</v>
      </c>
      <c r="M178" s="64">
        <f t="shared" si="138"/>
        <v>0</v>
      </c>
      <c r="N178" s="64">
        <f t="shared" ref="N178" si="139">N179</f>
        <v>1946249.54</v>
      </c>
      <c r="O178" s="64">
        <f t="shared" ref="O178" si="140">O179</f>
        <v>0</v>
      </c>
      <c r="P178" s="64">
        <f t="shared" ref="P178" si="141">P179</f>
        <v>0</v>
      </c>
      <c r="Q178" s="64">
        <f t="shared" ref="Q178:Y178" si="142">Q179</f>
        <v>750000</v>
      </c>
      <c r="R178" s="64">
        <f t="shared" ref="R178:V178" si="143">R179</f>
        <v>128740</v>
      </c>
      <c r="S178" s="64">
        <f t="shared" si="143"/>
        <v>0</v>
      </c>
      <c r="T178" s="64">
        <f t="shared" si="143"/>
        <v>128740</v>
      </c>
      <c r="U178" s="64">
        <f t="shared" si="143"/>
        <v>0</v>
      </c>
      <c r="V178" s="64">
        <f t="shared" si="143"/>
        <v>0</v>
      </c>
      <c r="W178" s="64">
        <f t="shared" si="142"/>
        <v>0</v>
      </c>
      <c r="X178" s="139">
        <f t="shared" si="114"/>
        <v>4.7747806013533891</v>
      </c>
      <c r="Y178" s="64">
        <f t="shared" si="142"/>
        <v>4642086.3999999994</v>
      </c>
      <c r="Z178" s="156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  <c r="IW178" s="37"/>
      <c r="IX178" s="37"/>
      <c r="IY178" s="37"/>
      <c r="IZ178" s="37"/>
      <c r="JA178" s="37"/>
      <c r="JB178" s="37"/>
      <c r="JC178" s="37"/>
      <c r="JD178" s="37"/>
      <c r="JE178" s="37"/>
      <c r="JF178" s="37"/>
      <c r="JG178" s="37"/>
      <c r="JH178" s="37"/>
      <c r="JI178" s="37"/>
      <c r="JJ178" s="37"/>
      <c r="JK178" s="37"/>
      <c r="JL178" s="37"/>
      <c r="JM178" s="37"/>
      <c r="JN178" s="37"/>
      <c r="JO178" s="37"/>
      <c r="JP178" s="37"/>
      <c r="JQ178" s="37"/>
      <c r="JR178" s="37"/>
      <c r="JS178" s="37"/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/>
      <c r="KT178" s="37"/>
      <c r="KU178" s="37"/>
      <c r="KV178" s="37"/>
      <c r="KW178" s="37"/>
      <c r="KX178" s="37"/>
      <c r="KY178" s="37"/>
      <c r="KZ178" s="37"/>
      <c r="LA178" s="37"/>
      <c r="LB178" s="37"/>
      <c r="LC178" s="37"/>
      <c r="LD178" s="37"/>
      <c r="LE178" s="37"/>
      <c r="LF178" s="37"/>
      <c r="LG178" s="37"/>
      <c r="LH178" s="37"/>
      <c r="LI178" s="37"/>
      <c r="LJ178" s="37"/>
      <c r="LK178" s="37"/>
      <c r="LL178" s="37"/>
      <c r="LM178" s="37"/>
      <c r="LN178" s="37"/>
      <c r="LO178" s="37"/>
      <c r="LP178" s="37"/>
      <c r="LQ178" s="37"/>
      <c r="LR178" s="37"/>
      <c r="LS178" s="37"/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/>
      <c r="ML178" s="37"/>
      <c r="MM178" s="37"/>
      <c r="MN178" s="37"/>
      <c r="MO178" s="37"/>
      <c r="MP178" s="37"/>
      <c r="MQ178" s="37"/>
      <c r="MR178" s="37"/>
      <c r="MS178" s="37"/>
      <c r="MT178" s="37"/>
      <c r="MU178" s="37"/>
      <c r="MV178" s="37"/>
      <c r="MW178" s="37"/>
      <c r="MX178" s="37"/>
      <c r="MY178" s="37"/>
      <c r="MZ178" s="37"/>
      <c r="NA178" s="37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  <c r="NQ178" s="37"/>
      <c r="NR178" s="37"/>
      <c r="NS178" s="37"/>
      <c r="NT178" s="37"/>
      <c r="NU178" s="37"/>
      <c r="NV178" s="37"/>
      <c r="NW178" s="37"/>
      <c r="NX178" s="37"/>
      <c r="NY178" s="37"/>
      <c r="NZ178" s="37"/>
      <c r="OA178" s="37"/>
      <c r="OB178" s="37"/>
      <c r="OC178" s="37"/>
      <c r="OD178" s="37"/>
      <c r="OE178" s="37"/>
      <c r="OF178" s="37"/>
      <c r="OG178" s="37"/>
      <c r="OH178" s="37"/>
      <c r="OI178" s="37"/>
      <c r="OJ178" s="37"/>
      <c r="OK178" s="37"/>
      <c r="OL178" s="37"/>
      <c r="OM178" s="37"/>
      <c r="ON178" s="37"/>
      <c r="OO178" s="37"/>
      <c r="OP178" s="37"/>
      <c r="OQ178" s="37"/>
      <c r="OR178" s="37"/>
      <c r="OS178" s="37"/>
      <c r="OT178" s="37"/>
      <c r="OU178" s="37"/>
      <c r="OV178" s="37"/>
      <c r="OW178" s="37"/>
      <c r="OX178" s="37"/>
      <c r="OY178" s="37"/>
      <c r="OZ178" s="37"/>
      <c r="PA178" s="37"/>
      <c r="PB178" s="37"/>
      <c r="PC178" s="37"/>
      <c r="PD178" s="37"/>
      <c r="PE178" s="37"/>
      <c r="PF178" s="37"/>
      <c r="PG178" s="37"/>
      <c r="PH178" s="37"/>
      <c r="PI178" s="37"/>
      <c r="PJ178" s="37"/>
      <c r="PK178" s="37"/>
      <c r="PL178" s="37"/>
      <c r="PM178" s="37"/>
      <c r="PN178" s="37"/>
      <c r="PO178" s="37"/>
      <c r="PP178" s="37"/>
      <c r="PQ178" s="37"/>
      <c r="PR178" s="37"/>
      <c r="PS178" s="37"/>
      <c r="PT178" s="37"/>
      <c r="PU178" s="37"/>
      <c r="PV178" s="37"/>
      <c r="PW178" s="37"/>
      <c r="PX178" s="37"/>
      <c r="PY178" s="37"/>
      <c r="PZ178" s="37"/>
      <c r="QA178" s="37"/>
      <c r="QB178" s="37"/>
      <c r="QC178" s="37"/>
      <c r="QD178" s="37"/>
      <c r="QE178" s="37"/>
      <c r="QF178" s="37"/>
      <c r="QG178" s="37"/>
      <c r="QH178" s="37"/>
      <c r="QI178" s="37"/>
      <c r="QJ178" s="37"/>
      <c r="QK178" s="37"/>
      <c r="QL178" s="37"/>
      <c r="QM178" s="37"/>
      <c r="QN178" s="37"/>
      <c r="QO178" s="37"/>
      <c r="QP178" s="37"/>
      <c r="QQ178" s="37"/>
      <c r="QR178" s="37"/>
      <c r="QS178" s="37"/>
      <c r="QT178" s="37"/>
      <c r="QU178" s="37"/>
      <c r="QV178" s="37"/>
      <c r="QW178" s="37"/>
      <c r="QX178" s="37"/>
      <c r="QY178" s="37"/>
      <c r="QZ178" s="37"/>
      <c r="RA178" s="37"/>
      <c r="RB178" s="37"/>
      <c r="RC178" s="37"/>
      <c r="RD178" s="37"/>
      <c r="RE178" s="37"/>
      <c r="RF178" s="37"/>
      <c r="RG178" s="37"/>
      <c r="RH178" s="37"/>
      <c r="RI178" s="37"/>
      <c r="RJ178" s="37"/>
      <c r="RK178" s="37"/>
      <c r="RL178" s="37"/>
      <c r="RM178" s="37"/>
      <c r="RN178" s="37"/>
      <c r="RO178" s="37"/>
      <c r="RP178" s="37"/>
      <c r="RQ178" s="37"/>
      <c r="RR178" s="37"/>
      <c r="RS178" s="37"/>
      <c r="RT178" s="37"/>
      <c r="RU178" s="37"/>
      <c r="RV178" s="37"/>
      <c r="RW178" s="37"/>
      <c r="RX178" s="37"/>
      <c r="RY178" s="37"/>
      <c r="RZ178" s="37"/>
      <c r="SA178" s="37"/>
      <c r="SB178" s="37"/>
      <c r="SC178" s="37"/>
      <c r="SD178" s="37"/>
      <c r="SE178" s="37"/>
      <c r="SF178" s="37"/>
      <c r="SG178" s="37"/>
      <c r="SH178" s="37"/>
      <c r="SI178" s="37"/>
      <c r="SJ178" s="37"/>
      <c r="SK178" s="37"/>
      <c r="SL178" s="37"/>
      <c r="SM178" s="37"/>
      <c r="SN178" s="37"/>
      <c r="SO178" s="37"/>
      <c r="SP178" s="37"/>
      <c r="SQ178" s="37"/>
      <c r="SR178" s="37"/>
      <c r="SS178" s="37"/>
      <c r="ST178" s="37"/>
      <c r="SU178" s="37"/>
      <c r="SV178" s="37"/>
      <c r="SW178" s="37"/>
      <c r="SX178" s="37"/>
      <c r="SY178" s="37"/>
      <c r="SZ178" s="37"/>
      <c r="TA178" s="37"/>
      <c r="TB178" s="37"/>
      <c r="TC178" s="37"/>
      <c r="TD178" s="37"/>
      <c r="TE178" s="37"/>
      <c r="TF178" s="37"/>
      <c r="TG178" s="37"/>
      <c r="TH178" s="37"/>
      <c r="TI178" s="37"/>
      <c r="TJ178" s="37"/>
      <c r="TK178" s="37"/>
      <c r="TL178" s="37"/>
      <c r="TM178" s="37"/>
      <c r="TN178" s="37"/>
      <c r="TO178" s="37"/>
      <c r="TP178" s="37"/>
      <c r="TQ178" s="37"/>
      <c r="TR178" s="37"/>
    </row>
    <row r="179" spans="1:538" s="39" customFormat="1" ht="41.25" customHeight="1" x14ac:dyDescent="0.25">
      <c r="A179" s="73" t="s">
        <v>245</v>
      </c>
      <c r="B179" s="72"/>
      <c r="C179" s="72"/>
      <c r="D179" s="32" t="s">
        <v>53</v>
      </c>
      <c r="E179" s="66">
        <f t="shared" ref="E179" si="144">E180+E181+E182</f>
        <v>9048300</v>
      </c>
      <c r="F179" s="66">
        <f t="shared" ref="F179:H179" si="145">F180+F181+F182</f>
        <v>6934200</v>
      </c>
      <c r="G179" s="66">
        <f t="shared" si="145"/>
        <v>92400</v>
      </c>
      <c r="H179" s="66">
        <f t="shared" si="145"/>
        <v>4513346.3999999994</v>
      </c>
      <c r="I179" s="66">
        <f t="shared" ref="I179:J179" si="146">I180+I181+I182</f>
        <v>3535413.38</v>
      </c>
      <c r="J179" s="66">
        <f t="shared" si="146"/>
        <v>37703.980000000003</v>
      </c>
      <c r="K179" s="139">
        <f t="shared" si="113"/>
        <v>49.880600775836335</v>
      </c>
      <c r="L179" s="66">
        <f t="shared" ref="L179" si="147">L180+L181+L182</f>
        <v>2696249.54</v>
      </c>
      <c r="M179" s="66">
        <f t="shared" ref="M179:Y179" si="148">M180+M181+M182</f>
        <v>0</v>
      </c>
      <c r="N179" s="66">
        <f>N180+N181+N182</f>
        <v>1946249.54</v>
      </c>
      <c r="O179" s="66">
        <f t="shared" si="148"/>
        <v>0</v>
      </c>
      <c r="P179" s="66">
        <f t="shared" si="148"/>
        <v>0</v>
      </c>
      <c r="Q179" s="66">
        <f t="shared" si="148"/>
        <v>750000</v>
      </c>
      <c r="R179" s="66">
        <f t="shared" ref="R179:S179" si="149">R180+R181+R182</f>
        <v>128740</v>
      </c>
      <c r="S179" s="66">
        <f t="shared" si="149"/>
        <v>0</v>
      </c>
      <c r="T179" s="66">
        <f>T180+T181+T182</f>
        <v>128740</v>
      </c>
      <c r="U179" s="66">
        <f t="shared" ref="U179:W179" si="150">U180+U181+U182</f>
        <v>0</v>
      </c>
      <c r="V179" s="66">
        <f t="shared" si="150"/>
        <v>0</v>
      </c>
      <c r="W179" s="66">
        <f t="shared" si="150"/>
        <v>0</v>
      </c>
      <c r="X179" s="139">
        <f t="shared" si="114"/>
        <v>4.7747806013533891</v>
      </c>
      <c r="Y179" s="66">
        <f t="shared" si="148"/>
        <v>4642086.3999999994</v>
      </c>
      <c r="Z179" s="156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  <c r="IV179" s="38"/>
      <c r="IW179" s="38"/>
      <c r="IX179" s="38"/>
      <c r="IY179" s="38"/>
      <c r="IZ179" s="38"/>
      <c r="JA179" s="38"/>
      <c r="JB179" s="38"/>
      <c r="JC179" s="38"/>
      <c r="JD179" s="38"/>
      <c r="JE179" s="38"/>
      <c r="JF179" s="38"/>
      <c r="JG179" s="38"/>
      <c r="JH179" s="38"/>
      <c r="JI179" s="38"/>
      <c r="JJ179" s="38"/>
      <c r="JK179" s="38"/>
      <c r="JL179" s="38"/>
      <c r="JM179" s="38"/>
      <c r="JN179" s="38"/>
      <c r="JO179" s="38"/>
      <c r="JP179" s="38"/>
      <c r="JQ179" s="38"/>
      <c r="JR179" s="38"/>
      <c r="JS179" s="38"/>
      <c r="JT179" s="38"/>
      <c r="JU179" s="38"/>
      <c r="JV179" s="38"/>
      <c r="JW179" s="38"/>
      <c r="JX179" s="38"/>
      <c r="JY179" s="38"/>
      <c r="JZ179" s="38"/>
      <c r="KA179" s="38"/>
      <c r="KB179" s="38"/>
      <c r="KC179" s="38"/>
      <c r="KD179" s="38"/>
      <c r="KE179" s="38"/>
      <c r="KF179" s="38"/>
      <c r="KG179" s="38"/>
      <c r="KH179" s="38"/>
      <c r="KI179" s="38"/>
      <c r="KJ179" s="38"/>
      <c r="KK179" s="38"/>
      <c r="KL179" s="38"/>
      <c r="KM179" s="38"/>
      <c r="KN179" s="38"/>
      <c r="KO179" s="38"/>
      <c r="KP179" s="38"/>
      <c r="KQ179" s="38"/>
      <c r="KR179" s="38"/>
      <c r="KS179" s="38"/>
      <c r="KT179" s="38"/>
      <c r="KU179" s="38"/>
      <c r="KV179" s="38"/>
      <c r="KW179" s="38"/>
      <c r="KX179" s="38"/>
      <c r="KY179" s="38"/>
      <c r="KZ179" s="38"/>
      <c r="LA179" s="38"/>
      <c r="LB179" s="38"/>
      <c r="LC179" s="38"/>
      <c r="LD179" s="38"/>
      <c r="LE179" s="38"/>
      <c r="LF179" s="38"/>
      <c r="LG179" s="38"/>
      <c r="LH179" s="38"/>
      <c r="LI179" s="38"/>
      <c r="LJ179" s="38"/>
      <c r="LK179" s="38"/>
      <c r="LL179" s="38"/>
      <c r="LM179" s="38"/>
      <c r="LN179" s="38"/>
      <c r="LO179" s="38"/>
      <c r="LP179" s="38"/>
      <c r="LQ179" s="38"/>
      <c r="LR179" s="38"/>
      <c r="LS179" s="38"/>
      <c r="LT179" s="38"/>
      <c r="LU179" s="38"/>
      <c r="LV179" s="38"/>
      <c r="LW179" s="38"/>
      <c r="LX179" s="38"/>
      <c r="LY179" s="38"/>
      <c r="LZ179" s="38"/>
      <c r="MA179" s="38"/>
      <c r="MB179" s="38"/>
      <c r="MC179" s="38"/>
      <c r="MD179" s="38"/>
      <c r="ME179" s="38"/>
      <c r="MF179" s="38"/>
      <c r="MG179" s="38"/>
      <c r="MH179" s="38"/>
      <c r="MI179" s="38"/>
      <c r="MJ179" s="38"/>
      <c r="MK179" s="38"/>
      <c r="ML179" s="38"/>
      <c r="MM179" s="38"/>
      <c r="MN179" s="38"/>
      <c r="MO179" s="38"/>
      <c r="MP179" s="38"/>
      <c r="MQ179" s="38"/>
      <c r="MR179" s="38"/>
      <c r="MS179" s="38"/>
      <c r="MT179" s="38"/>
      <c r="MU179" s="38"/>
      <c r="MV179" s="38"/>
      <c r="MW179" s="38"/>
      <c r="MX179" s="38"/>
      <c r="MY179" s="38"/>
      <c r="MZ179" s="38"/>
      <c r="NA179" s="38"/>
      <c r="NB179" s="38"/>
      <c r="NC179" s="38"/>
      <c r="ND179" s="38"/>
      <c r="NE179" s="38"/>
      <c r="NF179" s="38"/>
      <c r="NG179" s="38"/>
      <c r="NH179" s="38"/>
      <c r="NI179" s="38"/>
      <c r="NJ179" s="38"/>
      <c r="NK179" s="38"/>
      <c r="NL179" s="38"/>
      <c r="NM179" s="38"/>
      <c r="NN179" s="38"/>
      <c r="NO179" s="38"/>
      <c r="NP179" s="38"/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38"/>
      <c r="OC179" s="38"/>
      <c r="OD179" s="38"/>
      <c r="OE179" s="38"/>
      <c r="OF179" s="38"/>
      <c r="OG179" s="38"/>
      <c r="OH179" s="38"/>
      <c r="OI179" s="38"/>
      <c r="OJ179" s="38"/>
      <c r="OK179" s="38"/>
      <c r="OL179" s="38"/>
      <c r="OM179" s="38"/>
      <c r="ON179" s="38"/>
      <c r="OO179" s="38"/>
      <c r="OP179" s="38"/>
      <c r="OQ179" s="38"/>
      <c r="OR179" s="38"/>
      <c r="OS179" s="38"/>
      <c r="OT179" s="38"/>
      <c r="OU179" s="38"/>
      <c r="OV179" s="38"/>
      <c r="OW179" s="38"/>
      <c r="OX179" s="38"/>
      <c r="OY179" s="38"/>
      <c r="OZ179" s="38"/>
      <c r="PA179" s="38"/>
      <c r="PB179" s="38"/>
      <c r="PC179" s="38"/>
      <c r="PD179" s="38"/>
      <c r="PE179" s="38"/>
      <c r="PF179" s="38"/>
      <c r="PG179" s="38"/>
      <c r="PH179" s="38"/>
      <c r="PI179" s="38"/>
      <c r="PJ179" s="38"/>
      <c r="PK179" s="38"/>
      <c r="PL179" s="38"/>
      <c r="PM179" s="38"/>
      <c r="PN179" s="38"/>
      <c r="PO179" s="38"/>
      <c r="PP179" s="38"/>
      <c r="PQ179" s="38"/>
      <c r="PR179" s="38"/>
      <c r="PS179" s="38"/>
      <c r="PT179" s="38"/>
      <c r="PU179" s="38"/>
      <c r="PV179" s="38"/>
      <c r="PW179" s="38"/>
      <c r="PX179" s="38"/>
      <c r="PY179" s="38"/>
      <c r="PZ179" s="38"/>
      <c r="QA179" s="38"/>
      <c r="QB179" s="38"/>
      <c r="QC179" s="38"/>
      <c r="QD179" s="38"/>
      <c r="QE179" s="38"/>
      <c r="QF179" s="38"/>
      <c r="QG179" s="38"/>
      <c r="QH179" s="38"/>
      <c r="QI179" s="38"/>
      <c r="QJ179" s="38"/>
      <c r="QK179" s="38"/>
      <c r="QL179" s="38"/>
      <c r="QM179" s="38"/>
      <c r="QN179" s="38"/>
      <c r="QO179" s="38"/>
      <c r="QP179" s="38"/>
      <c r="QQ179" s="38"/>
      <c r="QR179" s="38"/>
      <c r="QS179" s="38"/>
      <c r="QT179" s="38"/>
      <c r="QU179" s="38"/>
      <c r="QV179" s="38"/>
      <c r="QW179" s="38"/>
      <c r="QX179" s="38"/>
      <c r="QY179" s="38"/>
      <c r="QZ179" s="38"/>
      <c r="RA179" s="38"/>
      <c r="RB179" s="38"/>
      <c r="RC179" s="38"/>
      <c r="RD179" s="38"/>
      <c r="RE179" s="38"/>
      <c r="RF179" s="38"/>
      <c r="RG179" s="38"/>
      <c r="RH179" s="38"/>
      <c r="RI179" s="38"/>
      <c r="RJ179" s="38"/>
      <c r="RK179" s="38"/>
      <c r="RL179" s="38"/>
      <c r="RM179" s="38"/>
      <c r="RN179" s="38"/>
      <c r="RO179" s="38"/>
      <c r="RP179" s="38"/>
      <c r="RQ179" s="38"/>
      <c r="RR179" s="38"/>
      <c r="RS179" s="38"/>
      <c r="RT179" s="38"/>
      <c r="RU179" s="38"/>
      <c r="RV179" s="38"/>
      <c r="RW179" s="38"/>
      <c r="RX179" s="38"/>
      <c r="RY179" s="38"/>
      <c r="RZ179" s="38"/>
      <c r="SA179" s="38"/>
      <c r="SB179" s="38"/>
      <c r="SC179" s="38"/>
      <c r="SD179" s="38"/>
      <c r="SE179" s="38"/>
      <c r="SF179" s="38"/>
      <c r="SG179" s="38"/>
      <c r="SH179" s="38"/>
      <c r="SI179" s="38"/>
      <c r="SJ179" s="38"/>
      <c r="SK179" s="38"/>
      <c r="SL179" s="38"/>
      <c r="SM179" s="38"/>
      <c r="SN179" s="38"/>
      <c r="SO179" s="38"/>
      <c r="SP179" s="38"/>
      <c r="SQ179" s="38"/>
      <c r="SR179" s="38"/>
      <c r="SS179" s="38"/>
      <c r="ST179" s="38"/>
      <c r="SU179" s="38"/>
      <c r="SV179" s="38"/>
      <c r="SW179" s="38"/>
      <c r="SX179" s="38"/>
      <c r="SY179" s="38"/>
      <c r="SZ179" s="38"/>
      <c r="TA179" s="38"/>
      <c r="TB179" s="38"/>
      <c r="TC179" s="38"/>
      <c r="TD179" s="38"/>
      <c r="TE179" s="38"/>
      <c r="TF179" s="38"/>
      <c r="TG179" s="38"/>
      <c r="TH179" s="38"/>
      <c r="TI179" s="38"/>
      <c r="TJ179" s="38"/>
      <c r="TK179" s="38"/>
      <c r="TL179" s="38"/>
      <c r="TM179" s="38"/>
      <c r="TN179" s="38"/>
      <c r="TO179" s="38"/>
      <c r="TP179" s="38"/>
      <c r="TQ179" s="38"/>
      <c r="TR179" s="38"/>
    </row>
    <row r="180" spans="1:538" s="22" customFormat="1" ht="45" customHeight="1" x14ac:dyDescent="0.25">
      <c r="A180" s="42" t="s">
        <v>246</v>
      </c>
      <c r="B180" s="43" t="str">
        <f>'дод 3'!A19</f>
        <v>0160</v>
      </c>
      <c r="C180" s="43" t="str">
        <f>'дод 3'!B19</f>
        <v>0111</v>
      </c>
      <c r="D180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80" s="67">
        <v>8873300</v>
      </c>
      <c r="F180" s="67">
        <v>6934200</v>
      </c>
      <c r="G180" s="67">
        <v>92400</v>
      </c>
      <c r="H180" s="67">
        <v>4478840.6399999997</v>
      </c>
      <c r="I180" s="67">
        <v>3535413.38</v>
      </c>
      <c r="J180" s="67">
        <v>37703.980000000003</v>
      </c>
      <c r="K180" s="140">
        <f t="shared" si="113"/>
        <v>50.475478570543089</v>
      </c>
      <c r="L180" s="67">
        <v>0</v>
      </c>
      <c r="M180" s="67"/>
      <c r="N180" s="67"/>
      <c r="O180" s="67"/>
      <c r="P180" s="67"/>
      <c r="Q180" s="67"/>
      <c r="R180" s="67">
        <f t="shared" ref="R180:R182" si="151">T180+W180</f>
        <v>0</v>
      </c>
      <c r="S180" s="67"/>
      <c r="T180" s="67"/>
      <c r="U180" s="67"/>
      <c r="V180" s="67"/>
      <c r="W180" s="67"/>
      <c r="X180" s="140"/>
      <c r="Y180" s="67">
        <f t="shared" ref="Y180:Y182" si="152">H180+R180</f>
        <v>4478840.6399999997</v>
      </c>
      <c r="Z180" s="156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</row>
    <row r="181" spans="1:538" s="22" customFormat="1" ht="34.5" customHeight="1" x14ac:dyDescent="0.25">
      <c r="A181" s="42" t="s">
        <v>362</v>
      </c>
      <c r="B181" s="43" t="str">
        <f>'дод 3'!A96</f>
        <v>6090</v>
      </c>
      <c r="C181" s="43" t="str">
        <f>'дод 3'!B96</f>
        <v>0640</v>
      </c>
      <c r="D181" s="23" t="str">
        <f>'дод 3'!C96</f>
        <v>Інша діяльність у сфері житлово-комунального господарства</v>
      </c>
      <c r="E181" s="67">
        <v>175000</v>
      </c>
      <c r="F181" s="67"/>
      <c r="G181" s="67"/>
      <c r="H181" s="67">
        <v>34505.760000000002</v>
      </c>
      <c r="I181" s="67"/>
      <c r="J181" s="67"/>
      <c r="K181" s="140">
        <f t="shared" si="113"/>
        <v>19.717577142857142</v>
      </c>
      <c r="L181" s="67">
        <v>0</v>
      </c>
      <c r="M181" s="67"/>
      <c r="N181" s="67"/>
      <c r="O181" s="67"/>
      <c r="P181" s="67"/>
      <c r="Q181" s="67"/>
      <c r="R181" s="67">
        <f t="shared" si="151"/>
        <v>0</v>
      </c>
      <c r="S181" s="67"/>
      <c r="T181" s="67"/>
      <c r="U181" s="67"/>
      <c r="V181" s="67"/>
      <c r="W181" s="67"/>
      <c r="X181" s="140"/>
      <c r="Y181" s="67">
        <f t="shared" si="152"/>
        <v>34505.760000000002</v>
      </c>
      <c r="Z181" s="156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/>
      <c r="QK181" s="25"/>
      <c r="QL181" s="25"/>
      <c r="QM181" s="25"/>
      <c r="QN181" s="25"/>
      <c r="QO181" s="25"/>
      <c r="QP181" s="25"/>
      <c r="QQ181" s="25"/>
      <c r="QR181" s="25"/>
      <c r="QS181" s="2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25"/>
      <c r="SC181" s="2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25"/>
      <c r="TM181" s="25"/>
      <c r="TN181" s="25"/>
      <c r="TO181" s="25"/>
      <c r="TP181" s="25"/>
      <c r="TQ181" s="25"/>
      <c r="TR181" s="25"/>
    </row>
    <row r="182" spans="1:538" s="22" customFormat="1" ht="87.75" customHeight="1" x14ac:dyDescent="0.25">
      <c r="A182" s="51" t="s">
        <v>348</v>
      </c>
      <c r="B182" s="44" t="str">
        <f>'дод 3'!A129</f>
        <v>7691</v>
      </c>
      <c r="C182" s="44" t="str">
        <f>'дод 3'!B129</f>
        <v>0490</v>
      </c>
      <c r="D182" s="21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2" s="67">
        <v>0</v>
      </c>
      <c r="F182" s="67"/>
      <c r="G182" s="67"/>
      <c r="H182" s="67"/>
      <c r="I182" s="67"/>
      <c r="J182" s="67"/>
      <c r="K182" s="140"/>
      <c r="L182" s="67">
        <v>2696249.54</v>
      </c>
      <c r="M182" s="67"/>
      <c r="N182" s="67">
        <f>1321371+1074878.54-450000</f>
        <v>1946249.54</v>
      </c>
      <c r="O182" s="67"/>
      <c r="P182" s="67"/>
      <c r="Q182" s="67">
        <f>300000+450000</f>
        <v>750000</v>
      </c>
      <c r="R182" s="67">
        <f t="shared" si="151"/>
        <v>128740</v>
      </c>
      <c r="S182" s="67"/>
      <c r="T182" s="67">
        <v>128740</v>
      </c>
      <c r="U182" s="67"/>
      <c r="V182" s="67"/>
      <c r="W182" s="67"/>
      <c r="X182" s="140">
        <f t="shared" si="114"/>
        <v>4.7747806013533891</v>
      </c>
      <c r="Y182" s="67">
        <f t="shared" si="152"/>
        <v>128740</v>
      </c>
      <c r="Z182" s="156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  <c r="MI182" s="25"/>
      <c r="MJ182" s="25"/>
      <c r="MK182" s="25"/>
      <c r="ML182" s="25"/>
      <c r="MM182" s="25"/>
      <c r="MN182" s="25"/>
      <c r="MO182" s="25"/>
      <c r="MP182" s="25"/>
      <c r="MQ182" s="25"/>
      <c r="MR182" s="25"/>
      <c r="MS182" s="25"/>
      <c r="MT182" s="25"/>
      <c r="MU182" s="25"/>
      <c r="MV182" s="25"/>
      <c r="MW182" s="25"/>
      <c r="MX182" s="25"/>
      <c r="MY182" s="25"/>
      <c r="MZ182" s="25"/>
      <c r="NA182" s="25"/>
      <c r="NB182" s="25"/>
      <c r="NC182" s="25"/>
      <c r="ND182" s="25"/>
      <c r="NE182" s="25"/>
      <c r="NF182" s="25"/>
      <c r="NG182" s="25"/>
      <c r="NH182" s="25"/>
      <c r="NI182" s="25"/>
      <c r="NJ182" s="25"/>
      <c r="NK182" s="25"/>
      <c r="NL182" s="25"/>
      <c r="NM182" s="25"/>
      <c r="NN182" s="25"/>
      <c r="NO182" s="25"/>
      <c r="NP182" s="25"/>
      <c r="NQ182" s="25"/>
      <c r="NR182" s="25"/>
      <c r="NS182" s="25"/>
      <c r="NT182" s="25"/>
      <c r="NU182" s="25"/>
      <c r="NV182" s="25"/>
      <c r="NW182" s="25"/>
      <c r="NX182" s="25"/>
      <c r="NY182" s="25"/>
      <c r="NZ182" s="25"/>
      <c r="OA182" s="25"/>
      <c r="OB182" s="25"/>
      <c r="OC182" s="25"/>
      <c r="OD182" s="25"/>
      <c r="OE182" s="25"/>
      <c r="OF182" s="25"/>
      <c r="OG182" s="25"/>
      <c r="OH182" s="25"/>
      <c r="OI182" s="25"/>
      <c r="OJ182" s="25"/>
      <c r="OK182" s="25"/>
      <c r="OL182" s="25"/>
      <c r="OM182" s="25"/>
      <c r="ON182" s="25"/>
      <c r="OO182" s="25"/>
      <c r="OP182" s="25"/>
      <c r="OQ182" s="25"/>
      <c r="OR182" s="25"/>
      <c r="OS182" s="25"/>
      <c r="OT182" s="25"/>
      <c r="OU182" s="25"/>
      <c r="OV182" s="25"/>
      <c r="OW182" s="25"/>
      <c r="OX182" s="25"/>
      <c r="OY182" s="25"/>
      <c r="OZ182" s="25"/>
      <c r="PA182" s="25"/>
      <c r="PB182" s="25"/>
      <c r="PC182" s="25"/>
      <c r="PD182" s="25"/>
      <c r="PE182" s="25"/>
      <c r="PF182" s="25"/>
      <c r="PG182" s="25"/>
      <c r="PH182" s="25"/>
      <c r="PI182" s="25"/>
      <c r="PJ182" s="25"/>
      <c r="PK182" s="25"/>
      <c r="PL182" s="25"/>
      <c r="PM182" s="25"/>
      <c r="PN182" s="25"/>
      <c r="PO182" s="25"/>
      <c r="PP182" s="25"/>
      <c r="PQ182" s="25"/>
      <c r="PR182" s="25"/>
      <c r="PS182" s="25"/>
      <c r="PT182" s="25"/>
      <c r="PU182" s="25"/>
      <c r="PV182" s="25"/>
      <c r="PW182" s="25"/>
      <c r="PX182" s="25"/>
      <c r="PY182" s="25"/>
      <c r="PZ182" s="25"/>
      <c r="QA182" s="25"/>
      <c r="QB182" s="25"/>
      <c r="QC182" s="25"/>
      <c r="QD182" s="25"/>
      <c r="QE182" s="25"/>
      <c r="QF182" s="25"/>
      <c r="QG182" s="25"/>
      <c r="QH182" s="25"/>
      <c r="QI182" s="25"/>
      <c r="QJ182" s="25"/>
      <c r="QK182" s="25"/>
      <c r="QL182" s="25"/>
      <c r="QM182" s="25"/>
      <c r="QN182" s="25"/>
      <c r="QO182" s="25"/>
      <c r="QP182" s="25"/>
      <c r="QQ182" s="25"/>
      <c r="QR182" s="25"/>
      <c r="QS182" s="2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25"/>
      <c r="SC182" s="25"/>
      <c r="SD182" s="25"/>
      <c r="SE182" s="25"/>
      <c r="SF182" s="25"/>
      <c r="SG182" s="25"/>
      <c r="SH182" s="25"/>
      <c r="SI182" s="25"/>
      <c r="SJ182" s="25"/>
      <c r="SK182" s="25"/>
      <c r="SL182" s="25"/>
      <c r="SM182" s="25"/>
      <c r="SN182" s="25"/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/>
      <c r="TH182" s="25"/>
      <c r="TI182" s="25"/>
      <c r="TJ182" s="25"/>
      <c r="TK182" s="25"/>
      <c r="TL182" s="25"/>
      <c r="TM182" s="25"/>
      <c r="TN182" s="25"/>
      <c r="TO182" s="25"/>
      <c r="TP182" s="25"/>
      <c r="TQ182" s="25"/>
      <c r="TR182" s="25"/>
    </row>
    <row r="183" spans="1:538" s="30" customFormat="1" ht="36.75" customHeight="1" x14ac:dyDescent="0.2">
      <c r="A183" s="131" t="s">
        <v>249</v>
      </c>
      <c r="B183" s="71"/>
      <c r="C183" s="71"/>
      <c r="D183" s="29" t="s">
        <v>56</v>
      </c>
      <c r="E183" s="64">
        <f t="shared" ref="E183:J184" si="153">E184</f>
        <v>4291518</v>
      </c>
      <c r="F183" s="64">
        <f t="shared" si="153"/>
        <v>3320099</v>
      </c>
      <c r="G183" s="64">
        <f t="shared" si="153"/>
        <v>52700</v>
      </c>
      <c r="H183" s="64">
        <f t="shared" si="153"/>
        <v>2153476.19</v>
      </c>
      <c r="I183" s="64">
        <f t="shared" si="153"/>
        <v>1688302.91</v>
      </c>
      <c r="J183" s="64">
        <f t="shared" si="153"/>
        <v>21374.87</v>
      </c>
      <c r="K183" s="139">
        <f t="shared" si="113"/>
        <v>50.179824248669114</v>
      </c>
      <c r="L183" s="64">
        <f t="shared" ref="L183:M184" si="154">L184</f>
        <v>0</v>
      </c>
      <c r="M183" s="64">
        <f t="shared" si="154"/>
        <v>0</v>
      </c>
      <c r="N183" s="64">
        <f t="shared" ref="N183:N184" si="155">N184</f>
        <v>0</v>
      </c>
      <c r="O183" s="64">
        <f t="shared" ref="O183:O184" si="156">O184</f>
        <v>0</v>
      </c>
      <c r="P183" s="64">
        <f t="shared" ref="P183:P184" si="157">P184</f>
        <v>0</v>
      </c>
      <c r="Q183" s="64">
        <f t="shared" ref="Q183:Y184" si="158">Q184</f>
        <v>0</v>
      </c>
      <c r="R183" s="64">
        <f t="shared" ref="R183:V184" si="159">R184</f>
        <v>0</v>
      </c>
      <c r="S183" s="64">
        <f t="shared" si="159"/>
        <v>0</v>
      </c>
      <c r="T183" s="64">
        <f t="shared" si="159"/>
        <v>0</v>
      </c>
      <c r="U183" s="64">
        <f t="shared" si="159"/>
        <v>0</v>
      </c>
      <c r="V183" s="64">
        <f t="shared" si="159"/>
        <v>0</v>
      </c>
      <c r="W183" s="64">
        <f t="shared" si="158"/>
        <v>0</v>
      </c>
      <c r="X183" s="139"/>
      <c r="Y183" s="64">
        <f t="shared" si="158"/>
        <v>2153476.19</v>
      </c>
      <c r="Z183" s="156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  <c r="IV183" s="37"/>
      <c r="IW183" s="37"/>
      <c r="IX183" s="37"/>
      <c r="IY183" s="37"/>
      <c r="IZ183" s="37"/>
      <c r="JA183" s="37"/>
      <c r="JB183" s="37"/>
      <c r="JC183" s="37"/>
      <c r="JD183" s="37"/>
      <c r="JE183" s="37"/>
      <c r="JF183" s="37"/>
      <c r="JG183" s="37"/>
      <c r="JH183" s="37"/>
      <c r="JI183" s="37"/>
      <c r="JJ183" s="37"/>
      <c r="JK183" s="37"/>
      <c r="JL183" s="37"/>
      <c r="JM183" s="37"/>
      <c r="JN183" s="37"/>
      <c r="JO183" s="37"/>
      <c r="JP183" s="37"/>
      <c r="JQ183" s="37"/>
      <c r="JR183" s="37"/>
      <c r="JS183" s="37"/>
      <c r="JT183" s="37"/>
      <c r="JU183" s="37"/>
      <c r="JV183" s="37"/>
      <c r="JW183" s="37"/>
      <c r="JX183" s="37"/>
      <c r="JY183" s="37"/>
      <c r="JZ183" s="37"/>
      <c r="KA183" s="37"/>
      <c r="KB183" s="37"/>
      <c r="KC183" s="37"/>
      <c r="KD183" s="37"/>
      <c r="KE183" s="37"/>
      <c r="KF183" s="37"/>
      <c r="KG183" s="37"/>
      <c r="KH183" s="37"/>
      <c r="KI183" s="37"/>
      <c r="KJ183" s="37"/>
      <c r="KK183" s="37"/>
      <c r="KL183" s="37"/>
      <c r="KM183" s="37"/>
      <c r="KN183" s="37"/>
      <c r="KO183" s="37"/>
      <c r="KP183" s="37"/>
      <c r="KQ183" s="37"/>
      <c r="KR183" s="37"/>
      <c r="KS183" s="37"/>
      <c r="KT183" s="37"/>
      <c r="KU183" s="37"/>
      <c r="KV183" s="37"/>
      <c r="KW183" s="37"/>
      <c r="KX183" s="37"/>
      <c r="KY183" s="37"/>
      <c r="KZ183" s="37"/>
      <c r="LA183" s="37"/>
      <c r="LB183" s="37"/>
      <c r="LC183" s="37"/>
      <c r="LD183" s="37"/>
      <c r="LE183" s="37"/>
      <c r="LF183" s="37"/>
      <c r="LG183" s="37"/>
      <c r="LH183" s="37"/>
      <c r="LI183" s="37"/>
      <c r="LJ183" s="37"/>
      <c r="LK183" s="37"/>
      <c r="LL183" s="37"/>
      <c r="LM183" s="37"/>
      <c r="LN183" s="37"/>
      <c r="LO183" s="37"/>
      <c r="LP183" s="37"/>
      <c r="LQ183" s="37"/>
      <c r="LR183" s="37"/>
      <c r="LS183" s="37"/>
      <c r="LT183" s="37"/>
      <c r="LU183" s="37"/>
      <c r="LV183" s="37"/>
      <c r="LW183" s="37"/>
      <c r="LX183" s="37"/>
      <c r="LY183" s="37"/>
      <c r="LZ183" s="37"/>
      <c r="MA183" s="37"/>
      <c r="MB183" s="37"/>
      <c r="MC183" s="37"/>
      <c r="MD183" s="37"/>
      <c r="ME183" s="37"/>
      <c r="MF183" s="37"/>
      <c r="MG183" s="37"/>
      <c r="MH183" s="37"/>
      <c r="MI183" s="37"/>
      <c r="MJ183" s="37"/>
      <c r="MK183" s="37"/>
      <c r="ML183" s="37"/>
      <c r="MM183" s="37"/>
      <c r="MN183" s="37"/>
      <c r="MO183" s="37"/>
      <c r="MP183" s="37"/>
      <c r="MQ183" s="37"/>
      <c r="MR183" s="37"/>
      <c r="MS183" s="37"/>
      <c r="MT183" s="37"/>
      <c r="MU183" s="37"/>
      <c r="MV183" s="37"/>
      <c r="MW183" s="37"/>
      <c r="MX183" s="37"/>
      <c r="MY183" s="37"/>
      <c r="MZ183" s="37"/>
      <c r="NA183" s="37"/>
      <c r="NB183" s="37"/>
      <c r="NC183" s="37"/>
      <c r="ND183" s="37"/>
      <c r="NE183" s="37"/>
      <c r="NF183" s="37"/>
      <c r="NG183" s="37"/>
      <c r="NH183" s="37"/>
      <c r="NI183" s="37"/>
      <c r="NJ183" s="37"/>
      <c r="NK183" s="37"/>
      <c r="NL183" s="37"/>
      <c r="NM183" s="37"/>
      <c r="NN183" s="37"/>
      <c r="NO183" s="37"/>
      <c r="NP183" s="37"/>
      <c r="NQ183" s="37"/>
      <c r="NR183" s="37"/>
      <c r="NS183" s="37"/>
      <c r="NT183" s="37"/>
      <c r="NU183" s="37"/>
      <c r="NV183" s="37"/>
      <c r="NW183" s="37"/>
      <c r="NX183" s="37"/>
      <c r="NY183" s="37"/>
      <c r="NZ183" s="37"/>
      <c r="OA183" s="37"/>
      <c r="OB183" s="37"/>
      <c r="OC183" s="37"/>
      <c r="OD183" s="37"/>
      <c r="OE183" s="37"/>
      <c r="OF183" s="37"/>
      <c r="OG183" s="37"/>
      <c r="OH183" s="37"/>
      <c r="OI183" s="37"/>
      <c r="OJ183" s="37"/>
      <c r="OK183" s="37"/>
      <c r="OL183" s="37"/>
      <c r="OM183" s="37"/>
      <c r="ON183" s="37"/>
      <c r="OO183" s="37"/>
      <c r="OP183" s="37"/>
      <c r="OQ183" s="37"/>
      <c r="OR183" s="37"/>
      <c r="OS183" s="37"/>
      <c r="OT183" s="37"/>
      <c r="OU183" s="37"/>
      <c r="OV183" s="37"/>
      <c r="OW183" s="37"/>
      <c r="OX183" s="37"/>
      <c r="OY183" s="37"/>
      <c r="OZ183" s="37"/>
      <c r="PA183" s="37"/>
      <c r="PB183" s="37"/>
      <c r="PC183" s="37"/>
      <c r="PD183" s="37"/>
      <c r="PE183" s="37"/>
      <c r="PF183" s="37"/>
      <c r="PG183" s="37"/>
      <c r="PH183" s="37"/>
      <c r="PI183" s="37"/>
      <c r="PJ183" s="37"/>
      <c r="PK183" s="37"/>
      <c r="PL183" s="37"/>
      <c r="PM183" s="37"/>
      <c r="PN183" s="37"/>
      <c r="PO183" s="37"/>
      <c r="PP183" s="37"/>
      <c r="PQ183" s="37"/>
      <c r="PR183" s="37"/>
      <c r="PS183" s="37"/>
      <c r="PT183" s="37"/>
      <c r="PU183" s="37"/>
      <c r="PV183" s="37"/>
      <c r="PW183" s="37"/>
      <c r="PX183" s="37"/>
      <c r="PY183" s="37"/>
      <c r="PZ183" s="37"/>
      <c r="QA183" s="37"/>
      <c r="QB183" s="37"/>
      <c r="QC183" s="37"/>
      <c r="QD183" s="37"/>
      <c r="QE183" s="37"/>
      <c r="QF183" s="37"/>
      <c r="QG183" s="37"/>
      <c r="QH183" s="37"/>
      <c r="QI183" s="37"/>
      <c r="QJ183" s="37"/>
      <c r="QK183" s="37"/>
      <c r="QL183" s="37"/>
      <c r="QM183" s="37"/>
      <c r="QN183" s="37"/>
      <c r="QO183" s="37"/>
      <c r="QP183" s="37"/>
      <c r="QQ183" s="37"/>
      <c r="QR183" s="37"/>
      <c r="QS183" s="37"/>
      <c r="QT183" s="37"/>
      <c r="QU183" s="37"/>
      <c r="QV183" s="37"/>
      <c r="QW183" s="37"/>
      <c r="QX183" s="37"/>
      <c r="QY183" s="37"/>
      <c r="QZ183" s="37"/>
      <c r="RA183" s="37"/>
      <c r="RB183" s="37"/>
      <c r="RC183" s="37"/>
      <c r="RD183" s="37"/>
      <c r="RE183" s="37"/>
      <c r="RF183" s="37"/>
      <c r="RG183" s="37"/>
      <c r="RH183" s="37"/>
      <c r="RI183" s="37"/>
      <c r="RJ183" s="37"/>
      <c r="RK183" s="37"/>
      <c r="RL183" s="37"/>
      <c r="RM183" s="37"/>
      <c r="RN183" s="37"/>
      <c r="RO183" s="37"/>
      <c r="RP183" s="37"/>
      <c r="RQ183" s="37"/>
      <c r="RR183" s="37"/>
      <c r="RS183" s="37"/>
      <c r="RT183" s="37"/>
      <c r="RU183" s="37"/>
      <c r="RV183" s="37"/>
      <c r="RW183" s="37"/>
      <c r="RX183" s="37"/>
      <c r="RY183" s="37"/>
      <c r="RZ183" s="37"/>
      <c r="SA183" s="37"/>
      <c r="SB183" s="37"/>
      <c r="SC183" s="37"/>
      <c r="SD183" s="37"/>
      <c r="SE183" s="37"/>
      <c r="SF183" s="37"/>
      <c r="SG183" s="37"/>
      <c r="SH183" s="37"/>
      <c r="SI183" s="37"/>
      <c r="SJ183" s="37"/>
      <c r="SK183" s="37"/>
      <c r="SL183" s="37"/>
      <c r="SM183" s="37"/>
      <c r="SN183" s="37"/>
      <c r="SO183" s="37"/>
      <c r="SP183" s="37"/>
      <c r="SQ183" s="37"/>
      <c r="SR183" s="37"/>
      <c r="SS183" s="37"/>
      <c r="ST183" s="37"/>
      <c r="SU183" s="37"/>
      <c r="SV183" s="37"/>
      <c r="SW183" s="37"/>
      <c r="SX183" s="37"/>
      <c r="SY183" s="37"/>
      <c r="SZ183" s="37"/>
      <c r="TA183" s="37"/>
      <c r="TB183" s="37"/>
      <c r="TC183" s="37"/>
      <c r="TD183" s="37"/>
      <c r="TE183" s="37"/>
      <c r="TF183" s="37"/>
      <c r="TG183" s="37"/>
      <c r="TH183" s="37"/>
      <c r="TI183" s="37"/>
      <c r="TJ183" s="37"/>
      <c r="TK183" s="37"/>
      <c r="TL183" s="37"/>
      <c r="TM183" s="37"/>
      <c r="TN183" s="37"/>
      <c r="TO183" s="37"/>
      <c r="TP183" s="37"/>
      <c r="TQ183" s="37"/>
      <c r="TR183" s="37"/>
    </row>
    <row r="184" spans="1:538" s="39" customFormat="1" ht="35.25" customHeight="1" x14ac:dyDescent="0.25">
      <c r="A184" s="73" t="s">
        <v>247</v>
      </c>
      <c r="B184" s="72"/>
      <c r="C184" s="72"/>
      <c r="D184" s="32" t="s">
        <v>56</v>
      </c>
      <c r="E184" s="66">
        <f t="shared" si="153"/>
        <v>4291518</v>
      </c>
      <c r="F184" s="66">
        <f t="shared" si="153"/>
        <v>3320099</v>
      </c>
      <c r="G184" s="66">
        <f t="shared" si="153"/>
        <v>52700</v>
      </c>
      <c r="H184" s="66">
        <f t="shared" si="153"/>
        <v>2153476.19</v>
      </c>
      <c r="I184" s="66">
        <f t="shared" si="153"/>
        <v>1688302.91</v>
      </c>
      <c r="J184" s="66">
        <f t="shared" si="153"/>
        <v>21374.87</v>
      </c>
      <c r="K184" s="139">
        <f t="shared" si="113"/>
        <v>50.179824248669114</v>
      </c>
      <c r="L184" s="66">
        <f t="shared" si="154"/>
        <v>0</v>
      </c>
      <c r="M184" s="66">
        <f t="shared" si="154"/>
        <v>0</v>
      </c>
      <c r="N184" s="66">
        <f t="shared" si="155"/>
        <v>0</v>
      </c>
      <c r="O184" s="66">
        <f t="shared" si="156"/>
        <v>0</v>
      </c>
      <c r="P184" s="66">
        <f t="shared" si="157"/>
        <v>0</v>
      </c>
      <c r="Q184" s="66">
        <f t="shared" si="158"/>
        <v>0</v>
      </c>
      <c r="R184" s="66">
        <f t="shared" si="159"/>
        <v>0</v>
      </c>
      <c r="S184" s="66">
        <f t="shared" si="159"/>
        <v>0</v>
      </c>
      <c r="T184" s="66">
        <f t="shared" si="159"/>
        <v>0</v>
      </c>
      <c r="U184" s="66">
        <f t="shared" si="159"/>
        <v>0</v>
      </c>
      <c r="V184" s="66">
        <f t="shared" si="159"/>
        <v>0</v>
      </c>
      <c r="W184" s="66">
        <f t="shared" si="158"/>
        <v>0</v>
      </c>
      <c r="X184" s="139"/>
      <c r="Y184" s="66">
        <f t="shared" si="158"/>
        <v>2153476.19</v>
      </c>
      <c r="Z184" s="156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38"/>
      <c r="PM184" s="38"/>
      <c r="PN184" s="38"/>
      <c r="PO184" s="38"/>
      <c r="PP184" s="38"/>
      <c r="PQ184" s="38"/>
      <c r="PR184" s="38"/>
      <c r="PS184" s="38"/>
      <c r="PT184" s="38"/>
      <c r="PU184" s="38"/>
      <c r="PV184" s="38"/>
      <c r="PW184" s="38"/>
      <c r="PX184" s="38"/>
      <c r="PY184" s="38"/>
      <c r="PZ184" s="38"/>
      <c r="QA184" s="38"/>
      <c r="QB184" s="38"/>
      <c r="QC184" s="38"/>
      <c r="QD184" s="38"/>
      <c r="QE184" s="38"/>
      <c r="QF184" s="38"/>
      <c r="QG184" s="38"/>
      <c r="QH184" s="38"/>
      <c r="QI184" s="38"/>
      <c r="QJ184" s="38"/>
      <c r="QK184" s="38"/>
      <c r="QL184" s="38"/>
      <c r="QM184" s="38"/>
      <c r="QN184" s="38"/>
      <c r="QO184" s="38"/>
      <c r="QP184" s="38"/>
      <c r="QQ184" s="38"/>
      <c r="QR184" s="38"/>
      <c r="QS184" s="38"/>
      <c r="QT184" s="38"/>
      <c r="QU184" s="38"/>
      <c r="QV184" s="38"/>
      <c r="QW184" s="38"/>
      <c r="QX184" s="38"/>
      <c r="QY184" s="38"/>
      <c r="QZ184" s="38"/>
      <c r="RA184" s="38"/>
      <c r="RB184" s="38"/>
      <c r="RC184" s="38"/>
      <c r="RD184" s="38"/>
      <c r="RE184" s="38"/>
      <c r="RF184" s="38"/>
      <c r="RG184" s="38"/>
      <c r="RH184" s="38"/>
      <c r="RI184" s="38"/>
      <c r="RJ184" s="38"/>
      <c r="RK184" s="38"/>
      <c r="RL184" s="38"/>
      <c r="RM184" s="38"/>
      <c r="RN184" s="38"/>
      <c r="RO184" s="38"/>
      <c r="RP184" s="38"/>
      <c r="RQ184" s="38"/>
      <c r="RR184" s="38"/>
      <c r="RS184" s="38"/>
      <c r="RT184" s="38"/>
      <c r="RU184" s="38"/>
      <c r="RV184" s="38"/>
      <c r="RW184" s="38"/>
      <c r="RX184" s="38"/>
      <c r="RY184" s="38"/>
      <c r="RZ184" s="38"/>
      <c r="SA184" s="38"/>
      <c r="SB184" s="38"/>
      <c r="SC184" s="38"/>
      <c r="SD184" s="38"/>
      <c r="SE184" s="38"/>
      <c r="SF184" s="38"/>
      <c r="SG184" s="38"/>
      <c r="SH184" s="38"/>
      <c r="SI184" s="38"/>
      <c r="SJ184" s="38"/>
      <c r="SK184" s="38"/>
      <c r="SL184" s="38"/>
      <c r="SM184" s="38"/>
      <c r="SN184" s="38"/>
      <c r="SO184" s="38"/>
      <c r="SP184" s="38"/>
      <c r="SQ184" s="38"/>
      <c r="SR184" s="38"/>
      <c r="SS184" s="38"/>
      <c r="ST184" s="38"/>
      <c r="SU184" s="38"/>
      <c r="SV184" s="38"/>
      <c r="SW184" s="38"/>
      <c r="SX184" s="38"/>
      <c r="SY184" s="38"/>
      <c r="SZ184" s="38"/>
      <c r="TA184" s="38"/>
      <c r="TB184" s="38"/>
      <c r="TC184" s="38"/>
      <c r="TD184" s="38"/>
      <c r="TE184" s="38"/>
      <c r="TF184" s="38"/>
      <c r="TG184" s="38"/>
      <c r="TH184" s="38"/>
      <c r="TI184" s="38"/>
      <c r="TJ184" s="38"/>
      <c r="TK184" s="38"/>
      <c r="TL184" s="38"/>
      <c r="TM184" s="38"/>
      <c r="TN184" s="38"/>
      <c r="TO184" s="38"/>
      <c r="TP184" s="38"/>
      <c r="TQ184" s="38"/>
      <c r="TR184" s="38"/>
    </row>
    <row r="185" spans="1:538" s="22" customFormat="1" ht="43.5" customHeight="1" x14ac:dyDescent="0.25">
      <c r="A185" s="42" t="s">
        <v>248</v>
      </c>
      <c r="B185" s="43" t="str">
        <f>'дод 3'!A19</f>
        <v>0160</v>
      </c>
      <c r="C185" s="43" t="str">
        <f>'дод 3'!B19</f>
        <v>0111</v>
      </c>
      <c r="D185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85" s="67">
        <v>4291518</v>
      </c>
      <c r="F185" s="67">
        <v>3320099</v>
      </c>
      <c r="G185" s="67">
        <v>52700</v>
      </c>
      <c r="H185" s="67">
        <v>2153476.19</v>
      </c>
      <c r="I185" s="67">
        <v>1688302.91</v>
      </c>
      <c r="J185" s="67">
        <v>21374.87</v>
      </c>
      <c r="K185" s="140">
        <f t="shared" si="113"/>
        <v>50.179824248669114</v>
      </c>
      <c r="L185" s="67">
        <v>0</v>
      </c>
      <c r="M185" s="67"/>
      <c r="N185" s="67"/>
      <c r="O185" s="67"/>
      <c r="P185" s="67"/>
      <c r="Q185" s="67"/>
      <c r="R185" s="67">
        <f t="shared" ref="R185" si="160">T185+W185</f>
        <v>0</v>
      </c>
      <c r="S185" s="67"/>
      <c r="T185" s="67"/>
      <c r="U185" s="67"/>
      <c r="V185" s="67"/>
      <c r="W185" s="67"/>
      <c r="X185" s="140"/>
      <c r="Y185" s="67">
        <f>H185+R185</f>
        <v>2153476.19</v>
      </c>
      <c r="Z185" s="156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</row>
    <row r="186" spans="1:538" s="30" customFormat="1" ht="37.5" customHeight="1" x14ac:dyDescent="0.2">
      <c r="A186" s="131" t="s">
        <v>250</v>
      </c>
      <c r="B186" s="71"/>
      <c r="C186" s="71"/>
      <c r="D186" s="29" t="s">
        <v>52</v>
      </c>
      <c r="E186" s="64">
        <f t="shared" ref="E186:J186" si="161">E187</f>
        <v>20352000</v>
      </c>
      <c r="F186" s="64">
        <f t="shared" si="161"/>
        <v>13897700</v>
      </c>
      <c r="G186" s="64">
        <f t="shared" si="161"/>
        <v>314600</v>
      </c>
      <c r="H186" s="64">
        <f t="shared" si="161"/>
        <v>9469955.3300000001</v>
      </c>
      <c r="I186" s="64">
        <f t="shared" si="161"/>
        <v>7211518.1600000001</v>
      </c>
      <c r="J186" s="64">
        <f t="shared" si="161"/>
        <v>130522.21</v>
      </c>
      <c r="K186" s="139">
        <f t="shared" si="113"/>
        <v>46.530833972091195</v>
      </c>
      <c r="L186" s="64">
        <f t="shared" ref="L186:M186" si="162">L187</f>
        <v>100000</v>
      </c>
      <c r="M186" s="64">
        <f t="shared" si="162"/>
        <v>100000</v>
      </c>
      <c r="N186" s="64">
        <f t="shared" ref="N186" si="163">N187</f>
        <v>0</v>
      </c>
      <c r="O186" s="64">
        <f t="shared" ref="O186" si="164">O187</f>
        <v>0</v>
      </c>
      <c r="P186" s="64">
        <f t="shared" ref="P186" si="165">P187</f>
        <v>0</v>
      </c>
      <c r="Q186" s="64">
        <f t="shared" ref="Q186" si="166">Q187</f>
        <v>100000</v>
      </c>
      <c r="R186" s="64">
        <f t="shared" ref="R186:W186" si="167">R187</f>
        <v>4500</v>
      </c>
      <c r="S186" s="64">
        <f t="shared" si="167"/>
        <v>4500</v>
      </c>
      <c r="T186" s="64">
        <f t="shared" si="167"/>
        <v>0</v>
      </c>
      <c r="U186" s="64">
        <f t="shared" si="167"/>
        <v>0</v>
      </c>
      <c r="V186" s="64">
        <f t="shared" si="167"/>
        <v>0</v>
      </c>
      <c r="W186" s="64">
        <f t="shared" si="167"/>
        <v>4500</v>
      </c>
      <c r="X186" s="139">
        <f t="shared" si="114"/>
        <v>4.5</v>
      </c>
      <c r="Y186" s="64">
        <f>Y187</f>
        <v>9474455.3300000001</v>
      </c>
      <c r="Z186" s="156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  <c r="IW186" s="37"/>
      <c r="IX186" s="37"/>
      <c r="IY186" s="37"/>
      <c r="IZ186" s="37"/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/>
      <c r="JY186" s="37"/>
      <c r="JZ186" s="37"/>
      <c r="KA186" s="37"/>
      <c r="KB186" s="37"/>
      <c r="KC186" s="37"/>
      <c r="KD186" s="37"/>
      <c r="KE186" s="37"/>
      <c r="KF186" s="37"/>
      <c r="KG186" s="37"/>
      <c r="KH186" s="37"/>
      <c r="KI186" s="37"/>
      <c r="KJ186" s="37"/>
      <c r="KK186" s="37"/>
      <c r="KL186" s="37"/>
      <c r="KM186" s="37"/>
      <c r="KN186" s="37"/>
      <c r="KO186" s="37"/>
      <c r="KP186" s="37"/>
      <c r="KQ186" s="37"/>
      <c r="KR186" s="37"/>
      <c r="KS186" s="37"/>
      <c r="KT186" s="37"/>
      <c r="KU186" s="37"/>
      <c r="KV186" s="37"/>
      <c r="KW186" s="37"/>
      <c r="KX186" s="37"/>
      <c r="KY186" s="37"/>
      <c r="KZ186" s="37"/>
      <c r="LA186" s="37"/>
      <c r="LB186" s="37"/>
      <c r="LC186" s="37"/>
      <c r="LD186" s="37"/>
      <c r="LE186" s="37"/>
      <c r="LF186" s="37"/>
      <c r="LG186" s="37"/>
      <c r="LH186" s="37"/>
      <c r="LI186" s="37"/>
      <c r="LJ186" s="37"/>
      <c r="LK186" s="37"/>
      <c r="LL186" s="37"/>
      <c r="LM186" s="37"/>
      <c r="LN186" s="37"/>
      <c r="LO186" s="37"/>
      <c r="LP186" s="37"/>
      <c r="LQ186" s="37"/>
      <c r="LR186" s="37"/>
      <c r="LS186" s="37"/>
      <c r="LT186" s="37"/>
      <c r="LU186" s="37"/>
      <c r="LV186" s="37"/>
      <c r="LW186" s="37"/>
      <c r="LX186" s="37"/>
      <c r="LY186" s="37"/>
      <c r="LZ186" s="37"/>
      <c r="MA186" s="37"/>
      <c r="MB186" s="37"/>
      <c r="MC186" s="37"/>
      <c r="MD186" s="37"/>
      <c r="ME186" s="37"/>
      <c r="MF186" s="37"/>
      <c r="MG186" s="37"/>
      <c r="MH186" s="37"/>
      <c r="MI186" s="37"/>
      <c r="MJ186" s="37"/>
      <c r="MK186" s="37"/>
      <c r="ML186" s="37"/>
      <c r="MM186" s="37"/>
      <c r="MN186" s="37"/>
      <c r="MO186" s="37"/>
      <c r="MP186" s="37"/>
      <c r="MQ186" s="37"/>
      <c r="MR186" s="37"/>
      <c r="MS186" s="37"/>
      <c r="MT186" s="37"/>
      <c r="MU186" s="37"/>
      <c r="MV186" s="37"/>
      <c r="MW186" s="37"/>
      <c r="MX186" s="37"/>
      <c r="MY186" s="37"/>
      <c r="MZ186" s="37"/>
      <c r="NA186" s="37"/>
      <c r="NB186" s="37"/>
      <c r="NC186" s="37"/>
      <c r="ND186" s="37"/>
      <c r="NE186" s="37"/>
      <c r="NF186" s="37"/>
      <c r="NG186" s="37"/>
      <c r="NH186" s="37"/>
      <c r="NI186" s="37"/>
      <c r="NJ186" s="37"/>
      <c r="NK186" s="37"/>
      <c r="NL186" s="37"/>
      <c r="NM186" s="37"/>
      <c r="NN186" s="37"/>
      <c r="NO186" s="37"/>
      <c r="NP186" s="37"/>
      <c r="NQ186" s="37"/>
      <c r="NR186" s="37"/>
      <c r="NS186" s="37"/>
      <c r="NT186" s="37"/>
      <c r="NU186" s="37"/>
      <c r="NV186" s="37"/>
      <c r="NW186" s="37"/>
      <c r="NX186" s="37"/>
      <c r="NY186" s="37"/>
      <c r="NZ186" s="37"/>
      <c r="OA186" s="37"/>
      <c r="OB186" s="37"/>
      <c r="OC186" s="37"/>
      <c r="OD186" s="37"/>
      <c r="OE186" s="37"/>
      <c r="OF186" s="37"/>
      <c r="OG186" s="37"/>
      <c r="OH186" s="37"/>
      <c r="OI186" s="37"/>
      <c r="OJ186" s="37"/>
      <c r="OK186" s="37"/>
      <c r="OL186" s="37"/>
      <c r="OM186" s="37"/>
      <c r="ON186" s="37"/>
      <c r="OO186" s="37"/>
      <c r="OP186" s="37"/>
      <c r="OQ186" s="37"/>
      <c r="OR186" s="37"/>
      <c r="OS186" s="37"/>
      <c r="OT186" s="37"/>
      <c r="OU186" s="37"/>
      <c r="OV186" s="37"/>
      <c r="OW186" s="37"/>
      <c r="OX186" s="37"/>
      <c r="OY186" s="37"/>
      <c r="OZ186" s="37"/>
      <c r="PA186" s="37"/>
      <c r="PB186" s="37"/>
      <c r="PC186" s="37"/>
      <c r="PD186" s="37"/>
      <c r="PE186" s="37"/>
      <c r="PF186" s="37"/>
      <c r="PG186" s="37"/>
      <c r="PH186" s="37"/>
      <c r="PI186" s="37"/>
      <c r="PJ186" s="37"/>
      <c r="PK186" s="37"/>
      <c r="PL186" s="37"/>
      <c r="PM186" s="37"/>
      <c r="PN186" s="37"/>
      <c r="PO186" s="37"/>
      <c r="PP186" s="37"/>
      <c r="PQ186" s="37"/>
      <c r="PR186" s="37"/>
      <c r="PS186" s="37"/>
      <c r="PT186" s="37"/>
      <c r="PU186" s="37"/>
      <c r="PV186" s="37"/>
      <c r="PW186" s="37"/>
      <c r="PX186" s="37"/>
      <c r="PY186" s="37"/>
      <c r="PZ186" s="37"/>
      <c r="QA186" s="37"/>
      <c r="QB186" s="37"/>
      <c r="QC186" s="37"/>
      <c r="QD186" s="37"/>
      <c r="QE186" s="37"/>
      <c r="QF186" s="37"/>
      <c r="QG186" s="37"/>
      <c r="QH186" s="37"/>
      <c r="QI186" s="37"/>
      <c r="QJ186" s="37"/>
      <c r="QK186" s="37"/>
      <c r="QL186" s="37"/>
      <c r="QM186" s="37"/>
      <c r="QN186" s="37"/>
      <c r="QO186" s="37"/>
      <c r="QP186" s="37"/>
      <c r="QQ186" s="37"/>
      <c r="QR186" s="37"/>
      <c r="QS186" s="37"/>
      <c r="QT186" s="37"/>
      <c r="QU186" s="37"/>
      <c r="QV186" s="37"/>
      <c r="QW186" s="37"/>
      <c r="QX186" s="37"/>
      <c r="QY186" s="37"/>
      <c r="QZ186" s="37"/>
      <c r="RA186" s="37"/>
      <c r="RB186" s="37"/>
      <c r="RC186" s="37"/>
      <c r="RD186" s="37"/>
      <c r="RE186" s="37"/>
      <c r="RF186" s="37"/>
      <c r="RG186" s="37"/>
      <c r="RH186" s="37"/>
      <c r="RI186" s="37"/>
      <c r="RJ186" s="37"/>
      <c r="RK186" s="37"/>
      <c r="RL186" s="37"/>
      <c r="RM186" s="37"/>
      <c r="RN186" s="37"/>
      <c r="RO186" s="37"/>
      <c r="RP186" s="37"/>
      <c r="RQ186" s="37"/>
      <c r="RR186" s="37"/>
      <c r="RS186" s="37"/>
      <c r="RT186" s="37"/>
      <c r="RU186" s="37"/>
      <c r="RV186" s="37"/>
      <c r="RW186" s="37"/>
      <c r="RX186" s="37"/>
      <c r="RY186" s="37"/>
      <c r="RZ186" s="37"/>
      <c r="SA186" s="37"/>
      <c r="SB186" s="37"/>
      <c r="SC186" s="37"/>
      <c r="SD186" s="37"/>
      <c r="SE186" s="37"/>
      <c r="SF186" s="37"/>
      <c r="SG186" s="37"/>
      <c r="SH186" s="37"/>
      <c r="SI186" s="37"/>
      <c r="SJ186" s="37"/>
      <c r="SK186" s="37"/>
      <c r="SL186" s="37"/>
      <c r="SM186" s="37"/>
      <c r="SN186" s="37"/>
      <c r="SO186" s="37"/>
      <c r="SP186" s="37"/>
      <c r="SQ186" s="37"/>
      <c r="SR186" s="37"/>
      <c r="SS186" s="37"/>
      <c r="ST186" s="37"/>
      <c r="SU186" s="37"/>
      <c r="SV186" s="37"/>
      <c r="SW186" s="37"/>
      <c r="SX186" s="37"/>
      <c r="SY186" s="37"/>
      <c r="SZ186" s="37"/>
      <c r="TA186" s="37"/>
      <c r="TB186" s="37"/>
      <c r="TC186" s="37"/>
      <c r="TD186" s="37"/>
      <c r="TE186" s="37"/>
      <c r="TF186" s="37"/>
      <c r="TG186" s="37"/>
      <c r="TH186" s="37"/>
      <c r="TI186" s="37"/>
      <c r="TJ186" s="37"/>
      <c r="TK186" s="37"/>
      <c r="TL186" s="37"/>
      <c r="TM186" s="37"/>
      <c r="TN186" s="37"/>
      <c r="TO186" s="37"/>
      <c r="TP186" s="37"/>
      <c r="TQ186" s="37"/>
      <c r="TR186" s="37"/>
    </row>
    <row r="187" spans="1:538" s="39" customFormat="1" ht="37.5" customHeight="1" x14ac:dyDescent="0.25">
      <c r="A187" s="73" t="s">
        <v>251</v>
      </c>
      <c r="B187" s="72"/>
      <c r="C187" s="72"/>
      <c r="D187" s="32" t="s">
        <v>52</v>
      </c>
      <c r="E187" s="66">
        <f t="shared" ref="E187" si="168">E188+E189++E190+E191+E192+E193</f>
        <v>20352000</v>
      </c>
      <c r="F187" s="66">
        <f t="shared" ref="F187:H187" si="169">F188+F189++F190+F191+F192+F193</f>
        <v>13897700</v>
      </c>
      <c r="G187" s="66">
        <f t="shared" si="169"/>
        <v>314600</v>
      </c>
      <c r="H187" s="66">
        <f t="shared" si="169"/>
        <v>9469955.3300000001</v>
      </c>
      <c r="I187" s="66">
        <f t="shared" ref="I187:J187" si="170">I188+I189++I190+I191+I192+I193</f>
        <v>7211518.1600000001</v>
      </c>
      <c r="J187" s="66">
        <f t="shared" si="170"/>
        <v>130522.21</v>
      </c>
      <c r="K187" s="139">
        <f t="shared" si="113"/>
        <v>46.530833972091195</v>
      </c>
      <c r="L187" s="66">
        <f>L188+L189++L190+L191+L192+L193</f>
        <v>100000</v>
      </c>
      <c r="M187" s="66">
        <f>M188+M189++M190+M191+M192+M193</f>
        <v>100000</v>
      </c>
      <c r="N187" s="66">
        <f t="shared" ref="N187:Y187" si="171">N188+N189++N190+N191+N192+N193</f>
        <v>0</v>
      </c>
      <c r="O187" s="66">
        <f t="shared" si="171"/>
        <v>0</v>
      </c>
      <c r="P187" s="66">
        <f t="shared" si="171"/>
        <v>0</v>
      </c>
      <c r="Q187" s="66">
        <f t="shared" si="171"/>
        <v>100000</v>
      </c>
      <c r="R187" s="66">
        <f>R188+R189++R190+R191+R192+R193</f>
        <v>4500</v>
      </c>
      <c r="S187" s="66">
        <f>S188+S189++S190+S191+S192+S193</f>
        <v>4500</v>
      </c>
      <c r="T187" s="66">
        <f t="shared" ref="T187:W187" si="172">T188+T189++T190+T191+T192+T193</f>
        <v>0</v>
      </c>
      <c r="U187" s="66">
        <f t="shared" si="172"/>
        <v>0</v>
      </c>
      <c r="V187" s="66">
        <f t="shared" si="172"/>
        <v>0</v>
      </c>
      <c r="W187" s="66">
        <f t="shared" si="172"/>
        <v>4500</v>
      </c>
      <c r="X187" s="139">
        <f t="shared" si="114"/>
        <v>4.5</v>
      </c>
      <c r="Y187" s="66">
        <f t="shared" si="171"/>
        <v>9474455.3300000001</v>
      </c>
      <c r="Z187" s="156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  <c r="IU187" s="38"/>
      <c r="IV187" s="38"/>
      <c r="IW187" s="38"/>
      <c r="IX187" s="38"/>
      <c r="IY187" s="38"/>
      <c r="IZ187" s="38"/>
      <c r="JA187" s="38"/>
      <c r="JB187" s="38"/>
      <c r="JC187" s="38"/>
      <c r="JD187" s="38"/>
      <c r="JE187" s="38"/>
      <c r="JF187" s="38"/>
      <c r="JG187" s="38"/>
      <c r="JH187" s="38"/>
      <c r="JI187" s="38"/>
      <c r="JJ187" s="38"/>
      <c r="JK187" s="38"/>
      <c r="JL187" s="38"/>
      <c r="JM187" s="38"/>
      <c r="JN187" s="38"/>
      <c r="JO187" s="38"/>
      <c r="JP187" s="38"/>
      <c r="JQ187" s="38"/>
      <c r="JR187" s="38"/>
      <c r="JS187" s="38"/>
      <c r="JT187" s="38"/>
      <c r="JU187" s="38"/>
      <c r="JV187" s="38"/>
      <c r="JW187" s="38"/>
      <c r="JX187" s="38"/>
      <c r="JY187" s="38"/>
      <c r="JZ187" s="38"/>
      <c r="KA187" s="38"/>
      <c r="KB187" s="38"/>
      <c r="KC187" s="38"/>
      <c r="KD187" s="38"/>
      <c r="KE187" s="38"/>
      <c r="KF187" s="38"/>
      <c r="KG187" s="38"/>
      <c r="KH187" s="38"/>
      <c r="KI187" s="38"/>
      <c r="KJ187" s="38"/>
      <c r="KK187" s="38"/>
      <c r="KL187" s="38"/>
      <c r="KM187" s="38"/>
      <c r="KN187" s="38"/>
      <c r="KO187" s="38"/>
      <c r="KP187" s="38"/>
      <c r="KQ187" s="38"/>
      <c r="KR187" s="38"/>
      <c r="KS187" s="38"/>
      <c r="KT187" s="38"/>
      <c r="KU187" s="38"/>
      <c r="KV187" s="38"/>
      <c r="KW187" s="38"/>
      <c r="KX187" s="38"/>
      <c r="KY187" s="38"/>
      <c r="KZ187" s="38"/>
      <c r="LA187" s="38"/>
      <c r="LB187" s="38"/>
      <c r="LC187" s="38"/>
      <c r="LD187" s="38"/>
      <c r="LE187" s="38"/>
      <c r="LF187" s="38"/>
      <c r="LG187" s="38"/>
      <c r="LH187" s="38"/>
      <c r="LI187" s="38"/>
      <c r="LJ187" s="38"/>
      <c r="LK187" s="38"/>
      <c r="LL187" s="38"/>
      <c r="LM187" s="38"/>
      <c r="LN187" s="38"/>
      <c r="LO187" s="38"/>
      <c r="LP187" s="38"/>
      <c r="LQ187" s="38"/>
      <c r="LR187" s="38"/>
      <c r="LS187" s="38"/>
      <c r="LT187" s="38"/>
      <c r="LU187" s="38"/>
      <c r="LV187" s="38"/>
      <c r="LW187" s="38"/>
      <c r="LX187" s="38"/>
      <c r="LY187" s="38"/>
      <c r="LZ187" s="38"/>
      <c r="MA187" s="38"/>
      <c r="MB187" s="38"/>
      <c r="MC187" s="38"/>
      <c r="MD187" s="38"/>
      <c r="ME187" s="38"/>
      <c r="MF187" s="38"/>
      <c r="MG187" s="38"/>
      <c r="MH187" s="38"/>
      <c r="MI187" s="38"/>
      <c r="MJ187" s="38"/>
      <c r="MK187" s="38"/>
      <c r="ML187" s="38"/>
      <c r="MM187" s="38"/>
      <c r="MN187" s="38"/>
      <c r="MO187" s="38"/>
      <c r="MP187" s="38"/>
      <c r="MQ187" s="38"/>
      <c r="MR187" s="38"/>
      <c r="MS187" s="38"/>
      <c r="MT187" s="38"/>
      <c r="MU187" s="38"/>
      <c r="MV187" s="38"/>
      <c r="MW187" s="38"/>
      <c r="MX187" s="38"/>
      <c r="MY187" s="38"/>
      <c r="MZ187" s="38"/>
      <c r="NA187" s="38"/>
      <c r="NB187" s="38"/>
      <c r="NC187" s="38"/>
      <c r="ND187" s="38"/>
      <c r="NE187" s="38"/>
      <c r="NF187" s="38"/>
      <c r="NG187" s="38"/>
      <c r="NH187" s="3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38"/>
      <c r="OC187" s="38"/>
      <c r="OD187" s="38"/>
      <c r="OE187" s="38"/>
      <c r="OF187" s="38"/>
      <c r="OG187" s="38"/>
      <c r="OH187" s="38"/>
      <c r="OI187" s="38"/>
      <c r="OJ187" s="38"/>
      <c r="OK187" s="38"/>
      <c r="OL187" s="38"/>
      <c r="OM187" s="38"/>
      <c r="ON187" s="38"/>
      <c r="OO187" s="38"/>
      <c r="OP187" s="38"/>
      <c r="OQ187" s="38"/>
      <c r="OR187" s="38"/>
      <c r="OS187" s="38"/>
      <c r="OT187" s="38"/>
      <c r="OU187" s="38"/>
      <c r="OV187" s="38"/>
      <c r="OW187" s="38"/>
      <c r="OX187" s="38"/>
      <c r="OY187" s="38"/>
      <c r="OZ187" s="38"/>
      <c r="PA187" s="38"/>
      <c r="PB187" s="38"/>
      <c r="PC187" s="38"/>
      <c r="PD187" s="38"/>
      <c r="PE187" s="38"/>
      <c r="PF187" s="38"/>
      <c r="PG187" s="38"/>
      <c r="PH187" s="38"/>
      <c r="PI187" s="38"/>
      <c r="PJ187" s="38"/>
      <c r="PK187" s="38"/>
      <c r="PL187" s="38"/>
      <c r="PM187" s="38"/>
      <c r="PN187" s="38"/>
      <c r="PO187" s="38"/>
      <c r="PP187" s="38"/>
      <c r="PQ187" s="38"/>
      <c r="PR187" s="38"/>
      <c r="PS187" s="38"/>
      <c r="PT187" s="38"/>
      <c r="PU187" s="38"/>
      <c r="PV187" s="38"/>
      <c r="PW187" s="38"/>
      <c r="PX187" s="38"/>
      <c r="PY187" s="38"/>
      <c r="PZ187" s="38"/>
      <c r="QA187" s="38"/>
      <c r="QB187" s="38"/>
      <c r="QC187" s="38"/>
      <c r="QD187" s="38"/>
      <c r="QE187" s="38"/>
      <c r="QF187" s="38"/>
      <c r="QG187" s="38"/>
      <c r="QH187" s="38"/>
      <c r="QI187" s="38"/>
      <c r="QJ187" s="38"/>
      <c r="QK187" s="38"/>
      <c r="QL187" s="38"/>
      <c r="QM187" s="38"/>
      <c r="QN187" s="38"/>
      <c r="QO187" s="38"/>
      <c r="QP187" s="38"/>
      <c r="QQ187" s="38"/>
      <c r="QR187" s="38"/>
      <c r="QS187" s="38"/>
      <c r="QT187" s="38"/>
      <c r="QU187" s="38"/>
      <c r="QV187" s="38"/>
      <c r="QW187" s="38"/>
      <c r="QX187" s="38"/>
      <c r="QY187" s="38"/>
      <c r="QZ187" s="38"/>
      <c r="RA187" s="38"/>
      <c r="RB187" s="38"/>
      <c r="RC187" s="38"/>
      <c r="RD187" s="38"/>
      <c r="RE187" s="38"/>
      <c r="RF187" s="38"/>
      <c r="RG187" s="38"/>
      <c r="RH187" s="38"/>
      <c r="RI187" s="38"/>
      <c r="RJ187" s="38"/>
      <c r="RK187" s="38"/>
      <c r="RL187" s="38"/>
      <c r="RM187" s="38"/>
      <c r="RN187" s="38"/>
      <c r="RO187" s="38"/>
      <c r="RP187" s="38"/>
      <c r="RQ187" s="38"/>
      <c r="RR187" s="38"/>
      <c r="RS187" s="38"/>
      <c r="RT187" s="38"/>
      <c r="RU187" s="38"/>
      <c r="RV187" s="38"/>
      <c r="RW187" s="38"/>
      <c r="RX187" s="38"/>
      <c r="RY187" s="38"/>
      <c r="RZ187" s="38"/>
      <c r="SA187" s="38"/>
      <c r="SB187" s="38"/>
      <c r="SC187" s="38"/>
      <c r="SD187" s="38"/>
      <c r="SE187" s="38"/>
      <c r="SF187" s="38"/>
      <c r="SG187" s="38"/>
      <c r="SH187" s="38"/>
      <c r="SI187" s="38"/>
      <c r="SJ187" s="38"/>
      <c r="SK187" s="38"/>
      <c r="SL187" s="38"/>
      <c r="SM187" s="38"/>
      <c r="SN187" s="38"/>
      <c r="SO187" s="38"/>
      <c r="SP187" s="38"/>
      <c r="SQ187" s="38"/>
      <c r="SR187" s="38"/>
      <c r="SS187" s="38"/>
      <c r="ST187" s="38"/>
      <c r="SU187" s="38"/>
      <c r="SV187" s="38"/>
      <c r="SW187" s="38"/>
      <c r="SX187" s="38"/>
      <c r="SY187" s="38"/>
      <c r="SZ187" s="38"/>
      <c r="TA187" s="38"/>
      <c r="TB187" s="38"/>
      <c r="TC187" s="38"/>
      <c r="TD187" s="38"/>
      <c r="TE187" s="38"/>
      <c r="TF187" s="38"/>
      <c r="TG187" s="38"/>
      <c r="TH187" s="38"/>
      <c r="TI187" s="38"/>
      <c r="TJ187" s="38"/>
      <c r="TK187" s="38"/>
      <c r="TL187" s="38"/>
      <c r="TM187" s="38"/>
      <c r="TN187" s="38"/>
      <c r="TO187" s="38"/>
      <c r="TP187" s="38"/>
      <c r="TQ187" s="38"/>
      <c r="TR187" s="38"/>
    </row>
    <row r="188" spans="1:538" s="22" customFormat="1" ht="47.25" customHeight="1" x14ac:dyDescent="0.25">
      <c r="A188" s="42" t="s">
        <v>252</v>
      </c>
      <c r="B188" s="43" t="str">
        <f>'дод 3'!A19</f>
        <v>0160</v>
      </c>
      <c r="C188" s="43" t="str">
        <f>'дод 3'!B19</f>
        <v>0111</v>
      </c>
      <c r="D188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88" s="67">
        <v>17942000</v>
      </c>
      <c r="F188" s="67">
        <v>13897700</v>
      </c>
      <c r="G188" s="67">
        <v>314600</v>
      </c>
      <c r="H188" s="67">
        <v>9208594.5199999996</v>
      </c>
      <c r="I188" s="67">
        <v>7211518.1600000001</v>
      </c>
      <c r="J188" s="67">
        <v>130522.21</v>
      </c>
      <c r="K188" s="140">
        <f t="shared" si="113"/>
        <v>51.324236539962101</v>
      </c>
      <c r="L188" s="67">
        <v>25000</v>
      </c>
      <c r="M188" s="67">
        <v>25000</v>
      </c>
      <c r="N188" s="67"/>
      <c r="O188" s="67"/>
      <c r="P188" s="67"/>
      <c r="Q188" s="67">
        <v>25000</v>
      </c>
      <c r="R188" s="67">
        <f t="shared" ref="R188:R193" si="173">T188+W188</f>
        <v>0</v>
      </c>
      <c r="S188" s="67"/>
      <c r="T188" s="67"/>
      <c r="U188" s="67"/>
      <c r="V188" s="67"/>
      <c r="W188" s="67"/>
      <c r="X188" s="140">
        <f t="shared" si="114"/>
        <v>0</v>
      </c>
      <c r="Y188" s="67">
        <f t="shared" ref="Y188:Y193" si="174">H188+R188</f>
        <v>9208594.5199999996</v>
      </c>
      <c r="Z188" s="156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</row>
    <row r="189" spans="1:538" s="27" customFormat="1" ht="29.25" customHeight="1" x14ac:dyDescent="0.25">
      <c r="A189" s="42" t="s">
        <v>253</v>
      </c>
      <c r="B189" s="43" t="str">
        <f>'дод 3'!A100</f>
        <v>7130</v>
      </c>
      <c r="C189" s="43" t="str">
        <f>'дод 3'!B100</f>
        <v>0421</v>
      </c>
      <c r="D189" s="23" t="str">
        <f>'дод 3'!C100</f>
        <v>Здійснення заходів із землеустрою</v>
      </c>
      <c r="E189" s="67">
        <v>700000</v>
      </c>
      <c r="F189" s="67"/>
      <c r="G189" s="67"/>
      <c r="H189" s="67"/>
      <c r="I189" s="67"/>
      <c r="J189" s="67"/>
      <c r="K189" s="140">
        <f t="shared" si="113"/>
        <v>0</v>
      </c>
      <c r="L189" s="67">
        <v>0</v>
      </c>
      <c r="M189" s="67"/>
      <c r="N189" s="67"/>
      <c r="O189" s="67"/>
      <c r="P189" s="67"/>
      <c r="Q189" s="67"/>
      <c r="R189" s="67">
        <f t="shared" si="173"/>
        <v>0</v>
      </c>
      <c r="S189" s="67"/>
      <c r="T189" s="67"/>
      <c r="U189" s="67"/>
      <c r="V189" s="67"/>
      <c r="W189" s="67"/>
      <c r="X189" s="140"/>
      <c r="Y189" s="67">
        <f t="shared" si="174"/>
        <v>0</v>
      </c>
      <c r="Z189" s="15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  <c r="IP189" s="36"/>
      <c r="IQ189" s="36"/>
      <c r="IR189" s="36"/>
      <c r="IS189" s="36"/>
      <c r="IT189" s="36"/>
      <c r="IU189" s="36"/>
      <c r="IV189" s="36"/>
      <c r="IW189" s="36"/>
      <c r="IX189" s="36"/>
      <c r="IY189" s="36"/>
      <c r="IZ189" s="36"/>
      <c r="JA189" s="36"/>
      <c r="JB189" s="36"/>
      <c r="JC189" s="36"/>
      <c r="JD189" s="36"/>
      <c r="JE189" s="36"/>
      <c r="JF189" s="36"/>
      <c r="JG189" s="36"/>
      <c r="JH189" s="36"/>
      <c r="JI189" s="36"/>
      <c r="JJ189" s="36"/>
      <c r="JK189" s="36"/>
      <c r="JL189" s="36"/>
      <c r="JM189" s="36"/>
      <c r="JN189" s="36"/>
      <c r="JO189" s="36"/>
      <c r="JP189" s="36"/>
      <c r="JQ189" s="36"/>
      <c r="JR189" s="36"/>
      <c r="JS189" s="36"/>
      <c r="JT189" s="36"/>
      <c r="JU189" s="36"/>
      <c r="JV189" s="36"/>
      <c r="JW189" s="36"/>
      <c r="JX189" s="36"/>
      <c r="JY189" s="36"/>
      <c r="JZ189" s="36"/>
      <c r="KA189" s="36"/>
      <c r="KB189" s="36"/>
      <c r="KC189" s="36"/>
      <c r="KD189" s="36"/>
      <c r="KE189" s="36"/>
      <c r="KF189" s="36"/>
      <c r="KG189" s="36"/>
      <c r="KH189" s="36"/>
      <c r="KI189" s="36"/>
      <c r="KJ189" s="36"/>
      <c r="KK189" s="36"/>
      <c r="KL189" s="36"/>
      <c r="KM189" s="36"/>
      <c r="KN189" s="36"/>
      <c r="KO189" s="36"/>
      <c r="KP189" s="36"/>
      <c r="KQ189" s="36"/>
      <c r="KR189" s="36"/>
      <c r="KS189" s="36"/>
      <c r="KT189" s="36"/>
      <c r="KU189" s="36"/>
      <c r="KV189" s="36"/>
      <c r="KW189" s="36"/>
      <c r="KX189" s="36"/>
      <c r="KY189" s="36"/>
      <c r="KZ189" s="36"/>
      <c r="LA189" s="36"/>
      <c r="LB189" s="36"/>
      <c r="LC189" s="36"/>
      <c r="LD189" s="36"/>
      <c r="LE189" s="36"/>
      <c r="LF189" s="36"/>
      <c r="LG189" s="36"/>
      <c r="LH189" s="36"/>
      <c r="LI189" s="36"/>
      <c r="LJ189" s="36"/>
      <c r="LK189" s="36"/>
      <c r="LL189" s="36"/>
      <c r="LM189" s="36"/>
      <c r="LN189" s="36"/>
      <c r="LO189" s="36"/>
      <c r="LP189" s="36"/>
      <c r="LQ189" s="36"/>
      <c r="LR189" s="36"/>
      <c r="LS189" s="36"/>
      <c r="LT189" s="36"/>
      <c r="LU189" s="36"/>
      <c r="LV189" s="36"/>
      <c r="LW189" s="36"/>
      <c r="LX189" s="36"/>
      <c r="LY189" s="36"/>
      <c r="LZ189" s="36"/>
      <c r="MA189" s="36"/>
      <c r="MB189" s="36"/>
      <c r="MC189" s="36"/>
      <c r="MD189" s="36"/>
      <c r="ME189" s="36"/>
      <c r="MF189" s="36"/>
      <c r="MG189" s="36"/>
      <c r="MH189" s="36"/>
      <c r="MI189" s="36"/>
      <c r="MJ189" s="36"/>
      <c r="MK189" s="36"/>
      <c r="ML189" s="36"/>
      <c r="MM189" s="36"/>
      <c r="MN189" s="36"/>
      <c r="MO189" s="36"/>
      <c r="MP189" s="36"/>
      <c r="MQ189" s="36"/>
      <c r="MR189" s="36"/>
      <c r="MS189" s="36"/>
      <c r="MT189" s="36"/>
      <c r="MU189" s="36"/>
      <c r="MV189" s="36"/>
      <c r="MW189" s="36"/>
      <c r="MX189" s="36"/>
      <c r="MY189" s="36"/>
      <c r="MZ189" s="36"/>
      <c r="NA189" s="36"/>
      <c r="NB189" s="36"/>
      <c r="NC189" s="36"/>
      <c r="ND189" s="36"/>
      <c r="NE189" s="36"/>
      <c r="NF189" s="36"/>
      <c r="NG189" s="36"/>
      <c r="NH189" s="36"/>
      <c r="NI189" s="36"/>
      <c r="NJ189" s="36"/>
      <c r="NK189" s="36"/>
      <c r="NL189" s="36"/>
      <c r="NM189" s="36"/>
      <c r="NN189" s="36"/>
      <c r="NO189" s="36"/>
      <c r="NP189" s="36"/>
      <c r="NQ189" s="36"/>
      <c r="NR189" s="36"/>
      <c r="NS189" s="36"/>
      <c r="NT189" s="36"/>
      <c r="NU189" s="36"/>
      <c r="NV189" s="36"/>
      <c r="NW189" s="36"/>
      <c r="NX189" s="36"/>
      <c r="NY189" s="36"/>
      <c r="NZ189" s="36"/>
      <c r="OA189" s="36"/>
      <c r="OB189" s="36"/>
      <c r="OC189" s="36"/>
      <c r="OD189" s="36"/>
      <c r="OE189" s="36"/>
      <c r="OF189" s="36"/>
      <c r="OG189" s="36"/>
      <c r="OH189" s="36"/>
      <c r="OI189" s="36"/>
      <c r="OJ189" s="36"/>
      <c r="OK189" s="36"/>
      <c r="OL189" s="36"/>
      <c r="OM189" s="36"/>
      <c r="ON189" s="36"/>
      <c r="OO189" s="36"/>
      <c r="OP189" s="36"/>
      <c r="OQ189" s="36"/>
      <c r="OR189" s="36"/>
      <c r="OS189" s="36"/>
      <c r="OT189" s="36"/>
      <c r="OU189" s="36"/>
      <c r="OV189" s="36"/>
      <c r="OW189" s="36"/>
      <c r="OX189" s="36"/>
      <c r="OY189" s="36"/>
      <c r="OZ189" s="36"/>
      <c r="PA189" s="36"/>
      <c r="PB189" s="36"/>
      <c r="PC189" s="36"/>
      <c r="PD189" s="36"/>
      <c r="PE189" s="36"/>
      <c r="PF189" s="36"/>
      <c r="PG189" s="36"/>
      <c r="PH189" s="36"/>
      <c r="PI189" s="36"/>
      <c r="PJ189" s="36"/>
      <c r="PK189" s="36"/>
      <c r="PL189" s="36"/>
      <c r="PM189" s="36"/>
      <c r="PN189" s="36"/>
      <c r="PO189" s="36"/>
      <c r="PP189" s="36"/>
      <c r="PQ189" s="36"/>
      <c r="PR189" s="36"/>
      <c r="PS189" s="36"/>
      <c r="PT189" s="36"/>
      <c r="PU189" s="36"/>
      <c r="PV189" s="36"/>
      <c r="PW189" s="36"/>
      <c r="PX189" s="36"/>
      <c r="PY189" s="36"/>
      <c r="PZ189" s="36"/>
      <c r="QA189" s="36"/>
      <c r="QB189" s="36"/>
      <c r="QC189" s="36"/>
      <c r="QD189" s="36"/>
      <c r="QE189" s="36"/>
      <c r="QF189" s="36"/>
      <c r="QG189" s="36"/>
      <c r="QH189" s="36"/>
      <c r="QI189" s="36"/>
      <c r="QJ189" s="36"/>
      <c r="QK189" s="36"/>
      <c r="QL189" s="36"/>
      <c r="QM189" s="36"/>
      <c r="QN189" s="36"/>
      <c r="QO189" s="36"/>
      <c r="QP189" s="36"/>
      <c r="QQ189" s="36"/>
      <c r="QR189" s="36"/>
      <c r="QS189" s="36"/>
      <c r="QT189" s="36"/>
      <c r="QU189" s="36"/>
      <c r="QV189" s="36"/>
      <c r="QW189" s="36"/>
      <c r="QX189" s="36"/>
      <c r="QY189" s="36"/>
      <c r="QZ189" s="36"/>
      <c r="RA189" s="36"/>
      <c r="RB189" s="36"/>
      <c r="RC189" s="36"/>
      <c r="RD189" s="36"/>
      <c r="RE189" s="36"/>
      <c r="RF189" s="36"/>
      <c r="RG189" s="36"/>
      <c r="RH189" s="36"/>
      <c r="RI189" s="36"/>
      <c r="RJ189" s="36"/>
      <c r="RK189" s="36"/>
      <c r="RL189" s="36"/>
      <c r="RM189" s="36"/>
      <c r="RN189" s="36"/>
      <c r="RO189" s="36"/>
      <c r="RP189" s="36"/>
      <c r="RQ189" s="36"/>
      <c r="RR189" s="36"/>
      <c r="RS189" s="36"/>
      <c r="RT189" s="36"/>
      <c r="RU189" s="36"/>
      <c r="RV189" s="36"/>
      <c r="RW189" s="36"/>
      <c r="RX189" s="36"/>
      <c r="RY189" s="36"/>
      <c r="RZ189" s="36"/>
      <c r="SA189" s="36"/>
      <c r="SB189" s="36"/>
      <c r="SC189" s="36"/>
      <c r="SD189" s="36"/>
      <c r="SE189" s="36"/>
      <c r="SF189" s="36"/>
      <c r="SG189" s="36"/>
      <c r="SH189" s="36"/>
      <c r="SI189" s="36"/>
      <c r="SJ189" s="36"/>
      <c r="SK189" s="36"/>
      <c r="SL189" s="36"/>
      <c r="SM189" s="36"/>
      <c r="SN189" s="36"/>
      <c r="SO189" s="36"/>
      <c r="SP189" s="36"/>
      <c r="SQ189" s="36"/>
      <c r="SR189" s="36"/>
      <c r="SS189" s="36"/>
      <c r="ST189" s="36"/>
      <c r="SU189" s="36"/>
      <c r="SV189" s="36"/>
      <c r="SW189" s="36"/>
      <c r="SX189" s="36"/>
      <c r="SY189" s="36"/>
      <c r="SZ189" s="36"/>
      <c r="TA189" s="36"/>
      <c r="TB189" s="36"/>
      <c r="TC189" s="36"/>
      <c r="TD189" s="36"/>
      <c r="TE189" s="36"/>
      <c r="TF189" s="36"/>
      <c r="TG189" s="36"/>
      <c r="TH189" s="36"/>
      <c r="TI189" s="36"/>
      <c r="TJ189" s="36"/>
      <c r="TK189" s="36"/>
      <c r="TL189" s="36"/>
      <c r="TM189" s="36"/>
      <c r="TN189" s="36"/>
      <c r="TO189" s="36"/>
      <c r="TP189" s="36"/>
      <c r="TQ189" s="36"/>
      <c r="TR189" s="36"/>
    </row>
    <row r="190" spans="1:538" s="22" customFormat="1" ht="27" customHeight="1" x14ac:dyDescent="0.25">
      <c r="A190" s="51" t="s">
        <v>254</v>
      </c>
      <c r="B190" s="44" t="str">
        <f>'дод 3'!A123</f>
        <v>7610</v>
      </c>
      <c r="C190" s="44" t="str">
        <f>'дод 3'!B123</f>
        <v>0411</v>
      </c>
      <c r="D190" s="21" t="str">
        <f>'дод 3'!C123</f>
        <v>Сприяння розвитку малого та середнього підприємництва</v>
      </c>
      <c r="E190" s="67">
        <v>1020000</v>
      </c>
      <c r="F190" s="67"/>
      <c r="G190" s="67"/>
      <c r="H190" s="67">
        <v>4400</v>
      </c>
      <c r="I190" s="67"/>
      <c r="J190" s="67"/>
      <c r="K190" s="140">
        <f t="shared" si="113"/>
        <v>0.43137254901960781</v>
      </c>
      <c r="L190" s="67">
        <v>0</v>
      </c>
      <c r="M190" s="67"/>
      <c r="N190" s="67"/>
      <c r="O190" s="67"/>
      <c r="P190" s="67"/>
      <c r="Q190" s="67"/>
      <c r="R190" s="67">
        <f t="shared" si="173"/>
        <v>0</v>
      </c>
      <c r="S190" s="67"/>
      <c r="T190" s="67"/>
      <c r="U190" s="67"/>
      <c r="V190" s="67"/>
      <c r="W190" s="67"/>
      <c r="X190" s="140"/>
      <c r="Y190" s="67">
        <f t="shared" si="174"/>
        <v>4400</v>
      </c>
      <c r="Z190" s="156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  <c r="NG190" s="25"/>
      <c r="NH190" s="25"/>
      <c r="NI190" s="25"/>
      <c r="NJ190" s="25"/>
      <c r="NK190" s="25"/>
      <c r="NL190" s="25"/>
      <c r="NM190" s="25"/>
      <c r="NN190" s="25"/>
      <c r="NO190" s="25"/>
      <c r="NP190" s="25"/>
      <c r="NQ190" s="25"/>
      <c r="NR190" s="25"/>
      <c r="NS190" s="25"/>
      <c r="NT190" s="25"/>
      <c r="NU190" s="25"/>
      <c r="NV190" s="25"/>
      <c r="NW190" s="25"/>
      <c r="NX190" s="25"/>
      <c r="NY190" s="25"/>
      <c r="NZ190" s="25"/>
      <c r="OA190" s="25"/>
      <c r="OB190" s="25"/>
      <c r="OC190" s="25"/>
      <c r="OD190" s="25"/>
      <c r="OE190" s="25"/>
      <c r="OF190" s="25"/>
      <c r="OG190" s="25"/>
      <c r="OH190" s="25"/>
      <c r="OI190" s="25"/>
      <c r="OJ190" s="25"/>
      <c r="OK190" s="25"/>
      <c r="OL190" s="25"/>
      <c r="OM190" s="25"/>
      <c r="ON190" s="25"/>
      <c r="OO190" s="25"/>
      <c r="OP190" s="25"/>
      <c r="OQ190" s="25"/>
      <c r="OR190" s="25"/>
      <c r="OS190" s="25"/>
      <c r="OT190" s="25"/>
      <c r="OU190" s="25"/>
      <c r="OV190" s="25"/>
      <c r="OW190" s="25"/>
      <c r="OX190" s="25"/>
      <c r="OY190" s="25"/>
      <c r="OZ190" s="25"/>
      <c r="PA190" s="25"/>
      <c r="PB190" s="25"/>
      <c r="PC190" s="25"/>
      <c r="PD190" s="25"/>
      <c r="PE190" s="25"/>
      <c r="PF190" s="25"/>
      <c r="PG190" s="25"/>
      <c r="PH190" s="25"/>
      <c r="PI190" s="25"/>
      <c r="PJ190" s="25"/>
      <c r="PK190" s="25"/>
      <c r="PL190" s="25"/>
      <c r="PM190" s="25"/>
      <c r="PN190" s="25"/>
      <c r="PO190" s="25"/>
      <c r="PP190" s="25"/>
      <c r="PQ190" s="25"/>
      <c r="PR190" s="25"/>
      <c r="PS190" s="25"/>
      <c r="PT190" s="25"/>
      <c r="PU190" s="25"/>
      <c r="PV190" s="25"/>
      <c r="PW190" s="25"/>
      <c r="PX190" s="25"/>
      <c r="PY190" s="25"/>
      <c r="PZ190" s="25"/>
      <c r="QA190" s="25"/>
      <c r="QB190" s="25"/>
      <c r="QC190" s="25"/>
      <c r="QD190" s="25"/>
      <c r="QE190" s="25"/>
      <c r="QF190" s="25"/>
      <c r="QG190" s="25"/>
      <c r="QH190" s="25"/>
      <c r="QI190" s="25"/>
      <c r="QJ190" s="25"/>
      <c r="QK190" s="25"/>
      <c r="QL190" s="25"/>
      <c r="QM190" s="25"/>
      <c r="QN190" s="25"/>
      <c r="QO190" s="25"/>
      <c r="QP190" s="25"/>
      <c r="QQ190" s="25"/>
      <c r="QR190" s="25"/>
      <c r="QS190" s="25"/>
      <c r="QT190" s="25"/>
      <c r="QU190" s="25"/>
      <c r="QV190" s="25"/>
      <c r="QW190" s="25"/>
      <c r="QX190" s="25"/>
      <c r="QY190" s="25"/>
      <c r="QZ190" s="25"/>
      <c r="RA190" s="25"/>
      <c r="RB190" s="25"/>
      <c r="RC190" s="25"/>
      <c r="RD190" s="25"/>
      <c r="RE190" s="25"/>
      <c r="RF190" s="25"/>
      <c r="RG190" s="25"/>
      <c r="RH190" s="25"/>
      <c r="RI190" s="25"/>
      <c r="RJ190" s="25"/>
      <c r="RK190" s="25"/>
      <c r="RL190" s="25"/>
      <c r="RM190" s="25"/>
      <c r="RN190" s="25"/>
      <c r="RO190" s="25"/>
      <c r="RP190" s="25"/>
      <c r="RQ190" s="25"/>
      <c r="RR190" s="25"/>
      <c r="RS190" s="25"/>
      <c r="RT190" s="25"/>
      <c r="RU190" s="25"/>
      <c r="RV190" s="25"/>
      <c r="RW190" s="25"/>
      <c r="RX190" s="25"/>
      <c r="RY190" s="25"/>
      <c r="RZ190" s="25"/>
      <c r="SA190" s="25"/>
      <c r="SB190" s="25"/>
      <c r="SC190" s="25"/>
      <c r="SD190" s="25"/>
      <c r="SE190" s="25"/>
      <c r="SF190" s="25"/>
      <c r="SG190" s="25"/>
      <c r="SH190" s="25"/>
      <c r="SI190" s="25"/>
      <c r="SJ190" s="25"/>
      <c r="SK190" s="25"/>
      <c r="SL190" s="25"/>
      <c r="SM190" s="25"/>
      <c r="SN190" s="25"/>
      <c r="SO190" s="25"/>
      <c r="SP190" s="25"/>
      <c r="SQ190" s="25"/>
      <c r="SR190" s="25"/>
      <c r="SS190" s="25"/>
      <c r="ST190" s="25"/>
      <c r="SU190" s="25"/>
      <c r="SV190" s="25"/>
      <c r="SW190" s="25"/>
      <c r="SX190" s="25"/>
      <c r="SY190" s="25"/>
      <c r="SZ190" s="25"/>
      <c r="TA190" s="25"/>
      <c r="TB190" s="25"/>
      <c r="TC190" s="25"/>
      <c r="TD190" s="25"/>
      <c r="TE190" s="25"/>
      <c r="TF190" s="25"/>
      <c r="TG190" s="25"/>
      <c r="TH190" s="25"/>
      <c r="TI190" s="25"/>
      <c r="TJ190" s="25"/>
      <c r="TK190" s="25"/>
      <c r="TL190" s="25"/>
      <c r="TM190" s="25"/>
      <c r="TN190" s="25"/>
      <c r="TO190" s="25"/>
      <c r="TP190" s="25"/>
      <c r="TQ190" s="25"/>
      <c r="TR190" s="25"/>
    </row>
    <row r="191" spans="1:538" s="22" customFormat="1" ht="37.5" customHeight="1" x14ac:dyDescent="0.25">
      <c r="A191" s="51" t="s">
        <v>308</v>
      </c>
      <c r="B191" s="44" t="str">
        <f>'дод 3'!A125</f>
        <v>7650</v>
      </c>
      <c r="C191" s="44" t="str">
        <f>'дод 3'!B125</f>
        <v>0490</v>
      </c>
      <c r="D191" s="21" t="str">
        <f>'дод 3'!C125</f>
        <v>Проведення експертної грошової оцінки земельної ділянки чи права на неї</v>
      </c>
      <c r="E191" s="67">
        <v>0</v>
      </c>
      <c r="F191" s="67"/>
      <c r="G191" s="67"/>
      <c r="H191" s="67"/>
      <c r="I191" s="67"/>
      <c r="J191" s="67"/>
      <c r="K191" s="140"/>
      <c r="L191" s="67">
        <v>30000</v>
      </c>
      <c r="M191" s="67">
        <v>30000</v>
      </c>
      <c r="N191" s="67"/>
      <c r="O191" s="67"/>
      <c r="P191" s="67"/>
      <c r="Q191" s="67">
        <v>30000</v>
      </c>
      <c r="R191" s="67">
        <f t="shared" si="173"/>
        <v>4500</v>
      </c>
      <c r="S191" s="67">
        <v>4500</v>
      </c>
      <c r="T191" s="67"/>
      <c r="U191" s="67"/>
      <c r="V191" s="67"/>
      <c r="W191" s="67">
        <v>4500</v>
      </c>
      <c r="X191" s="140">
        <f t="shared" si="114"/>
        <v>15</v>
      </c>
      <c r="Y191" s="67">
        <f t="shared" si="174"/>
        <v>4500</v>
      </c>
      <c r="Z191" s="156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  <c r="NG191" s="25"/>
      <c r="NH191" s="25"/>
      <c r="NI191" s="25"/>
      <c r="NJ191" s="25"/>
      <c r="NK191" s="25"/>
      <c r="NL191" s="25"/>
      <c r="NM191" s="25"/>
      <c r="NN191" s="25"/>
      <c r="NO191" s="25"/>
      <c r="NP191" s="25"/>
      <c r="NQ191" s="25"/>
      <c r="NR191" s="25"/>
      <c r="NS191" s="25"/>
      <c r="NT191" s="25"/>
      <c r="NU191" s="25"/>
      <c r="NV191" s="25"/>
      <c r="NW191" s="25"/>
      <c r="NX191" s="25"/>
      <c r="NY191" s="25"/>
      <c r="NZ191" s="25"/>
      <c r="OA191" s="25"/>
      <c r="OB191" s="25"/>
      <c r="OC191" s="25"/>
      <c r="OD191" s="25"/>
      <c r="OE191" s="25"/>
      <c r="OF191" s="25"/>
      <c r="OG191" s="25"/>
      <c r="OH191" s="25"/>
      <c r="OI191" s="25"/>
      <c r="OJ191" s="25"/>
      <c r="OK191" s="25"/>
      <c r="OL191" s="25"/>
      <c r="OM191" s="25"/>
      <c r="ON191" s="25"/>
      <c r="OO191" s="25"/>
      <c r="OP191" s="25"/>
      <c r="OQ191" s="25"/>
      <c r="OR191" s="25"/>
      <c r="OS191" s="25"/>
      <c r="OT191" s="25"/>
      <c r="OU191" s="25"/>
      <c r="OV191" s="25"/>
      <c r="OW191" s="25"/>
      <c r="OX191" s="25"/>
      <c r="OY191" s="25"/>
      <c r="OZ191" s="25"/>
      <c r="PA191" s="25"/>
      <c r="PB191" s="25"/>
      <c r="PC191" s="25"/>
      <c r="PD191" s="25"/>
      <c r="PE191" s="25"/>
      <c r="PF191" s="25"/>
      <c r="PG191" s="25"/>
      <c r="PH191" s="25"/>
      <c r="PI191" s="25"/>
      <c r="PJ191" s="25"/>
      <c r="PK191" s="25"/>
      <c r="PL191" s="25"/>
      <c r="PM191" s="25"/>
      <c r="PN191" s="25"/>
      <c r="PO191" s="25"/>
      <c r="PP191" s="25"/>
      <c r="PQ191" s="25"/>
      <c r="PR191" s="25"/>
      <c r="PS191" s="25"/>
      <c r="PT191" s="25"/>
      <c r="PU191" s="25"/>
      <c r="PV191" s="25"/>
      <c r="PW191" s="25"/>
      <c r="PX191" s="25"/>
      <c r="PY191" s="25"/>
      <c r="PZ191" s="25"/>
      <c r="QA191" s="25"/>
      <c r="QB191" s="25"/>
      <c r="QC191" s="25"/>
      <c r="QD191" s="25"/>
      <c r="QE191" s="25"/>
      <c r="QF191" s="25"/>
      <c r="QG191" s="25"/>
      <c r="QH191" s="25"/>
      <c r="QI191" s="25"/>
      <c r="QJ191" s="25"/>
      <c r="QK191" s="25"/>
      <c r="QL191" s="25"/>
      <c r="QM191" s="25"/>
      <c r="QN191" s="25"/>
      <c r="QO191" s="25"/>
      <c r="QP191" s="25"/>
      <c r="QQ191" s="25"/>
      <c r="QR191" s="25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/>
      <c r="SJ191" s="25"/>
      <c r="SK191" s="25"/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</row>
    <row r="192" spans="1:538" s="22" customFormat="1" ht="51.75" customHeight="1" x14ac:dyDescent="0.25">
      <c r="A192" s="51" t="s">
        <v>310</v>
      </c>
      <c r="B192" s="44" t="str">
        <f>'дод 3'!A126</f>
        <v>7660</v>
      </c>
      <c r="C192" s="44" t="str">
        <f>'дод 3'!B126</f>
        <v>0490</v>
      </c>
      <c r="D192" s="21" t="str">
        <f>'дод 3'!C126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92" s="67">
        <v>0</v>
      </c>
      <c r="F192" s="67"/>
      <c r="G192" s="67"/>
      <c r="H192" s="67"/>
      <c r="I192" s="67"/>
      <c r="J192" s="67"/>
      <c r="K192" s="140"/>
      <c r="L192" s="67">
        <v>45000</v>
      </c>
      <c r="M192" s="67">
        <v>45000</v>
      </c>
      <c r="N192" s="67"/>
      <c r="O192" s="67"/>
      <c r="P192" s="67"/>
      <c r="Q192" s="67">
        <v>45000</v>
      </c>
      <c r="R192" s="67">
        <f t="shared" si="173"/>
        <v>0</v>
      </c>
      <c r="S192" s="67"/>
      <c r="T192" s="67"/>
      <c r="U192" s="67"/>
      <c r="V192" s="67"/>
      <c r="W192" s="67"/>
      <c r="X192" s="140">
        <f t="shared" si="114"/>
        <v>0</v>
      </c>
      <c r="Y192" s="67">
        <f t="shared" si="174"/>
        <v>0</v>
      </c>
      <c r="Z192" s="156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</row>
    <row r="193" spans="1:538" s="22" customFormat="1" ht="23.25" customHeight="1" x14ac:dyDescent="0.25">
      <c r="A193" s="51" t="s">
        <v>305</v>
      </c>
      <c r="B193" s="44" t="str">
        <f>'дод 3'!A130</f>
        <v>7693</v>
      </c>
      <c r="C193" s="44" t="str">
        <f>'дод 3'!B130</f>
        <v>0490</v>
      </c>
      <c r="D193" s="21" t="str">
        <f>'дод 3'!C130</f>
        <v>Інші заходи, пов'язані з економічною діяльністю</v>
      </c>
      <c r="E193" s="67">
        <v>690000</v>
      </c>
      <c r="F193" s="67"/>
      <c r="G193" s="67"/>
      <c r="H193" s="67">
        <v>256960.81</v>
      </c>
      <c r="I193" s="67"/>
      <c r="J193" s="67"/>
      <c r="K193" s="140">
        <f t="shared" si="113"/>
        <v>37.240697101449278</v>
      </c>
      <c r="L193" s="67">
        <v>0</v>
      </c>
      <c r="M193" s="67"/>
      <c r="N193" s="67"/>
      <c r="O193" s="67"/>
      <c r="P193" s="67"/>
      <c r="Q193" s="67"/>
      <c r="R193" s="67">
        <f t="shared" si="173"/>
        <v>0</v>
      </c>
      <c r="S193" s="67"/>
      <c r="T193" s="67"/>
      <c r="U193" s="67"/>
      <c r="V193" s="67"/>
      <c r="W193" s="67"/>
      <c r="X193" s="140"/>
      <c r="Y193" s="67">
        <f t="shared" si="174"/>
        <v>256960.81</v>
      </c>
      <c r="Z193" s="156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/>
      <c r="OC193" s="25"/>
      <c r="OD193" s="25"/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/>
      <c r="PY193" s="25"/>
      <c r="PZ193" s="25"/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</row>
    <row r="194" spans="1:538" s="30" customFormat="1" ht="36" customHeight="1" x14ac:dyDescent="0.2">
      <c r="A194" s="131" t="s">
        <v>255</v>
      </c>
      <c r="B194" s="71"/>
      <c r="C194" s="71"/>
      <c r="D194" s="29" t="s">
        <v>54</v>
      </c>
      <c r="E194" s="64">
        <f t="shared" ref="E194:J194" si="175">E195</f>
        <v>132881737</v>
      </c>
      <c r="F194" s="64">
        <f t="shared" si="175"/>
        <v>13886000</v>
      </c>
      <c r="G194" s="64">
        <f t="shared" si="175"/>
        <v>244400</v>
      </c>
      <c r="H194" s="64">
        <f t="shared" si="175"/>
        <v>64397715.460000001</v>
      </c>
      <c r="I194" s="64">
        <f t="shared" si="175"/>
        <v>8137394.6200000001</v>
      </c>
      <c r="J194" s="64">
        <f t="shared" si="175"/>
        <v>97247.69</v>
      </c>
      <c r="K194" s="139">
        <f t="shared" si="113"/>
        <v>48.462427504240111</v>
      </c>
      <c r="L194" s="64">
        <f t="shared" ref="L194" si="176">L195</f>
        <v>93500</v>
      </c>
      <c r="M194" s="64">
        <f t="shared" ref="M194" si="177">M195</f>
        <v>0</v>
      </c>
      <c r="N194" s="64">
        <f t="shared" ref="N194" si="178">N195</f>
        <v>93500</v>
      </c>
      <c r="O194" s="64">
        <f t="shared" ref="O194" si="179">O195</f>
        <v>0</v>
      </c>
      <c r="P194" s="64">
        <f t="shared" ref="P194" si="180">P195</f>
        <v>0</v>
      </c>
      <c r="Q194" s="64">
        <f t="shared" ref="Q194:Y194" si="181">Q195</f>
        <v>0</v>
      </c>
      <c r="R194" s="64">
        <f t="shared" si="181"/>
        <v>48500</v>
      </c>
      <c r="S194" s="64">
        <f t="shared" ref="S194:V194" si="182">S195</f>
        <v>0</v>
      </c>
      <c r="T194" s="64">
        <f t="shared" si="182"/>
        <v>48500</v>
      </c>
      <c r="U194" s="64">
        <f t="shared" si="182"/>
        <v>0</v>
      </c>
      <c r="V194" s="64">
        <f t="shared" si="182"/>
        <v>0</v>
      </c>
      <c r="W194" s="64">
        <f t="shared" si="181"/>
        <v>0</v>
      </c>
      <c r="X194" s="139">
        <f t="shared" si="114"/>
        <v>51.871657754010691</v>
      </c>
      <c r="Y194" s="64">
        <f t="shared" si="181"/>
        <v>64446215.460000001</v>
      </c>
      <c r="Z194" s="156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  <c r="IV194" s="37"/>
      <c r="IW194" s="37"/>
      <c r="IX194" s="37"/>
      <c r="IY194" s="37"/>
      <c r="IZ194" s="37"/>
      <c r="JA194" s="37"/>
      <c r="JB194" s="37"/>
      <c r="JC194" s="37"/>
      <c r="JD194" s="37"/>
      <c r="JE194" s="37"/>
      <c r="JF194" s="37"/>
      <c r="JG194" s="37"/>
      <c r="JH194" s="37"/>
      <c r="JI194" s="37"/>
      <c r="JJ194" s="37"/>
      <c r="JK194" s="37"/>
      <c r="JL194" s="37"/>
      <c r="JM194" s="37"/>
      <c r="JN194" s="37"/>
      <c r="JO194" s="37"/>
      <c r="JP194" s="37"/>
      <c r="JQ194" s="37"/>
      <c r="JR194" s="37"/>
      <c r="JS194" s="37"/>
      <c r="JT194" s="37"/>
      <c r="JU194" s="37"/>
      <c r="JV194" s="37"/>
      <c r="JW194" s="37"/>
      <c r="JX194" s="37"/>
      <c r="JY194" s="37"/>
      <c r="JZ194" s="37"/>
      <c r="KA194" s="37"/>
      <c r="KB194" s="37"/>
      <c r="KC194" s="37"/>
      <c r="KD194" s="37"/>
      <c r="KE194" s="37"/>
      <c r="KF194" s="37"/>
      <c r="KG194" s="37"/>
      <c r="KH194" s="37"/>
      <c r="KI194" s="37"/>
      <c r="KJ194" s="37"/>
      <c r="KK194" s="37"/>
      <c r="KL194" s="37"/>
      <c r="KM194" s="37"/>
      <c r="KN194" s="37"/>
      <c r="KO194" s="37"/>
      <c r="KP194" s="37"/>
      <c r="KQ194" s="37"/>
      <c r="KR194" s="37"/>
      <c r="KS194" s="37"/>
      <c r="KT194" s="37"/>
      <c r="KU194" s="37"/>
      <c r="KV194" s="37"/>
      <c r="KW194" s="37"/>
      <c r="KX194" s="37"/>
      <c r="KY194" s="37"/>
      <c r="KZ194" s="37"/>
      <c r="LA194" s="37"/>
      <c r="LB194" s="37"/>
      <c r="LC194" s="37"/>
      <c r="LD194" s="37"/>
      <c r="LE194" s="37"/>
      <c r="LF194" s="37"/>
      <c r="LG194" s="37"/>
      <c r="LH194" s="37"/>
      <c r="LI194" s="37"/>
      <c r="LJ194" s="37"/>
      <c r="LK194" s="37"/>
      <c r="LL194" s="37"/>
      <c r="LM194" s="37"/>
      <c r="LN194" s="37"/>
      <c r="LO194" s="37"/>
      <c r="LP194" s="37"/>
      <c r="LQ194" s="37"/>
      <c r="LR194" s="37"/>
      <c r="LS194" s="37"/>
      <c r="LT194" s="37"/>
      <c r="LU194" s="37"/>
      <c r="LV194" s="37"/>
      <c r="LW194" s="37"/>
      <c r="LX194" s="37"/>
      <c r="LY194" s="37"/>
      <c r="LZ194" s="37"/>
      <c r="MA194" s="37"/>
      <c r="MB194" s="37"/>
      <c r="MC194" s="37"/>
      <c r="MD194" s="37"/>
      <c r="ME194" s="37"/>
      <c r="MF194" s="37"/>
      <c r="MG194" s="37"/>
      <c r="MH194" s="37"/>
      <c r="MI194" s="37"/>
      <c r="MJ194" s="37"/>
      <c r="MK194" s="37"/>
      <c r="ML194" s="37"/>
      <c r="MM194" s="37"/>
      <c r="MN194" s="37"/>
      <c r="MO194" s="37"/>
      <c r="MP194" s="37"/>
      <c r="MQ194" s="37"/>
      <c r="MR194" s="37"/>
      <c r="MS194" s="37"/>
      <c r="MT194" s="37"/>
      <c r="MU194" s="37"/>
      <c r="MV194" s="37"/>
      <c r="MW194" s="37"/>
      <c r="MX194" s="37"/>
      <c r="MY194" s="37"/>
      <c r="MZ194" s="37"/>
      <c r="NA194" s="37"/>
      <c r="NB194" s="37"/>
      <c r="NC194" s="37"/>
      <c r="ND194" s="37"/>
      <c r="NE194" s="37"/>
      <c r="NF194" s="37"/>
      <c r="NG194" s="37"/>
      <c r="NH194" s="37"/>
      <c r="NI194" s="37"/>
      <c r="NJ194" s="37"/>
      <c r="NK194" s="37"/>
      <c r="NL194" s="37"/>
      <c r="NM194" s="37"/>
      <c r="NN194" s="37"/>
      <c r="NO194" s="37"/>
      <c r="NP194" s="37"/>
      <c r="NQ194" s="37"/>
      <c r="NR194" s="37"/>
      <c r="NS194" s="37"/>
      <c r="NT194" s="37"/>
      <c r="NU194" s="37"/>
      <c r="NV194" s="37"/>
      <c r="NW194" s="37"/>
      <c r="NX194" s="37"/>
      <c r="NY194" s="37"/>
      <c r="NZ194" s="37"/>
      <c r="OA194" s="37"/>
      <c r="OB194" s="37"/>
      <c r="OC194" s="37"/>
      <c r="OD194" s="37"/>
      <c r="OE194" s="37"/>
      <c r="OF194" s="37"/>
      <c r="OG194" s="37"/>
      <c r="OH194" s="37"/>
      <c r="OI194" s="37"/>
      <c r="OJ194" s="37"/>
      <c r="OK194" s="37"/>
      <c r="OL194" s="37"/>
      <c r="OM194" s="37"/>
      <c r="ON194" s="37"/>
      <c r="OO194" s="37"/>
      <c r="OP194" s="37"/>
      <c r="OQ194" s="37"/>
      <c r="OR194" s="37"/>
      <c r="OS194" s="37"/>
      <c r="OT194" s="37"/>
      <c r="OU194" s="37"/>
      <c r="OV194" s="37"/>
      <c r="OW194" s="37"/>
      <c r="OX194" s="37"/>
      <c r="OY194" s="37"/>
      <c r="OZ194" s="37"/>
      <c r="PA194" s="37"/>
      <c r="PB194" s="37"/>
      <c r="PC194" s="37"/>
      <c r="PD194" s="37"/>
      <c r="PE194" s="37"/>
      <c r="PF194" s="37"/>
      <c r="PG194" s="37"/>
      <c r="PH194" s="37"/>
      <c r="PI194" s="37"/>
      <c r="PJ194" s="37"/>
      <c r="PK194" s="37"/>
      <c r="PL194" s="37"/>
      <c r="PM194" s="37"/>
      <c r="PN194" s="37"/>
      <c r="PO194" s="37"/>
      <c r="PP194" s="37"/>
      <c r="PQ194" s="37"/>
      <c r="PR194" s="37"/>
      <c r="PS194" s="37"/>
      <c r="PT194" s="37"/>
      <c r="PU194" s="37"/>
      <c r="PV194" s="37"/>
      <c r="PW194" s="37"/>
      <c r="PX194" s="37"/>
      <c r="PY194" s="37"/>
      <c r="PZ194" s="37"/>
      <c r="QA194" s="37"/>
      <c r="QB194" s="37"/>
      <c r="QC194" s="37"/>
      <c r="QD194" s="37"/>
      <c r="QE194" s="37"/>
      <c r="QF194" s="37"/>
      <c r="QG194" s="37"/>
      <c r="QH194" s="37"/>
      <c r="QI194" s="37"/>
      <c r="QJ194" s="37"/>
      <c r="QK194" s="37"/>
      <c r="QL194" s="37"/>
      <c r="QM194" s="37"/>
      <c r="QN194" s="37"/>
      <c r="QO194" s="37"/>
      <c r="QP194" s="37"/>
      <c r="QQ194" s="37"/>
      <c r="QR194" s="37"/>
      <c r="QS194" s="37"/>
      <c r="QT194" s="37"/>
      <c r="QU194" s="37"/>
      <c r="QV194" s="37"/>
      <c r="QW194" s="37"/>
      <c r="QX194" s="37"/>
      <c r="QY194" s="37"/>
      <c r="QZ194" s="37"/>
      <c r="RA194" s="37"/>
      <c r="RB194" s="37"/>
      <c r="RC194" s="37"/>
      <c r="RD194" s="37"/>
      <c r="RE194" s="37"/>
      <c r="RF194" s="37"/>
      <c r="RG194" s="37"/>
      <c r="RH194" s="37"/>
      <c r="RI194" s="37"/>
      <c r="RJ194" s="37"/>
      <c r="RK194" s="37"/>
      <c r="RL194" s="37"/>
      <c r="RM194" s="37"/>
      <c r="RN194" s="37"/>
      <c r="RO194" s="37"/>
      <c r="RP194" s="37"/>
      <c r="RQ194" s="37"/>
      <c r="RR194" s="37"/>
      <c r="RS194" s="37"/>
      <c r="RT194" s="37"/>
      <c r="RU194" s="37"/>
      <c r="RV194" s="37"/>
      <c r="RW194" s="37"/>
      <c r="RX194" s="37"/>
      <c r="RY194" s="37"/>
      <c r="RZ194" s="37"/>
      <c r="SA194" s="37"/>
      <c r="SB194" s="37"/>
      <c r="SC194" s="37"/>
      <c r="SD194" s="37"/>
      <c r="SE194" s="37"/>
      <c r="SF194" s="37"/>
      <c r="SG194" s="37"/>
      <c r="SH194" s="37"/>
      <c r="SI194" s="37"/>
      <c r="SJ194" s="37"/>
      <c r="SK194" s="37"/>
      <c r="SL194" s="37"/>
      <c r="SM194" s="37"/>
      <c r="SN194" s="37"/>
      <c r="SO194" s="37"/>
      <c r="SP194" s="37"/>
      <c r="SQ194" s="37"/>
      <c r="SR194" s="37"/>
      <c r="SS194" s="37"/>
      <c r="ST194" s="37"/>
      <c r="SU194" s="37"/>
      <c r="SV194" s="37"/>
      <c r="SW194" s="37"/>
      <c r="SX194" s="37"/>
      <c r="SY194" s="37"/>
      <c r="SZ194" s="37"/>
      <c r="TA194" s="37"/>
      <c r="TB194" s="37"/>
      <c r="TC194" s="37"/>
      <c r="TD194" s="37"/>
      <c r="TE194" s="37"/>
      <c r="TF194" s="37"/>
      <c r="TG194" s="37"/>
      <c r="TH194" s="37"/>
      <c r="TI194" s="37"/>
      <c r="TJ194" s="37"/>
      <c r="TK194" s="37"/>
      <c r="TL194" s="37"/>
      <c r="TM194" s="37"/>
      <c r="TN194" s="37"/>
      <c r="TO194" s="37"/>
      <c r="TP194" s="37"/>
      <c r="TQ194" s="37"/>
      <c r="TR194" s="37"/>
    </row>
    <row r="195" spans="1:538" s="39" customFormat="1" ht="36" customHeight="1" x14ac:dyDescent="0.25">
      <c r="A195" s="73" t="s">
        <v>256</v>
      </c>
      <c r="B195" s="72"/>
      <c r="C195" s="72"/>
      <c r="D195" s="32" t="s">
        <v>54</v>
      </c>
      <c r="E195" s="66">
        <f t="shared" ref="E195" si="183">SUM(E196+E197+E198+E200+E201+E202+E203+E199)</f>
        <v>132881737</v>
      </c>
      <c r="F195" s="66">
        <f t="shared" ref="F195:H195" si="184">SUM(F196+F197+F198+F200+F201+F202+F203+F199)</f>
        <v>13886000</v>
      </c>
      <c r="G195" s="66">
        <f t="shared" si="184"/>
        <v>244400</v>
      </c>
      <c r="H195" s="66">
        <f t="shared" si="184"/>
        <v>64397715.460000001</v>
      </c>
      <c r="I195" s="66">
        <f t="shared" ref="I195:J195" si="185">SUM(I196+I197+I198+I200+I201+I202+I203+I199)</f>
        <v>8137394.6200000001</v>
      </c>
      <c r="J195" s="66">
        <f t="shared" si="185"/>
        <v>97247.69</v>
      </c>
      <c r="K195" s="139">
        <f t="shared" si="113"/>
        <v>48.462427504240111</v>
      </c>
      <c r="L195" s="66">
        <f>L196+L197++L198+L199+L200+L201</f>
        <v>93500</v>
      </c>
      <c r="M195" s="66">
        <f t="shared" ref="M195:Y195" si="186">SUM(M196+M197+M198+M200+M201+M202+M203+M199)</f>
        <v>0</v>
      </c>
      <c r="N195" s="66">
        <f t="shared" si="186"/>
        <v>93500</v>
      </c>
      <c r="O195" s="66">
        <f t="shared" si="186"/>
        <v>0</v>
      </c>
      <c r="P195" s="66">
        <f t="shared" si="186"/>
        <v>0</v>
      </c>
      <c r="Q195" s="66">
        <f t="shared" si="186"/>
        <v>0</v>
      </c>
      <c r="R195" s="66">
        <f t="shared" si="186"/>
        <v>48500</v>
      </c>
      <c r="S195" s="66">
        <f t="shared" ref="S195:W195" si="187">SUM(S196+S197+S198+S200+S201+S202+S203+S199)</f>
        <v>0</v>
      </c>
      <c r="T195" s="66">
        <f t="shared" si="187"/>
        <v>48500</v>
      </c>
      <c r="U195" s="66">
        <f t="shared" si="187"/>
        <v>0</v>
      </c>
      <c r="V195" s="66">
        <f t="shared" si="187"/>
        <v>0</v>
      </c>
      <c r="W195" s="66">
        <f t="shared" si="187"/>
        <v>0</v>
      </c>
      <c r="X195" s="139">
        <f t="shared" si="114"/>
        <v>51.871657754010691</v>
      </c>
      <c r="Y195" s="66">
        <f t="shared" si="186"/>
        <v>64446215.460000001</v>
      </c>
      <c r="Z195" s="156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  <c r="IV195" s="38"/>
      <c r="IW195" s="38"/>
      <c r="IX195" s="38"/>
      <c r="IY195" s="38"/>
      <c r="IZ195" s="38"/>
      <c r="JA195" s="38"/>
      <c r="JB195" s="38"/>
      <c r="JC195" s="38"/>
      <c r="JD195" s="38"/>
      <c r="JE195" s="38"/>
      <c r="JF195" s="38"/>
      <c r="JG195" s="38"/>
      <c r="JH195" s="38"/>
      <c r="JI195" s="38"/>
      <c r="JJ195" s="38"/>
      <c r="JK195" s="38"/>
      <c r="JL195" s="38"/>
      <c r="JM195" s="38"/>
      <c r="JN195" s="38"/>
      <c r="JO195" s="38"/>
      <c r="JP195" s="38"/>
      <c r="JQ195" s="38"/>
      <c r="JR195" s="38"/>
      <c r="JS195" s="38"/>
      <c r="JT195" s="38"/>
      <c r="JU195" s="38"/>
      <c r="JV195" s="38"/>
      <c r="JW195" s="38"/>
      <c r="JX195" s="38"/>
      <c r="JY195" s="38"/>
      <c r="JZ195" s="38"/>
      <c r="KA195" s="38"/>
      <c r="KB195" s="38"/>
      <c r="KC195" s="38"/>
      <c r="KD195" s="38"/>
      <c r="KE195" s="38"/>
      <c r="KF195" s="38"/>
      <c r="KG195" s="38"/>
      <c r="KH195" s="38"/>
      <c r="KI195" s="38"/>
      <c r="KJ195" s="38"/>
      <c r="KK195" s="38"/>
      <c r="KL195" s="38"/>
      <c r="KM195" s="38"/>
      <c r="KN195" s="38"/>
      <c r="KO195" s="38"/>
      <c r="KP195" s="38"/>
      <c r="KQ195" s="38"/>
      <c r="KR195" s="38"/>
      <c r="KS195" s="38"/>
      <c r="KT195" s="38"/>
      <c r="KU195" s="38"/>
      <c r="KV195" s="38"/>
      <c r="KW195" s="38"/>
      <c r="KX195" s="38"/>
      <c r="KY195" s="38"/>
      <c r="KZ195" s="38"/>
      <c r="LA195" s="38"/>
      <c r="LB195" s="38"/>
      <c r="LC195" s="38"/>
      <c r="LD195" s="38"/>
      <c r="LE195" s="38"/>
      <c r="LF195" s="38"/>
      <c r="LG195" s="38"/>
      <c r="LH195" s="38"/>
      <c r="LI195" s="38"/>
      <c r="LJ195" s="38"/>
      <c r="LK195" s="38"/>
      <c r="LL195" s="38"/>
      <c r="LM195" s="38"/>
      <c r="LN195" s="38"/>
      <c r="LO195" s="38"/>
      <c r="LP195" s="38"/>
      <c r="LQ195" s="38"/>
      <c r="LR195" s="38"/>
      <c r="LS195" s="38"/>
      <c r="LT195" s="38"/>
      <c r="LU195" s="38"/>
      <c r="LV195" s="38"/>
      <c r="LW195" s="38"/>
      <c r="LX195" s="38"/>
      <c r="LY195" s="38"/>
      <c r="LZ195" s="38"/>
      <c r="MA195" s="38"/>
      <c r="MB195" s="38"/>
      <c r="MC195" s="38"/>
      <c r="MD195" s="38"/>
      <c r="ME195" s="38"/>
      <c r="MF195" s="38"/>
      <c r="MG195" s="38"/>
      <c r="MH195" s="38"/>
      <c r="MI195" s="38"/>
      <c r="MJ195" s="38"/>
      <c r="MK195" s="38"/>
      <c r="ML195" s="38"/>
      <c r="MM195" s="38"/>
      <c r="MN195" s="38"/>
      <c r="MO195" s="38"/>
      <c r="MP195" s="38"/>
      <c r="MQ195" s="38"/>
      <c r="MR195" s="38"/>
      <c r="MS195" s="38"/>
      <c r="MT195" s="38"/>
      <c r="MU195" s="38"/>
      <c r="MV195" s="38"/>
      <c r="MW195" s="38"/>
      <c r="MX195" s="38"/>
      <c r="MY195" s="38"/>
      <c r="MZ195" s="38"/>
      <c r="NA195" s="38"/>
      <c r="NB195" s="38"/>
      <c r="NC195" s="38"/>
      <c r="ND195" s="38"/>
      <c r="NE195" s="38"/>
      <c r="NF195" s="38"/>
      <c r="NG195" s="38"/>
      <c r="NH195" s="38"/>
      <c r="NI195" s="38"/>
      <c r="NJ195" s="38"/>
      <c r="NK195" s="38"/>
      <c r="NL195" s="38"/>
      <c r="NM195" s="38"/>
      <c r="NN195" s="38"/>
      <c r="NO195" s="38"/>
      <c r="NP195" s="38"/>
      <c r="NQ195" s="38"/>
      <c r="NR195" s="38"/>
      <c r="NS195" s="38"/>
      <c r="NT195" s="38"/>
      <c r="NU195" s="38"/>
      <c r="NV195" s="38"/>
      <c r="NW195" s="38"/>
      <c r="NX195" s="38"/>
      <c r="NY195" s="38"/>
      <c r="NZ195" s="38"/>
      <c r="OA195" s="38"/>
      <c r="OB195" s="38"/>
      <c r="OC195" s="38"/>
      <c r="OD195" s="38"/>
      <c r="OE195" s="38"/>
      <c r="OF195" s="38"/>
      <c r="OG195" s="38"/>
      <c r="OH195" s="38"/>
      <c r="OI195" s="38"/>
      <c r="OJ195" s="38"/>
      <c r="OK195" s="38"/>
      <c r="OL195" s="38"/>
      <c r="OM195" s="38"/>
      <c r="ON195" s="38"/>
      <c r="OO195" s="38"/>
      <c r="OP195" s="38"/>
      <c r="OQ195" s="38"/>
      <c r="OR195" s="38"/>
      <c r="OS195" s="38"/>
      <c r="OT195" s="38"/>
      <c r="OU195" s="38"/>
      <c r="OV195" s="38"/>
      <c r="OW195" s="38"/>
      <c r="OX195" s="38"/>
      <c r="OY195" s="38"/>
      <c r="OZ195" s="38"/>
      <c r="PA195" s="38"/>
      <c r="PB195" s="38"/>
      <c r="PC195" s="38"/>
      <c r="PD195" s="38"/>
      <c r="PE195" s="38"/>
      <c r="PF195" s="38"/>
      <c r="PG195" s="38"/>
      <c r="PH195" s="38"/>
      <c r="PI195" s="38"/>
      <c r="PJ195" s="38"/>
      <c r="PK195" s="38"/>
      <c r="PL195" s="38"/>
      <c r="PM195" s="38"/>
      <c r="PN195" s="38"/>
      <c r="PO195" s="38"/>
      <c r="PP195" s="38"/>
      <c r="PQ195" s="38"/>
      <c r="PR195" s="38"/>
      <c r="PS195" s="38"/>
      <c r="PT195" s="38"/>
      <c r="PU195" s="38"/>
      <c r="PV195" s="38"/>
      <c r="PW195" s="38"/>
      <c r="PX195" s="38"/>
      <c r="PY195" s="38"/>
      <c r="PZ195" s="38"/>
      <c r="QA195" s="38"/>
      <c r="QB195" s="38"/>
      <c r="QC195" s="38"/>
      <c r="QD195" s="38"/>
      <c r="QE195" s="38"/>
      <c r="QF195" s="38"/>
      <c r="QG195" s="38"/>
      <c r="QH195" s="38"/>
      <c r="QI195" s="38"/>
      <c r="QJ195" s="38"/>
      <c r="QK195" s="38"/>
      <c r="QL195" s="38"/>
      <c r="QM195" s="38"/>
      <c r="QN195" s="38"/>
      <c r="QO195" s="38"/>
      <c r="QP195" s="38"/>
      <c r="QQ195" s="38"/>
      <c r="QR195" s="38"/>
      <c r="QS195" s="38"/>
      <c r="QT195" s="38"/>
      <c r="QU195" s="38"/>
      <c r="QV195" s="38"/>
      <c r="QW195" s="38"/>
      <c r="QX195" s="38"/>
      <c r="QY195" s="38"/>
      <c r="QZ195" s="38"/>
      <c r="RA195" s="38"/>
      <c r="RB195" s="38"/>
      <c r="RC195" s="38"/>
      <c r="RD195" s="38"/>
      <c r="RE195" s="38"/>
      <c r="RF195" s="38"/>
      <c r="RG195" s="38"/>
      <c r="RH195" s="38"/>
      <c r="RI195" s="38"/>
      <c r="RJ195" s="38"/>
      <c r="RK195" s="38"/>
      <c r="RL195" s="38"/>
      <c r="RM195" s="38"/>
      <c r="RN195" s="38"/>
      <c r="RO195" s="38"/>
      <c r="RP195" s="38"/>
      <c r="RQ195" s="38"/>
      <c r="RR195" s="38"/>
      <c r="RS195" s="38"/>
      <c r="RT195" s="38"/>
      <c r="RU195" s="38"/>
      <c r="RV195" s="38"/>
      <c r="RW195" s="38"/>
      <c r="RX195" s="38"/>
      <c r="RY195" s="38"/>
      <c r="RZ195" s="38"/>
      <c r="SA195" s="38"/>
      <c r="SB195" s="38"/>
      <c r="SC195" s="38"/>
      <c r="SD195" s="38"/>
      <c r="SE195" s="38"/>
      <c r="SF195" s="38"/>
      <c r="SG195" s="38"/>
      <c r="SH195" s="38"/>
      <c r="SI195" s="38"/>
      <c r="SJ195" s="38"/>
      <c r="SK195" s="38"/>
      <c r="SL195" s="38"/>
      <c r="SM195" s="38"/>
      <c r="SN195" s="38"/>
      <c r="SO195" s="38"/>
      <c r="SP195" s="38"/>
      <c r="SQ195" s="38"/>
      <c r="SR195" s="38"/>
      <c r="SS195" s="38"/>
      <c r="ST195" s="38"/>
      <c r="SU195" s="38"/>
      <c r="SV195" s="38"/>
      <c r="SW195" s="38"/>
      <c r="SX195" s="38"/>
      <c r="SY195" s="38"/>
      <c r="SZ195" s="38"/>
      <c r="TA195" s="38"/>
      <c r="TB195" s="38"/>
      <c r="TC195" s="38"/>
      <c r="TD195" s="38"/>
      <c r="TE195" s="38"/>
      <c r="TF195" s="38"/>
      <c r="TG195" s="38"/>
      <c r="TH195" s="38"/>
      <c r="TI195" s="38"/>
      <c r="TJ195" s="38"/>
      <c r="TK195" s="38"/>
      <c r="TL195" s="38"/>
      <c r="TM195" s="38"/>
      <c r="TN195" s="38"/>
      <c r="TO195" s="38"/>
      <c r="TP195" s="38"/>
      <c r="TQ195" s="38"/>
      <c r="TR195" s="38"/>
    </row>
    <row r="196" spans="1:538" s="22" customFormat="1" ht="42" customHeight="1" x14ac:dyDescent="0.25">
      <c r="A196" s="42" t="s">
        <v>257</v>
      </c>
      <c r="B196" s="43" t="str">
        <f>'дод 3'!A19</f>
        <v>0160</v>
      </c>
      <c r="C196" s="43" t="str">
        <f>'дод 3'!B19</f>
        <v>0111</v>
      </c>
      <c r="D196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96" s="67">
        <v>17812800</v>
      </c>
      <c r="F196" s="67">
        <v>13886000</v>
      </c>
      <c r="G196" s="67">
        <v>244400</v>
      </c>
      <c r="H196" s="67">
        <v>10238544.029999999</v>
      </c>
      <c r="I196" s="67">
        <v>8137394.6200000001</v>
      </c>
      <c r="J196" s="67">
        <v>97247.69</v>
      </c>
      <c r="K196" s="140">
        <f t="shared" si="113"/>
        <v>57.478577371328477</v>
      </c>
      <c r="L196" s="67">
        <v>0</v>
      </c>
      <c r="M196" s="67"/>
      <c r="N196" s="67"/>
      <c r="O196" s="67"/>
      <c r="P196" s="67"/>
      <c r="Q196" s="67"/>
      <c r="R196" s="67">
        <f t="shared" ref="R196:R203" si="188">T196+W196</f>
        <v>0</v>
      </c>
      <c r="S196" s="67"/>
      <c r="T196" s="67"/>
      <c r="U196" s="67"/>
      <c r="V196" s="67"/>
      <c r="W196" s="67"/>
      <c r="X196" s="140"/>
      <c r="Y196" s="67">
        <f t="shared" ref="Y196:Y203" si="189">H196+R196</f>
        <v>10238544.029999999</v>
      </c>
      <c r="Z196" s="156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  <c r="NG196" s="25"/>
      <c r="NH196" s="25"/>
      <c r="NI196" s="25"/>
      <c r="NJ196" s="25"/>
      <c r="NK196" s="25"/>
      <c r="NL196" s="25"/>
      <c r="NM196" s="25"/>
      <c r="NN196" s="25"/>
      <c r="NO196" s="25"/>
      <c r="NP196" s="25"/>
      <c r="NQ196" s="25"/>
      <c r="NR196" s="25"/>
      <c r="NS196" s="25"/>
      <c r="NT196" s="25"/>
      <c r="NU196" s="25"/>
      <c r="NV196" s="25"/>
      <c r="NW196" s="25"/>
      <c r="NX196" s="25"/>
      <c r="NY196" s="25"/>
      <c r="NZ196" s="25"/>
      <c r="OA196" s="25"/>
      <c r="OB196" s="25"/>
      <c r="OC196" s="25"/>
      <c r="OD196" s="25"/>
      <c r="OE196" s="25"/>
      <c r="OF196" s="25"/>
      <c r="OG196" s="25"/>
      <c r="OH196" s="25"/>
      <c r="OI196" s="25"/>
      <c r="OJ196" s="25"/>
      <c r="OK196" s="25"/>
      <c r="OL196" s="25"/>
      <c r="OM196" s="25"/>
      <c r="ON196" s="25"/>
      <c r="OO196" s="25"/>
      <c r="OP196" s="25"/>
      <c r="OQ196" s="25"/>
      <c r="OR196" s="25"/>
      <c r="OS196" s="25"/>
      <c r="OT196" s="25"/>
      <c r="OU196" s="25"/>
      <c r="OV196" s="25"/>
      <c r="OW196" s="25"/>
      <c r="OX196" s="25"/>
      <c r="OY196" s="25"/>
      <c r="OZ196" s="25"/>
      <c r="PA196" s="25"/>
      <c r="PB196" s="25"/>
      <c r="PC196" s="25"/>
      <c r="PD196" s="25"/>
      <c r="PE196" s="25"/>
      <c r="PF196" s="25"/>
      <c r="PG196" s="25"/>
      <c r="PH196" s="25"/>
      <c r="PI196" s="2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25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</row>
    <row r="197" spans="1:538" s="22" customFormat="1" ht="18.75" customHeight="1" x14ac:dyDescent="0.25">
      <c r="A197" s="42" t="s">
        <v>299</v>
      </c>
      <c r="B197" s="43" t="str">
        <f>'дод 3'!A124</f>
        <v>7640</v>
      </c>
      <c r="C197" s="43" t="str">
        <f>'дод 3'!B124</f>
        <v>0470</v>
      </c>
      <c r="D197" s="23" t="str">
        <f>'дод 3'!C124</f>
        <v>Заходи з енергозбереження</v>
      </c>
      <c r="E197" s="67">
        <v>345000</v>
      </c>
      <c r="F197" s="67"/>
      <c r="G197" s="67"/>
      <c r="H197" s="67">
        <v>77508</v>
      </c>
      <c r="I197" s="67"/>
      <c r="J197" s="67"/>
      <c r="K197" s="140">
        <f t="shared" si="113"/>
        <v>22.466086956521739</v>
      </c>
      <c r="L197" s="67">
        <v>0</v>
      </c>
      <c r="M197" s="67"/>
      <c r="N197" s="67"/>
      <c r="O197" s="67"/>
      <c r="P197" s="67"/>
      <c r="Q197" s="67"/>
      <c r="R197" s="67">
        <f t="shared" si="188"/>
        <v>0</v>
      </c>
      <c r="S197" s="67"/>
      <c r="T197" s="67"/>
      <c r="U197" s="67"/>
      <c r="V197" s="67"/>
      <c r="W197" s="67"/>
      <c r="X197" s="140"/>
      <c r="Y197" s="67">
        <f t="shared" si="189"/>
        <v>77508</v>
      </c>
      <c r="Z197" s="156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/>
      <c r="NW197" s="25"/>
      <c r="NX197" s="25"/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/>
      <c r="QN197" s="25"/>
      <c r="QO197" s="25"/>
      <c r="QP197" s="25"/>
      <c r="QQ197" s="25"/>
      <c r="QR197" s="25"/>
      <c r="QS197" s="2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25"/>
      <c r="SC197" s="2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25"/>
      <c r="TM197" s="25"/>
      <c r="TN197" s="25"/>
      <c r="TO197" s="25"/>
      <c r="TP197" s="25"/>
      <c r="TQ197" s="25"/>
      <c r="TR197" s="25"/>
    </row>
    <row r="198" spans="1:538" s="22" customFormat="1" ht="24" customHeight="1" x14ac:dyDescent="0.25">
      <c r="A198" s="42" t="s">
        <v>386</v>
      </c>
      <c r="B198" s="43" t="str">
        <f>'дод 3'!A130</f>
        <v>7693</v>
      </c>
      <c r="C198" s="43" t="str">
        <f>'дод 3'!B130</f>
        <v>0490</v>
      </c>
      <c r="D198" s="23" t="str">
        <f>'дод 3'!C130</f>
        <v>Інші заходи, пов'язані з економічною діяльністю</v>
      </c>
      <c r="E198" s="67">
        <v>213200</v>
      </c>
      <c r="F198" s="67"/>
      <c r="G198" s="67"/>
      <c r="H198" s="67"/>
      <c r="I198" s="67"/>
      <c r="J198" s="67"/>
      <c r="K198" s="140">
        <f t="shared" si="113"/>
        <v>0</v>
      </c>
      <c r="L198" s="67">
        <v>0</v>
      </c>
      <c r="M198" s="67"/>
      <c r="N198" s="67"/>
      <c r="O198" s="67"/>
      <c r="P198" s="67"/>
      <c r="Q198" s="67"/>
      <c r="R198" s="67">
        <f t="shared" si="188"/>
        <v>0</v>
      </c>
      <c r="S198" s="67"/>
      <c r="T198" s="67"/>
      <c r="U198" s="67"/>
      <c r="V198" s="67"/>
      <c r="W198" s="67"/>
      <c r="X198" s="140"/>
      <c r="Y198" s="67">
        <f t="shared" si="189"/>
        <v>0</v>
      </c>
      <c r="Z198" s="154">
        <v>13</v>
      </c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  <c r="NG198" s="25"/>
      <c r="NH198" s="25"/>
      <c r="NI198" s="25"/>
      <c r="NJ198" s="25"/>
      <c r="NK198" s="25"/>
      <c r="NL198" s="25"/>
      <c r="NM198" s="25"/>
      <c r="NN198" s="25"/>
      <c r="NO198" s="25"/>
      <c r="NP198" s="25"/>
      <c r="NQ198" s="25"/>
      <c r="NR198" s="25"/>
      <c r="NS198" s="25"/>
      <c r="NT198" s="25"/>
      <c r="NU198" s="25"/>
      <c r="NV198" s="25"/>
      <c r="NW198" s="25"/>
      <c r="NX198" s="25"/>
      <c r="NY198" s="25"/>
      <c r="NZ198" s="25"/>
      <c r="OA198" s="25"/>
      <c r="OB198" s="25"/>
      <c r="OC198" s="25"/>
      <c r="OD198" s="25"/>
      <c r="OE198" s="25"/>
      <c r="OF198" s="25"/>
      <c r="OG198" s="25"/>
      <c r="OH198" s="25"/>
      <c r="OI198" s="25"/>
      <c r="OJ198" s="25"/>
      <c r="OK198" s="25"/>
      <c r="OL198" s="25"/>
      <c r="OM198" s="25"/>
      <c r="ON198" s="25"/>
      <c r="OO198" s="25"/>
      <c r="OP198" s="25"/>
      <c r="OQ198" s="25"/>
      <c r="OR198" s="25"/>
      <c r="OS198" s="25"/>
      <c r="OT198" s="25"/>
      <c r="OU198" s="25"/>
      <c r="OV198" s="25"/>
      <c r="OW198" s="25"/>
      <c r="OX198" s="25"/>
      <c r="OY198" s="25"/>
      <c r="OZ198" s="25"/>
      <c r="PA198" s="25"/>
      <c r="PB198" s="25"/>
      <c r="PC198" s="25"/>
      <c r="PD198" s="25"/>
      <c r="PE198" s="25"/>
      <c r="PF198" s="25"/>
      <c r="PG198" s="25"/>
      <c r="PH198" s="25"/>
      <c r="PI198" s="25"/>
      <c r="PJ198" s="25"/>
      <c r="PK198" s="25"/>
      <c r="PL198" s="25"/>
      <c r="PM198" s="25"/>
      <c r="PN198" s="25"/>
      <c r="PO198" s="25"/>
      <c r="PP198" s="25"/>
      <c r="PQ198" s="25"/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25"/>
      <c r="QS198" s="2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25"/>
      <c r="SC198" s="2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25"/>
      <c r="TM198" s="25"/>
      <c r="TN198" s="25"/>
      <c r="TO198" s="25"/>
      <c r="TP198" s="25"/>
      <c r="TQ198" s="25"/>
      <c r="TR198" s="25"/>
    </row>
    <row r="199" spans="1:538" s="22" customFormat="1" ht="33.75" customHeight="1" x14ac:dyDescent="0.25">
      <c r="A199" s="42">
        <v>3718330</v>
      </c>
      <c r="B199" s="43">
        <f>'дод 3'!A140</f>
        <v>8330</v>
      </c>
      <c r="C199" s="42" t="s">
        <v>112</v>
      </c>
      <c r="D199" s="23" t="str">
        <f>'дод 3'!C140</f>
        <v xml:space="preserve">Інша діяльність у сфері екології та охорони природних ресурсів </v>
      </c>
      <c r="E199" s="67">
        <v>75000</v>
      </c>
      <c r="F199" s="67"/>
      <c r="G199" s="67"/>
      <c r="H199" s="67"/>
      <c r="I199" s="67"/>
      <c r="J199" s="67"/>
      <c r="K199" s="140">
        <f t="shared" si="113"/>
        <v>0</v>
      </c>
      <c r="L199" s="67">
        <v>0</v>
      </c>
      <c r="M199" s="67"/>
      <c r="N199" s="67"/>
      <c r="O199" s="67"/>
      <c r="P199" s="67"/>
      <c r="Q199" s="67"/>
      <c r="R199" s="67">
        <f t="shared" si="188"/>
        <v>0</v>
      </c>
      <c r="S199" s="67"/>
      <c r="T199" s="67"/>
      <c r="U199" s="67"/>
      <c r="V199" s="67"/>
      <c r="W199" s="67"/>
      <c r="X199" s="140"/>
      <c r="Y199" s="67">
        <f t="shared" si="189"/>
        <v>0</v>
      </c>
      <c r="Z199" s="154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  <c r="NG199" s="25"/>
      <c r="NH199" s="25"/>
      <c r="NI199" s="25"/>
      <c r="NJ199" s="25"/>
      <c r="NK199" s="25"/>
      <c r="NL199" s="25"/>
      <c r="NM199" s="25"/>
      <c r="NN199" s="25"/>
      <c r="NO199" s="25"/>
      <c r="NP199" s="25"/>
      <c r="NQ199" s="25"/>
      <c r="NR199" s="25"/>
      <c r="NS199" s="25"/>
      <c r="NT199" s="25"/>
      <c r="NU199" s="25"/>
      <c r="NV199" s="25"/>
      <c r="NW199" s="25"/>
      <c r="NX199" s="25"/>
      <c r="NY199" s="25"/>
      <c r="NZ199" s="25"/>
      <c r="OA199" s="25"/>
      <c r="OB199" s="25"/>
      <c r="OC199" s="25"/>
      <c r="OD199" s="25"/>
      <c r="OE199" s="25"/>
      <c r="OF199" s="25"/>
      <c r="OG199" s="25"/>
      <c r="OH199" s="25"/>
      <c r="OI199" s="25"/>
      <c r="OJ199" s="25"/>
      <c r="OK199" s="25"/>
      <c r="OL199" s="25"/>
      <c r="OM199" s="25"/>
      <c r="ON199" s="25"/>
      <c r="OO199" s="25"/>
      <c r="OP199" s="25"/>
      <c r="OQ199" s="25"/>
      <c r="OR199" s="25"/>
      <c r="OS199" s="25"/>
      <c r="OT199" s="25"/>
      <c r="OU199" s="25"/>
      <c r="OV199" s="25"/>
      <c r="OW199" s="25"/>
      <c r="OX199" s="25"/>
      <c r="OY199" s="25"/>
      <c r="OZ199" s="25"/>
      <c r="PA199" s="25"/>
      <c r="PB199" s="25"/>
      <c r="PC199" s="25"/>
      <c r="PD199" s="25"/>
      <c r="PE199" s="25"/>
      <c r="PF199" s="25"/>
      <c r="PG199" s="25"/>
      <c r="PH199" s="25"/>
      <c r="PI199" s="2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25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</row>
    <row r="200" spans="1:538" s="22" customFormat="1" ht="26.25" customHeight="1" x14ac:dyDescent="0.25">
      <c r="A200" s="42" t="s">
        <v>258</v>
      </c>
      <c r="B200" s="43" t="str">
        <f>'дод 3'!A141</f>
        <v>8340</v>
      </c>
      <c r="C200" s="42" t="str">
        <f>'дод 3'!B141</f>
        <v>0540</v>
      </c>
      <c r="D200" s="23" t="str">
        <f>'дод 3'!C141</f>
        <v>Природоохоронні заходи за рахунок цільових фондів</v>
      </c>
      <c r="E200" s="67">
        <v>0</v>
      </c>
      <c r="F200" s="67"/>
      <c r="G200" s="67"/>
      <c r="H200" s="67"/>
      <c r="I200" s="67"/>
      <c r="J200" s="67"/>
      <c r="K200" s="140"/>
      <c r="L200" s="67">
        <v>93500</v>
      </c>
      <c r="M200" s="67"/>
      <c r="N200" s="67">
        <f>45000+48500</f>
        <v>93500</v>
      </c>
      <c r="O200" s="67"/>
      <c r="P200" s="67"/>
      <c r="Q200" s="67"/>
      <c r="R200" s="67">
        <f t="shared" si="188"/>
        <v>48500</v>
      </c>
      <c r="S200" s="67"/>
      <c r="T200" s="67">
        <v>48500</v>
      </c>
      <c r="U200" s="67"/>
      <c r="V200" s="67"/>
      <c r="W200" s="67"/>
      <c r="X200" s="140">
        <f t="shared" si="114"/>
        <v>51.871657754010691</v>
      </c>
      <c r="Y200" s="67">
        <f t="shared" si="189"/>
        <v>48500</v>
      </c>
      <c r="Z200" s="154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/>
      <c r="NT200" s="25"/>
      <c r="NU200" s="25"/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</row>
    <row r="201" spans="1:538" s="22" customFormat="1" ht="27" customHeight="1" x14ac:dyDescent="0.25">
      <c r="A201" s="42" t="s">
        <v>259</v>
      </c>
      <c r="B201" s="43" t="str">
        <f>'дод 3'!A144</f>
        <v>8600</v>
      </c>
      <c r="C201" s="43" t="str">
        <f>'дод 3'!B144</f>
        <v>0170</v>
      </c>
      <c r="D201" s="23" t="str">
        <f>'дод 3'!C144</f>
        <v>Обслуговування місцевого боргу</v>
      </c>
      <c r="E201" s="67">
        <v>712065</v>
      </c>
      <c r="F201" s="67"/>
      <c r="G201" s="67"/>
      <c r="H201" s="67">
        <v>23463.43</v>
      </c>
      <c r="I201" s="67"/>
      <c r="J201" s="67"/>
      <c r="K201" s="140">
        <f t="shared" si="113"/>
        <v>3.2951247428254442</v>
      </c>
      <c r="L201" s="67">
        <v>0</v>
      </c>
      <c r="M201" s="67"/>
      <c r="N201" s="67"/>
      <c r="O201" s="67"/>
      <c r="P201" s="67"/>
      <c r="Q201" s="67"/>
      <c r="R201" s="67">
        <f t="shared" si="188"/>
        <v>0</v>
      </c>
      <c r="S201" s="67"/>
      <c r="T201" s="67"/>
      <c r="U201" s="67"/>
      <c r="V201" s="67"/>
      <c r="W201" s="67"/>
      <c r="X201" s="140"/>
      <c r="Y201" s="67">
        <f t="shared" si="189"/>
        <v>23463.43</v>
      </c>
      <c r="Z201" s="154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</row>
    <row r="202" spans="1:538" s="22" customFormat="1" ht="21" customHeight="1" x14ac:dyDescent="0.25">
      <c r="A202" s="42" t="s">
        <v>272</v>
      </c>
      <c r="B202" s="43" t="str">
        <f>'дод 3'!A145</f>
        <v>8700</v>
      </c>
      <c r="C202" s="43" t="str">
        <f>'дод 3'!B145</f>
        <v>0133</v>
      </c>
      <c r="D202" s="23" t="str">
        <f>'дод 3'!C145</f>
        <v>Резервний фонд</v>
      </c>
      <c r="E202" s="67">
        <v>5607072</v>
      </c>
      <c r="F202" s="67"/>
      <c r="G202" s="67"/>
      <c r="H202" s="67"/>
      <c r="I202" s="67"/>
      <c r="J202" s="67"/>
      <c r="K202" s="140">
        <f t="shared" si="113"/>
        <v>0</v>
      </c>
      <c r="L202" s="67">
        <v>0</v>
      </c>
      <c r="M202" s="67"/>
      <c r="N202" s="67"/>
      <c r="O202" s="67"/>
      <c r="P202" s="67"/>
      <c r="Q202" s="67"/>
      <c r="R202" s="67">
        <f t="shared" si="188"/>
        <v>0</v>
      </c>
      <c r="S202" s="67"/>
      <c r="T202" s="67"/>
      <c r="U202" s="67"/>
      <c r="V202" s="67"/>
      <c r="W202" s="67"/>
      <c r="X202" s="140"/>
      <c r="Y202" s="67">
        <f t="shared" si="189"/>
        <v>0</v>
      </c>
      <c r="Z202" s="154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</row>
    <row r="203" spans="1:538" s="22" customFormat="1" ht="22.5" customHeight="1" x14ac:dyDescent="0.25">
      <c r="A203" s="42" t="s">
        <v>273</v>
      </c>
      <c r="B203" s="43" t="str">
        <f>'дод 3'!A148</f>
        <v>9110</v>
      </c>
      <c r="C203" s="43" t="str">
        <f>'дод 3'!B148</f>
        <v>0180</v>
      </c>
      <c r="D203" s="23" t="str">
        <f>'дод 3'!C148</f>
        <v>Реверсна дотація</v>
      </c>
      <c r="E203" s="67">
        <v>108116600</v>
      </c>
      <c r="F203" s="67"/>
      <c r="G203" s="67"/>
      <c r="H203" s="67">
        <v>54058200</v>
      </c>
      <c r="I203" s="67"/>
      <c r="J203" s="67"/>
      <c r="K203" s="140">
        <f t="shared" si="113"/>
        <v>49.999907507265306</v>
      </c>
      <c r="L203" s="67">
        <v>0</v>
      </c>
      <c r="M203" s="67"/>
      <c r="N203" s="67"/>
      <c r="O203" s="67"/>
      <c r="P203" s="67"/>
      <c r="Q203" s="67"/>
      <c r="R203" s="67">
        <f t="shared" si="188"/>
        <v>0</v>
      </c>
      <c r="S203" s="67"/>
      <c r="T203" s="67"/>
      <c r="U203" s="67"/>
      <c r="V203" s="67"/>
      <c r="W203" s="67"/>
      <c r="X203" s="140"/>
      <c r="Y203" s="67">
        <f t="shared" si="189"/>
        <v>54058200</v>
      </c>
      <c r="Z203" s="154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</row>
    <row r="204" spans="1:538" s="30" customFormat="1" ht="24.75" customHeight="1" x14ac:dyDescent="0.2">
      <c r="A204" s="84"/>
      <c r="B204" s="71"/>
      <c r="C204" s="129"/>
      <c r="D204" s="29" t="s">
        <v>27</v>
      </c>
      <c r="E204" s="64">
        <f t="shared" ref="E204" si="190">E15+E50+E77+E96+E118+E123+E133+E161+E164+E178+E183+E186+E194</f>
        <v>2075845698.5900002</v>
      </c>
      <c r="F204" s="64">
        <f t="shared" ref="F204:H204" si="191">F15+F50+F77+F96+F118+F123+F133+F161+F164+F178+F183+F186+F194</f>
        <v>908559932</v>
      </c>
      <c r="G204" s="64">
        <f t="shared" si="191"/>
        <v>119078887</v>
      </c>
      <c r="H204" s="64">
        <f t="shared" si="191"/>
        <v>979703371.61999989</v>
      </c>
      <c r="I204" s="64">
        <f t="shared" ref="I204:J204" si="192">I15+I50+I77+I96+I118+I123+I133+I161+I164+I178+I183+I186+I194</f>
        <v>476583085.73000014</v>
      </c>
      <c r="J204" s="64">
        <f t="shared" si="192"/>
        <v>49297669.409999996</v>
      </c>
      <c r="K204" s="139">
        <f t="shared" si="113"/>
        <v>47.195385104271224</v>
      </c>
      <c r="L204" s="64">
        <f t="shared" ref="L204" si="193">L15+L50+L77+L96+L118+L123+L133+L161+L164+L178+L183+L186+L194</f>
        <v>607868367.1099999</v>
      </c>
      <c r="M204" s="64">
        <f t="shared" ref="M204:Y204" si="194">M15+M50+M77+M96+M118+M123+M133+M161+M164+M178+M183+M186+M194</f>
        <v>447217120.47000003</v>
      </c>
      <c r="N204" s="64">
        <f t="shared" si="194"/>
        <v>144233011.00999999</v>
      </c>
      <c r="O204" s="64">
        <f t="shared" si="194"/>
        <v>9012497</v>
      </c>
      <c r="P204" s="64">
        <f t="shared" si="194"/>
        <v>3810541</v>
      </c>
      <c r="Q204" s="64">
        <f t="shared" si="194"/>
        <v>463635356.10000002</v>
      </c>
      <c r="R204" s="64">
        <f t="shared" si="194"/>
        <v>161090631.64999998</v>
      </c>
      <c r="S204" s="64">
        <f t="shared" ref="S204:W204" si="195">S15+S50+S77+S96+S118+S123+S133+S161+S164+S178+S183+S186+S194</f>
        <v>104885314.43000001</v>
      </c>
      <c r="T204" s="64">
        <f t="shared" si="195"/>
        <v>54895974.730000004</v>
      </c>
      <c r="U204" s="64">
        <f t="shared" si="195"/>
        <v>3105121.2700000005</v>
      </c>
      <c r="V204" s="64">
        <f t="shared" si="195"/>
        <v>1180598.0799999998</v>
      </c>
      <c r="W204" s="64">
        <f t="shared" si="195"/>
        <v>106194656.92</v>
      </c>
      <c r="X204" s="139">
        <f t="shared" si="114"/>
        <v>26.500907164469872</v>
      </c>
      <c r="Y204" s="64">
        <f t="shared" si="194"/>
        <v>1140794003.2699997</v>
      </c>
      <c r="Z204" s="154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  <c r="IV204" s="37"/>
      <c r="IW204" s="37"/>
      <c r="IX204" s="37"/>
      <c r="IY204" s="37"/>
      <c r="IZ204" s="37"/>
      <c r="JA204" s="37"/>
      <c r="JB204" s="37"/>
      <c r="JC204" s="37"/>
      <c r="JD204" s="37"/>
      <c r="JE204" s="37"/>
      <c r="JF204" s="37"/>
      <c r="JG204" s="37"/>
      <c r="JH204" s="37"/>
      <c r="JI204" s="37"/>
      <c r="JJ204" s="37"/>
      <c r="JK204" s="37"/>
      <c r="JL204" s="37"/>
      <c r="JM204" s="37"/>
      <c r="JN204" s="37"/>
      <c r="JO204" s="37"/>
      <c r="JP204" s="37"/>
      <c r="JQ204" s="37"/>
      <c r="JR204" s="37"/>
      <c r="JS204" s="37"/>
      <c r="JT204" s="37"/>
      <c r="JU204" s="37"/>
      <c r="JV204" s="37"/>
      <c r="JW204" s="37"/>
      <c r="JX204" s="37"/>
      <c r="JY204" s="37"/>
      <c r="JZ204" s="37"/>
      <c r="KA204" s="37"/>
      <c r="KB204" s="37"/>
      <c r="KC204" s="37"/>
      <c r="KD204" s="37"/>
      <c r="KE204" s="37"/>
      <c r="KF204" s="37"/>
      <c r="KG204" s="37"/>
      <c r="KH204" s="37"/>
      <c r="KI204" s="37"/>
      <c r="KJ204" s="37"/>
      <c r="KK204" s="37"/>
      <c r="KL204" s="37"/>
      <c r="KM204" s="37"/>
      <c r="KN204" s="37"/>
      <c r="KO204" s="37"/>
      <c r="KP204" s="37"/>
      <c r="KQ204" s="37"/>
      <c r="KR204" s="37"/>
      <c r="KS204" s="37"/>
      <c r="KT204" s="37"/>
      <c r="KU204" s="37"/>
      <c r="KV204" s="37"/>
      <c r="KW204" s="37"/>
      <c r="KX204" s="37"/>
      <c r="KY204" s="37"/>
      <c r="KZ204" s="37"/>
      <c r="LA204" s="37"/>
      <c r="LB204" s="37"/>
      <c r="LC204" s="37"/>
      <c r="LD204" s="37"/>
      <c r="LE204" s="37"/>
      <c r="LF204" s="37"/>
      <c r="LG204" s="37"/>
      <c r="LH204" s="37"/>
      <c r="LI204" s="37"/>
      <c r="LJ204" s="37"/>
      <c r="LK204" s="37"/>
      <c r="LL204" s="37"/>
      <c r="LM204" s="37"/>
      <c r="LN204" s="37"/>
      <c r="LO204" s="37"/>
      <c r="LP204" s="37"/>
      <c r="LQ204" s="37"/>
      <c r="LR204" s="37"/>
      <c r="LS204" s="37"/>
      <c r="LT204" s="37"/>
      <c r="LU204" s="37"/>
      <c r="LV204" s="37"/>
      <c r="LW204" s="37"/>
      <c r="LX204" s="37"/>
      <c r="LY204" s="37"/>
      <c r="LZ204" s="37"/>
      <c r="MA204" s="37"/>
      <c r="MB204" s="37"/>
      <c r="MC204" s="37"/>
      <c r="MD204" s="37"/>
      <c r="ME204" s="37"/>
      <c r="MF204" s="37"/>
      <c r="MG204" s="37"/>
      <c r="MH204" s="37"/>
      <c r="MI204" s="37"/>
      <c r="MJ204" s="37"/>
      <c r="MK204" s="37"/>
      <c r="ML204" s="37"/>
      <c r="MM204" s="37"/>
      <c r="MN204" s="37"/>
      <c r="MO204" s="37"/>
      <c r="MP204" s="37"/>
      <c r="MQ204" s="37"/>
      <c r="MR204" s="37"/>
      <c r="MS204" s="37"/>
      <c r="MT204" s="37"/>
      <c r="MU204" s="37"/>
      <c r="MV204" s="37"/>
      <c r="MW204" s="37"/>
      <c r="MX204" s="37"/>
      <c r="MY204" s="37"/>
      <c r="MZ204" s="37"/>
      <c r="NA204" s="37"/>
      <c r="NB204" s="37"/>
      <c r="NC204" s="37"/>
      <c r="ND204" s="37"/>
      <c r="NE204" s="37"/>
      <c r="NF204" s="37"/>
      <c r="NG204" s="37"/>
      <c r="NH204" s="37"/>
      <c r="NI204" s="37"/>
      <c r="NJ204" s="37"/>
      <c r="NK204" s="37"/>
      <c r="NL204" s="37"/>
      <c r="NM204" s="37"/>
      <c r="NN204" s="37"/>
      <c r="NO204" s="37"/>
      <c r="NP204" s="37"/>
      <c r="NQ204" s="37"/>
      <c r="NR204" s="37"/>
      <c r="NS204" s="37"/>
      <c r="NT204" s="37"/>
      <c r="NU204" s="37"/>
      <c r="NV204" s="37"/>
      <c r="NW204" s="37"/>
      <c r="NX204" s="37"/>
      <c r="NY204" s="37"/>
      <c r="NZ204" s="37"/>
      <c r="OA204" s="37"/>
      <c r="OB204" s="37"/>
      <c r="OC204" s="37"/>
      <c r="OD204" s="37"/>
      <c r="OE204" s="37"/>
      <c r="OF204" s="37"/>
      <c r="OG204" s="37"/>
      <c r="OH204" s="37"/>
      <c r="OI204" s="37"/>
      <c r="OJ204" s="37"/>
      <c r="OK204" s="37"/>
      <c r="OL204" s="37"/>
      <c r="OM204" s="37"/>
      <c r="ON204" s="37"/>
      <c r="OO204" s="37"/>
      <c r="OP204" s="37"/>
      <c r="OQ204" s="37"/>
      <c r="OR204" s="37"/>
      <c r="OS204" s="37"/>
      <c r="OT204" s="37"/>
      <c r="OU204" s="37"/>
      <c r="OV204" s="37"/>
      <c r="OW204" s="37"/>
      <c r="OX204" s="37"/>
      <c r="OY204" s="37"/>
      <c r="OZ204" s="37"/>
      <c r="PA204" s="37"/>
      <c r="PB204" s="37"/>
      <c r="PC204" s="37"/>
      <c r="PD204" s="37"/>
      <c r="PE204" s="37"/>
      <c r="PF204" s="37"/>
      <c r="PG204" s="37"/>
      <c r="PH204" s="37"/>
      <c r="PI204" s="37"/>
      <c r="PJ204" s="37"/>
      <c r="PK204" s="37"/>
      <c r="PL204" s="37"/>
      <c r="PM204" s="37"/>
      <c r="PN204" s="37"/>
      <c r="PO204" s="37"/>
      <c r="PP204" s="37"/>
      <c r="PQ204" s="37"/>
      <c r="PR204" s="37"/>
      <c r="PS204" s="37"/>
      <c r="PT204" s="37"/>
      <c r="PU204" s="37"/>
      <c r="PV204" s="37"/>
      <c r="PW204" s="37"/>
      <c r="PX204" s="37"/>
      <c r="PY204" s="37"/>
      <c r="PZ204" s="37"/>
      <c r="QA204" s="37"/>
      <c r="QB204" s="37"/>
      <c r="QC204" s="37"/>
      <c r="QD204" s="37"/>
      <c r="QE204" s="37"/>
      <c r="QF204" s="37"/>
      <c r="QG204" s="37"/>
      <c r="QH204" s="37"/>
      <c r="QI204" s="37"/>
      <c r="QJ204" s="37"/>
      <c r="QK204" s="37"/>
      <c r="QL204" s="37"/>
      <c r="QM204" s="37"/>
      <c r="QN204" s="37"/>
      <c r="QO204" s="37"/>
      <c r="QP204" s="37"/>
      <c r="QQ204" s="37"/>
      <c r="QR204" s="37"/>
      <c r="QS204" s="37"/>
      <c r="QT204" s="37"/>
      <c r="QU204" s="37"/>
      <c r="QV204" s="37"/>
      <c r="QW204" s="37"/>
      <c r="QX204" s="37"/>
      <c r="QY204" s="37"/>
      <c r="QZ204" s="37"/>
      <c r="RA204" s="37"/>
      <c r="RB204" s="37"/>
      <c r="RC204" s="37"/>
      <c r="RD204" s="37"/>
      <c r="RE204" s="37"/>
      <c r="RF204" s="37"/>
      <c r="RG204" s="37"/>
      <c r="RH204" s="37"/>
      <c r="RI204" s="37"/>
      <c r="RJ204" s="37"/>
      <c r="RK204" s="37"/>
      <c r="RL204" s="37"/>
      <c r="RM204" s="37"/>
      <c r="RN204" s="37"/>
      <c r="RO204" s="37"/>
      <c r="RP204" s="37"/>
      <c r="RQ204" s="37"/>
      <c r="RR204" s="37"/>
      <c r="RS204" s="37"/>
      <c r="RT204" s="37"/>
      <c r="RU204" s="37"/>
      <c r="RV204" s="37"/>
      <c r="RW204" s="37"/>
      <c r="RX204" s="37"/>
      <c r="RY204" s="37"/>
      <c r="RZ204" s="37"/>
      <c r="SA204" s="37"/>
      <c r="SB204" s="37"/>
      <c r="SC204" s="37"/>
      <c r="SD204" s="37"/>
      <c r="SE204" s="37"/>
      <c r="SF204" s="37"/>
      <c r="SG204" s="37"/>
      <c r="SH204" s="37"/>
      <c r="SI204" s="37"/>
      <c r="SJ204" s="37"/>
      <c r="SK204" s="37"/>
      <c r="SL204" s="37"/>
      <c r="SM204" s="37"/>
      <c r="SN204" s="37"/>
      <c r="SO204" s="37"/>
      <c r="SP204" s="37"/>
      <c r="SQ204" s="37"/>
      <c r="SR204" s="37"/>
      <c r="SS204" s="37"/>
      <c r="ST204" s="37"/>
      <c r="SU204" s="37"/>
      <c r="SV204" s="37"/>
      <c r="SW204" s="37"/>
      <c r="SX204" s="37"/>
      <c r="SY204" s="37"/>
      <c r="SZ204" s="37"/>
      <c r="TA204" s="37"/>
      <c r="TB204" s="37"/>
      <c r="TC204" s="37"/>
      <c r="TD204" s="37"/>
      <c r="TE204" s="37"/>
      <c r="TF204" s="37"/>
      <c r="TG204" s="37"/>
      <c r="TH204" s="37"/>
      <c r="TI204" s="37"/>
      <c r="TJ204" s="37"/>
      <c r="TK204" s="37"/>
      <c r="TL204" s="37"/>
      <c r="TM204" s="37"/>
      <c r="TN204" s="37"/>
      <c r="TO204" s="37"/>
      <c r="TP204" s="37"/>
      <c r="TQ204" s="37"/>
      <c r="TR204" s="37"/>
    </row>
    <row r="205" spans="1:538" s="30" customFormat="1" ht="20.25" customHeight="1" x14ac:dyDescent="0.2">
      <c r="A205" s="84"/>
      <c r="B205" s="71"/>
      <c r="C205" s="129"/>
      <c r="D205" s="29" t="s">
        <v>307</v>
      </c>
      <c r="E205" s="64">
        <f t="shared" ref="E205" si="196">E52+E79+E135</f>
        <v>443759326</v>
      </c>
      <c r="F205" s="64">
        <f t="shared" ref="F205:H205" si="197">F52+F79+F135</f>
        <v>307191100</v>
      </c>
      <c r="G205" s="64">
        <f t="shared" si="197"/>
        <v>0</v>
      </c>
      <c r="H205" s="64">
        <f t="shared" si="197"/>
        <v>271906833.09999996</v>
      </c>
      <c r="I205" s="64">
        <f t="shared" ref="I205:J205" si="198">I52+I79+I135</f>
        <v>174426823.13</v>
      </c>
      <c r="J205" s="64">
        <f t="shared" si="198"/>
        <v>0</v>
      </c>
      <c r="K205" s="139">
        <f t="shared" si="113"/>
        <v>61.273491545730337</v>
      </c>
      <c r="L205" s="64">
        <f t="shared" ref="L205" si="199">L52+L79+L135</f>
        <v>82674037.929999992</v>
      </c>
      <c r="M205" s="64">
        <f t="shared" ref="M205:Y205" si="200">M52+M79+M135</f>
        <v>2674037.9300000002</v>
      </c>
      <c r="N205" s="64">
        <f t="shared" si="200"/>
        <v>80000000</v>
      </c>
      <c r="O205" s="64">
        <f t="shared" si="200"/>
        <v>0</v>
      </c>
      <c r="P205" s="64">
        <f t="shared" si="200"/>
        <v>0</v>
      </c>
      <c r="Q205" s="64">
        <f t="shared" si="200"/>
        <v>2674037.9300000002</v>
      </c>
      <c r="R205" s="64">
        <f t="shared" si="200"/>
        <v>40605022.479999997</v>
      </c>
      <c r="S205" s="64">
        <f t="shared" ref="S205:W205" si="201">S52+S79+S135</f>
        <v>605022.48</v>
      </c>
      <c r="T205" s="64">
        <f t="shared" si="201"/>
        <v>40000000</v>
      </c>
      <c r="U205" s="64">
        <f t="shared" si="201"/>
        <v>0</v>
      </c>
      <c r="V205" s="64">
        <f t="shared" si="201"/>
        <v>0</v>
      </c>
      <c r="W205" s="64">
        <f t="shared" si="201"/>
        <v>605022.48</v>
      </c>
      <c r="X205" s="139">
        <f t="shared" si="114"/>
        <v>49.114599330905087</v>
      </c>
      <c r="Y205" s="64">
        <f t="shared" si="200"/>
        <v>312511855.57999998</v>
      </c>
      <c r="Z205" s="154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  <c r="IV205" s="37"/>
      <c r="IW205" s="37"/>
      <c r="IX205" s="37"/>
      <c r="IY205" s="37"/>
      <c r="IZ205" s="37"/>
      <c r="JA205" s="37"/>
      <c r="JB205" s="37"/>
      <c r="JC205" s="37"/>
      <c r="JD205" s="37"/>
      <c r="JE205" s="37"/>
      <c r="JF205" s="37"/>
      <c r="JG205" s="37"/>
      <c r="JH205" s="37"/>
      <c r="JI205" s="37"/>
      <c r="JJ205" s="37"/>
      <c r="JK205" s="37"/>
      <c r="JL205" s="37"/>
      <c r="JM205" s="37"/>
      <c r="JN205" s="37"/>
      <c r="JO205" s="37"/>
      <c r="JP205" s="37"/>
      <c r="JQ205" s="37"/>
      <c r="JR205" s="37"/>
      <c r="JS205" s="37"/>
      <c r="JT205" s="37"/>
      <c r="JU205" s="37"/>
      <c r="JV205" s="37"/>
      <c r="JW205" s="37"/>
      <c r="JX205" s="37"/>
      <c r="JY205" s="37"/>
      <c r="JZ205" s="37"/>
      <c r="KA205" s="37"/>
      <c r="KB205" s="37"/>
      <c r="KC205" s="37"/>
      <c r="KD205" s="37"/>
      <c r="KE205" s="37"/>
      <c r="KF205" s="37"/>
      <c r="KG205" s="37"/>
      <c r="KH205" s="37"/>
      <c r="KI205" s="37"/>
      <c r="KJ205" s="37"/>
      <c r="KK205" s="37"/>
      <c r="KL205" s="37"/>
      <c r="KM205" s="37"/>
      <c r="KN205" s="37"/>
      <c r="KO205" s="37"/>
      <c r="KP205" s="37"/>
      <c r="KQ205" s="37"/>
      <c r="KR205" s="37"/>
      <c r="KS205" s="37"/>
      <c r="KT205" s="37"/>
      <c r="KU205" s="37"/>
      <c r="KV205" s="37"/>
      <c r="KW205" s="37"/>
      <c r="KX205" s="37"/>
      <c r="KY205" s="37"/>
      <c r="KZ205" s="37"/>
      <c r="LA205" s="37"/>
      <c r="LB205" s="37"/>
      <c r="LC205" s="37"/>
      <c r="LD205" s="37"/>
      <c r="LE205" s="37"/>
      <c r="LF205" s="37"/>
      <c r="LG205" s="37"/>
      <c r="LH205" s="37"/>
      <c r="LI205" s="37"/>
      <c r="LJ205" s="37"/>
      <c r="LK205" s="37"/>
      <c r="LL205" s="37"/>
      <c r="LM205" s="37"/>
      <c r="LN205" s="37"/>
      <c r="LO205" s="37"/>
      <c r="LP205" s="37"/>
      <c r="LQ205" s="37"/>
      <c r="LR205" s="37"/>
      <c r="LS205" s="37"/>
      <c r="LT205" s="37"/>
      <c r="LU205" s="37"/>
      <c r="LV205" s="37"/>
      <c r="LW205" s="37"/>
      <c r="LX205" s="37"/>
      <c r="LY205" s="37"/>
      <c r="LZ205" s="37"/>
      <c r="MA205" s="37"/>
      <c r="MB205" s="37"/>
      <c r="MC205" s="37"/>
      <c r="MD205" s="37"/>
      <c r="ME205" s="37"/>
      <c r="MF205" s="37"/>
      <c r="MG205" s="37"/>
      <c r="MH205" s="37"/>
      <c r="MI205" s="37"/>
      <c r="MJ205" s="37"/>
      <c r="MK205" s="37"/>
      <c r="ML205" s="37"/>
      <c r="MM205" s="37"/>
      <c r="MN205" s="37"/>
      <c r="MO205" s="37"/>
      <c r="MP205" s="37"/>
      <c r="MQ205" s="37"/>
      <c r="MR205" s="37"/>
      <c r="MS205" s="37"/>
      <c r="MT205" s="37"/>
      <c r="MU205" s="37"/>
      <c r="MV205" s="37"/>
      <c r="MW205" s="37"/>
      <c r="MX205" s="37"/>
      <c r="MY205" s="37"/>
      <c r="MZ205" s="37"/>
      <c r="NA205" s="37"/>
      <c r="NB205" s="37"/>
      <c r="NC205" s="37"/>
      <c r="ND205" s="37"/>
      <c r="NE205" s="37"/>
      <c r="NF205" s="37"/>
      <c r="NG205" s="37"/>
      <c r="NH205" s="37"/>
      <c r="NI205" s="37"/>
      <c r="NJ205" s="37"/>
      <c r="NK205" s="37"/>
      <c r="NL205" s="37"/>
      <c r="NM205" s="37"/>
      <c r="NN205" s="37"/>
      <c r="NO205" s="37"/>
      <c r="NP205" s="37"/>
      <c r="NQ205" s="37"/>
      <c r="NR205" s="37"/>
      <c r="NS205" s="37"/>
      <c r="NT205" s="37"/>
      <c r="NU205" s="37"/>
      <c r="NV205" s="37"/>
      <c r="NW205" s="37"/>
      <c r="NX205" s="37"/>
      <c r="NY205" s="37"/>
      <c r="NZ205" s="37"/>
      <c r="OA205" s="37"/>
      <c r="OB205" s="37"/>
      <c r="OC205" s="37"/>
      <c r="OD205" s="37"/>
      <c r="OE205" s="37"/>
      <c r="OF205" s="37"/>
      <c r="OG205" s="37"/>
      <c r="OH205" s="37"/>
      <c r="OI205" s="37"/>
      <c r="OJ205" s="37"/>
      <c r="OK205" s="37"/>
      <c r="OL205" s="37"/>
      <c r="OM205" s="37"/>
      <c r="ON205" s="37"/>
      <c r="OO205" s="37"/>
      <c r="OP205" s="37"/>
      <c r="OQ205" s="37"/>
      <c r="OR205" s="37"/>
      <c r="OS205" s="37"/>
      <c r="OT205" s="37"/>
      <c r="OU205" s="37"/>
      <c r="OV205" s="37"/>
      <c r="OW205" s="37"/>
      <c r="OX205" s="37"/>
      <c r="OY205" s="37"/>
      <c r="OZ205" s="37"/>
      <c r="PA205" s="37"/>
      <c r="PB205" s="37"/>
      <c r="PC205" s="37"/>
      <c r="PD205" s="37"/>
      <c r="PE205" s="37"/>
      <c r="PF205" s="37"/>
      <c r="PG205" s="37"/>
      <c r="PH205" s="37"/>
      <c r="PI205" s="37"/>
      <c r="PJ205" s="37"/>
      <c r="PK205" s="37"/>
      <c r="PL205" s="37"/>
      <c r="PM205" s="37"/>
      <c r="PN205" s="37"/>
      <c r="PO205" s="37"/>
      <c r="PP205" s="37"/>
      <c r="PQ205" s="37"/>
      <c r="PR205" s="37"/>
      <c r="PS205" s="37"/>
      <c r="PT205" s="37"/>
      <c r="PU205" s="37"/>
      <c r="PV205" s="37"/>
      <c r="PW205" s="37"/>
      <c r="PX205" s="37"/>
      <c r="PY205" s="37"/>
      <c r="PZ205" s="37"/>
      <c r="QA205" s="37"/>
      <c r="QB205" s="37"/>
      <c r="QC205" s="37"/>
      <c r="QD205" s="37"/>
      <c r="QE205" s="37"/>
      <c r="QF205" s="37"/>
      <c r="QG205" s="37"/>
      <c r="QH205" s="37"/>
      <c r="QI205" s="37"/>
      <c r="QJ205" s="37"/>
      <c r="QK205" s="37"/>
      <c r="QL205" s="37"/>
      <c r="QM205" s="37"/>
      <c r="QN205" s="37"/>
      <c r="QO205" s="37"/>
      <c r="QP205" s="37"/>
      <c r="QQ205" s="37"/>
      <c r="QR205" s="37"/>
      <c r="QS205" s="37"/>
      <c r="QT205" s="37"/>
      <c r="QU205" s="37"/>
      <c r="QV205" s="37"/>
      <c r="QW205" s="37"/>
      <c r="QX205" s="37"/>
      <c r="QY205" s="37"/>
      <c r="QZ205" s="37"/>
      <c r="RA205" s="37"/>
      <c r="RB205" s="37"/>
      <c r="RC205" s="37"/>
      <c r="RD205" s="37"/>
      <c r="RE205" s="37"/>
      <c r="RF205" s="37"/>
      <c r="RG205" s="37"/>
      <c r="RH205" s="37"/>
      <c r="RI205" s="37"/>
      <c r="RJ205" s="37"/>
      <c r="RK205" s="37"/>
      <c r="RL205" s="37"/>
      <c r="RM205" s="37"/>
      <c r="RN205" s="37"/>
      <c r="RO205" s="37"/>
      <c r="RP205" s="37"/>
      <c r="RQ205" s="37"/>
      <c r="RR205" s="37"/>
      <c r="RS205" s="37"/>
      <c r="RT205" s="37"/>
      <c r="RU205" s="37"/>
      <c r="RV205" s="37"/>
      <c r="RW205" s="37"/>
      <c r="RX205" s="37"/>
      <c r="RY205" s="37"/>
      <c r="RZ205" s="37"/>
      <c r="SA205" s="37"/>
      <c r="SB205" s="37"/>
      <c r="SC205" s="37"/>
      <c r="SD205" s="37"/>
      <c r="SE205" s="37"/>
      <c r="SF205" s="37"/>
      <c r="SG205" s="37"/>
      <c r="SH205" s="37"/>
      <c r="SI205" s="37"/>
      <c r="SJ205" s="37"/>
      <c r="SK205" s="37"/>
      <c r="SL205" s="37"/>
      <c r="SM205" s="37"/>
      <c r="SN205" s="37"/>
      <c r="SO205" s="37"/>
      <c r="SP205" s="37"/>
      <c r="SQ205" s="37"/>
      <c r="SR205" s="37"/>
      <c r="SS205" s="37"/>
      <c r="ST205" s="37"/>
      <c r="SU205" s="37"/>
      <c r="SV205" s="37"/>
      <c r="SW205" s="37"/>
      <c r="SX205" s="37"/>
      <c r="SY205" s="37"/>
      <c r="SZ205" s="37"/>
      <c r="TA205" s="37"/>
      <c r="TB205" s="37"/>
      <c r="TC205" s="37"/>
      <c r="TD205" s="37"/>
      <c r="TE205" s="37"/>
      <c r="TF205" s="37"/>
      <c r="TG205" s="37"/>
      <c r="TH205" s="37"/>
      <c r="TI205" s="37"/>
      <c r="TJ205" s="37"/>
      <c r="TK205" s="37"/>
      <c r="TL205" s="37"/>
      <c r="TM205" s="37"/>
      <c r="TN205" s="37"/>
      <c r="TO205" s="37"/>
      <c r="TP205" s="37"/>
      <c r="TQ205" s="37"/>
      <c r="TR205" s="37"/>
    </row>
    <row r="206" spans="1:538" s="33" customFormat="1" ht="15" x14ac:dyDescent="0.25">
      <c r="A206" s="85"/>
      <c r="B206" s="99"/>
      <c r="C206" s="99"/>
      <c r="D206" s="40"/>
      <c r="E206" s="58">
        <f>E204-'дод 3'!D152</f>
        <v>0</v>
      </c>
      <c r="F206" s="58">
        <f>F204-'дод 3'!E152</f>
        <v>0</v>
      </c>
      <c r="G206" s="58">
        <f>G204-'дод 3'!F152</f>
        <v>0</v>
      </c>
      <c r="H206" s="58">
        <f>H204-'дод 3'!G152</f>
        <v>0</v>
      </c>
      <c r="I206" s="58">
        <f>I204-'дод 3'!H152</f>
        <v>0</v>
      </c>
      <c r="J206" s="58">
        <f>J204-'дод 3'!I152</f>
        <v>0</v>
      </c>
      <c r="K206" s="58">
        <f>K204-'дод 3'!J152</f>
        <v>0</v>
      </c>
      <c r="L206" s="58">
        <f>L204-'дод 3'!K152</f>
        <v>0</v>
      </c>
      <c r="M206" s="58">
        <f>M204-'дод 3'!L152</f>
        <v>0</v>
      </c>
      <c r="N206" s="58">
        <f>N204-'дод 3'!M152</f>
        <v>0</v>
      </c>
      <c r="O206" s="58">
        <f>O204-'дод 3'!N152</f>
        <v>0</v>
      </c>
      <c r="P206" s="58">
        <f>P204-'дод 3'!O152</f>
        <v>0</v>
      </c>
      <c r="Q206" s="58">
        <f>Q204-'дод 3'!P152</f>
        <v>0</v>
      </c>
      <c r="R206" s="58">
        <f>R204-'дод 3'!Q152</f>
        <v>0</v>
      </c>
      <c r="S206" s="58">
        <f>S204-'дод 3'!R152</f>
        <v>0</v>
      </c>
      <c r="T206" s="58">
        <f>T204-'дод 3'!S152</f>
        <v>0</v>
      </c>
      <c r="U206" s="58">
        <f>U204-'дод 3'!T152</f>
        <v>0</v>
      </c>
      <c r="V206" s="58">
        <f>V204-'дод 3'!U152</f>
        <v>0</v>
      </c>
      <c r="W206" s="58">
        <f>W204-'дод 3'!V152</f>
        <v>0</v>
      </c>
      <c r="X206" s="58">
        <f>X204-'дод 3'!W152</f>
        <v>0</v>
      </c>
      <c r="Y206" s="58">
        <f>Y204-'дод 3'!X152</f>
        <v>0</v>
      </c>
      <c r="Z206" s="154"/>
    </row>
    <row r="207" spans="1:538" s="33" customFormat="1" ht="35.25" customHeight="1" x14ac:dyDescent="0.25">
      <c r="A207" s="85"/>
      <c r="B207" s="99"/>
      <c r="C207" s="99"/>
      <c r="D207" s="40"/>
      <c r="E207" s="58">
        <f>E205-'дод 3'!D153</f>
        <v>0</v>
      </c>
      <c r="F207" s="58">
        <f>F205-'дод 3'!E153</f>
        <v>0</v>
      </c>
      <c r="G207" s="58">
        <f>G205-'дод 3'!F153</f>
        <v>0</v>
      </c>
      <c r="H207" s="58">
        <f>H205-'дод 3'!G153</f>
        <v>0</v>
      </c>
      <c r="I207" s="58">
        <f>I205-'дод 3'!H153</f>
        <v>0</v>
      </c>
      <c r="J207" s="58">
        <f>J205-'дод 3'!I153</f>
        <v>0</v>
      </c>
      <c r="K207" s="58">
        <f>K205-'дод 3'!J153</f>
        <v>0</v>
      </c>
      <c r="L207" s="58">
        <f>L205-'дод 3'!K153</f>
        <v>0</v>
      </c>
      <c r="M207" s="58">
        <f>M205-'дод 3'!L153</f>
        <v>0</v>
      </c>
      <c r="N207" s="58">
        <f>N205-'дод 3'!M153</f>
        <v>0</v>
      </c>
      <c r="O207" s="58">
        <f>O205-'дод 3'!N153</f>
        <v>0</v>
      </c>
      <c r="P207" s="58">
        <f>P205-'дод 3'!O153</f>
        <v>0</v>
      </c>
      <c r="Q207" s="58">
        <f>Q205-'дод 3'!P153</f>
        <v>0</v>
      </c>
      <c r="R207" s="58">
        <f>R205-'дод 3'!Q153</f>
        <v>0</v>
      </c>
      <c r="S207" s="58">
        <f>S205-'дод 3'!R153</f>
        <v>0</v>
      </c>
      <c r="T207" s="58">
        <f>T205-'дод 3'!S153</f>
        <v>0</v>
      </c>
      <c r="U207" s="58">
        <f>U205-'дод 3'!T153</f>
        <v>0</v>
      </c>
      <c r="V207" s="58">
        <f>V205-'дод 3'!U153</f>
        <v>0</v>
      </c>
      <c r="W207" s="58">
        <f>W205-'дод 3'!V153</f>
        <v>0</v>
      </c>
      <c r="X207" s="58">
        <f>X205-'дод 3'!W153</f>
        <v>0</v>
      </c>
      <c r="Y207" s="58">
        <f>Y205-'дод 3'!X153</f>
        <v>0</v>
      </c>
      <c r="Z207" s="154"/>
    </row>
    <row r="208" spans="1:538" s="33" customFormat="1" ht="15" x14ac:dyDescent="0.25">
      <c r="A208" s="85"/>
      <c r="B208" s="99"/>
      <c r="C208" s="99"/>
      <c r="D208" s="40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54"/>
    </row>
    <row r="209" spans="1:30" s="33" customFormat="1" ht="15" x14ac:dyDescent="0.25">
      <c r="A209" s="85"/>
      <c r="B209" s="99"/>
      <c r="C209" s="99"/>
      <c r="D209" s="40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54"/>
    </row>
    <row r="210" spans="1:30" s="33" customFormat="1" ht="15" x14ac:dyDescent="0.25">
      <c r="A210" s="85"/>
      <c r="B210" s="99"/>
      <c r="C210" s="99"/>
      <c r="D210" s="40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54"/>
    </row>
    <row r="211" spans="1:30" s="33" customFormat="1" ht="15" x14ac:dyDescent="0.25">
      <c r="A211" s="85"/>
      <c r="B211" s="99"/>
      <c r="C211" s="99"/>
      <c r="D211" s="40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54"/>
    </row>
    <row r="212" spans="1:30" s="110" customFormat="1" ht="31.5" customHeight="1" x14ac:dyDescent="0.5">
      <c r="A212" s="108" t="s">
        <v>474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9"/>
      <c r="M212" s="109"/>
      <c r="Q212" s="169" t="s">
        <v>469</v>
      </c>
      <c r="R212" s="169"/>
      <c r="S212" s="169"/>
      <c r="T212" s="143"/>
      <c r="U212" s="143"/>
      <c r="V212" s="143"/>
      <c r="W212" s="143"/>
      <c r="X212" s="143"/>
      <c r="Y212" s="143"/>
      <c r="Z212" s="154"/>
    </row>
    <row r="213" spans="1:30" s="33" customFormat="1" ht="35.25" customHeight="1" x14ac:dyDescent="0.5">
      <c r="A213" s="114"/>
      <c r="B213" s="114"/>
      <c r="C213" s="114"/>
      <c r="D213" s="115"/>
      <c r="E213" s="116"/>
      <c r="F213" s="116"/>
      <c r="G213" s="116"/>
      <c r="H213" s="116"/>
      <c r="I213" s="116"/>
      <c r="J213" s="116"/>
      <c r="K213" s="116"/>
      <c r="L213" s="116"/>
      <c r="M213" s="117"/>
      <c r="N213" s="116"/>
      <c r="O213" s="116"/>
      <c r="R213" s="116"/>
      <c r="S213" s="117"/>
      <c r="T213" s="116"/>
      <c r="U213" s="116"/>
      <c r="Z213" s="154"/>
      <c r="AA213" s="87"/>
      <c r="AB213" s="87"/>
      <c r="AC213" s="87"/>
      <c r="AD213" s="87"/>
    </row>
    <row r="214" spans="1:30" s="96" customFormat="1" ht="21.75" customHeight="1" x14ac:dyDescent="0.2">
      <c r="A214" s="92"/>
      <c r="B214" s="93"/>
      <c r="C214" s="93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154"/>
    </row>
    <row r="215" spans="1:30" s="33" customFormat="1" ht="22.5" customHeight="1" x14ac:dyDescent="0.25">
      <c r="A215" s="85"/>
      <c r="B215" s="99"/>
      <c r="C215" s="99"/>
      <c r="D215" s="4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9"/>
      <c r="Z215" s="154"/>
    </row>
    <row r="216" spans="1:30" s="33" customFormat="1" ht="22.5" customHeight="1" x14ac:dyDescent="0.25">
      <c r="A216" s="85"/>
      <c r="B216" s="99"/>
      <c r="C216" s="99"/>
      <c r="D216" s="4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9"/>
      <c r="Z216" s="154"/>
    </row>
    <row r="217" spans="1:30" s="33" customFormat="1" ht="22.5" customHeight="1" x14ac:dyDescent="0.25">
      <c r="A217" s="85"/>
      <c r="B217" s="99"/>
      <c r="C217" s="99"/>
      <c r="D217" s="4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9"/>
      <c r="Z217" s="154"/>
    </row>
    <row r="218" spans="1:30" s="33" customFormat="1" ht="22.5" customHeight="1" x14ac:dyDescent="0.25">
      <c r="A218" s="85"/>
      <c r="B218" s="99"/>
      <c r="C218" s="99"/>
      <c r="D218" s="149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9"/>
      <c r="Z218" s="154"/>
    </row>
    <row r="219" spans="1:30" s="33" customFormat="1" ht="22.5" customHeight="1" x14ac:dyDescent="0.25">
      <c r="A219" s="85"/>
      <c r="B219" s="99"/>
      <c r="C219" s="99"/>
      <c r="D219" s="4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9"/>
      <c r="Z219" s="153"/>
    </row>
    <row r="220" spans="1:30" s="33" customFormat="1" ht="22.5" customHeight="1" x14ac:dyDescent="0.25">
      <c r="A220" s="85"/>
      <c r="B220" s="99"/>
      <c r="C220" s="99"/>
      <c r="D220" s="4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9"/>
      <c r="Z220" s="153"/>
    </row>
    <row r="221" spans="1:30" s="33" customFormat="1" ht="22.5" customHeight="1" x14ac:dyDescent="0.25">
      <c r="A221" s="85"/>
      <c r="B221" s="99"/>
      <c r="C221" s="99"/>
      <c r="D221" s="4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9"/>
      <c r="Z221" s="153"/>
    </row>
    <row r="222" spans="1:30" s="33" customFormat="1" ht="22.5" customHeight="1" x14ac:dyDescent="0.25">
      <c r="A222" s="85"/>
      <c r="B222" s="99"/>
      <c r="C222" s="99"/>
      <c r="D222" s="4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9"/>
      <c r="Z222" s="152"/>
    </row>
    <row r="223" spans="1:30" s="33" customFormat="1" ht="22.5" customHeight="1" x14ac:dyDescent="0.25">
      <c r="A223" s="85"/>
      <c r="B223" s="99"/>
      <c r="C223" s="99"/>
      <c r="D223" s="4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9"/>
      <c r="Z223" s="152"/>
    </row>
    <row r="224" spans="1:30" s="33" customFormat="1" ht="22.5" customHeight="1" x14ac:dyDescent="0.25">
      <c r="A224" s="85"/>
      <c r="B224" s="99"/>
      <c r="C224" s="99"/>
      <c r="D224" s="4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9"/>
      <c r="Z224" s="152"/>
    </row>
    <row r="225" spans="1:26" s="33" customFormat="1" x14ac:dyDescent="0.35">
      <c r="A225" s="85"/>
      <c r="B225" s="99"/>
      <c r="C225" s="99"/>
      <c r="D225" s="4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9"/>
      <c r="Z225" s="144"/>
    </row>
    <row r="226" spans="1:26" s="33" customFormat="1" x14ac:dyDescent="0.35">
      <c r="A226" s="85"/>
      <c r="B226" s="99"/>
      <c r="C226" s="99"/>
      <c r="D226" s="4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9"/>
      <c r="Z226" s="144"/>
    </row>
    <row r="227" spans="1:26" s="33" customFormat="1" x14ac:dyDescent="0.35">
      <c r="A227" s="85"/>
      <c r="B227" s="99"/>
      <c r="C227" s="99"/>
      <c r="D227" s="4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9"/>
      <c r="Z227" s="144"/>
    </row>
    <row r="228" spans="1:26" s="33" customFormat="1" x14ac:dyDescent="0.35">
      <c r="A228" s="85"/>
      <c r="B228" s="99"/>
      <c r="C228" s="99"/>
      <c r="D228" s="4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9"/>
      <c r="Z228" s="144"/>
    </row>
    <row r="229" spans="1:26" s="33" customFormat="1" x14ac:dyDescent="0.35">
      <c r="A229" s="85"/>
      <c r="B229" s="99"/>
      <c r="C229" s="99"/>
      <c r="D229" s="4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9"/>
      <c r="Z229" s="144"/>
    </row>
    <row r="230" spans="1:26" s="33" customFormat="1" x14ac:dyDescent="0.35">
      <c r="A230" s="85"/>
      <c r="B230" s="99"/>
      <c r="C230" s="99"/>
      <c r="D230" s="4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9"/>
      <c r="Z230" s="144"/>
    </row>
    <row r="231" spans="1:26" s="33" customFormat="1" x14ac:dyDescent="0.35">
      <c r="A231" s="85"/>
      <c r="B231" s="99"/>
      <c r="C231" s="99"/>
      <c r="D231" s="4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9"/>
      <c r="Z231" s="144"/>
    </row>
    <row r="232" spans="1:26" s="33" customFormat="1" x14ac:dyDescent="0.35">
      <c r="A232" s="85"/>
      <c r="B232" s="99"/>
      <c r="C232" s="99"/>
      <c r="D232" s="4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9"/>
      <c r="Z232" s="144"/>
    </row>
    <row r="233" spans="1:26" s="33" customFormat="1" x14ac:dyDescent="0.35">
      <c r="A233" s="85"/>
      <c r="B233" s="99"/>
      <c r="C233" s="99"/>
      <c r="D233" s="4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9"/>
      <c r="Z233" s="144"/>
    </row>
    <row r="234" spans="1:26" s="33" customFormat="1" x14ac:dyDescent="0.35">
      <c r="A234" s="85"/>
      <c r="B234" s="99"/>
      <c r="C234" s="99"/>
      <c r="D234" s="4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9"/>
      <c r="Z234" s="144"/>
    </row>
    <row r="235" spans="1:26" s="33" customFormat="1" x14ac:dyDescent="0.35">
      <c r="A235" s="85"/>
      <c r="B235" s="99"/>
      <c r="C235" s="99"/>
      <c r="D235" s="4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9"/>
      <c r="Z235" s="144"/>
    </row>
    <row r="236" spans="1:26" s="33" customFormat="1" x14ac:dyDescent="0.35">
      <c r="A236" s="85"/>
      <c r="B236" s="99"/>
      <c r="C236" s="99"/>
      <c r="D236" s="4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9"/>
      <c r="Z236" s="144"/>
    </row>
    <row r="237" spans="1:26" s="33" customFormat="1" x14ac:dyDescent="0.35">
      <c r="A237" s="85"/>
      <c r="B237" s="99"/>
      <c r="C237" s="99"/>
      <c r="D237" s="4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9"/>
      <c r="Z237" s="144"/>
    </row>
    <row r="238" spans="1:26" s="33" customFormat="1" x14ac:dyDescent="0.35">
      <c r="A238" s="85"/>
      <c r="B238" s="99"/>
      <c r="C238" s="99"/>
      <c r="D238" s="4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9"/>
      <c r="Z238" s="144"/>
    </row>
    <row r="239" spans="1:26" s="33" customFormat="1" x14ac:dyDescent="0.35">
      <c r="A239" s="85"/>
      <c r="B239" s="99"/>
      <c r="C239" s="99"/>
      <c r="D239" s="4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9"/>
      <c r="Z239" s="144"/>
    </row>
    <row r="240" spans="1:26" s="33" customFormat="1" x14ac:dyDescent="0.35">
      <c r="A240" s="85"/>
      <c r="B240" s="99"/>
      <c r="C240" s="99"/>
      <c r="D240" s="4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9"/>
      <c r="Z240" s="144"/>
    </row>
    <row r="241" spans="1:26" s="33" customFormat="1" x14ac:dyDescent="0.35">
      <c r="A241" s="85"/>
      <c r="B241" s="99"/>
      <c r="C241" s="99"/>
      <c r="D241" s="4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9"/>
      <c r="Z241" s="144"/>
    </row>
    <row r="242" spans="1:26" s="33" customFormat="1" x14ac:dyDescent="0.35">
      <c r="A242" s="85"/>
      <c r="B242" s="99"/>
      <c r="C242" s="99"/>
      <c r="D242" s="4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9"/>
      <c r="Z242" s="144"/>
    </row>
    <row r="243" spans="1:26" s="33" customFormat="1" x14ac:dyDescent="0.35">
      <c r="A243" s="85"/>
      <c r="B243" s="99"/>
      <c r="C243" s="99"/>
      <c r="D243" s="4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9"/>
      <c r="Z243" s="144"/>
    </row>
    <row r="244" spans="1:26" s="33" customFormat="1" x14ac:dyDescent="0.35">
      <c r="A244" s="85"/>
      <c r="B244" s="99"/>
      <c r="C244" s="99"/>
      <c r="D244" s="4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9"/>
      <c r="Z244" s="144"/>
    </row>
    <row r="245" spans="1:26" s="33" customFormat="1" x14ac:dyDescent="0.35">
      <c r="A245" s="85"/>
      <c r="B245" s="99"/>
      <c r="C245" s="99"/>
      <c r="D245" s="4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9"/>
      <c r="Z245" s="144"/>
    </row>
    <row r="246" spans="1:26" s="33" customFormat="1" x14ac:dyDescent="0.35">
      <c r="A246" s="85"/>
      <c r="B246" s="99"/>
      <c r="C246" s="99"/>
      <c r="D246" s="40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9"/>
      <c r="Z246" s="144"/>
    </row>
    <row r="247" spans="1:26" s="33" customFormat="1" x14ac:dyDescent="0.35">
      <c r="A247" s="85"/>
      <c r="B247" s="99"/>
      <c r="C247" s="99"/>
      <c r="D247" s="40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9"/>
      <c r="Z247" s="144"/>
    </row>
    <row r="248" spans="1:26" s="33" customFormat="1" x14ac:dyDescent="0.35">
      <c r="A248" s="85"/>
      <c r="B248" s="99"/>
      <c r="C248" s="99"/>
      <c r="D248" s="40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9"/>
      <c r="Z248" s="144"/>
    </row>
    <row r="249" spans="1:26" s="33" customFormat="1" x14ac:dyDescent="0.35">
      <c r="A249" s="85"/>
      <c r="B249" s="99"/>
      <c r="C249" s="99"/>
      <c r="D249" s="40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9"/>
      <c r="Z249" s="144"/>
    </row>
    <row r="250" spans="1:26" s="33" customFormat="1" x14ac:dyDescent="0.35">
      <c r="A250" s="85"/>
      <c r="B250" s="99"/>
      <c r="C250" s="99"/>
      <c r="D250" s="40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9"/>
      <c r="Z250" s="144"/>
    </row>
    <row r="251" spans="1:26" s="33" customFormat="1" x14ac:dyDescent="0.35">
      <c r="A251" s="85"/>
      <c r="B251" s="99"/>
      <c r="C251" s="99"/>
      <c r="D251" s="40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9"/>
      <c r="Z251" s="144"/>
    </row>
    <row r="252" spans="1:26" s="33" customFormat="1" x14ac:dyDescent="0.35">
      <c r="A252" s="85"/>
      <c r="B252" s="99"/>
      <c r="C252" s="99"/>
      <c r="D252" s="40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9"/>
      <c r="Z252" s="144"/>
    </row>
    <row r="253" spans="1:26" s="33" customFormat="1" x14ac:dyDescent="0.35">
      <c r="A253" s="85"/>
      <c r="B253" s="99"/>
      <c r="C253" s="99"/>
      <c r="D253" s="40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9"/>
      <c r="Z253" s="144"/>
    </row>
    <row r="254" spans="1:26" s="33" customFormat="1" x14ac:dyDescent="0.35">
      <c r="A254" s="85"/>
      <c r="B254" s="99"/>
      <c r="C254" s="99"/>
      <c r="D254" s="40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9"/>
      <c r="Z254" s="144"/>
    </row>
    <row r="255" spans="1:26" s="33" customFormat="1" x14ac:dyDescent="0.35">
      <c r="A255" s="85"/>
      <c r="B255" s="99"/>
      <c r="C255" s="99"/>
      <c r="D255" s="40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9"/>
      <c r="Z255" s="144"/>
    </row>
    <row r="256" spans="1:26" s="33" customFormat="1" x14ac:dyDescent="0.35">
      <c r="A256" s="85"/>
      <c r="B256" s="99"/>
      <c r="C256" s="99"/>
      <c r="D256" s="40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9"/>
      <c r="Z256" s="144"/>
    </row>
    <row r="257" spans="1:26" s="33" customFormat="1" x14ac:dyDescent="0.35">
      <c r="A257" s="85"/>
      <c r="B257" s="99"/>
      <c r="C257" s="99"/>
      <c r="D257" s="40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9"/>
      <c r="Z257" s="144"/>
    </row>
    <row r="258" spans="1:26" s="33" customFormat="1" x14ac:dyDescent="0.35">
      <c r="A258" s="85"/>
      <c r="B258" s="99"/>
      <c r="C258" s="99"/>
      <c r="D258" s="40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9"/>
      <c r="Z258" s="144"/>
    </row>
    <row r="259" spans="1:26" s="33" customFormat="1" x14ac:dyDescent="0.35">
      <c r="A259" s="85"/>
      <c r="B259" s="99"/>
      <c r="C259" s="99"/>
      <c r="D259" s="40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9"/>
      <c r="Z259" s="144"/>
    </row>
    <row r="260" spans="1:26" s="33" customFormat="1" x14ac:dyDescent="0.35">
      <c r="A260" s="85"/>
      <c r="B260" s="99"/>
      <c r="C260" s="99"/>
      <c r="D260" s="40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9"/>
      <c r="Z260" s="144"/>
    </row>
    <row r="261" spans="1:26" s="33" customFormat="1" x14ac:dyDescent="0.35">
      <c r="A261" s="85"/>
      <c r="B261" s="99"/>
      <c r="C261" s="99"/>
      <c r="D261" s="40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9"/>
      <c r="Z261" s="144"/>
    </row>
    <row r="262" spans="1:26" s="33" customFormat="1" x14ac:dyDescent="0.35">
      <c r="A262" s="85"/>
      <c r="B262" s="99"/>
      <c r="C262" s="99"/>
      <c r="D262" s="40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9"/>
      <c r="Z262" s="144"/>
    </row>
    <row r="263" spans="1:26" s="33" customFormat="1" x14ac:dyDescent="0.35">
      <c r="A263" s="85"/>
      <c r="B263" s="99"/>
      <c r="C263" s="99"/>
      <c r="D263" s="40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9"/>
      <c r="Z263" s="144"/>
    </row>
    <row r="264" spans="1:26" s="33" customFormat="1" x14ac:dyDescent="0.35">
      <c r="A264" s="85"/>
      <c r="B264" s="99"/>
      <c r="C264" s="99"/>
      <c r="D264" s="40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9"/>
      <c r="Z264" s="144"/>
    </row>
    <row r="265" spans="1:26" s="33" customFormat="1" x14ac:dyDescent="0.35">
      <c r="A265" s="85"/>
      <c r="B265" s="99"/>
      <c r="C265" s="99"/>
      <c r="D265" s="40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9"/>
      <c r="Z265" s="144"/>
    </row>
    <row r="266" spans="1:26" s="33" customFormat="1" x14ac:dyDescent="0.35">
      <c r="A266" s="85"/>
      <c r="B266" s="99"/>
      <c r="C266" s="99"/>
      <c r="D266" s="40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9"/>
      <c r="Z266" s="144"/>
    </row>
    <row r="267" spans="1:26" s="33" customFormat="1" x14ac:dyDescent="0.35">
      <c r="A267" s="85"/>
      <c r="B267" s="99"/>
      <c r="C267" s="99"/>
      <c r="D267" s="40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9"/>
      <c r="Z267" s="144"/>
    </row>
    <row r="268" spans="1:26" s="33" customFormat="1" x14ac:dyDescent="0.35">
      <c r="A268" s="85"/>
      <c r="B268" s="99"/>
      <c r="C268" s="99"/>
      <c r="D268" s="40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9"/>
      <c r="Z268" s="144"/>
    </row>
    <row r="269" spans="1:26" s="33" customFormat="1" x14ac:dyDescent="0.35">
      <c r="A269" s="85"/>
      <c r="B269" s="99"/>
      <c r="C269" s="99"/>
      <c r="D269" s="40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9"/>
      <c r="Z269" s="144"/>
    </row>
    <row r="270" spans="1:26" s="33" customFormat="1" x14ac:dyDescent="0.35">
      <c r="A270" s="85"/>
      <c r="B270" s="99"/>
      <c r="C270" s="99"/>
      <c r="D270" s="40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9"/>
      <c r="Z270" s="144"/>
    </row>
    <row r="271" spans="1:26" s="33" customFormat="1" x14ac:dyDescent="0.35">
      <c r="A271" s="85"/>
      <c r="B271" s="99"/>
      <c r="C271" s="99"/>
      <c r="D271" s="40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9"/>
      <c r="Z271" s="144"/>
    </row>
    <row r="272" spans="1:26" s="33" customFormat="1" x14ac:dyDescent="0.35">
      <c r="A272" s="85"/>
      <c r="B272" s="99"/>
      <c r="C272" s="99"/>
      <c r="D272" s="40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9"/>
      <c r="Z272" s="144"/>
    </row>
    <row r="273" spans="1:26" s="33" customFormat="1" x14ac:dyDescent="0.35">
      <c r="A273" s="85"/>
      <c r="B273" s="99"/>
      <c r="C273" s="99"/>
      <c r="D273" s="40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9"/>
      <c r="Z273" s="144"/>
    </row>
    <row r="274" spans="1:26" s="33" customFormat="1" x14ac:dyDescent="0.35">
      <c r="A274" s="85"/>
      <c r="B274" s="99"/>
      <c r="C274" s="99"/>
      <c r="D274" s="40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9"/>
      <c r="Z274" s="144"/>
    </row>
    <row r="275" spans="1:26" s="33" customFormat="1" x14ac:dyDescent="0.35">
      <c r="A275" s="85"/>
      <c r="B275" s="99"/>
      <c r="C275" s="99"/>
      <c r="D275" s="40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9"/>
      <c r="Z275" s="144"/>
    </row>
    <row r="276" spans="1:26" s="33" customFormat="1" x14ac:dyDescent="0.35">
      <c r="A276" s="85"/>
      <c r="B276" s="99"/>
      <c r="C276" s="99"/>
      <c r="D276" s="40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9"/>
      <c r="Z276" s="144"/>
    </row>
    <row r="277" spans="1:26" s="33" customFormat="1" x14ac:dyDescent="0.35">
      <c r="A277" s="85"/>
      <c r="B277" s="99"/>
      <c r="C277" s="99"/>
      <c r="D277" s="40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9"/>
      <c r="Z277" s="144"/>
    </row>
    <row r="278" spans="1:26" s="33" customFormat="1" x14ac:dyDescent="0.35">
      <c r="A278" s="85"/>
      <c r="B278" s="99"/>
      <c r="C278" s="99"/>
      <c r="D278" s="40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9"/>
      <c r="Z278" s="144"/>
    </row>
    <row r="279" spans="1:26" s="33" customFormat="1" x14ac:dyDescent="0.35">
      <c r="A279" s="85"/>
      <c r="B279" s="99"/>
      <c r="C279" s="99"/>
      <c r="D279" s="40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9"/>
      <c r="Z279" s="144"/>
    </row>
    <row r="280" spans="1:26" s="33" customFormat="1" x14ac:dyDescent="0.35">
      <c r="A280" s="85"/>
      <c r="B280" s="99"/>
      <c r="C280" s="99"/>
      <c r="D280" s="40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9"/>
      <c r="Z280" s="144"/>
    </row>
    <row r="281" spans="1:26" s="33" customFormat="1" x14ac:dyDescent="0.35">
      <c r="A281" s="85"/>
      <c r="B281" s="99"/>
      <c r="C281" s="99"/>
      <c r="D281" s="40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9"/>
      <c r="Z281" s="144"/>
    </row>
    <row r="282" spans="1:26" s="33" customFormat="1" x14ac:dyDescent="0.35">
      <c r="A282" s="85"/>
      <c r="B282" s="99"/>
      <c r="C282" s="99"/>
      <c r="D282" s="40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  <c r="Z282" s="144"/>
    </row>
    <row r="283" spans="1:26" s="33" customFormat="1" x14ac:dyDescent="0.35">
      <c r="A283" s="85"/>
      <c r="B283" s="99"/>
      <c r="C283" s="99"/>
      <c r="D283" s="40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9"/>
      <c r="Z283" s="144"/>
    </row>
    <row r="284" spans="1:26" s="33" customFormat="1" x14ac:dyDescent="0.35">
      <c r="A284" s="85"/>
      <c r="B284" s="99"/>
      <c r="C284" s="99"/>
      <c r="D284" s="40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9"/>
      <c r="Z284" s="144"/>
    </row>
    <row r="285" spans="1:26" s="33" customFormat="1" x14ac:dyDescent="0.35">
      <c r="A285" s="85"/>
      <c r="B285" s="99"/>
      <c r="C285" s="99"/>
      <c r="D285" s="40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9"/>
      <c r="Z285" s="144"/>
    </row>
    <row r="286" spans="1:26" s="33" customFormat="1" x14ac:dyDescent="0.35">
      <c r="A286" s="85"/>
      <c r="B286" s="99"/>
      <c r="C286" s="99"/>
      <c r="D286" s="40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9"/>
      <c r="Z286" s="144"/>
    </row>
    <row r="287" spans="1:26" s="33" customFormat="1" x14ac:dyDescent="0.35">
      <c r="A287" s="85"/>
      <c r="B287" s="99"/>
      <c r="C287" s="99"/>
      <c r="D287" s="40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9"/>
      <c r="Z287" s="144"/>
    </row>
    <row r="288" spans="1:26" s="33" customFormat="1" x14ac:dyDescent="0.35">
      <c r="A288" s="85"/>
      <c r="B288" s="99"/>
      <c r="C288" s="99"/>
      <c r="D288" s="40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9"/>
      <c r="Z288" s="144"/>
    </row>
    <row r="289" spans="1:26" s="33" customFormat="1" x14ac:dyDescent="0.35">
      <c r="A289" s="85"/>
      <c r="B289" s="99"/>
      <c r="C289" s="99"/>
      <c r="D289" s="40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9"/>
      <c r="Z289" s="144"/>
    </row>
    <row r="290" spans="1:26" s="33" customFormat="1" x14ac:dyDescent="0.35">
      <c r="A290" s="85"/>
      <c r="B290" s="99"/>
      <c r="C290" s="99"/>
      <c r="D290" s="40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9"/>
      <c r="Z290" s="144"/>
    </row>
    <row r="291" spans="1:26" s="33" customFormat="1" x14ac:dyDescent="0.35">
      <c r="A291" s="85"/>
      <c r="B291" s="99"/>
      <c r="C291" s="99"/>
      <c r="D291" s="40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9"/>
      <c r="Z291" s="144"/>
    </row>
    <row r="292" spans="1:26" s="33" customFormat="1" x14ac:dyDescent="0.35">
      <c r="A292" s="85"/>
      <c r="B292" s="99"/>
      <c r="C292" s="99"/>
      <c r="D292" s="40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9"/>
      <c r="Z292" s="144"/>
    </row>
    <row r="293" spans="1:26" s="33" customFormat="1" x14ac:dyDescent="0.35">
      <c r="A293" s="85"/>
      <c r="B293" s="99"/>
      <c r="C293" s="99"/>
      <c r="D293" s="40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9"/>
      <c r="Z293" s="144"/>
    </row>
    <row r="294" spans="1:26" s="33" customFormat="1" x14ac:dyDescent="0.35">
      <c r="A294" s="85"/>
      <c r="B294" s="99"/>
      <c r="C294" s="99"/>
      <c r="D294" s="40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9"/>
      <c r="Z294" s="144"/>
    </row>
    <row r="295" spans="1:26" s="33" customFormat="1" x14ac:dyDescent="0.35">
      <c r="A295" s="85"/>
      <c r="B295" s="99"/>
      <c r="C295" s="99"/>
      <c r="D295" s="40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9"/>
      <c r="Z295" s="144"/>
    </row>
    <row r="296" spans="1:26" s="33" customFormat="1" x14ac:dyDescent="0.35">
      <c r="A296" s="85"/>
      <c r="B296" s="99"/>
      <c r="C296" s="99"/>
      <c r="D296" s="40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9"/>
      <c r="Z296" s="144"/>
    </row>
    <row r="297" spans="1:26" s="33" customFormat="1" x14ac:dyDescent="0.35">
      <c r="A297" s="85"/>
      <c r="B297" s="99"/>
      <c r="C297" s="99"/>
      <c r="D297" s="40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9"/>
      <c r="Z297" s="144"/>
    </row>
    <row r="298" spans="1:26" s="33" customFormat="1" x14ac:dyDescent="0.35">
      <c r="A298" s="85"/>
      <c r="B298" s="99"/>
      <c r="C298" s="99"/>
      <c r="D298" s="40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9"/>
      <c r="Z298" s="144"/>
    </row>
    <row r="299" spans="1:26" s="33" customFormat="1" x14ac:dyDescent="0.35">
      <c r="A299" s="85"/>
      <c r="B299" s="99"/>
      <c r="C299" s="99"/>
      <c r="D299" s="40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9"/>
      <c r="Z299" s="144"/>
    </row>
    <row r="300" spans="1:26" s="33" customFormat="1" x14ac:dyDescent="0.35">
      <c r="A300" s="85"/>
      <c r="B300" s="99"/>
      <c r="C300" s="99"/>
      <c r="D300" s="40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9"/>
      <c r="Z300" s="144"/>
    </row>
    <row r="301" spans="1:26" s="33" customFormat="1" x14ac:dyDescent="0.35">
      <c r="A301" s="85"/>
      <c r="B301" s="99"/>
      <c r="C301" s="99"/>
      <c r="D301" s="40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9"/>
      <c r="Z301" s="144"/>
    </row>
    <row r="302" spans="1:26" s="33" customFormat="1" x14ac:dyDescent="0.35">
      <c r="A302" s="85"/>
      <c r="B302" s="99"/>
      <c r="C302" s="99"/>
      <c r="D302" s="40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9"/>
      <c r="Z302" s="144"/>
    </row>
    <row r="303" spans="1:26" s="33" customFormat="1" x14ac:dyDescent="0.35">
      <c r="A303" s="85"/>
      <c r="B303" s="99"/>
      <c r="C303" s="99"/>
      <c r="D303" s="40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9"/>
      <c r="Z303" s="144"/>
    </row>
    <row r="304" spans="1:26" s="33" customFormat="1" x14ac:dyDescent="0.35">
      <c r="A304" s="85"/>
      <c r="B304" s="99"/>
      <c r="C304" s="99"/>
      <c r="D304" s="40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9"/>
      <c r="Z304" s="144"/>
    </row>
    <row r="305" spans="1:26" s="33" customFormat="1" x14ac:dyDescent="0.35">
      <c r="A305" s="85"/>
      <c r="B305" s="99"/>
      <c r="C305" s="99"/>
      <c r="D305" s="40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9"/>
      <c r="Z305" s="144"/>
    </row>
    <row r="306" spans="1:26" s="33" customFormat="1" x14ac:dyDescent="0.35">
      <c r="A306" s="85"/>
      <c r="B306" s="99"/>
      <c r="C306" s="99"/>
      <c r="D306" s="40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9"/>
      <c r="Z306" s="144"/>
    </row>
    <row r="307" spans="1:26" s="33" customFormat="1" x14ac:dyDescent="0.35">
      <c r="A307" s="85"/>
      <c r="B307" s="99"/>
      <c r="C307" s="99"/>
      <c r="D307" s="40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9"/>
      <c r="Z307" s="144"/>
    </row>
    <row r="308" spans="1:26" s="33" customFormat="1" x14ac:dyDescent="0.35">
      <c r="A308" s="85"/>
      <c r="B308" s="99"/>
      <c r="C308" s="99"/>
      <c r="D308" s="40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9"/>
      <c r="Z308" s="144"/>
    </row>
    <row r="309" spans="1:26" s="33" customFormat="1" x14ac:dyDescent="0.35">
      <c r="A309" s="85"/>
      <c r="B309" s="99"/>
      <c r="C309" s="99"/>
      <c r="D309" s="40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9"/>
      <c r="Z309" s="144"/>
    </row>
    <row r="310" spans="1:26" s="33" customFormat="1" x14ac:dyDescent="0.35">
      <c r="A310" s="85"/>
      <c r="B310" s="99"/>
      <c r="C310" s="99"/>
      <c r="D310" s="40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9"/>
      <c r="Z310" s="144"/>
    </row>
    <row r="311" spans="1:26" s="33" customFormat="1" x14ac:dyDescent="0.35">
      <c r="A311" s="85"/>
      <c r="B311" s="99"/>
      <c r="C311" s="99"/>
      <c r="D311" s="40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9"/>
      <c r="Z311" s="144"/>
    </row>
    <row r="312" spans="1:26" s="33" customFormat="1" x14ac:dyDescent="0.35">
      <c r="A312" s="85"/>
      <c r="B312" s="99"/>
      <c r="C312" s="99"/>
      <c r="D312" s="40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9"/>
      <c r="Z312" s="144"/>
    </row>
    <row r="313" spans="1:26" s="33" customFormat="1" x14ac:dyDescent="0.35">
      <c r="A313" s="85"/>
      <c r="B313" s="99"/>
      <c r="C313" s="99"/>
      <c r="D313" s="40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9"/>
      <c r="Z313" s="144"/>
    </row>
    <row r="314" spans="1:26" s="33" customFormat="1" x14ac:dyDescent="0.35">
      <c r="A314" s="85"/>
      <c r="B314" s="99"/>
      <c r="C314" s="99"/>
      <c r="D314" s="40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9"/>
      <c r="Z314" s="144"/>
    </row>
    <row r="315" spans="1:26" s="33" customFormat="1" x14ac:dyDescent="0.35">
      <c r="A315" s="85"/>
      <c r="B315" s="99"/>
      <c r="C315" s="99"/>
      <c r="D315" s="40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9"/>
      <c r="Z315" s="144"/>
    </row>
    <row r="316" spans="1:26" s="33" customFormat="1" x14ac:dyDescent="0.35">
      <c r="A316" s="85"/>
      <c r="B316" s="99"/>
      <c r="C316" s="99"/>
      <c r="D316" s="40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9"/>
      <c r="Z316" s="144"/>
    </row>
    <row r="317" spans="1:26" s="33" customFormat="1" x14ac:dyDescent="0.35">
      <c r="A317" s="85"/>
      <c r="B317" s="99"/>
      <c r="C317" s="99"/>
      <c r="D317" s="40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9"/>
      <c r="Z317" s="144"/>
    </row>
    <row r="318" spans="1:26" s="33" customFormat="1" x14ac:dyDescent="0.35">
      <c r="A318" s="85"/>
      <c r="B318" s="99"/>
      <c r="C318" s="99"/>
      <c r="D318" s="40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  <c r="Z318" s="144"/>
    </row>
    <row r="319" spans="1:26" s="33" customFormat="1" x14ac:dyDescent="0.35">
      <c r="A319" s="85"/>
      <c r="B319" s="99"/>
      <c r="C319" s="99"/>
      <c r="D319" s="40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9"/>
      <c r="Z319" s="144"/>
    </row>
    <row r="320" spans="1:26" s="33" customFormat="1" x14ac:dyDescent="0.35">
      <c r="A320" s="85"/>
      <c r="B320" s="99"/>
      <c r="C320" s="99"/>
      <c r="D320" s="40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9"/>
      <c r="Z320" s="144"/>
    </row>
    <row r="321" spans="1:26" s="33" customFormat="1" x14ac:dyDescent="0.35">
      <c r="A321" s="85"/>
      <c r="B321" s="99"/>
      <c r="C321" s="99"/>
      <c r="D321" s="40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9"/>
      <c r="Z321" s="144"/>
    </row>
    <row r="322" spans="1:26" s="33" customFormat="1" x14ac:dyDescent="0.35">
      <c r="A322" s="85"/>
      <c r="B322" s="99"/>
      <c r="C322" s="99"/>
      <c r="D322" s="40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9"/>
      <c r="Z322" s="144"/>
    </row>
    <row r="323" spans="1:26" s="33" customFormat="1" x14ac:dyDescent="0.35">
      <c r="A323" s="85"/>
      <c r="B323" s="99"/>
      <c r="C323" s="99"/>
      <c r="D323" s="40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9"/>
      <c r="Z323" s="144"/>
    </row>
    <row r="324" spans="1:26" s="33" customFormat="1" x14ac:dyDescent="0.35">
      <c r="A324" s="85"/>
      <c r="B324" s="99"/>
      <c r="C324" s="99"/>
      <c r="D324" s="40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9"/>
      <c r="Z324" s="144"/>
    </row>
    <row r="325" spans="1:26" s="33" customFormat="1" x14ac:dyDescent="0.35">
      <c r="A325" s="85"/>
      <c r="B325" s="99"/>
      <c r="C325" s="99"/>
      <c r="D325" s="40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9"/>
      <c r="Z325" s="144"/>
    </row>
    <row r="326" spans="1:26" s="33" customFormat="1" x14ac:dyDescent="0.35">
      <c r="A326" s="85"/>
      <c r="B326" s="99"/>
      <c r="C326" s="99"/>
      <c r="D326" s="40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9"/>
      <c r="Z326" s="144"/>
    </row>
    <row r="327" spans="1:26" s="33" customFormat="1" x14ac:dyDescent="0.35">
      <c r="A327" s="85"/>
      <c r="B327" s="99"/>
      <c r="C327" s="99"/>
      <c r="D327" s="40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9"/>
      <c r="Z327" s="144"/>
    </row>
    <row r="328" spans="1:26" s="33" customFormat="1" x14ac:dyDescent="0.35">
      <c r="A328" s="85"/>
      <c r="B328" s="99"/>
      <c r="C328" s="99"/>
      <c r="D328" s="40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9"/>
      <c r="Z328" s="144"/>
    </row>
    <row r="329" spans="1:26" s="33" customFormat="1" x14ac:dyDescent="0.35">
      <c r="A329" s="85"/>
      <c r="B329" s="99"/>
      <c r="C329" s="99"/>
      <c r="D329" s="40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9"/>
      <c r="Z329" s="144"/>
    </row>
    <row r="330" spans="1:26" s="33" customFormat="1" x14ac:dyDescent="0.35">
      <c r="A330" s="85"/>
      <c r="B330" s="99"/>
      <c r="C330" s="99"/>
      <c r="D330" s="40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9"/>
      <c r="Z330" s="144"/>
    </row>
    <row r="331" spans="1:26" s="33" customFormat="1" x14ac:dyDescent="0.35">
      <c r="A331" s="85"/>
      <c r="B331" s="99"/>
      <c r="C331" s="99"/>
      <c r="D331" s="40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9"/>
      <c r="Z331" s="144"/>
    </row>
    <row r="332" spans="1:26" s="33" customFormat="1" x14ac:dyDescent="0.35">
      <c r="A332" s="85"/>
      <c r="B332" s="99"/>
      <c r="C332" s="99"/>
      <c r="D332" s="40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9"/>
      <c r="Z332" s="144"/>
    </row>
    <row r="333" spans="1:26" s="33" customFormat="1" x14ac:dyDescent="0.35">
      <c r="A333" s="85"/>
      <c r="B333" s="99"/>
      <c r="C333" s="99"/>
      <c r="D333" s="40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9"/>
      <c r="Z333" s="144"/>
    </row>
    <row r="334" spans="1:26" s="33" customFormat="1" x14ac:dyDescent="0.35">
      <c r="A334" s="85"/>
      <c r="B334" s="99"/>
      <c r="C334" s="99"/>
      <c r="D334" s="40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9"/>
      <c r="Z334" s="144"/>
    </row>
    <row r="335" spans="1:26" s="33" customFormat="1" x14ac:dyDescent="0.35">
      <c r="A335" s="85"/>
      <c r="B335" s="99"/>
      <c r="C335" s="99"/>
      <c r="D335" s="40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9"/>
      <c r="Z335" s="144"/>
    </row>
    <row r="336" spans="1:26" s="33" customFormat="1" x14ac:dyDescent="0.35">
      <c r="A336" s="85"/>
      <c r="B336" s="99"/>
      <c r="C336" s="99"/>
      <c r="D336" s="40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9"/>
      <c r="Z336" s="144"/>
    </row>
    <row r="337" spans="1:26" s="33" customFormat="1" x14ac:dyDescent="0.35">
      <c r="A337" s="85"/>
      <c r="B337" s="99"/>
      <c r="C337" s="99"/>
      <c r="D337" s="40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9"/>
      <c r="Z337" s="144"/>
    </row>
    <row r="338" spans="1:26" s="33" customFormat="1" x14ac:dyDescent="0.35">
      <c r="A338" s="85"/>
      <c r="B338" s="99"/>
      <c r="C338" s="99"/>
      <c r="D338" s="40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9"/>
      <c r="Z338" s="144"/>
    </row>
    <row r="339" spans="1:26" s="33" customFormat="1" x14ac:dyDescent="0.35">
      <c r="A339" s="85"/>
      <c r="B339" s="99"/>
      <c r="C339" s="99"/>
      <c r="D339" s="40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9"/>
      <c r="Z339" s="144"/>
    </row>
    <row r="340" spans="1:26" s="33" customFormat="1" x14ac:dyDescent="0.35">
      <c r="A340" s="85"/>
      <c r="B340" s="99"/>
      <c r="C340" s="99"/>
      <c r="D340" s="40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9"/>
      <c r="Z340" s="144"/>
    </row>
    <row r="341" spans="1:26" s="33" customFormat="1" x14ac:dyDescent="0.35">
      <c r="A341" s="85"/>
      <c r="B341" s="99"/>
      <c r="C341" s="99"/>
      <c r="D341" s="40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9"/>
      <c r="Z341" s="144"/>
    </row>
    <row r="342" spans="1:26" s="33" customFormat="1" x14ac:dyDescent="0.35">
      <c r="A342" s="85"/>
      <c r="B342" s="99"/>
      <c r="C342" s="99"/>
      <c r="D342" s="40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9"/>
      <c r="Z342" s="144"/>
    </row>
    <row r="343" spans="1:26" s="33" customFormat="1" x14ac:dyDescent="0.35">
      <c r="A343" s="85"/>
      <c r="B343" s="99"/>
      <c r="C343" s="99"/>
      <c r="D343" s="40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9"/>
      <c r="Z343" s="144"/>
    </row>
    <row r="344" spans="1:26" s="33" customFormat="1" x14ac:dyDescent="0.35">
      <c r="A344" s="85"/>
      <c r="B344" s="99"/>
      <c r="C344" s="99"/>
      <c r="D344" s="40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9"/>
      <c r="Z344" s="144"/>
    </row>
    <row r="345" spans="1:26" s="33" customFormat="1" x14ac:dyDescent="0.35">
      <c r="A345" s="85"/>
      <c r="B345" s="99"/>
      <c r="C345" s="99"/>
      <c r="D345" s="40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9"/>
      <c r="Z345" s="144"/>
    </row>
    <row r="346" spans="1:26" s="33" customFormat="1" x14ac:dyDescent="0.35">
      <c r="A346" s="85"/>
      <c r="B346" s="99"/>
      <c r="C346" s="99"/>
      <c r="D346" s="40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9"/>
      <c r="Z346" s="144"/>
    </row>
    <row r="347" spans="1:26" s="33" customFormat="1" x14ac:dyDescent="0.35">
      <c r="A347" s="85"/>
      <c r="B347" s="99"/>
      <c r="C347" s="99"/>
      <c r="D347" s="40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9"/>
      <c r="Z347" s="144"/>
    </row>
    <row r="348" spans="1:26" s="33" customFormat="1" x14ac:dyDescent="0.35">
      <c r="A348" s="85"/>
      <c r="B348" s="99"/>
      <c r="C348" s="99"/>
      <c r="D348" s="40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9"/>
      <c r="Z348" s="144"/>
    </row>
    <row r="349" spans="1:26" s="33" customFormat="1" x14ac:dyDescent="0.35">
      <c r="A349" s="85"/>
      <c r="B349" s="99"/>
      <c r="C349" s="99"/>
      <c r="D349" s="40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9"/>
      <c r="Z349" s="144"/>
    </row>
    <row r="350" spans="1:26" s="33" customFormat="1" x14ac:dyDescent="0.35">
      <c r="A350" s="85"/>
      <c r="B350" s="99"/>
      <c r="C350" s="99"/>
      <c r="D350" s="40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9"/>
      <c r="Z350" s="144"/>
    </row>
    <row r="351" spans="1:26" s="33" customFormat="1" x14ac:dyDescent="0.35">
      <c r="A351" s="85"/>
      <c r="B351" s="99"/>
      <c r="C351" s="99"/>
      <c r="D351" s="40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9"/>
      <c r="Z351" s="144"/>
    </row>
    <row r="352" spans="1:26" s="33" customFormat="1" x14ac:dyDescent="0.35">
      <c r="A352" s="85"/>
      <c r="B352" s="99"/>
      <c r="C352" s="99"/>
      <c r="D352" s="40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9"/>
      <c r="Z352" s="144"/>
    </row>
    <row r="353" spans="1:26" s="33" customFormat="1" x14ac:dyDescent="0.35">
      <c r="A353" s="85"/>
      <c r="B353" s="99"/>
      <c r="C353" s="99"/>
      <c r="D353" s="40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9"/>
      <c r="Z353" s="144"/>
    </row>
    <row r="354" spans="1:26" s="33" customFormat="1" x14ac:dyDescent="0.35">
      <c r="A354" s="85"/>
      <c r="B354" s="99"/>
      <c r="C354" s="99"/>
      <c r="D354" s="40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9"/>
      <c r="Z354" s="144"/>
    </row>
    <row r="355" spans="1:26" s="33" customFormat="1" x14ac:dyDescent="0.35">
      <c r="A355" s="85"/>
      <c r="B355" s="99"/>
      <c r="C355" s="99"/>
      <c r="D355" s="40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9"/>
      <c r="Z355" s="144"/>
    </row>
    <row r="356" spans="1:26" s="33" customFormat="1" x14ac:dyDescent="0.35">
      <c r="A356" s="85"/>
      <c r="B356" s="99"/>
      <c r="C356" s="99"/>
      <c r="D356" s="40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9"/>
      <c r="Z356" s="144"/>
    </row>
    <row r="357" spans="1:26" s="33" customFormat="1" x14ac:dyDescent="0.35">
      <c r="A357" s="85"/>
      <c r="B357" s="99"/>
      <c r="C357" s="99"/>
      <c r="D357" s="40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9"/>
      <c r="Z357" s="144"/>
    </row>
    <row r="358" spans="1:26" s="33" customFormat="1" x14ac:dyDescent="0.35">
      <c r="A358" s="85"/>
      <c r="B358" s="99"/>
      <c r="C358" s="99"/>
      <c r="D358" s="40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9"/>
      <c r="Z358" s="144"/>
    </row>
    <row r="359" spans="1:26" s="33" customFormat="1" x14ac:dyDescent="0.35">
      <c r="A359" s="85"/>
      <c r="B359" s="99"/>
      <c r="C359" s="99"/>
      <c r="D359" s="40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9"/>
      <c r="Z359" s="144"/>
    </row>
    <row r="360" spans="1:26" s="33" customFormat="1" x14ac:dyDescent="0.35">
      <c r="A360" s="85"/>
      <c r="B360" s="99"/>
      <c r="C360" s="99"/>
      <c r="D360" s="40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9"/>
      <c r="Z360" s="144"/>
    </row>
    <row r="361" spans="1:26" s="33" customFormat="1" x14ac:dyDescent="0.35">
      <c r="A361" s="85"/>
      <c r="B361" s="99"/>
      <c r="C361" s="99"/>
      <c r="D361" s="40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9"/>
      <c r="Z361" s="144"/>
    </row>
    <row r="362" spans="1:26" s="33" customFormat="1" x14ac:dyDescent="0.35">
      <c r="A362" s="85"/>
      <c r="B362" s="99"/>
      <c r="C362" s="99"/>
      <c r="D362" s="40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9"/>
      <c r="Z362" s="144"/>
    </row>
    <row r="363" spans="1:26" s="33" customFormat="1" x14ac:dyDescent="0.35">
      <c r="A363" s="85"/>
      <c r="B363" s="99"/>
      <c r="C363" s="99"/>
      <c r="D363" s="40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9"/>
      <c r="Z363" s="144"/>
    </row>
    <row r="364" spans="1:26" s="33" customFormat="1" x14ac:dyDescent="0.35">
      <c r="A364" s="85"/>
      <c r="B364" s="99"/>
      <c r="C364" s="99"/>
      <c r="D364" s="40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9"/>
      <c r="Z364" s="144"/>
    </row>
    <row r="365" spans="1:26" s="33" customFormat="1" x14ac:dyDescent="0.35">
      <c r="A365" s="85"/>
      <c r="B365" s="99"/>
      <c r="C365" s="99"/>
      <c r="D365" s="40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9"/>
      <c r="Z365" s="144"/>
    </row>
    <row r="366" spans="1:26" s="33" customFormat="1" x14ac:dyDescent="0.35">
      <c r="A366" s="85"/>
      <c r="B366" s="99"/>
      <c r="C366" s="99"/>
      <c r="D366" s="40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9"/>
      <c r="Z366" s="144"/>
    </row>
    <row r="367" spans="1:26" s="33" customFormat="1" x14ac:dyDescent="0.35">
      <c r="A367" s="85"/>
      <c r="B367" s="99"/>
      <c r="C367" s="99"/>
      <c r="D367" s="40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9"/>
      <c r="Z367" s="144"/>
    </row>
    <row r="368" spans="1:26" s="33" customFormat="1" x14ac:dyDescent="0.35">
      <c r="A368" s="85"/>
      <c r="B368" s="99"/>
      <c r="C368" s="99"/>
      <c r="D368" s="40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9"/>
      <c r="Z368" s="144"/>
    </row>
    <row r="369" spans="1:26" s="33" customFormat="1" x14ac:dyDescent="0.35">
      <c r="A369" s="85"/>
      <c r="B369" s="99"/>
      <c r="C369" s="99"/>
      <c r="D369" s="40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9"/>
      <c r="Z369" s="144"/>
    </row>
    <row r="370" spans="1:26" s="33" customFormat="1" x14ac:dyDescent="0.35">
      <c r="A370" s="85"/>
      <c r="B370" s="99"/>
      <c r="C370" s="99"/>
      <c r="D370" s="40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9"/>
      <c r="Z370" s="144"/>
    </row>
    <row r="371" spans="1:26" s="33" customFormat="1" x14ac:dyDescent="0.35">
      <c r="A371" s="85"/>
      <c r="B371" s="99"/>
      <c r="C371" s="99"/>
      <c r="D371" s="40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9"/>
      <c r="Z371" s="144"/>
    </row>
    <row r="372" spans="1:26" s="33" customFormat="1" x14ac:dyDescent="0.35">
      <c r="A372" s="85"/>
      <c r="B372" s="99"/>
      <c r="C372" s="99"/>
      <c r="D372" s="40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9"/>
      <c r="Z372" s="144"/>
    </row>
    <row r="373" spans="1:26" s="33" customFormat="1" x14ac:dyDescent="0.35">
      <c r="A373" s="85"/>
      <c r="B373" s="99"/>
      <c r="C373" s="99"/>
      <c r="D373" s="40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9"/>
      <c r="Z373" s="144"/>
    </row>
    <row r="374" spans="1:26" s="33" customFormat="1" x14ac:dyDescent="0.35">
      <c r="A374" s="85"/>
      <c r="B374" s="99"/>
      <c r="C374" s="99"/>
      <c r="D374" s="40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9"/>
      <c r="Z374" s="144"/>
    </row>
    <row r="375" spans="1:26" s="33" customFormat="1" x14ac:dyDescent="0.35">
      <c r="A375" s="85"/>
      <c r="B375" s="99"/>
      <c r="C375" s="99"/>
      <c r="D375" s="40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9"/>
      <c r="Z375" s="144"/>
    </row>
    <row r="376" spans="1:26" s="33" customFormat="1" x14ac:dyDescent="0.35">
      <c r="A376" s="85"/>
      <c r="B376" s="99"/>
      <c r="C376" s="99"/>
      <c r="D376" s="40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9"/>
      <c r="Z376" s="144"/>
    </row>
    <row r="377" spans="1:26" s="33" customFormat="1" x14ac:dyDescent="0.35">
      <c r="A377" s="85"/>
      <c r="B377" s="99"/>
      <c r="C377" s="99"/>
      <c r="D377" s="40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9"/>
      <c r="Z377" s="144"/>
    </row>
    <row r="378" spans="1:26" s="33" customFormat="1" x14ac:dyDescent="0.35">
      <c r="A378" s="85"/>
      <c r="B378" s="99"/>
      <c r="C378" s="99"/>
      <c r="D378" s="40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9"/>
      <c r="Z378" s="144"/>
    </row>
    <row r="379" spans="1:26" s="33" customFormat="1" x14ac:dyDescent="0.35">
      <c r="A379" s="85"/>
      <c r="B379" s="99"/>
      <c r="C379" s="99"/>
      <c r="D379" s="40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9"/>
      <c r="Z379" s="144"/>
    </row>
    <row r="380" spans="1:26" s="33" customFormat="1" x14ac:dyDescent="0.35">
      <c r="A380" s="85"/>
      <c r="B380" s="99"/>
      <c r="C380" s="99"/>
      <c r="D380" s="40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9"/>
      <c r="Z380" s="144"/>
    </row>
    <row r="381" spans="1:26" s="33" customFormat="1" x14ac:dyDescent="0.35">
      <c r="A381" s="85"/>
      <c r="B381" s="99"/>
      <c r="C381" s="99"/>
      <c r="D381" s="40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9"/>
      <c r="Z381" s="144"/>
    </row>
    <row r="382" spans="1:26" s="33" customFormat="1" x14ac:dyDescent="0.35">
      <c r="A382" s="85"/>
      <c r="B382" s="99"/>
      <c r="C382" s="99"/>
      <c r="D382" s="40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9"/>
      <c r="Z382" s="144"/>
    </row>
    <row r="383" spans="1:26" s="33" customFormat="1" x14ac:dyDescent="0.35">
      <c r="A383" s="85"/>
      <c r="B383" s="99"/>
      <c r="C383" s="99"/>
      <c r="D383" s="40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9"/>
      <c r="Z383" s="144"/>
    </row>
    <row r="384" spans="1:26" s="33" customFormat="1" x14ac:dyDescent="0.35">
      <c r="A384" s="85"/>
      <c r="B384" s="99"/>
      <c r="C384" s="99"/>
      <c r="D384" s="40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9"/>
      <c r="Z384" s="144"/>
    </row>
    <row r="385" spans="1:26" s="33" customFormat="1" x14ac:dyDescent="0.35">
      <c r="A385" s="85"/>
      <c r="B385" s="99"/>
      <c r="C385" s="99"/>
      <c r="D385" s="40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9"/>
      <c r="Z385" s="144"/>
    </row>
    <row r="386" spans="1:26" s="33" customFormat="1" x14ac:dyDescent="0.35">
      <c r="A386" s="85"/>
      <c r="B386" s="99"/>
      <c r="C386" s="99"/>
      <c r="D386" s="40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9"/>
      <c r="Z386" s="144"/>
    </row>
    <row r="387" spans="1:26" s="33" customFormat="1" x14ac:dyDescent="0.35">
      <c r="A387" s="85"/>
      <c r="B387" s="99"/>
      <c r="C387" s="99"/>
      <c r="D387" s="40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9"/>
      <c r="Z387" s="144"/>
    </row>
    <row r="388" spans="1:26" s="33" customFormat="1" x14ac:dyDescent="0.35">
      <c r="A388" s="85"/>
      <c r="B388" s="99"/>
      <c r="C388" s="99"/>
      <c r="D388" s="40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9"/>
      <c r="Z388" s="144"/>
    </row>
    <row r="389" spans="1:26" s="33" customFormat="1" x14ac:dyDescent="0.35">
      <c r="A389" s="85"/>
      <c r="B389" s="99"/>
      <c r="C389" s="99"/>
      <c r="D389" s="40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9"/>
      <c r="Z389" s="144"/>
    </row>
    <row r="390" spans="1:26" s="33" customFormat="1" x14ac:dyDescent="0.35">
      <c r="A390" s="85"/>
      <c r="B390" s="99"/>
      <c r="C390" s="99"/>
      <c r="D390" s="40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9"/>
      <c r="Z390" s="144"/>
    </row>
    <row r="391" spans="1:26" s="33" customFormat="1" x14ac:dyDescent="0.35">
      <c r="A391" s="85"/>
      <c r="B391" s="99"/>
      <c r="C391" s="99"/>
      <c r="D391" s="40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9"/>
      <c r="Z391" s="144"/>
    </row>
    <row r="392" spans="1:26" s="33" customFormat="1" x14ac:dyDescent="0.35">
      <c r="A392" s="85"/>
      <c r="B392" s="99"/>
      <c r="C392" s="99"/>
      <c r="D392" s="40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9"/>
      <c r="Z392" s="144"/>
    </row>
    <row r="393" spans="1:26" s="33" customFormat="1" x14ac:dyDescent="0.35">
      <c r="A393" s="85"/>
      <c r="B393" s="99"/>
      <c r="C393" s="99"/>
      <c r="D393" s="40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9"/>
      <c r="Z393" s="144"/>
    </row>
    <row r="394" spans="1:26" s="33" customFormat="1" x14ac:dyDescent="0.35">
      <c r="A394" s="85"/>
      <c r="B394" s="99"/>
      <c r="C394" s="99"/>
      <c r="D394" s="40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9"/>
      <c r="Z394" s="144"/>
    </row>
    <row r="395" spans="1:26" s="33" customFormat="1" x14ac:dyDescent="0.35">
      <c r="A395" s="85"/>
      <c r="B395" s="99"/>
      <c r="C395" s="99"/>
      <c r="D395" s="40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9"/>
      <c r="Z395" s="144"/>
    </row>
    <row r="396" spans="1:26" s="33" customFormat="1" x14ac:dyDescent="0.35">
      <c r="A396" s="85"/>
      <c r="B396" s="99"/>
      <c r="C396" s="99"/>
      <c r="D396" s="40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9"/>
      <c r="Z396" s="144"/>
    </row>
    <row r="397" spans="1:26" s="33" customFormat="1" x14ac:dyDescent="0.35">
      <c r="A397" s="85"/>
      <c r="B397" s="99"/>
      <c r="C397" s="99"/>
      <c r="D397" s="40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9"/>
      <c r="Z397" s="144"/>
    </row>
    <row r="398" spans="1:26" s="33" customFormat="1" x14ac:dyDescent="0.35">
      <c r="A398" s="85"/>
      <c r="B398" s="99"/>
      <c r="C398" s="99"/>
      <c r="D398" s="40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9"/>
      <c r="Z398" s="144"/>
    </row>
    <row r="399" spans="1:26" s="33" customFormat="1" x14ac:dyDescent="0.35">
      <c r="A399" s="85"/>
      <c r="B399" s="99"/>
      <c r="C399" s="99"/>
      <c r="D399" s="40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9"/>
      <c r="Z399" s="144"/>
    </row>
    <row r="400" spans="1:26" s="33" customFormat="1" x14ac:dyDescent="0.35">
      <c r="A400" s="85"/>
      <c r="B400" s="99"/>
      <c r="C400" s="99"/>
      <c r="D400" s="40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9"/>
      <c r="Z400" s="144"/>
    </row>
    <row r="401" spans="1:26" s="33" customFormat="1" x14ac:dyDescent="0.35">
      <c r="A401" s="85"/>
      <c r="B401" s="99"/>
      <c r="C401" s="99"/>
      <c r="D401" s="40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9"/>
      <c r="Z401" s="144"/>
    </row>
    <row r="402" spans="1:26" s="33" customFormat="1" x14ac:dyDescent="0.35">
      <c r="A402" s="85"/>
      <c r="B402" s="99"/>
      <c r="C402" s="99"/>
      <c r="D402" s="40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9"/>
      <c r="Z402" s="144"/>
    </row>
    <row r="403" spans="1:26" s="33" customFormat="1" x14ac:dyDescent="0.35">
      <c r="A403" s="85"/>
      <c r="B403" s="99"/>
      <c r="C403" s="99"/>
      <c r="D403" s="40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9"/>
      <c r="Z403" s="144"/>
    </row>
    <row r="404" spans="1:26" s="33" customFormat="1" x14ac:dyDescent="0.35">
      <c r="A404" s="85"/>
      <c r="B404" s="99"/>
      <c r="C404" s="99"/>
      <c r="D404" s="40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9"/>
      <c r="Z404" s="144"/>
    </row>
    <row r="405" spans="1:26" s="33" customFormat="1" x14ac:dyDescent="0.35">
      <c r="A405" s="85"/>
      <c r="B405" s="99"/>
      <c r="C405" s="99"/>
      <c r="D405" s="40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9"/>
      <c r="Z405" s="144"/>
    </row>
    <row r="406" spans="1:26" s="33" customFormat="1" x14ac:dyDescent="0.35">
      <c r="A406" s="85"/>
      <c r="B406" s="99"/>
      <c r="C406" s="99"/>
      <c r="D406" s="40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9"/>
      <c r="Z406" s="144"/>
    </row>
    <row r="407" spans="1:26" s="33" customFormat="1" x14ac:dyDescent="0.35">
      <c r="A407" s="85"/>
      <c r="B407" s="99"/>
      <c r="C407" s="99"/>
      <c r="D407" s="40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9"/>
      <c r="Z407" s="144"/>
    </row>
    <row r="408" spans="1:26" s="33" customFormat="1" x14ac:dyDescent="0.35">
      <c r="A408" s="85"/>
      <c r="B408" s="99"/>
      <c r="C408" s="99"/>
      <c r="D408" s="40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9"/>
      <c r="Z408" s="144"/>
    </row>
    <row r="409" spans="1:26" s="33" customFormat="1" x14ac:dyDescent="0.35">
      <c r="A409" s="85"/>
      <c r="B409" s="99"/>
      <c r="C409" s="99"/>
      <c r="D409" s="40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9"/>
      <c r="Z409" s="144"/>
    </row>
    <row r="410" spans="1:26" s="33" customFormat="1" x14ac:dyDescent="0.35">
      <c r="A410" s="85"/>
      <c r="B410" s="99"/>
      <c r="C410" s="99"/>
      <c r="D410" s="40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9"/>
      <c r="Z410" s="144"/>
    </row>
    <row r="411" spans="1:26" s="33" customFormat="1" x14ac:dyDescent="0.35">
      <c r="A411" s="85"/>
      <c r="B411" s="99"/>
      <c r="C411" s="99"/>
      <c r="D411" s="40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9"/>
      <c r="Z411" s="144"/>
    </row>
    <row r="412" spans="1:26" s="33" customFormat="1" x14ac:dyDescent="0.35">
      <c r="A412" s="85"/>
      <c r="B412" s="99"/>
      <c r="C412" s="99"/>
      <c r="D412" s="40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9"/>
      <c r="Z412" s="144"/>
    </row>
    <row r="413" spans="1:26" s="33" customFormat="1" x14ac:dyDescent="0.35">
      <c r="A413" s="85"/>
      <c r="B413" s="99"/>
      <c r="C413" s="99"/>
      <c r="D413" s="40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9"/>
      <c r="Z413" s="144"/>
    </row>
    <row r="414" spans="1:26" s="33" customFormat="1" x14ac:dyDescent="0.35">
      <c r="A414" s="85"/>
      <c r="B414" s="99"/>
      <c r="C414" s="99"/>
      <c r="D414" s="40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9"/>
      <c r="Z414" s="144"/>
    </row>
    <row r="415" spans="1:26" s="33" customFormat="1" x14ac:dyDescent="0.35">
      <c r="A415" s="85"/>
      <c r="B415" s="99"/>
      <c r="C415" s="99"/>
      <c r="D415" s="40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9"/>
      <c r="Z415" s="144"/>
    </row>
    <row r="416" spans="1:26" s="33" customFormat="1" x14ac:dyDescent="0.35">
      <c r="A416" s="85"/>
      <c r="B416" s="99"/>
      <c r="C416" s="99"/>
      <c r="D416" s="40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9"/>
      <c r="Z416" s="144"/>
    </row>
    <row r="417" spans="1:26" s="33" customFormat="1" x14ac:dyDescent="0.35">
      <c r="A417" s="85"/>
      <c r="B417" s="99"/>
      <c r="C417" s="99"/>
      <c r="D417" s="40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9"/>
      <c r="Z417" s="144"/>
    </row>
    <row r="418" spans="1:26" s="33" customFormat="1" x14ac:dyDescent="0.35">
      <c r="A418" s="85"/>
      <c r="B418" s="99"/>
      <c r="C418" s="99"/>
      <c r="D418" s="40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9"/>
      <c r="Z418" s="144"/>
    </row>
    <row r="419" spans="1:26" s="33" customFormat="1" x14ac:dyDescent="0.35">
      <c r="A419" s="85"/>
      <c r="B419" s="99"/>
      <c r="C419" s="99"/>
      <c r="D419" s="40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9"/>
      <c r="Z419" s="144"/>
    </row>
    <row r="420" spans="1:26" s="33" customFormat="1" x14ac:dyDescent="0.35">
      <c r="A420" s="85"/>
      <c r="B420" s="99"/>
      <c r="C420" s="99"/>
      <c r="D420" s="40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9"/>
      <c r="Z420" s="144"/>
    </row>
    <row r="421" spans="1:26" s="33" customFormat="1" x14ac:dyDescent="0.35">
      <c r="A421" s="85"/>
      <c r="B421" s="99"/>
      <c r="C421" s="99"/>
      <c r="D421" s="40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9"/>
      <c r="Z421" s="144"/>
    </row>
    <row r="422" spans="1:26" s="33" customFormat="1" x14ac:dyDescent="0.35">
      <c r="A422" s="85"/>
      <c r="B422" s="99"/>
      <c r="C422" s="99"/>
      <c r="D422" s="40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9"/>
      <c r="Z422" s="144"/>
    </row>
    <row r="423" spans="1:26" s="33" customFormat="1" x14ac:dyDescent="0.35">
      <c r="A423" s="85"/>
      <c r="B423" s="99"/>
      <c r="C423" s="99"/>
      <c r="D423" s="40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9"/>
      <c r="Z423" s="144"/>
    </row>
    <row r="424" spans="1:26" s="33" customFormat="1" x14ac:dyDescent="0.35">
      <c r="A424" s="85"/>
      <c r="B424" s="99"/>
      <c r="C424" s="99"/>
      <c r="D424" s="40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9"/>
      <c r="Z424" s="144"/>
    </row>
    <row r="425" spans="1:26" s="33" customFormat="1" x14ac:dyDescent="0.35">
      <c r="A425" s="85"/>
      <c r="B425" s="99"/>
      <c r="C425" s="99"/>
      <c r="D425" s="40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9"/>
      <c r="Z425" s="144"/>
    </row>
    <row r="426" spans="1:26" s="33" customFormat="1" x14ac:dyDescent="0.35">
      <c r="A426" s="85"/>
      <c r="B426" s="99"/>
      <c r="C426" s="99"/>
      <c r="D426" s="40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9"/>
      <c r="Z426" s="144"/>
    </row>
    <row r="427" spans="1:26" s="33" customFormat="1" x14ac:dyDescent="0.35">
      <c r="A427" s="85"/>
      <c r="B427" s="99"/>
      <c r="C427" s="99"/>
      <c r="D427" s="40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9"/>
      <c r="Z427" s="144"/>
    </row>
    <row r="428" spans="1:26" s="33" customFormat="1" x14ac:dyDescent="0.35">
      <c r="A428" s="85"/>
      <c r="B428" s="99"/>
      <c r="C428" s="99"/>
      <c r="D428" s="40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9"/>
      <c r="Z428" s="144"/>
    </row>
    <row r="429" spans="1:26" s="33" customFormat="1" x14ac:dyDescent="0.35">
      <c r="A429" s="85"/>
      <c r="B429" s="99"/>
      <c r="C429" s="99"/>
      <c r="D429" s="40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9"/>
      <c r="Z429" s="144"/>
    </row>
    <row r="430" spans="1:26" s="33" customFormat="1" x14ac:dyDescent="0.35">
      <c r="A430" s="85"/>
      <c r="B430" s="99"/>
      <c r="C430" s="99"/>
      <c r="D430" s="40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9"/>
      <c r="Z430" s="144"/>
    </row>
    <row r="431" spans="1:26" s="33" customFormat="1" x14ac:dyDescent="0.35">
      <c r="A431" s="85"/>
      <c r="B431" s="99"/>
      <c r="C431" s="99"/>
      <c r="D431" s="40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9"/>
      <c r="Z431" s="144"/>
    </row>
    <row r="432" spans="1:26" s="33" customFormat="1" x14ac:dyDescent="0.35">
      <c r="A432" s="85"/>
      <c r="B432" s="99"/>
      <c r="C432" s="99"/>
      <c r="D432" s="40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9"/>
      <c r="Z432" s="144"/>
    </row>
    <row r="433" spans="1:26" s="33" customFormat="1" x14ac:dyDescent="0.35">
      <c r="A433" s="85"/>
      <c r="B433" s="99"/>
      <c r="C433" s="99"/>
      <c r="D433" s="40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9"/>
      <c r="Z433" s="144"/>
    </row>
    <row r="434" spans="1:26" s="33" customFormat="1" x14ac:dyDescent="0.35">
      <c r="A434" s="85"/>
      <c r="B434" s="99"/>
      <c r="C434" s="99"/>
      <c r="D434" s="40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9"/>
      <c r="Z434" s="144"/>
    </row>
    <row r="435" spans="1:26" s="33" customFormat="1" x14ac:dyDescent="0.35">
      <c r="A435" s="85"/>
      <c r="B435" s="99"/>
      <c r="C435" s="99"/>
      <c r="D435" s="40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9"/>
      <c r="Z435" s="144"/>
    </row>
    <row r="436" spans="1:26" s="33" customFormat="1" x14ac:dyDescent="0.35">
      <c r="A436" s="85"/>
      <c r="B436" s="99"/>
      <c r="C436" s="99"/>
      <c r="D436" s="40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9"/>
      <c r="Z436" s="144"/>
    </row>
    <row r="437" spans="1:26" s="33" customFormat="1" x14ac:dyDescent="0.35">
      <c r="A437" s="85"/>
      <c r="B437" s="99"/>
      <c r="C437" s="99"/>
      <c r="D437" s="40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9"/>
      <c r="Z437" s="144"/>
    </row>
    <row r="438" spans="1:26" s="33" customFormat="1" x14ac:dyDescent="0.35">
      <c r="A438" s="85"/>
      <c r="B438" s="99"/>
      <c r="C438" s="99"/>
      <c r="D438" s="40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9"/>
      <c r="Z438" s="144"/>
    </row>
    <row r="439" spans="1:26" s="33" customFormat="1" x14ac:dyDescent="0.35">
      <c r="A439" s="85"/>
      <c r="B439" s="99"/>
      <c r="C439" s="99"/>
      <c r="D439" s="40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9"/>
      <c r="Z439" s="144"/>
    </row>
    <row r="440" spans="1:26" s="33" customFormat="1" x14ac:dyDescent="0.35">
      <c r="A440" s="85"/>
      <c r="B440" s="99"/>
      <c r="C440" s="99"/>
      <c r="D440" s="40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9"/>
      <c r="Z440" s="144"/>
    </row>
    <row r="441" spans="1:26" s="33" customFormat="1" x14ac:dyDescent="0.35">
      <c r="A441" s="85"/>
      <c r="B441" s="99"/>
      <c r="C441" s="99"/>
      <c r="D441" s="40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9"/>
      <c r="Z441" s="144"/>
    </row>
    <row r="442" spans="1:26" s="33" customFormat="1" x14ac:dyDescent="0.35">
      <c r="A442" s="85"/>
      <c r="B442" s="99"/>
      <c r="C442" s="99"/>
      <c r="D442" s="40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9"/>
      <c r="Z442" s="144"/>
    </row>
    <row r="443" spans="1:26" s="33" customFormat="1" x14ac:dyDescent="0.35">
      <c r="A443" s="85"/>
      <c r="B443" s="99"/>
      <c r="C443" s="99"/>
      <c r="D443" s="40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9"/>
      <c r="Z443" s="144"/>
    </row>
    <row r="444" spans="1:26" s="33" customFormat="1" x14ac:dyDescent="0.35">
      <c r="A444" s="85"/>
      <c r="B444" s="99"/>
      <c r="C444" s="99"/>
      <c r="D444" s="40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9"/>
      <c r="Z444" s="144"/>
    </row>
    <row r="445" spans="1:26" s="33" customFormat="1" x14ac:dyDescent="0.35">
      <c r="A445" s="85"/>
      <c r="B445" s="99"/>
      <c r="C445" s="99"/>
      <c r="D445" s="40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9"/>
      <c r="Z445" s="144"/>
    </row>
    <row r="446" spans="1:26" s="33" customFormat="1" x14ac:dyDescent="0.35">
      <c r="A446" s="85"/>
      <c r="B446" s="99"/>
      <c r="C446" s="99"/>
      <c r="D446" s="40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9"/>
      <c r="Z446" s="144"/>
    </row>
    <row r="447" spans="1:26" s="33" customFormat="1" x14ac:dyDescent="0.35">
      <c r="A447" s="85"/>
      <c r="B447" s="99"/>
      <c r="C447" s="99"/>
      <c r="D447" s="40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9"/>
      <c r="Z447" s="144"/>
    </row>
    <row r="448" spans="1:26" s="33" customFormat="1" x14ac:dyDescent="0.35">
      <c r="A448" s="85"/>
      <c r="B448" s="99"/>
      <c r="C448" s="99"/>
      <c r="D448" s="40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9"/>
      <c r="Z448" s="144"/>
    </row>
    <row r="449" spans="1:26" s="33" customFormat="1" x14ac:dyDescent="0.35">
      <c r="A449" s="85"/>
      <c r="B449" s="99"/>
      <c r="C449" s="99"/>
      <c r="D449" s="40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9"/>
      <c r="Z449" s="144"/>
    </row>
    <row r="450" spans="1:26" s="33" customFormat="1" x14ac:dyDescent="0.35">
      <c r="A450" s="85"/>
      <c r="B450" s="99"/>
      <c r="C450" s="99"/>
      <c r="D450" s="40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9"/>
      <c r="Z450" s="144"/>
    </row>
    <row r="451" spans="1:26" s="33" customFormat="1" x14ac:dyDescent="0.35">
      <c r="A451" s="85"/>
      <c r="B451" s="99"/>
      <c r="C451" s="99"/>
      <c r="D451" s="40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9"/>
      <c r="Z451" s="144"/>
    </row>
    <row r="452" spans="1:26" s="33" customFormat="1" x14ac:dyDescent="0.35">
      <c r="A452" s="85"/>
      <c r="B452" s="99"/>
      <c r="C452" s="99"/>
      <c r="D452" s="40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9"/>
      <c r="Z452" s="144"/>
    </row>
    <row r="453" spans="1:26" s="33" customFormat="1" x14ac:dyDescent="0.35">
      <c r="A453" s="85"/>
      <c r="B453" s="99"/>
      <c r="C453" s="99"/>
      <c r="D453" s="40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9"/>
      <c r="Z453" s="144"/>
    </row>
    <row r="454" spans="1:26" s="33" customFormat="1" x14ac:dyDescent="0.35">
      <c r="A454" s="85"/>
      <c r="B454" s="99"/>
      <c r="C454" s="99"/>
      <c r="D454" s="40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9"/>
      <c r="Z454" s="144"/>
    </row>
    <row r="455" spans="1:26" s="33" customFormat="1" x14ac:dyDescent="0.35">
      <c r="A455" s="85"/>
      <c r="B455" s="99"/>
      <c r="C455" s="99"/>
      <c r="D455" s="40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9"/>
      <c r="Z455" s="144"/>
    </row>
    <row r="456" spans="1:26" s="33" customFormat="1" x14ac:dyDescent="0.35">
      <c r="A456" s="85"/>
      <c r="B456" s="99"/>
      <c r="C456" s="99"/>
      <c r="D456" s="40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9"/>
      <c r="Z456" s="144"/>
    </row>
    <row r="457" spans="1:26" s="33" customFormat="1" x14ac:dyDescent="0.35">
      <c r="A457" s="85"/>
      <c r="B457" s="99"/>
      <c r="C457" s="99"/>
      <c r="D457" s="40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9"/>
      <c r="Z457" s="144"/>
    </row>
    <row r="458" spans="1:26" s="33" customFormat="1" x14ac:dyDescent="0.35">
      <c r="A458" s="85"/>
      <c r="B458" s="99"/>
      <c r="C458" s="99"/>
      <c r="D458" s="40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9"/>
      <c r="Z458" s="144"/>
    </row>
    <row r="459" spans="1:26" s="33" customFormat="1" x14ac:dyDescent="0.35">
      <c r="A459" s="85"/>
      <c r="B459" s="99"/>
      <c r="C459" s="99"/>
      <c r="D459" s="40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9"/>
      <c r="Z459" s="144"/>
    </row>
    <row r="460" spans="1:26" s="33" customFormat="1" x14ac:dyDescent="0.35">
      <c r="A460" s="85"/>
      <c r="B460" s="99"/>
      <c r="C460" s="99"/>
      <c r="D460" s="40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9"/>
      <c r="Z460" s="144"/>
    </row>
    <row r="461" spans="1:26" s="33" customFormat="1" x14ac:dyDescent="0.35">
      <c r="A461" s="85"/>
      <c r="B461" s="99"/>
      <c r="C461" s="99"/>
      <c r="D461" s="40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9"/>
      <c r="Z461" s="144"/>
    </row>
    <row r="462" spans="1:26" s="33" customFormat="1" x14ac:dyDescent="0.35">
      <c r="A462" s="85"/>
      <c r="B462" s="99"/>
      <c r="C462" s="99"/>
      <c r="D462" s="40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9"/>
      <c r="Z462" s="144"/>
    </row>
    <row r="463" spans="1:26" s="33" customFormat="1" x14ac:dyDescent="0.35">
      <c r="A463" s="85"/>
      <c r="B463" s="99"/>
      <c r="C463" s="99"/>
      <c r="D463" s="40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9"/>
      <c r="Z463" s="144"/>
    </row>
    <row r="464" spans="1:26" s="33" customFormat="1" x14ac:dyDescent="0.35">
      <c r="A464" s="85"/>
      <c r="B464" s="99"/>
      <c r="C464" s="99"/>
      <c r="D464" s="40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9"/>
      <c r="Z464" s="144"/>
    </row>
    <row r="465" spans="1:26" s="33" customFormat="1" x14ac:dyDescent="0.35">
      <c r="A465" s="85"/>
      <c r="B465" s="99"/>
      <c r="C465" s="99"/>
      <c r="D465" s="40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9"/>
      <c r="Z465" s="144"/>
    </row>
    <row r="466" spans="1:26" s="33" customFormat="1" x14ac:dyDescent="0.35">
      <c r="A466" s="85"/>
      <c r="B466" s="99"/>
      <c r="C466" s="99"/>
      <c r="D466" s="40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9"/>
      <c r="Z466" s="144"/>
    </row>
    <row r="467" spans="1:26" s="33" customFormat="1" x14ac:dyDescent="0.35">
      <c r="A467" s="85"/>
      <c r="B467" s="99"/>
      <c r="C467" s="99"/>
      <c r="D467" s="40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9"/>
      <c r="Z467" s="144"/>
    </row>
    <row r="468" spans="1:26" s="33" customFormat="1" x14ac:dyDescent="0.35">
      <c r="A468" s="85"/>
      <c r="B468" s="99"/>
      <c r="C468" s="99"/>
      <c r="D468" s="40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9"/>
      <c r="Z468" s="144"/>
    </row>
    <row r="469" spans="1:26" s="33" customFormat="1" x14ac:dyDescent="0.35">
      <c r="A469" s="85"/>
      <c r="B469" s="99"/>
      <c r="C469" s="99"/>
      <c r="D469" s="40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9"/>
      <c r="Z469" s="144"/>
    </row>
    <row r="470" spans="1:26" s="33" customFormat="1" x14ac:dyDescent="0.35">
      <c r="A470" s="85"/>
      <c r="B470" s="99"/>
      <c r="C470" s="99"/>
      <c r="D470" s="40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9"/>
      <c r="Z470" s="144"/>
    </row>
    <row r="471" spans="1:26" s="33" customFormat="1" x14ac:dyDescent="0.35">
      <c r="A471" s="85"/>
      <c r="B471" s="99"/>
      <c r="C471" s="99"/>
      <c r="D471" s="40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9"/>
      <c r="Z471" s="144"/>
    </row>
    <row r="472" spans="1:26" s="33" customFormat="1" x14ac:dyDescent="0.35">
      <c r="A472" s="85"/>
      <c r="B472" s="99"/>
      <c r="C472" s="99"/>
      <c r="D472" s="40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9"/>
      <c r="Z472" s="144"/>
    </row>
    <row r="473" spans="1:26" s="33" customFormat="1" x14ac:dyDescent="0.35">
      <c r="A473" s="85"/>
      <c r="B473" s="99"/>
      <c r="C473" s="99"/>
      <c r="D473" s="40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9"/>
      <c r="Z473" s="144"/>
    </row>
    <row r="474" spans="1:26" s="33" customFormat="1" x14ac:dyDescent="0.35">
      <c r="A474" s="85"/>
      <c r="B474" s="99"/>
      <c r="C474" s="99"/>
      <c r="D474" s="40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9"/>
      <c r="Z474" s="144"/>
    </row>
    <row r="475" spans="1:26" s="33" customFormat="1" x14ac:dyDescent="0.35">
      <c r="A475" s="85"/>
      <c r="B475" s="99"/>
      <c r="C475" s="99"/>
      <c r="D475" s="40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9"/>
      <c r="Z475" s="144"/>
    </row>
    <row r="476" spans="1:26" s="33" customFormat="1" x14ac:dyDescent="0.35">
      <c r="A476" s="85"/>
      <c r="B476" s="99"/>
      <c r="C476" s="99"/>
      <c r="D476" s="40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9"/>
      <c r="Z476" s="144"/>
    </row>
    <row r="477" spans="1:26" s="33" customFormat="1" x14ac:dyDescent="0.35">
      <c r="A477" s="85"/>
      <c r="B477" s="99"/>
      <c r="C477" s="99"/>
      <c r="D477" s="40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9"/>
      <c r="Z477" s="144"/>
    </row>
    <row r="478" spans="1:26" s="33" customFormat="1" x14ac:dyDescent="0.35">
      <c r="A478" s="85"/>
      <c r="B478" s="99"/>
      <c r="C478" s="99"/>
      <c r="D478" s="40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9"/>
      <c r="Z478" s="144"/>
    </row>
    <row r="479" spans="1:26" s="33" customFormat="1" x14ac:dyDescent="0.35">
      <c r="A479" s="85"/>
      <c r="B479" s="99"/>
      <c r="C479" s="99"/>
      <c r="D479" s="40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9"/>
      <c r="Z479" s="144"/>
    </row>
    <row r="480" spans="1:26" s="33" customFormat="1" x14ac:dyDescent="0.35">
      <c r="A480" s="85"/>
      <c r="B480" s="99"/>
      <c r="C480" s="99"/>
      <c r="D480" s="40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9"/>
      <c r="Z480" s="144"/>
    </row>
    <row r="481" spans="1:26" s="33" customFormat="1" x14ac:dyDescent="0.35">
      <c r="A481" s="85"/>
      <c r="B481" s="99"/>
      <c r="C481" s="99"/>
      <c r="D481" s="40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9"/>
      <c r="Z481" s="144"/>
    </row>
    <row r="482" spans="1:26" s="33" customFormat="1" x14ac:dyDescent="0.35">
      <c r="A482" s="85"/>
      <c r="B482" s="99"/>
      <c r="C482" s="99"/>
      <c r="D482" s="40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9"/>
      <c r="Z482" s="144"/>
    </row>
    <row r="483" spans="1:26" s="33" customFormat="1" x14ac:dyDescent="0.35">
      <c r="A483" s="85"/>
      <c r="B483" s="99"/>
      <c r="C483" s="99"/>
      <c r="D483" s="40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9"/>
      <c r="Z483" s="144"/>
    </row>
    <row r="484" spans="1:26" s="33" customFormat="1" x14ac:dyDescent="0.35">
      <c r="A484" s="85"/>
      <c r="B484" s="99"/>
      <c r="C484" s="99"/>
      <c r="D484" s="40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9"/>
      <c r="Z484" s="144"/>
    </row>
    <row r="485" spans="1:26" s="33" customFormat="1" x14ac:dyDescent="0.35">
      <c r="A485" s="85"/>
      <c r="B485" s="99"/>
      <c r="C485" s="99"/>
      <c r="D485" s="40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9"/>
      <c r="Z485" s="144"/>
    </row>
    <row r="486" spans="1:26" s="33" customFormat="1" x14ac:dyDescent="0.35">
      <c r="A486" s="85"/>
      <c r="B486" s="99"/>
      <c r="C486" s="99"/>
      <c r="D486" s="40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9"/>
      <c r="Z486" s="144"/>
    </row>
    <row r="487" spans="1:26" s="33" customFormat="1" x14ac:dyDescent="0.35">
      <c r="A487" s="85"/>
      <c r="B487" s="99"/>
      <c r="C487" s="99"/>
      <c r="D487" s="40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9"/>
      <c r="Z487" s="144"/>
    </row>
    <row r="488" spans="1:26" s="33" customFormat="1" x14ac:dyDescent="0.35">
      <c r="A488" s="85"/>
      <c r="B488" s="99"/>
      <c r="C488" s="99"/>
      <c r="D488" s="40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9"/>
      <c r="Z488" s="144"/>
    </row>
    <row r="489" spans="1:26" s="33" customFormat="1" x14ac:dyDescent="0.35">
      <c r="A489" s="85"/>
      <c r="B489" s="99"/>
      <c r="C489" s="99"/>
      <c r="D489" s="40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9"/>
      <c r="Z489" s="144"/>
    </row>
    <row r="490" spans="1:26" s="33" customFormat="1" x14ac:dyDescent="0.35">
      <c r="A490" s="85"/>
      <c r="B490" s="99"/>
      <c r="C490" s="99"/>
      <c r="D490" s="40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9"/>
      <c r="Z490" s="144"/>
    </row>
    <row r="491" spans="1:26" s="33" customFormat="1" x14ac:dyDescent="0.35">
      <c r="A491" s="85"/>
      <c r="B491" s="99"/>
      <c r="C491" s="99"/>
      <c r="D491" s="40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9"/>
      <c r="Z491" s="144"/>
    </row>
    <row r="492" spans="1:26" s="33" customFormat="1" x14ac:dyDescent="0.35">
      <c r="A492" s="85"/>
      <c r="B492" s="99"/>
      <c r="C492" s="99"/>
      <c r="D492" s="40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9"/>
      <c r="Z492" s="144"/>
    </row>
    <row r="493" spans="1:26" s="33" customFormat="1" x14ac:dyDescent="0.35">
      <c r="A493" s="85"/>
      <c r="B493" s="99"/>
      <c r="C493" s="99"/>
      <c r="D493" s="40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9"/>
      <c r="Z493" s="144"/>
    </row>
    <row r="494" spans="1:26" s="33" customFormat="1" x14ac:dyDescent="0.35">
      <c r="A494" s="85"/>
      <c r="B494" s="99"/>
      <c r="C494" s="99"/>
      <c r="D494" s="40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9"/>
      <c r="Z494" s="144"/>
    </row>
    <row r="495" spans="1:26" s="33" customFormat="1" x14ac:dyDescent="0.35">
      <c r="A495" s="85"/>
      <c r="B495" s="99"/>
      <c r="C495" s="99"/>
      <c r="D495" s="40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9"/>
      <c r="Z495" s="144"/>
    </row>
    <row r="496" spans="1:26" s="33" customFormat="1" x14ac:dyDescent="0.35">
      <c r="A496" s="85"/>
      <c r="B496" s="99"/>
      <c r="C496" s="99"/>
      <c r="D496" s="40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9"/>
      <c r="Z496" s="144"/>
    </row>
    <row r="497" spans="1:26" s="33" customFormat="1" x14ac:dyDescent="0.35">
      <c r="A497" s="85"/>
      <c r="B497" s="99"/>
      <c r="C497" s="99"/>
      <c r="D497" s="40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9"/>
      <c r="Z497" s="144"/>
    </row>
    <row r="498" spans="1:26" s="33" customFormat="1" x14ac:dyDescent="0.35">
      <c r="A498" s="85"/>
      <c r="B498" s="99"/>
      <c r="C498" s="99"/>
      <c r="D498" s="40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9"/>
      <c r="Z498" s="144"/>
    </row>
    <row r="499" spans="1:26" s="33" customFormat="1" x14ac:dyDescent="0.35">
      <c r="A499" s="85"/>
      <c r="B499" s="99"/>
      <c r="C499" s="99"/>
      <c r="D499" s="40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9"/>
      <c r="Z499" s="144"/>
    </row>
    <row r="500" spans="1:26" s="33" customFormat="1" x14ac:dyDescent="0.35">
      <c r="A500" s="85"/>
      <c r="B500" s="99"/>
      <c r="C500" s="99"/>
      <c r="D500" s="40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9"/>
      <c r="Z500" s="144"/>
    </row>
    <row r="501" spans="1:26" s="33" customFormat="1" x14ac:dyDescent="0.35">
      <c r="A501" s="85"/>
      <c r="B501" s="99"/>
      <c r="C501" s="99"/>
      <c r="D501" s="40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9"/>
      <c r="Z501" s="144"/>
    </row>
    <row r="502" spans="1:26" s="33" customFormat="1" x14ac:dyDescent="0.35">
      <c r="A502" s="85"/>
      <c r="B502" s="99"/>
      <c r="C502" s="99"/>
      <c r="D502" s="40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9"/>
      <c r="Z502" s="144"/>
    </row>
    <row r="503" spans="1:26" s="33" customFormat="1" x14ac:dyDescent="0.35">
      <c r="A503" s="85"/>
      <c r="B503" s="99"/>
      <c r="C503" s="99"/>
      <c r="D503" s="40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9"/>
      <c r="Z503" s="144"/>
    </row>
    <row r="504" spans="1:26" s="33" customFormat="1" x14ac:dyDescent="0.35">
      <c r="A504" s="85"/>
      <c r="B504" s="99"/>
      <c r="C504" s="99"/>
      <c r="D504" s="40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9"/>
      <c r="Z504" s="144"/>
    </row>
    <row r="505" spans="1:26" s="33" customFormat="1" x14ac:dyDescent="0.35">
      <c r="A505" s="85"/>
      <c r="B505" s="99"/>
      <c r="C505" s="99"/>
      <c r="D505" s="40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9"/>
      <c r="Z505" s="144"/>
    </row>
    <row r="506" spans="1:26" s="33" customFormat="1" x14ac:dyDescent="0.35">
      <c r="A506" s="85"/>
      <c r="B506" s="99"/>
      <c r="C506" s="99"/>
      <c r="D506" s="40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9"/>
      <c r="Z506" s="144"/>
    </row>
    <row r="507" spans="1:26" s="33" customFormat="1" x14ac:dyDescent="0.35">
      <c r="A507" s="85"/>
      <c r="B507" s="99"/>
      <c r="C507" s="99"/>
      <c r="D507" s="40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9"/>
      <c r="Z507" s="144"/>
    </row>
    <row r="508" spans="1:26" s="33" customFormat="1" x14ac:dyDescent="0.35">
      <c r="A508" s="85"/>
      <c r="B508" s="99"/>
      <c r="C508" s="99"/>
      <c r="D508" s="40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9"/>
      <c r="Z508" s="144"/>
    </row>
    <row r="509" spans="1:26" s="33" customFormat="1" x14ac:dyDescent="0.35">
      <c r="A509" s="85"/>
      <c r="B509" s="99"/>
      <c r="C509" s="99"/>
      <c r="D509" s="40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9"/>
      <c r="Z509" s="144"/>
    </row>
    <row r="510" spans="1:26" s="33" customFormat="1" x14ac:dyDescent="0.35">
      <c r="A510" s="85"/>
      <c r="B510" s="99"/>
      <c r="C510" s="99"/>
      <c r="D510" s="40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9"/>
      <c r="Z510" s="144"/>
    </row>
    <row r="511" spans="1:26" s="33" customFormat="1" x14ac:dyDescent="0.35">
      <c r="A511" s="85"/>
      <c r="B511" s="99"/>
      <c r="C511" s="99"/>
      <c r="D511" s="40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9"/>
      <c r="Z511" s="144"/>
    </row>
    <row r="512" spans="1:26" s="33" customFormat="1" x14ac:dyDescent="0.35">
      <c r="A512" s="85"/>
      <c r="B512" s="99"/>
      <c r="C512" s="99"/>
      <c r="D512" s="40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9"/>
      <c r="Z512" s="144"/>
    </row>
    <row r="513" spans="1:26" s="33" customFormat="1" x14ac:dyDescent="0.35">
      <c r="A513" s="85"/>
      <c r="B513" s="99"/>
      <c r="C513" s="99"/>
      <c r="D513" s="40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9"/>
      <c r="Z513" s="144"/>
    </row>
    <row r="514" spans="1:26" s="33" customFormat="1" x14ac:dyDescent="0.35">
      <c r="A514" s="85"/>
      <c r="B514" s="99"/>
      <c r="C514" s="99"/>
      <c r="D514" s="40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9"/>
      <c r="Z514" s="144"/>
    </row>
    <row r="515" spans="1:26" s="33" customFormat="1" x14ac:dyDescent="0.35">
      <c r="A515" s="85"/>
      <c r="B515" s="99"/>
      <c r="C515" s="99"/>
      <c r="D515" s="40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9"/>
      <c r="Z515" s="144"/>
    </row>
    <row r="516" spans="1:26" s="33" customFormat="1" x14ac:dyDescent="0.35">
      <c r="A516" s="85"/>
      <c r="B516" s="99"/>
      <c r="C516" s="99"/>
      <c r="D516" s="40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9"/>
      <c r="Z516" s="144"/>
    </row>
    <row r="517" spans="1:26" s="33" customFormat="1" x14ac:dyDescent="0.35">
      <c r="A517" s="85"/>
      <c r="B517" s="99"/>
      <c r="C517" s="99"/>
      <c r="D517" s="40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9"/>
      <c r="Z517" s="144"/>
    </row>
    <row r="518" spans="1:26" s="33" customFormat="1" x14ac:dyDescent="0.35">
      <c r="A518" s="85"/>
      <c r="B518" s="99"/>
      <c r="C518" s="99"/>
      <c r="D518" s="40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9"/>
      <c r="Z518" s="144"/>
    </row>
    <row r="519" spans="1:26" s="33" customFormat="1" x14ac:dyDescent="0.35">
      <c r="A519" s="85"/>
      <c r="B519" s="99"/>
      <c r="C519" s="99"/>
      <c r="D519" s="40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9"/>
      <c r="Z519" s="144"/>
    </row>
    <row r="520" spans="1:26" s="33" customFormat="1" x14ac:dyDescent="0.35">
      <c r="A520" s="85"/>
      <c r="B520" s="99"/>
      <c r="C520" s="99"/>
      <c r="D520" s="40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9"/>
      <c r="Z520" s="144"/>
    </row>
    <row r="521" spans="1:26" s="33" customFormat="1" x14ac:dyDescent="0.35">
      <c r="A521" s="85"/>
      <c r="B521" s="99"/>
      <c r="C521" s="99"/>
      <c r="D521" s="40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9"/>
      <c r="Z521" s="144"/>
    </row>
    <row r="522" spans="1:26" s="33" customFormat="1" x14ac:dyDescent="0.35">
      <c r="A522" s="85"/>
      <c r="B522" s="99"/>
      <c r="C522" s="99"/>
      <c r="D522" s="40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9"/>
      <c r="Z522" s="144"/>
    </row>
    <row r="523" spans="1:26" s="33" customFormat="1" x14ac:dyDescent="0.35">
      <c r="A523" s="85"/>
      <c r="B523" s="99"/>
      <c r="C523" s="99"/>
      <c r="D523" s="40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9"/>
      <c r="Z523" s="144"/>
    </row>
    <row r="524" spans="1:26" s="33" customFormat="1" x14ac:dyDescent="0.35">
      <c r="A524" s="85"/>
      <c r="B524" s="99"/>
      <c r="C524" s="99"/>
      <c r="D524" s="40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9"/>
      <c r="Z524" s="144"/>
    </row>
    <row r="525" spans="1:26" s="33" customFormat="1" x14ac:dyDescent="0.35">
      <c r="A525" s="85"/>
      <c r="B525" s="99"/>
      <c r="C525" s="99"/>
      <c r="D525" s="40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9"/>
      <c r="Z525" s="144"/>
    </row>
    <row r="526" spans="1:26" s="33" customFormat="1" x14ac:dyDescent="0.35">
      <c r="A526" s="85"/>
      <c r="B526" s="99"/>
      <c r="C526" s="99"/>
      <c r="D526" s="40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9"/>
      <c r="Z526" s="144"/>
    </row>
    <row r="527" spans="1:26" s="33" customFormat="1" x14ac:dyDescent="0.35">
      <c r="A527" s="85"/>
      <c r="B527" s="99"/>
      <c r="C527" s="99"/>
      <c r="D527" s="40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9"/>
      <c r="Z527" s="144"/>
    </row>
    <row r="528" spans="1:26" s="33" customFormat="1" x14ac:dyDescent="0.35">
      <c r="A528" s="85"/>
      <c r="B528" s="99"/>
      <c r="C528" s="99"/>
      <c r="D528" s="40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9"/>
      <c r="Z528" s="144"/>
    </row>
    <row r="529" spans="1:26" s="33" customFormat="1" x14ac:dyDescent="0.35">
      <c r="A529" s="85"/>
      <c r="B529" s="99"/>
      <c r="C529" s="99"/>
      <c r="D529" s="40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9"/>
      <c r="Z529" s="144"/>
    </row>
    <row r="530" spans="1:26" s="33" customFormat="1" x14ac:dyDescent="0.35">
      <c r="A530" s="85"/>
      <c r="B530" s="99"/>
      <c r="C530" s="99"/>
      <c r="D530" s="40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9"/>
      <c r="Z530" s="144"/>
    </row>
    <row r="531" spans="1:26" s="33" customFormat="1" x14ac:dyDescent="0.35">
      <c r="A531" s="85"/>
      <c r="B531" s="99"/>
      <c r="C531" s="99"/>
      <c r="D531" s="40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9"/>
      <c r="Z531" s="144"/>
    </row>
    <row r="532" spans="1:26" s="33" customFormat="1" x14ac:dyDescent="0.35">
      <c r="A532" s="85"/>
      <c r="B532" s="99"/>
      <c r="C532" s="99"/>
      <c r="D532" s="40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9"/>
      <c r="Z532" s="144"/>
    </row>
    <row r="533" spans="1:26" s="33" customFormat="1" x14ac:dyDescent="0.35">
      <c r="A533" s="85"/>
      <c r="B533" s="99"/>
      <c r="C533" s="99"/>
      <c r="D533" s="40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9"/>
      <c r="Z533" s="144"/>
    </row>
    <row r="534" spans="1:26" s="33" customFormat="1" x14ac:dyDescent="0.35">
      <c r="A534" s="85"/>
      <c r="B534" s="99"/>
      <c r="C534" s="99"/>
      <c r="D534" s="40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9"/>
      <c r="Z534" s="144"/>
    </row>
    <row r="535" spans="1:26" s="33" customFormat="1" x14ac:dyDescent="0.35">
      <c r="A535" s="85"/>
      <c r="B535" s="99"/>
      <c r="C535" s="99"/>
      <c r="D535" s="40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9"/>
      <c r="Z535" s="144"/>
    </row>
    <row r="536" spans="1:26" s="33" customFormat="1" x14ac:dyDescent="0.35">
      <c r="A536" s="85"/>
      <c r="B536" s="99"/>
      <c r="C536" s="99"/>
      <c r="D536" s="40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9"/>
      <c r="Z536" s="144"/>
    </row>
    <row r="537" spans="1:26" s="33" customFormat="1" x14ac:dyDescent="0.35">
      <c r="A537" s="85"/>
      <c r="B537" s="99"/>
      <c r="C537" s="99"/>
      <c r="D537" s="40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9"/>
      <c r="Z537" s="144"/>
    </row>
    <row r="538" spans="1:26" s="33" customFormat="1" x14ac:dyDescent="0.35">
      <c r="A538" s="85"/>
      <c r="B538" s="99"/>
      <c r="C538" s="99"/>
      <c r="D538" s="40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9"/>
      <c r="Z538" s="144"/>
    </row>
    <row r="539" spans="1:26" s="33" customFormat="1" x14ac:dyDescent="0.35">
      <c r="A539" s="85"/>
      <c r="B539" s="99"/>
      <c r="C539" s="99"/>
      <c r="D539" s="40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9"/>
      <c r="Z539" s="144"/>
    </row>
    <row r="540" spans="1:26" s="33" customFormat="1" x14ac:dyDescent="0.35">
      <c r="A540" s="85"/>
      <c r="B540" s="99"/>
      <c r="C540" s="99"/>
      <c r="D540" s="40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9"/>
      <c r="Z540" s="144"/>
    </row>
    <row r="541" spans="1:26" s="33" customFormat="1" x14ac:dyDescent="0.35">
      <c r="A541" s="85"/>
      <c r="B541" s="99"/>
      <c r="C541" s="99"/>
      <c r="D541" s="40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9"/>
      <c r="Z541" s="144"/>
    </row>
    <row r="542" spans="1:26" s="33" customFormat="1" x14ac:dyDescent="0.35">
      <c r="A542" s="85"/>
      <c r="B542" s="99"/>
      <c r="C542" s="99"/>
      <c r="D542" s="40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9"/>
      <c r="Z542" s="144"/>
    </row>
    <row r="543" spans="1:26" s="33" customFormat="1" x14ac:dyDescent="0.35">
      <c r="A543" s="85"/>
      <c r="B543" s="99"/>
      <c r="C543" s="99"/>
      <c r="D543" s="40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9"/>
      <c r="Z543" s="144"/>
    </row>
    <row r="544" spans="1:26" s="33" customFormat="1" x14ac:dyDescent="0.35">
      <c r="A544" s="85"/>
      <c r="B544" s="99"/>
      <c r="C544" s="99"/>
      <c r="D544" s="40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9"/>
      <c r="Z544" s="144"/>
    </row>
    <row r="545" spans="1:26" s="33" customFormat="1" x14ac:dyDescent="0.35">
      <c r="A545" s="85"/>
      <c r="B545" s="99"/>
      <c r="C545" s="99"/>
      <c r="D545" s="40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9"/>
      <c r="Z545" s="144"/>
    </row>
    <row r="546" spans="1:26" s="33" customFormat="1" x14ac:dyDescent="0.35">
      <c r="A546" s="85"/>
      <c r="B546" s="99"/>
      <c r="C546" s="99"/>
      <c r="D546" s="40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9"/>
      <c r="Z546" s="144"/>
    </row>
    <row r="547" spans="1:26" s="33" customFormat="1" x14ac:dyDescent="0.35">
      <c r="A547" s="85"/>
      <c r="B547" s="99"/>
      <c r="C547" s="99"/>
      <c r="D547" s="40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9"/>
      <c r="Z547" s="144"/>
    </row>
    <row r="548" spans="1:26" s="33" customFormat="1" x14ac:dyDescent="0.35">
      <c r="A548" s="85"/>
      <c r="B548" s="99"/>
      <c r="C548" s="99"/>
      <c r="D548" s="40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9"/>
      <c r="Z548" s="144"/>
    </row>
    <row r="549" spans="1:26" s="33" customFormat="1" x14ac:dyDescent="0.35">
      <c r="A549" s="85"/>
      <c r="B549" s="99"/>
      <c r="C549" s="99"/>
      <c r="D549" s="40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9"/>
      <c r="Z549" s="144"/>
    </row>
    <row r="550" spans="1:26" s="33" customFormat="1" x14ac:dyDescent="0.35">
      <c r="A550" s="85"/>
      <c r="B550" s="99"/>
      <c r="C550" s="99"/>
      <c r="D550" s="40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9"/>
      <c r="Z550" s="144"/>
    </row>
    <row r="551" spans="1:26" s="33" customFormat="1" x14ac:dyDescent="0.35">
      <c r="A551" s="85"/>
      <c r="B551" s="99"/>
      <c r="C551" s="99"/>
      <c r="D551" s="40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9"/>
      <c r="Z551" s="144"/>
    </row>
    <row r="552" spans="1:26" s="33" customFormat="1" x14ac:dyDescent="0.35">
      <c r="A552" s="85"/>
      <c r="B552" s="99"/>
      <c r="C552" s="99"/>
      <c r="D552" s="40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9"/>
      <c r="Z552" s="144"/>
    </row>
    <row r="553" spans="1:26" s="33" customFormat="1" x14ac:dyDescent="0.35">
      <c r="A553" s="85"/>
      <c r="B553" s="99"/>
      <c r="C553" s="99"/>
      <c r="D553" s="40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9"/>
      <c r="Z553" s="144"/>
    </row>
    <row r="554" spans="1:26" s="33" customFormat="1" x14ac:dyDescent="0.35">
      <c r="A554" s="85"/>
      <c r="B554" s="99"/>
      <c r="C554" s="99"/>
      <c r="D554" s="40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9"/>
      <c r="Z554" s="144"/>
    </row>
    <row r="555" spans="1:26" s="33" customFormat="1" x14ac:dyDescent="0.35">
      <c r="A555" s="85"/>
      <c r="B555" s="99"/>
      <c r="C555" s="99"/>
      <c r="D555" s="40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9"/>
      <c r="Z555" s="144"/>
    </row>
    <row r="556" spans="1:26" s="33" customFormat="1" x14ac:dyDescent="0.35">
      <c r="A556" s="85"/>
      <c r="B556" s="99"/>
      <c r="C556" s="99"/>
      <c r="D556" s="40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9"/>
      <c r="Z556" s="144"/>
    </row>
    <row r="557" spans="1:26" s="33" customFormat="1" x14ac:dyDescent="0.35">
      <c r="A557" s="85"/>
      <c r="B557" s="99"/>
      <c r="C557" s="99"/>
      <c r="D557" s="40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9"/>
      <c r="Z557" s="144"/>
    </row>
    <row r="558" spans="1:26" s="33" customFormat="1" x14ac:dyDescent="0.35">
      <c r="A558" s="85"/>
      <c r="B558" s="99"/>
      <c r="C558" s="99"/>
      <c r="D558" s="40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9"/>
      <c r="Z558" s="144"/>
    </row>
    <row r="559" spans="1:26" s="33" customFormat="1" x14ac:dyDescent="0.35">
      <c r="A559" s="85"/>
      <c r="B559" s="99"/>
      <c r="C559" s="99"/>
      <c r="D559" s="40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9"/>
      <c r="Z559" s="144"/>
    </row>
    <row r="560" spans="1:26" s="33" customFormat="1" x14ac:dyDescent="0.35">
      <c r="A560" s="85"/>
      <c r="B560" s="99"/>
      <c r="C560" s="99"/>
      <c r="D560" s="40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9"/>
      <c r="Z560" s="144"/>
    </row>
    <row r="561" spans="1:26" s="33" customFormat="1" x14ac:dyDescent="0.35">
      <c r="A561" s="85"/>
      <c r="B561" s="99"/>
      <c r="C561" s="99"/>
      <c r="D561" s="40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9"/>
      <c r="Z561" s="144"/>
    </row>
    <row r="562" spans="1:26" s="33" customFormat="1" x14ac:dyDescent="0.35">
      <c r="A562" s="85"/>
      <c r="B562" s="99"/>
      <c r="C562" s="99"/>
      <c r="D562" s="40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9"/>
      <c r="Z562" s="144"/>
    </row>
    <row r="563" spans="1:26" s="33" customFormat="1" x14ac:dyDescent="0.35">
      <c r="A563" s="85"/>
      <c r="B563" s="99"/>
      <c r="C563" s="99"/>
      <c r="D563" s="40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9"/>
      <c r="Z563" s="144"/>
    </row>
    <row r="564" spans="1:26" s="33" customFormat="1" x14ac:dyDescent="0.35">
      <c r="A564" s="85"/>
      <c r="B564" s="99"/>
      <c r="C564" s="99"/>
      <c r="D564" s="40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9"/>
      <c r="Z564" s="144"/>
    </row>
    <row r="565" spans="1:26" s="33" customFormat="1" x14ac:dyDescent="0.35">
      <c r="A565" s="85"/>
      <c r="B565" s="99"/>
      <c r="C565" s="99"/>
      <c r="D565" s="40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9"/>
      <c r="Z565" s="144"/>
    </row>
    <row r="566" spans="1:26" s="33" customFormat="1" x14ac:dyDescent="0.35">
      <c r="A566" s="85"/>
      <c r="B566" s="99"/>
      <c r="C566" s="99"/>
      <c r="D566" s="40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9"/>
      <c r="Z566" s="144"/>
    </row>
    <row r="567" spans="1:26" s="33" customFormat="1" x14ac:dyDescent="0.35">
      <c r="A567" s="85"/>
      <c r="B567" s="99"/>
      <c r="C567" s="99"/>
      <c r="D567" s="40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9"/>
      <c r="Z567" s="144"/>
    </row>
    <row r="568" spans="1:26" s="33" customFormat="1" x14ac:dyDescent="0.35">
      <c r="A568" s="85"/>
      <c r="B568" s="99"/>
      <c r="C568" s="99"/>
      <c r="D568" s="40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9"/>
      <c r="Z568" s="144"/>
    </row>
    <row r="569" spans="1:26" s="33" customFormat="1" x14ac:dyDescent="0.35">
      <c r="A569" s="85"/>
      <c r="B569" s="99"/>
      <c r="C569" s="99"/>
      <c r="D569" s="40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9"/>
      <c r="Z569" s="144"/>
    </row>
    <row r="570" spans="1:26" s="33" customFormat="1" x14ac:dyDescent="0.35">
      <c r="A570" s="85"/>
      <c r="B570" s="99"/>
      <c r="C570" s="99"/>
      <c r="D570" s="40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9"/>
      <c r="Z570" s="144"/>
    </row>
    <row r="571" spans="1:26" s="33" customFormat="1" x14ac:dyDescent="0.35">
      <c r="A571" s="85"/>
      <c r="B571" s="99"/>
      <c r="C571" s="99"/>
      <c r="D571" s="40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9"/>
      <c r="Z571" s="144"/>
    </row>
    <row r="572" spans="1:26" s="33" customFormat="1" x14ac:dyDescent="0.35">
      <c r="A572" s="85"/>
      <c r="B572" s="99"/>
      <c r="C572" s="99"/>
      <c r="D572" s="40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9"/>
      <c r="Z572" s="144"/>
    </row>
    <row r="573" spans="1:26" s="33" customFormat="1" x14ac:dyDescent="0.35">
      <c r="A573" s="85"/>
      <c r="B573" s="99"/>
      <c r="C573" s="99"/>
      <c r="D573" s="40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9"/>
      <c r="Z573" s="144"/>
    </row>
    <row r="574" spans="1:26" s="33" customFormat="1" x14ac:dyDescent="0.35">
      <c r="A574" s="85"/>
      <c r="B574" s="99"/>
      <c r="C574" s="99"/>
      <c r="D574" s="40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9"/>
      <c r="Z574" s="144"/>
    </row>
    <row r="575" spans="1:26" s="33" customFormat="1" x14ac:dyDescent="0.35">
      <c r="A575" s="85"/>
      <c r="B575" s="99"/>
      <c r="C575" s="99"/>
      <c r="D575" s="40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9"/>
      <c r="Z575" s="144"/>
    </row>
    <row r="576" spans="1:26" s="33" customFormat="1" x14ac:dyDescent="0.35">
      <c r="A576" s="85"/>
      <c r="B576" s="99"/>
      <c r="C576" s="99"/>
      <c r="D576" s="40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9"/>
      <c r="Z576" s="144"/>
    </row>
    <row r="577" spans="1:26" s="33" customFormat="1" x14ac:dyDescent="0.35">
      <c r="A577" s="85"/>
      <c r="B577" s="99"/>
      <c r="C577" s="99"/>
      <c r="D577" s="40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9"/>
      <c r="Z577" s="144"/>
    </row>
    <row r="578" spans="1:26" s="33" customFormat="1" x14ac:dyDescent="0.35">
      <c r="A578" s="85"/>
      <c r="B578" s="99"/>
      <c r="C578" s="99"/>
      <c r="D578" s="40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9"/>
      <c r="Z578" s="144"/>
    </row>
    <row r="579" spans="1:26" s="33" customFormat="1" x14ac:dyDescent="0.35">
      <c r="A579" s="85"/>
      <c r="B579" s="99"/>
      <c r="C579" s="99"/>
      <c r="D579" s="40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9"/>
      <c r="Z579" s="144"/>
    </row>
    <row r="580" spans="1:26" s="33" customFormat="1" x14ac:dyDescent="0.35">
      <c r="A580" s="85"/>
      <c r="B580" s="99"/>
      <c r="C580" s="99"/>
      <c r="D580" s="40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9"/>
      <c r="Z580" s="144"/>
    </row>
    <row r="581" spans="1:26" s="33" customFormat="1" x14ac:dyDescent="0.35">
      <c r="A581" s="85"/>
      <c r="B581" s="99"/>
      <c r="C581" s="99"/>
      <c r="D581" s="40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9"/>
      <c r="Z581" s="144"/>
    </row>
    <row r="582" spans="1:26" s="33" customFormat="1" x14ac:dyDescent="0.35">
      <c r="A582" s="85"/>
      <c r="B582" s="99"/>
      <c r="C582" s="99"/>
      <c r="D582" s="40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9"/>
      <c r="Z582" s="144"/>
    </row>
    <row r="583" spans="1:26" s="33" customFormat="1" x14ac:dyDescent="0.35">
      <c r="A583" s="85"/>
      <c r="B583" s="99"/>
      <c r="C583" s="99"/>
      <c r="D583" s="40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9"/>
      <c r="Z583" s="144"/>
    </row>
    <row r="584" spans="1:26" s="33" customFormat="1" x14ac:dyDescent="0.35">
      <c r="A584" s="85"/>
      <c r="B584" s="99"/>
      <c r="C584" s="99"/>
      <c r="D584" s="40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9"/>
      <c r="Z584" s="144"/>
    </row>
    <row r="585" spans="1:26" s="33" customFormat="1" x14ac:dyDescent="0.35">
      <c r="A585" s="85"/>
      <c r="B585" s="99"/>
      <c r="C585" s="99"/>
      <c r="D585" s="40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9"/>
      <c r="Z585" s="144"/>
    </row>
    <row r="586" spans="1:26" s="33" customFormat="1" x14ac:dyDescent="0.35">
      <c r="A586" s="85"/>
      <c r="B586" s="99"/>
      <c r="C586" s="99"/>
      <c r="D586" s="40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9"/>
      <c r="Z586" s="144"/>
    </row>
    <row r="587" spans="1:26" s="33" customFormat="1" x14ac:dyDescent="0.35">
      <c r="A587" s="85"/>
      <c r="B587" s="99"/>
      <c r="C587" s="99"/>
      <c r="D587" s="40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9"/>
      <c r="Z587" s="144"/>
    </row>
    <row r="588" spans="1:26" s="33" customFormat="1" x14ac:dyDescent="0.35">
      <c r="A588" s="85"/>
      <c r="B588" s="99"/>
      <c r="C588" s="99"/>
      <c r="D588" s="40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9"/>
      <c r="Z588" s="144"/>
    </row>
    <row r="589" spans="1:26" s="33" customFormat="1" x14ac:dyDescent="0.35">
      <c r="A589" s="85"/>
      <c r="B589" s="99"/>
      <c r="C589" s="99"/>
      <c r="D589" s="40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9"/>
      <c r="Z589" s="144"/>
    </row>
    <row r="590" spans="1:26" s="33" customFormat="1" x14ac:dyDescent="0.35">
      <c r="A590" s="85"/>
      <c r="B590" s="99"/>
      <c r="C590" s="99"/>
      <c r="D590" s="40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9"/>
      <c r="Z590" s="144"/>
    </row>
    <row r="591" spans="1:26" s="33" customFormat="1" x14ac:dyDescent="0.35">
      <c r="A591" s="85"/>
      <c r="B591" s="99"/>
      <c r="C591" s="99"/>
      <c r="D591" s="40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9"/>
      <c r="Z591" s="144"/>
    </row>
    <row r="592" spans="1:26" s="33" customFormat="1" x14ac:dyDescent="0.35">
      <c r="A592" s="85"/>
      <c r="B592" s="99"/>
      <c r="C592" s="99"/>
      <c r="D592" s="40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9"/>
      <c r="Z592" s="144"/>
    </row>
    <row r="593" spans="1:26" s="33" customFormat="1" x14ac:dyDescent="0.35">
      <c r="A593" s="85"/>
      <c r="B593" s="99"/>
      <c r="C593" s="99"/>
      <c r="D593" s="40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9"/>
      <c r="Z593" s="144"/>
    </row>
    <row r="594" spans="1:26" s="33" customFormat="1" x14ac:dyDescent="0.35">
      <c r="A594" s="85"/>
      <c r="B594" s="99"/>
      <c r="C594" s="99"/>
      <c r="D594" s="40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9"/>
      <c r="Z594" s="144"/>
    </row>
    <row r="595" spans="1:26" s="33" customFormat="1" x14ac:dyDescent="0.35">
      <c r="A595" s="85"/>
      <c r="B595" s="99"/>
      <c r="C595" s="99"/>
      <c r="D595" s="40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9"/>
      <c r="Z595" s="144"/>
    </row>
    <row r="596" spans="1:26" s="33" customFormat="1" x14ac:dyDescent="0.35">
      <c r="A596" s="85"/>
      <c r="B596" s="99"/>
      <c r="C596" s="99"/>
      <c r="D596" s="40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9"/>
      <c r="Z596" s="144"/>
    </row>
    <row r="597" spans="1:26" s="33" customFormat="1" x14ac:dyDescent="0.35">
      <c r="A597" s="85"/>
      <c r="B597" s="99"/>
      <c r="C597" s="99"/>
      <c r="D597" s="40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9"/>
      <c r="Z597" s="144"/>
    </row>
    <row r="598" spans="1:26" s="33" customFormat="1" x14ac:dyDescent="0.35">
      <c r="A598" s="85"/>
      <c r="B598" s="99"/>
      <c r="C598" s="99"/>
      <c r="D598" s="40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9"/>
      <c r="Z598" s="144"/>
    </row>
    <row r="599" spans="1:26" s="33" customFormat="1" x14ac:dyDescent="0.35">
      <c r="A599" s="85"/>
      <c r="B599" s="99"/>
      <c r="C599" s="99"/>
      <c r="D599" s="40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9"/>
      <c r="Z599" s="144"/>
    </row>
    <row r="600" spans="1:26" s="33" customFormat="1" x14ac:dyDescent="0.35">
      <c r="A600" s="85"/>
      <c r="B600" s="99"/>
      <c r="C600" s="99"/>
      <c r="D600" s="40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9"/>
      <c r="Z600" s="144"/>
    </row>
    <row r="601" spans="1:26" s="33" customFormat="1" x14ac:dyDescent="0.35">
      <c r="A601" s="85"/>
      <c r="B601" s="99"/>
      <c r="C601" s="99"/>
      <c r="D601" s="40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9"/>
      <c r="Z601" s="144"/>
    </row>
    <row r="602" spans="1:26" s="33" customFormat="1" x14ac:dyDescent="0.35">
      <c r="A602" s="85"/>
      <c r="B602" s="99"/>
      <c r="C602" s="99"/>
      <c r="D602" s="40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9"/>
      <c r="Z602" s="144"/>
    </row>
    <row r="603" spans="1:26" s="33" customFormat="1" x14ac:dyDescent="0.35">
      <c r="A603" s="85"/>
      <c r="B603" s="99"/>
      <c r="C603" s="99"/>
      <c r="D603" s="40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9"/>
      <c r="Z603" s="144"/>
    </row>
    <row r="604" spans="1:26" s="33" customFormat="1" x14ac:dyDescent="0.35">
      <c r="A604" s="85"/>
      <c r="B604" s="99"/>
      <c r="C604" s="99"/>
      <c r="D604" s="40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9"/>
      <c r="Z604" s="144"/>
    </row>
    <row r="605" spans="1:26" s="33" customFormat="1" x14ac:dyDescent="0.35">
      <c r="A605" s="85"/>
      <c r="B605" s="99"/>
      <c r="C605" s="99"/>
      <c r="D605" s="40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9"/>
      <c r="Z605" s="144"/>
    </row>
    <row r="606" spans="1:26" s="33" customFormat="1" x14ac:dyDescent="0.35">
      <c r="A606" s="85"/>
      <c r="B606" s="99"/>
      <c r="C606" s="99"/>
      <c r="D606" s="40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9"/>
      <c r="Z606" s="144"/>
    </row>
    <row r="607" spans="1:26" s="33" customFormat="1" x14ac:dyDescent="0.35">
      <c r="A607" s="85"/>
      <c r="B607" s="99"/>
      <c r="C607" s="99"/>
      <c r="D607" s="40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9"/>
      <c r="Z607" s="144"/>
    </row>
    <row r="608" spans="1:26" s="33" customFormat="1" x14ac:dyDescent="0.35">
      <c r="A608" s="85"/>
      <c r="B608" s="99"/>
      <c r="C608" s="99"/>
      <c r="D608" s="40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9"/>
      <c r="Z608" s="144"/>
    </row>
    <row r="609" spans="1:26" s="33" customFormat="1" x14ac:dyDescent="0.35">
      <c r="A609" s="85"/>
      <c r="B609" s="99"/>
      <c r="C609" s="99"/>
      <c r="D609" s="40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9"/>
      <c r="Z609" s="144"/>
    </row>
    <row r="610" spans="1:26" s="33" customFormat="1" x14ac:dyDescent="0.35">
      <c r="A610" s="85"/>
      <c r="B610" s="99"/>
      <c r="C610" s="99"/>
      <c r="D610" s="40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9"/>
      <c r="Z610" s="144"/>
    </row>
    <row r="611" spans="1:26" s="33" customFormat="1" x14ac:dyDescent="0.35">
      <c r="A611" s="85"/>
      <c r="B611" s="99"/>
      <c r="C611" s="99"/>
      <c r="D611" s="40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9"/>
      <c r="Z611" s="144"/>
    </row>
    <row r="612" spans="1:26" s="33" customFormat="1" x14ac:dyDescent="0.35">
      <c r="A612" s="85"/>
      <c r="B612" s="99"/>
      <c r="C612" s="99"/>
      <c r="D612" s="40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9"/>
      <c r="Z612" s="144"/>
    </row>
    <row r="613" spans="1:26" s="33" customFormat="1" x14ac:dyDescent="0.35">
      <c r="A613" s="85"/>
      <c r="B613" s="99"/>
      <c r="C613" s="99"/>
      <c r="D613" s="40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9"/>
      <c r="Z613" s="144"/>
    </row>
    <row r="614" spans="1:26" s="33" customFormat="1" x14ac:dyDescent="0.35">
      <c r="A614" s="85"/>
      <c r="B614" s="99"/>
      <c r="C614" s="99"/>
      <c r="D614" s="40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9"/>
      <c r="Z614" s="144"/>
    </row>
    <row r="615" spans="1:26" s="33" customFormat="1" x14ac:dyDescent="0.35">
      <c r="A615" s="85"/>
      <c r="B615" s="99"/>
      <c r="C615" s="99"/>
      <c r="D615" s="40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9"/>
      <c r="Z615" s="144"/>
    </row>
    <row r="616" spans="1:26" s="33" customFormat="1" x14ac:dyDescent="0.35">
      <c r="A616" s="85"/>
      <c r="B616" s="99"/>
      <c r="C616" s="99"/>
      <c r="D616" s="40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9"/>
      <c r="Z616" s="144"/>
    </row>
    <row r="617" spans="1:26" s="33" customFormat="1" x14ac:dyDescent="0.35">
      <c r="A617" s="85"/>
      <c r="B617" s="99"/>
      <c r="C617" s="99"/>
      <c r="D617" s="40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9"/>
      <c r="Z617" s="144"/>
    </row>
    <row r="618" spans="1:26" s="33" customFormat="1" x14ac:dyDescent="0.35">
      <c r="A618" s="85"/>
      <c r="B618" s="99"/>
      <c r="C618" s="99"/>
      <c r="D618" s="40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9"/>
      <c r="Z618" s="144"/>
    </row>
    <row r="619" spans="1:26" s="33" customFormat="1" x14ac:dyDescent="0.35">
      <c r="A619" s="85"/>
      <c r="B619" s="99"/>
      <c r="C619" s="99"/>
      <c r="D619" s="40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9"/>
      <c r="Z619" s="144"/>
    </row>
    <row r="620" spans="1:26" s="33" customFormat="1" x14ac:dyDescent="0.35">
      <c r="A620" s="85"/>
      <c r="B620" s="99"/>
      <c r="C620" s="99"/>
      <c r="D620" s="40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9"/>
      <c r="Z620" s="144"/>
    </row>
    <row r="621" spans="1:26" s="33" customFormat="1" x14ac:dyDescent="0.35">
      <c r="A621" s="85"/>
      <c r="B621" s="99"/>
      <c r="C621" s="99"/>
      <c r="D621" s="40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9"/>
      <c r="Z621" s="144"/>
    </row>
    <row r="622" spans="1:26" s="33" customFormat="1" x14ac:dyDescent="0.35">
      <c r="A622" s="85"/>
      <c r="B622" s="99"/>
      <c r="C622" s="99"/>
      <c r="D622" s="40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9"/>
      <c r="Z622" s="144"/>
    </row>
    <row r="623" spans="1:26" s="33" customFormat="1" x14ac:dyDescent="0.35">
      <c r="A623" s="85"/>
      <c r="B623" s="99"/>
      <c r="C623" s="99"/>
      <c r="D623" s="40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9"/>
      <c r="Z623" s="144"/>
    </row>
    <row r="624" spans="1:26" s="33" customFormat="1" x14ac:dyDescent="0.35">
      <c r="A624" s="85"/>
      <c r="B624" s="99"/>
      <c r="C624" s="99"/>
      <c r="D624" s="40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9"/>
      <c r="Z624" s="144"/>
    </row>
    <row r="625" spans="1:26" s="33" customFormat="1" x14ac:dyDescent="0.35">
      <c r="A625" s="85"/>
      <c r="B625" s="99"/>
      <c r="C625" s="99"/>
      <c r="D625" s="40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9"/>
      <c r="Z625" s="144"/>
    </row>
    <row r="626" spans="1:26" s="33" customFormat="1" x14ac:dyDescent="0.35">
      <c r="A626" s="85"/>
      <c r="B626" s="99"/>
      <c r="C626" s="99"/>
      <c r="D626" s="40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9"/>
      <c r="Z626" s="144"/>
    </row>
    <row r="627" spans="1:26" s="33" customFormat="1" x14ac:dyDescent="0.35">
      <c r="A627" s="85"/>
      <c r="B627" s="99"/>
      <c r="C627" s="99"/>
      <c r="D627" s="40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9"/>
      <c r="Z627" s="144"/>
    </row>
    <row r="628" spans="1:26" s="33" customFormat="1" x14ac:dyDescent="0.35">
      <c r="A628" s="85"/>
      <c r="B628" s="99"/>
      <c r="C628" s="99"/>
      <c r="D628" s="40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9"/>
      <c r="Z628" s="144"/>
    </row>
    <row r="629" spans="1:26" s="33" customFormat="1" x14ac:dyDescent="0.35">
      <c r="A629" s="85"/>
      <c r="B629" s="99"/>
      <c r="C629" s="99"/>
      <c r="D629" s="40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9"/>
      <c r="Z629" s="144"/>
    </row>
    <row r="630" spans="1:26" s="33" customFormat="1" x14ac:dyDescent="0.35">
      <c r="A630" s="85"/>
      <c r="B630" s="99"/>
      <c r="C630" s="99"/>
      <c r="D630" s="40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9"/>
      <c r="Z630" s="144"/>
    </row>
    <row r="631" spans="1:26" s="33" customFormat="1" x14ac:dyDescent="0.35">
      <c r="A631" s="85"/>
      <c r="B631" s="99"/>
      <c r="C631" s="99"/>
      <c r="D631" s="40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9"/>
      <c r="Z631" s="144"/>
    </row>
    <row r="632" spans="1:26" s="33" customFormat="1" x14ac:dyDescent="0.35">
      <c r="A632" s="85"/>
      <c r="B632" s="99"/>
      <c r="C632" s="99"/>
      <c r="D632" s="40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9"/>
      <c r="Z632" s="144"/>
    </row>
    <row r="633" spans="1:26" s="33" customFormat="1" x14ac:dyDescent="0.35">
      <c r="A633" s="85"/>
      <c r="B633" s="99"/>
      <c r="C633" s="99"/>
      <c r="D633" s="40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9"/>
      <c r="Z633" s="144"/>
    </row>
    <row r="634" spans="1:26" s="33" customFormat="1" x14ac:dyDescent="0.35">
      <c r="A634" s="85"/>
      <c r="B634" s="99"/>
      <c r="C634" s="99"/>
      <c r="D634" s="40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9"/>
      <c r="Z634" s="144"/>
    </row>
    <row r="635" spans="1:26" s="33" customFormat="1" x14ac:dyDescent="0.35">
      <c r="A635" s="85"/>
      <c r="B635" s="99"/>
      <c r="C635" s="99"/>
      <c r="D635" s="40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9"/>
      <c r="Z635" s="144"/>
    </row>
    <row r="636" spans="1:26" s="33" customFormat="1" x14ac:dyDescent="0.35">
      <c r="A636" s="85"/>
      <c r="B636" s="99"/>
      <c r="C636" s="99"/>
      <c r="D636" s="40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9"/>
      <c r="Z636" s="144"/>
    </row>
    <row r="637" spans="1:26" s="33" customFormat="1" x14ac:dyDescent="0.35">
      <c r="A637" s="85"/>
      <c r="B637" s="99"/>
      <c r="C637" s="99"/>
      <c r="D637" s="40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9"/>
      <c r="Z637" s="144"/>
    </row>
    <row r="638" spans="1:26" s="33" customFormat="1" x14ac:dyDescent="0.35">
      <c r="A638" s="85"/>
      <c r="B638" s="99"/>
      <c r="C638" s="99"/>
      <c r="D638" s="40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9"/>
      <c r="Z638" s="144"/>
    </row>
    <row r="639" spans="1:26" s="33" customFormat="1" x14ac:dyDescent="0.35">
      <c r="A639" s="85"/>
      <c r="B639" s="99"/>
      <c r="C639" s="99"/>
      <c r="D639" s="40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9"/>
      <c r="Z639" s="144"/>
    </row>
    <row r="640" spans="1:26" s="33" customFormat="1" x14ac:dyDescent="0.35">
      <c r="A640" s="85"/>
      <c r="B640" s="99"/>
      <c r="C640" s="99"/>
      <c r="D640" s="40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9"/>
      <c r="Z640" s="144"/>
    </row>
    <row r="641" spans="1:26" s="33" customFormat="1" x14ac:dyDescent="0.35">
      <c r="A641" s="85"/>
      <c r="B641" s="99"/>
      <c r="C641" s="99"/>
      <c r="D641" s="40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9"/>
      <c r="Z641" s="144"/>
    </row>
    <row r="642" spans="1:26" s="33" customFormat="1" x14ac:dyDescent="0.35">
      <c r="A642" s="85"/>
      <c r="B642" s="99"/>
      <c r="C642" s="99"/>
      <c r="D642" s="40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9"/>
      <c r="Z642" s="144"/>
    </row>
    <row r="643" spans="1:26" s="33" customFormat="1" x14ac:dyDescent="0.35">
      <c r="A643" s="85"/>
      <c r="B643" s="99"/>
      <c r="C643" s="99"/>
      <c r="D643" s="40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9"/>
      <c r="Z643" s="144"/>
    </row>
    <row r="644" spans="1:26" s="33" customFormat="1" x14ac:dyDescent="0.35">
      <c r="A644" s="85"/>
      <c r="B644" s="99"/>
      <c r="C644" s="99"/>
      <c r="D644" s="40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9"/>
      <c r="Z644" s="144"/>
    </row>
    <row r="645" spans="1:26" s="33" customFormat="1" x14ac:dyDescent="0.35">
      <c r="A645" s="85"/>
      <c r="B645" s="99"/>
      <c r="C645" s="99"/>
      <c r="D645" s="40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9"/>
      <c r="Z645" s="144"/>
    </row>
    <row r="646" spans="1:26" s="33" customFormat="1" x14ac:dyDescent="0.35">
      <c r="A646" s="85"/>
      <c r="B646" s="99"/>
      <c r="C646" s="99"/>
      <c r="D646" s="40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9"/>
      <c r="Z646" s="144"/>
    </row>
    <row r="647" spans="1:26" s="33" customFormat="1" x14ac:dyDescent="0.35">
      <c r="A647" s="85"/>
      <c r="B647" s="99"/>
      <c r="C647" s="99"/>
      <c r="D647" s="40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9"/>
      <c r="Z647" s="144"/>
    </row>
    <row r="648" spans="1:26" s="33" customFormat="1" x14ac:dyDescent="0.35">
      <c r="A648" s="85"/>
      <c r="B648" s="99"/>
      <c r="C648" s="99"/>
      <c r="D648" s="40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9"/>
      <c r="Z648" s="144"/>
    </row>
    <row r="649" spans="1:26" s="33" customFormat="1" x14ac:dyDescent="0.35">
      <c r="A649" s="85"/>
      <c r="B649" s="99"/>
      <c r="C649" s="99"/>
      <c r="D649" s="40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9"/>
      <c r="Z649" s="144"/>
    </row>
    <row r="650" spans="1:26" s="33" customFormat="1" x14ac:dyDescent="0.35">
      <c r="A650" s="85"/>
      <c r="B650" s="99"/>
      <c r="C650" s="99"/>
      <c r="D650" s="40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9"/>
      <c r="Z650" s="144"/>
    </row>
    <row r="651" spans="1:26" s="33" customFormat="1" x14ac:dyDescent="0.35">
      <c r="A651" s="85"/>
      <c r="B651" s="99"/>
      <c r="C651" s="99"/>
      <c r="D651" s="40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9"/>
      <c r="Z651" s="144"/>
    </row>
    <row r="652" spans="1:26" s="33" customFormat="1" x14ac:dyDescent="0.35">
      <c r="A652" s="85"/>
      <c r="B652" s="99"/>
      <c r="C652" s="99"/>
      <c r="D652" s="40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9"/>
      <c r="Z652" s="144"/>
    </row>
    <row r="653" spans="1:26" s="33" customFormat="1" x14ac:dyDescent="0.35">
      <c r="A653" s="85"/>
      <c r="B653" s="99"/>
      <c r="C653" s="99"/>
      <c r="D653" s="40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9"/>
      <c r="Z653" s="144"/>
    </row>
    <row r="654" spans="1:26" s="33" customFormat="1" x14ac:dyDescent="0.35">
      <c r="A654" s="85"/>
      <c r="B654" s="99"/>
      <c r="C654" s="99"/>
      <c r="D654" s="40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9"/>
      <c r="Z654" s="144"/>
    </row>
    <row r="655" spans="1:26" s="33" customFormat="1" x14ac:dyDescent="0.35">
      <c r="A655" s="85"/>
      <c r="B655" s="99"/>
      <c r="C655" s="99"/>
      <c r="D655" s="40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9"/>
      <c r="Z655" s="144"/>
    </row>
    <row r="656" spans="1:26" s="33" customFormat="1" x14ac:dyDescent="0.35">
      <c r="A656" s="85"/>
      <c r="B656" s="99"/>
      <c r="C656" s="99"/>
      <c r="D656" s="40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9"/>
      <c r="Z656" s="144"/>
    </row>
    <row r="657" spans="1:26" s="33" customFormat="1" x14ac:dyDescent="0.35">
      <c r="A657" s="85"/>
      <c r="B657" s="99"/>
      <c r="C657" s="99"/>
      <c r="D657" s="40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9"/>
      <c r="Z657" s="144"/>
    </row>
    <row r="658" spans="1:26" s="33" customFormat="1" x14ac:dyDescent="0.35">
      <c r="A658" s="85"/>
      <c r="B658" s="99"/>
      <c r="C658" s="99"/>
      <c r="D658" s="40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9"/>
      <c r="Z658" s="144"/>
    </row>
    <row r="659" spans="1:26" s="33" customFormat="1" x14ac:dyDescent="0.35">
      <c r="A659" s="85"/>
      <c r="B659" s="99"/>
      <c r="C659" s="99"/>
      <c r="D659" s="40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9"/>
      <c r="Z659" s="144"/>
    </row>
    <row r="660" spans="1:26" s="33" customFormat="1" x14ac:dyDescent="0.35">
      <c r="A660" s="85"/>
      <c r="B660" s="99"/>
      <c r="C660" s="99"/>
      <c r="D660" s="40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9"/>
      <c r="Z660" s="144"/>
    </row>
    <row r="661" spans="1:26" s="33" customFormat="1" x14ac:dyDescent="0.35">
      <c r="A661" s="85"/>
      <c r="B661" s="99"/>
      <c r="C661" s="99"/>
      <c r="D661" s="40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9"/>
      <c r="Z661" s="144"/>
    </row>
    <row r="662" spans="1:26" s="33" customFormat="1" x14ac:dyDescent="0.35">
      <c r="A662" s="85"/>
      <c r="B662" s="99"/>
      <c r="C662" s="99"/>
      <c r="D662" s="40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9"/>
      <c r="Z662" s="144"/>
    </row>
    <row r="663" spans="1:26" s="33" customFormat="1" x14ac:dyDescent="0.35">
      <c r="A663" s="85"/>
      <c r="B663" s="99"/>
      <c r="C663" s="99"/>
      <c r="D663" s="40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9"/>
      <c r="Z663" s="144"/>
    </row>
    <row r="664" spans="1:26" s="33" customFormat="1" x14ac:dyDescent="0.35">
      <c r="A664" s="85"/>
      <c r="B664" s="99"/>
      <c r="C664" s="99"/>
      <c r="D664" s="40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9"/>
      <c r="Z664" s="144"/>
    </row>
    <row r="665" spans="1:26" s="33" customFormat="1" x14ac:dyDescent="0.35">
      <c r="A665" s="85"/>
      <c r="B665" s="99"/>
      <c r="C665" s="99"/>
      <c r="D665" s="40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9"/>
      <c r="Z665" s="144"/>
    </row>
    <row r="666" spans="1:26" s="33" customFormat="1" x14ac:dyDescent="0.35">
      <c r="A666" s="85"/>
      <c r="B666" s="99"/>
      <c r="C666" s="99"/>
      <c r="D666" s="40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9"/>
      <c r="Z666" s="144"/>
    </row>
    <row r="667" spans="1:26" s="33" customFormat="1" x14ac:dyDescent="0.35">
      <c r="A667" s="85"/>
      <c r="B667" s="99"/>
      <c r="C667" s="99"/>
      <c r="D667" s="40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9"/>
      <c r="Z667" s="144"/>
    </row>
    <row r="668" spans="1:26" s="33" customFormat="1" x14ac:dyDescent="0.35">
      <c r="A668" s="85"/>
      <c r="B668" s="99"/>
      <c r="C668" s="99"/>
      <c r="D668" s="40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9"/>
      <c r="Z668" s="144"/>
    </row>
    <row r="669" spans="1:26" s="33" customFormat="1" x14ac:dyDescent="0.35">
      <c r="A669" s="85"/>
      <c r="B669" s="99"/>
      <c r="C669" s="99"/>
      <c r="D669" s="40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9"/>
      <c r="Z669" s="144"/>
    </row>
    <row r="670" spans="1:26" s="33" customFormat="1" x14ac:dyDescent="0.35">
      <c r="A670" s="85"/>
      <c r="B670" s="99"/>
      <c r="C670" s="99"/>
      <c r="D670" s="40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9"/>
      <c r="Z670" s="144"/>
    </row>
    <row r="671" spans="1:26" s="33" customFormat="1" x14ac:dyDescent="0.35">
      <c r="A671" s="85"/>
      <c r="B671" s="99"/>
      <c r="C671" s="99"/>
      <c r="D671" s="40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9"/>
      <c r="Z671" s="144"/>
    </row>
    <row r="672" spans="1:26" s="33" customFormat="1" x14ac:dyDescent="0.35">
      <c r="A672" s="85"/>
      <c r="B672" s="99"/>
      <c r="C672" s="99"/>
      <c r="D672" s="40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9"/>
      <c r="Z672" s="144"/>
    </row>
    <row r="673" spans="1:26" s="33" customFormat="1" x14ac:dyDescent="0.35">
      <c r="A673" s="85"/>
      <c r="B673" s="99"/>
      <c r="C673" s="99"/>
      <c r="D673" s="40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9"/>
      <c r="Z673" s="144"/>
    </row>
    <row r="674" spans="1:26" s="33" customFormat="1" x14ac:dyDescent="0.35">
      <c r="A674" s="85"/>
      <c r="B674" s="99"/>
      <c r="C674" s="99"/>
      <c r="D674" s="40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9"/>
      <c r="Z674" s="144"/>
    </row>
    <row r="675" spans="1:26" s="33" customFormat="1" x14ac:dyDescent="0.35">
      <c r="A675" s="85"/>
      <c r="B675" s="99"/>
      <c r="C675" s="99"/>
      <c r="D675" s="40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9"/>
      <c r="Z675" s="144"/>
    </row>
    <row r="676" spans="1:26" s="33" customFormat="1" x14ac:dyDescent="0.35">
      <c r="A676" s="85"/>
      <c r="B676" s="99"/>
      <c r="C676" s="99"/>
      <c r="D676" s="40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9"/>
      <c r="Z676" s="144"/>
    </row>
    <row r="677" spans="1:26" s="33" customFormat="1" x14ac:dyDescent="0.35">
      <c r="A677" s="85"/>
      <c r="B677" s="99"/>
      <c r="C677" s="99"/>
      <c r="D677" s="40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9"/>
      <c r="Z677" s="144"/>
    </row>
    <row r="678" spans="1:26" s="33" customFormat="1" x14ac:dyDescent="0.35">
      <c r="A678" s="85"/>
      <c r="B678" s="99"/>
      <c r="C678" s="99"/>
      <c r="D678" s="40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9"/>
      <c r="Z678" s="144"/>
    </row>
    <row r="679" spans="1:26" s="33" customFormat="1" x14ac:dyDescent="0.35">
      <c r="A679" s="85"/>
      <c r="B679" s="99"/>
      <c r="C679" s="99"/>
      <c r="D679" s="40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9"/>
      <c r="Z679" s="144"/>
    </row>
    <row r="680" spans="1:26" s="33" customFormat="1" x14ac:dyDescent="0.35">
      <c r="A680" s="85"/>
      <c r="B680" s="99"/>
      <c r="C680" s="99"/>
      <c r="D680" s="40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9"/>
      <c r="Z680" s="144"/>
    </row>
    <row r="681" spans="1:26" s="33" customFormat="1" x14ac:dyDescent="0.35">
      <c r="A681" s="85"/>
      <c r="B681" s="99"/>
      <c r="C681" s="99"/>
      <c r="D681" s="40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9"/>
      <c r="Z681" s="144"/>
    </row>
    <row r="682" spans="1:26" s="33" customFormat="1" x14ac:dyDescent="0.35">
      <c r="A682" s="85"/>
      <c r="B682" s="99"/>
      <c r="C682" s="99"/>
      <c r="D682" s="40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9"/>
      <c r="Z682" s="144"/>
    </row>
    <row r="683" spans="1:26" s="33" customFormat="1" x14ac:dyDescent="0.35">
      <c r="A683" s="85"/>
      <c r="B683" s="99"/>
      <c r="C683" s="99"/>
      <c r="D683" s="40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9"/>
      <c r="Z683" s="144"/>
    </row>
    <row r="684" spans="1:26" s="33" customFormat="1" x14ac:dyDescent="0.35">
      <c r="A684" s="85"/>
      <c r="B684" s="99"/>
      <c r="C684" s="99"/>
      <c r="D684" s="40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9"/>
      <c r="Z684" s="144"/>
    </row>
    <row r="685" spans="1:26" s="33" customFormat="1" x14ac:dyDescent="0.35">
      <c r="A685" s="85"/>
      <c r="B685" s="99"/>
      <c r="C685" s="99"/>
      <c r="D685" s="40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9"/>
      <c r="Z685" s="144"/>
    </row>
    <row r="686" spans="1:26" s="33" customFormat="1" x14ac:dyDescent="0.35">
      <c r="A686" s="85"/>
      <c r="B686" s="99"/>
      <c r="C686" s="99"/>
      <c r="D686" s="40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9"/>
      <c r="Z686" s="144"/>
    </row>
    <row r="687" spans="1:26" s="33" customFormat="1" x14ac:dyDescent="0.35">
      <c r="A687" s="85"/>
      <c r="B687" s="99"/>
      <c r="C687" s="99"/>
      <c r="D687" s="40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9"/>
      <c r="Z687" s="144"/>
    </row>
    <row r="688" spans="1:26" s="33" customFormat="1" x14ac:dyDescent="0.35">
      <c r="A688" s="85"/>
      <c r="B688" s="99"/>
      <c r="C688" s="99"/>
      <c r="D688" s="40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9"/>
      <c r="Z688" s="144"/>
    </row>
    <row r="689" spans="1:26" s="33" customFormat="1" x14ac:dyDescent="0.35">
      <c r="A689" s="85"/>
      <c r="B689" s="99"/>
      <c r="C689" s="99"/>
      <c r="D689" s="40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9"/>
      <c r="Z689" s="144"/>
    </row>
    <row r="690" spans="1:26" s="33" customFormat="1" x14ac:dyDescent="0.35">
      <c r="A690" s="85"/>
      <c r="B690" s="99"/>
      <c r="C690" s="99"/>
      <c r="D690" s="40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9"/>
      <c r="Z690" s="144"/>
    </row>
    <row r="691" spans="1:26" s="33" customFormat="1" x14ac:dyDescent="0.35">
      <c r="A691" s="85"/>
      <c r="B691" s="99"/>
      <c r="C691" s="99"/>
      <c r="D691" s="40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9"/>
      <c r="Z691" s="144"/>
    </row>
    <row r="692" spans="1:26" s="33" customFormat="1" x14ac:dyDescent="0.35">
      <c r="A692" s="85"/>
      <c r="B692" s="99"/>
      <c r="C692" s="99"/>
      <c r="D692" s="40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9"/>
      <c r="Z692" s="144"/>
    </row>
    <row r="693" spans="1:26" s="33" customFormat="1" x14ac:dyDescent="0.35">
      <c r="A693" s="85"/>
      <c r="B693" s="99"/>
      <c r="C693" s="99"/>
      <c r="D693" s="40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9"/>
      <c r="Z693" s="144"/>
    </row>
    <row r="694" spans="1:26" s="33" customFormat="1" x14ac:dyDescent="0.35">
      <c r="A694" s="85"/>
      <c r="B694" s="99"/>
      <c r="C694" s="99"/>
      <c r="D694" s="40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9"/>
      <c r="Z694" s="144"/>
    </row>
    <row r="695" spans="1:26" s="33" customFormat="1" x14ac:dyDescent="0.35">
      <c r="A695" s="85"/>
      <c r="B695" s="99"/>
      <c r="C695" s="99"/>
      <c r="D695" s="40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9"/>
      <c r="Z695" s="144"/>
    </row>
    <row r="696" spans="1:26" s="33" customFormat="1" x14ac:dyDescent="0.35">
      <c r="A696" s="85"/>
      <c r="B696" s="99"/>
      <c r="C696" s="99"/>
      <c r="D696" s="40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9"/>
      <c r="Z696" s="144"/>
    </row>
    <row r="697" spans="1:26" s="33" customFormat="1" x14ac:dyDescent="0.35">
      <c r="A697" s="85"/>
      <c r="B697" s="99"/>
      <c r="C697" s="99"/>
      <c r="D697" s="40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9"/>
      <c r="Z697" s="144"/>
    </row>
    <row r="698" spans="1:26" s="33" customFormat="1" x14ac:dyDescent="0.35">
      <c r="A698" s="85"/>
      <c r="B698" s="99"/>
      <c r="C698" s="99"/>
      <c r="D698" s="40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9"/>
      <c r="Z698" s="144"/>
    </row>
    <row r="699" spans="1:26" s="33" customFormat="1" x14ac:dyDescent="0.35">
      <c r="A699" s="85"/>
      <c r="B699" s="99"/>
      <c r="C699" s="99"/>
      <c r="D699" s="40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9"/>
      <c r="Z699" s="144"/>
    </row>
    <row r="700" spans="1:26" s="33" customFormat="1" x14ac:dyDescent="0.35">
      <c r="A700" s="85"/>
      <c r="B700" s="99"/>
      <c r="C700" s="99"/>
      <c r="D700" s="40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9"/>
      <c r="Z700" s="144"/>
    </row>
    <row r="701" spans="1:26" s="33" customFormat="1" x14ac:dyDescent="0.35">
      <c r="A701" s="85"/>
      <c r="B701" s="99"/>
      <c r="C701" s="99"/>
      <c r="D701" s="40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9"/>
      <c r="Z701" s="144"/>
    </row>
    <row r="702" spans="1:26" s="33" customFormat="1" x14ac:dyDescent="0.35">
      <c r="A702" s="85"/>
      <c r="B702" s="99"/>
      <c r="C702" s="99"/>
      <c r="D702" s="40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9"/>
      <c r="Z702" s="144"/>
    </row>
    <row r="703" spans="1:26" s="33" customFormat="1" x14ac:dyDescent="0.35">
      <c r="A703" s="85"/>
      <c r="B703" s="99"/>
      <c r="C703" s="99"/>
      <c r="D703" s="40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9"/>
      <c r="Z703" s="144"/>
    </row>
  </sheetData>
  <mergeCells count="36">
    <mergeCell ref="T1:X1"/>
    <mergeCell ref="A7:Y7"/>
    <mergeCell ref="A11:A14"/>
    <mergeCell ref="C11:C14"/>
    <mergeCell ref="B11:B14"/>
    <mergeCell ref="Q212:S212"/>
    <mergeCell ref="R13:R14"/>
    <mergeCell ref="S13:S14"/>
    <mergeCell ref="T13:T14"/>
    <mergeCell ref="T3:X3"/>
    <mergeCell ref="Y11:Y14"/>
    <mergeCell ref="W13:W14"/>
    <mergeCell ref="X11:X14"/>
    <mergeCell ref="L13:L14"/>
    <mergeCell ref="L11:W11"/>
    <mergeCell ref="L12:Q12"/>
    <mergeCell ref="M13:M14"/>
    <mergeCell ref="N13:N14"/>
    <mergeCell ref="O13:P13"/>
    <mergeCell ref="Q13:Q14"/>
    <mergeCell ref="R12:W12"/>
    <mergeCell ref="D11:D14"/>
    <mergeCell ref="E12:G12"/>
    <mergeCell ref="H12:J12"/>
    <mergeCell ref="K11:K14"/>
    <mergeCell ref="F13:G13"/>
    <mergeCell ref="H13:H14"/>
    <mergeCell ref="I13:J13"/>
    <mergeCell ref="E13:E14"/>
    <mergeCell ref="E11:J11"/>
    <mergeCell ref="Z198:Z218"/>
    <mergeCell ref="Z1:Z41"/>
    <mergeCell ref="Z42:Z86"/>
    <mergeCell ref="Z87:Z121"/>
    <mergeCell ref="Z122:Z163"/>
    <mergeCell ref="Z164:Z197"/>
  </mergeCells>
  <phoneticPr fontId="2" type="noConversion"/>
  <printOptions horizontalCentered="1"/>
  <pageMargins left="0" right="0" top="0.70866141732283472" bottom="0.35433070866141736" header="0.47244094488188981" footer="0.19685039370078741"/>
  <pageSetup paperSize="9" scale="35" fitToHeight="100" orientation="landscape" useFirstPageNumber="1" r:id="rId1"/>
  <headerFooter differentFirst="1" scaleWithDoc="0" alignWithMargins="0">
    <oddHeader>&amp;R&amp;11Продовження додатку 2</oddHeader>
  </headerFooter>
  <rowBreaks count="1" manualBreakCount="1">
    <brk id="19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showGridLines="0" showZeros="0" view="pageBreakPreview" topLeftCell="A145" zoomScale="77" zoomScaleNormal="65" zoomScaleSheetLayoutView="77" workbookViewId="0">
      <selection activeCell="C162" sqref="C162"/>
    </sheetView>
  </sheetViews>
  <sheetFormatPr defaultColWidth="9.1640625" defaultRowHeight="15.75" x14ac:dyDescent="0.25"/>
  <cols>
    <col min="1" max="1" width="19.1640625" style="5" customWidth="1"/>
    <col min="2" max="2" width="21" style="1" customWidth="1"/>
    <col min="3" max="3" width="69" style="10" customWidth="1"/>
    <col min="4" max="4" width="19.1640625" style="4" customWidth="1"/>
    <col min="5" max="6" width="17.33203125" style="4" customWidth="1"/>
    <col min="7" max="7" width="18" style="4" customWidth="1"/>
    <col min="8" max="8" width="17.33203125" style="4" customWidth="1"/>
    <col min="9" max="9" width="16" style="4" customWidth="1"/>
    <col min="10" max="10" width="11.1640625" style="4" customWidth="1"/>
    <col min="11" max="11" width="17.5" style="4" customWidth="1"/>
    <col min="12" max="12" width="17.83203125" style="4" customWidth="1"/>
    <col min="13" max="13" width="17.5" style="4" customWidth="1"/>
    <col min="14" max="14" width="14.6640625" style="4" customWidth="1"/>
    <col min="15" max="15" width="14.83203125" style="4" customWidth="1"/>
    <col min="16" max="16" width="17.33203125" style="4" customWidth="1"/>
    <col min="17" max="17" width="17" style="4" customWidth="1"/>
    <col min="18" max="18" width="17.83203125" style="4" customWidth="1"/>
    <col min="19" max="19" width="16.5" style="4" customWidth="1"/>
    <col min="20" max="20" width="14.6640625" style="4" customWidth="1"/>
    <col min="21" max="21" width="15" style="4" customWidth="1"/>
    <col min="22" max="22" width="17.5" style="4" customWidth="1"/>
    <col min="23" max="23" width="12" style="4" customWidth="1"/>
    <col min="24" max="24" width="19" style="4" customWidth="1"/>
    <col min="25" max="25" width="4.6640625" style="145" customWidth="1"/>
    <col min="26" max="16384" width="9.1640625" style="4"/>
  </cols>
  <sheetData>
    <row r="1" spans="1:33" ht="35.25" x14ac:dyDescent="0.5">
      <c r="L1" s="124"/>
      <c r="M1" s="124"/>
      <c r="N1" s="124"/>
      <c r="O1" s="124"/>
      <c r="P1" s="124"/>
      <c r="R1" s="171" t="s">
        <v>472</v>
      </c>
      <c r="S1" s="171"/>
      <c r="T1" s="171"/>
      <c r="U1" s="171"/>
      <c r="V1" s="171"/>
      <c r="W1" s="171"/>
      <c r="X1" s="125"/>
      <c r="Y1" s="178">
        <v>14</v>
      </c>
    </row>
    <row r="2" spans="1:33" ht="35.25" x14ac:dyDescent="0.5">
      <c r="L2" s="124"/>
      <c r="M2" s="124"/>
      <c r="N2" s="124"/>
      <c r="O2" s="124"/>
      <c r="P2" s="124"/>
      <c r="R2" s="147" t="s">
        <v>466</v>
      </c>
      <c r="S2" s="147"/>
      <c r="T2" s="147"/>
      <c r="U2" s="147"/>
      <c r="V2" s="147"/>
      <c r="W2" s="147"/>
      <c r="X2" s="124"/>
      <c r="Y2" s="178"/>
    </row>
    <row r="3" spans="1:33" ht="31.5" customHeight="1" x14ac:dyDescent="0.5">
      <c r="L3" s="134"/>
      <c r="M3" s="134"/>
      <c r="N3" s="134"/>
      <c r="O3" s="134"/>
      <c r="P3" s="134"/>
      <c r="R3" s="170" t="s">
        <v>468</v>
      </c>
      <c r="S3" s="170"/>
      <c r="T3" s="170"/>
      <c r="U3" s="170"/>
      <c r="V3" s="170"/>
      <c r="W3" s="148"/>
      <c r="X3" s="142"/>
      <c r="Y3" s="178"/>
    </row>
    <row r="4" spans="1:33" ht="31.5" customHeight="1" x14ac:dyDescent="0.45">
      <c r="L4" s="134"/>
      <c r="M4" s="134"/>
      <c r="N4" s="134"/>
      <c r="O4" s="134"/>
      <c r="P4" s="134"/>
      <c r="R4" s="142"/>
      <c r="S4" s="142"/>
      <c r="T4" s="142"/>
      <c r="U4" s="142"/>
      <c r="V4" s="142"/>
      <c r="W4" s="142"/>
      <c r="X4" s="142"/>
      <c r="Y4" s="178"/>
    </row>
    <row r="5" spans="1:33" ht="30.75" x14ac:dyDescent="0.45">
      <c r="L5" s="124"/>
      <c r="M5" s="124"/>
      <c r="N5" s="124"/>
      <c r="O5" s="124"/>
      <c r="P5" s="124"/>
      <c r="R5" s="124"/>
      <c r="S5" s="124"/>
      <c r="T5" s="124"/>
      <c r="U5" s="124"/>
      <c r="V5" s="124"/>
      <c r="W5" s="124"/>
      <c r="X5" s="124"/>
      <c r="Y5" s="178"/>
    </row>
    <row r="6" spans="1:33" ht="30.75" x14ac:dyDescent="0.45">
      <c r="L6" s="124"/>
      <c r="M6" s="124"/>
      <c r="N6" s="124"/>
      <c r="O6" s="124"/>
      <c r="P6" s="124"/>
      <c r="R6" s="124"/>
      <c r="S6" s="124"/>
      <c r="T6" s="124"/>
      <c r="U6" s="124"/>
      <c r="V6" s="124"/>
      <c r="W6" s="124"/>
      <c r="X6" s="124"/>
      <c r="Y6" s="178"/>
    </row>
    <row r="7" spans="1:33" ht="31.5" x14ac:dyDescent="0.25">
      <c r="L7" s="111"/>
      <c r="M7" s="122"/>
      <c r="N7" s="122"/>
      <c r="O7" s="122"/>
      <c r="P7" s="122"/>
      <c r="R7" s="111"/>
      <c r="S7" s="122"/>
      <c r="T7" s="122"/>
      <c r="U7" s="122"/>
      <c r="V7" s="122"/>
      <c r="W7" s="122"/>
      <c r="X7" s="122"/>
      <c r="Y7" s="178"/>
    </row>
    <row r="8" spans="1:33" ht="26.25" customHeight="1" x14ac:dyDescent="0.25">
      <c r="L8" s="123"/>
      <c r="M8" s="123"/>
      <c r="N8" s="123"/>
      <c r="O8" s="123"/>
      <c r="P8" s="123"/>
      <c r="R8" s="123"/>
      <c r="S8" s="123"/>
      <c r="T8" s="123"/>
      <c r="U8" s="123"/>
      <c r="V8" s="123"/>
      <c r="W8" s="123"/>
      <c r="X8" s="123"/>
      <c r="Y8" s="178"/>
    </row>
    <row r="9" spans="1:33" ht="29.25" customHeight="1" x14ac:dyDescent="0.4">
      <c r="L9" s="122"/>
      <c r="M9" s="100"/>
      <c r="N9" s="100"/>
      <c r="O9" s="100"/>
      <c r="P9" s="100"/>
      <c r="R9" s="122"/>
      <c r="S9" s="100"/>
      <c r="T9" s="100"/>
      <c r="U9" s="100"/>
      <c r="V9" s="100"/>
      <c r="W9" s="100"/>
      <c r="X9" s="101"/>
      <c r="Y9" s="178"/>
    </row>
    <row r="10" spans="1:33" ht="89.25" customHeight="1" x14ac:dyDescent="0.25">
      <c r="A10" s="180" t="s">
        <v>459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78"/>
      <c r="Z10" s="128"/>
      <c r="AA10" s="128"/>
      <c r="AB10" s="128"/>
      <c r="AC10" s="128"/>
      <c r="AD10" s="128"/>
      <c r="AE10" s="128"/>
      <c r="AF10" s="128"/>
      <c r="AG10" s="128"/>
    </row>
    <row r="11" spans="1:33" ht="31.5" customHeight="1" x14ac:dyDescent="0.25">
      <c r="A11" s="174" t="s">
        <v>422</v>
      </c>
      <c r="B11" s="174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178"/>
    </row>
    <row r="12" spans="1:33" ht="21" customHeight="1" x14ac:dyDescent="0.25">
      <c r="A12" s="176" t="s">
        <v>442</v>
      </c>
      <c r="B12" s="17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78"/>
    </row>
    <row r="13" spans="1:33" s="16" customFormat="1" ht="24" customHeight="1" x14ac:dyDescent="0.3">
      <c r="A13" s="13"/>
      <c r="B13" s="14"/>
      <c r="C13" s="15"/>
      <c r="X13" s="106" t="s">
        <v>418</v>
      </c>
      <c r="Y13" s="178"/>
    </row>
    <row r="14" spans="1:33" s="76" customFormat="1" ht="21.75" customHeight="1" x14ac:dyDescent="0.25">
      <c r="A14" s="175" t="s">
        <v>397</v>
      </c>
      <c r="B14" s="175" t="s">
        <v>383</v>
      </c>
      <c r="C14" s="175" t="s">
        <v>399</v>
      </c>
      <c r="D14" s="158" t="s">
        <v>463</v>
      </c>
      <c r="E14" s="159"/>
      <c r="F14" s="159"/>
      <c r="G14" s="159"/>
      <c r="H14" s="159"/>
      <c r="I14" s="160"/>
      <c r="J14" s="161" t="s">
        <v>462</v>
      </c>
      <c r="K14" s="158" t="s">
        <v>464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/>
      <c r="W14" s="161" t="s">
        <v>462</v>
      </c>
      <c r="X14" s="157" t="s">
        <v>266</v>
      </c>
      <c r="Y14" s="178"/>
    </row>
    <row r="15" spans="1:33" s="76" customFormat="1" ht="29.25" customHeight="1" x14ac:dyDescent="0.25">
      <c r="A15" s="175"/>
      <c r="B15" s="175"/>
      <c r="C15" s="175"/>
      <c r="D15" s="157" t="s">
        <v>460</v>
      </c>
      <c r="E15" s="157"/>
      <c r="F15" s="157"/>
      <c r="G15" s="158" t="s">
        <v>461</v>
      </c>
      <c r="H15" s="159"/>
      <c r="I15" s="160"/>
      <c r="J15" s="162"/>
      <c r="K15" s="157" t="s">
        <v>460</v>
      </c>
      <c r="L15" s="157"/>
      <c r="M15" s="157"/>
      <c r="N15" s="157"/>
      <c r="O15" s="157"/>
      <c r="P15" s="157"/>
      <c r="Q15" s="159" t="s">
        <v>461</v>
      </c>
      <c r="R15" s="159"/>
      <c r="S15" s="159"/>
      <c r="T15" s="159"/>
      <c r="U15" s="159"/>
      <c r="V15" s="160"/>
      <c r="W15" s="162"/>
      <c r="X15" s="157"/>
      <c r="Y15" s="178"/>
    </row>
    <row r="16" spans="1:33" s="76" customFormat="1" ht="29.25" customHeight="1" x14ac:dyDescent="0.25">
      <c r="A16" s="175"/>
      <c r="B16" s="175"/>
      <c r="C16" s="175"/>
      <c r="D16" s="157" t="s">
        <v>384</v>
      </c>
      <c r="E16" s="157" t="s">
        <v>268</v>
      </c>
      <c r="F16" s="157"/>
      <c r="G16" s="164" t="s">
        <v>384</v>
      </c>
      <c r="H16" s="165" t="s">
        <v>268</v>
      </c>
      <c r="I16" s="166"/>
      <c r="J16" s="162"/>
      <c r="K16" s="157" t="s">
        <v>384</v>
      </c>
      <c r="L16" s="167" t="s">
        <v>385</v>
      </c>
      <c r="M16" s="157" t="s">
        <v>267</v>
      </c>
      <c r="N16" s="157" t="s">
        <v>268</v>
      </c>
      <c r="O16" s="157"/>
      <c r="P16" s="157" t="s">
        <v>269</v>
      </c>
      <c r="Q16" s="157" t="s">
        <v>384</v>
      </c>
      <c r="R16" s="167" t="s">
        <v>385</v>
      </c>
      <c r="S16" s="157" t="s">
        <v>267</v>
      </c>
      <c r="T16" s="157" t="s">
        <v>268</v>
      </c>
      <c r="U16" s="157"/>
      <c r="V16" s="157" t="s">
        <v>269</v>
      </c>
      <c r="W16" s="162"/>
      <c r="X16" s="157"/>
      <c r="Y16" s="178"/>
    </row>
    <row r="17" spans="1:25" s="76" customFormat="1" ht="75.75" customHeight="1" x14ac:dyDescent="0.25">
      <c r="A17" s="175"/>
      <c r="B17" s="175"/>
      <c r="C17" s="175"/>
      <c r="D17" s="157"/>
      <c r="E17" s="129" t="s">
        <v>270</v>
      </c>
      <c r="F17" s="129" t="s">
        <v>271</v>
      </c>
      <c r="G17" s="164"/>
      <c r="H17" s="133" t="s">
        <v>270</v>
      </c>
      <c r="I17" s="133" t="s">
        <v>271</v>
      </c>
      <c r="J17" s="163"/>
      <c r="K17" s="157"/>
      <c r="L17" s="168"/>
      <c r="M17" s="157"/>
      <c r="N17" s="129" t="s">
        <v>270</v>
      </c>
      <c r="O17" s="129" t="s">
        <v>271</v>
      </c>
      <c r="P17" s="157"/>
      <c r="Q17" s="157"/>
      <c r="R17" s="168"/>
      <c r="S17" s="157"/>
      <c r="T17" s="129" t="s">
        <v>270</v>
      </c>
      <c r="U17" s="129" t="s">
        <v>271</v>
      </c>
      <c r="V17" s="157"/>
      <c r="W17" s="163"/>
      <c r="X17" s="157"/>
      <c r="Y17" s="178"/>
    </row>
    <row r="18" spans="1:25" s="76" customFormat="1" ht="27.75" customHeight="1" x14ac:dyDescent="0.25">
      <c r="A18" s="7" t="s">
        <v>57</v>
      </c>
      <c r="B18" s="8"/>
      <c r="C18" s="9" t="s">
        <v>58</v>
      </c>
      <c r="D18" s="60">
        <f t="shared" ref="D18" si="0">D19+D20</f>
        <v>237220400</v>
      </c>
      <c r="E18" s="60">
        <f t="shared" ref="E18:I18" si="1">E19+E20</f>
        <v>179411600</v>
      </c>
      <c r="F18" s="60">
        <f t="shared" si="1"/>
        <v>4717900</v>
      </c>
      <c r="G18" s="60">
        <f t="shared" si="1"/>
        <v>114762620.85999998</v>
      </c>
      <c r="H18" s="60">
        <f>H19+H20</f>
        <v>88206169.969999999</v>
      </c>
      <c r="I18" s="60">
        <f t="shared" si="1"/>
        <v>1838244.9800000004</v>
      </c>
      <c r="J18" s="137">
        <f>G18/D18*100</f>
        <v>48.378057224420829</v>
      </c>
      <c r="K18" s="60">
        <f t="shared" ref="K18:V18" si="2">K19+K20</f>
        <v>4615200</v>
      </c>
      <c r="L18" s="60">
        <f t="shared" si="2"/>
        <v>1415200</v>
      </c>
      <c r="M18" s="60">
        <f t="shared" si="2"/>
        <v>3200000</v>
      </c>
      <c r="N18" s="60">
        <f t="shared" si="2"/>
        <v>2348000</v>
      </c>
      <c r="O18" s="60">
        <f t="shared" si="2"/>
        <v>90600</v>
      </c>
      <c r="P18" s="60">
        <f t="shared" si="2"/>
        <v>1415200</v>
      </c>
      <c r="Q18" s="60">
        <f>Q19+Q20</f>
        <v>1311321.1100000001</v>
      </c>
      <c r="R18" s="60">
        <f t="shared" si="2"/>
        <v>787097.78</v>
      </c>
      <c r="S18" s="60">
        <f t="shared" si="2"/>
        <v>524223.33</v>
      </c>
      <c r="T18" s="60">
        <f t="shared" si="2"/>
        <v>362345.08999999997</v>
      </c>
      <c r="U18" s="60">
        <f t="shared" si="2"/>
        <v>40923.24</v>
      </c>
      <c r="V18" s="60">
        <f t="shared" si="2"/>
        <v>787097.78</v>
      </c>
      <c r="W18" s="137">
        <f>Q18/K18*100</f>
        <v>28.413093907089621</v>
      </c>
      <c r="X18" s="60">
        <f>G18+Q18</f>
        <v>116073941.96999998</v>
      </c>
      <c r="Y18" s="178"/>
    </row>
    <row r="19" spans="1:25" ht="57.75" customHeight="1" x14ac:dyDescent="0.25">
      <c r="A19" s="45" t="s">
        <v>140</v>
      </c>
      <c r="B19" s="45" t="s">
        <v>60</v>
      </c>
      <c r="C19" s="6" t="s">
        <v>141</v>
      </c>
      <c r="D19" s="61">
        <f>'дод 2'!E17+'дод 2'!E53+'дод 2'!E80+'дод 2'!E98+'дод 2'!E120+'дод 2'!E125+'дод 2'!E136+'дод 2'!E163+'дод 2'!E166+'дод 2'!E180+'дод 2'!E185+'дод 2'!E188+'дод 2'!E196</f>
        <v>236910400</v>
      </c>
      <c r="E19" s="61">
        <f>'дод 2'!F17+'дод 2'!F53+'дод 2'!F80+'дод 2'!F98+'дод 2'!F120+'дод 2'!F125+'дод 2'!F136+'дод 2'!F163+'дод 2'!F166+'дод 2'!F180+'дод 2'!F185+'дод 2'!F188+'дод 2'!F196</f>
        <v>179411600</v>
      </c>
      <c r="F19" s="61">
        <f>'дод 2'!G17+'дод 2'!G53+'дод 2'!G80+'дод 2'!G98+'дод 2'!G120+'дод 2'!G125+'дод 2'!G136+'дод 2'!G163+'дод 2'!G166+'дод 2'!G180+'дод 2'!G185+'дод 2'!G188+'дод 2'!G196</f>
        <v>4717900</v>
      </c>
      <c r="G19" s="61">
        <f>'дод 2'!H17+'дод 2'!H53+'дод 2'!H80+'дод 2'!H98+'дод 2'!H120+'дод 2'!H125+'дод 2'!H136+'дод 2'!H163+'дод 2'!H166+'дод 2'!H180+'дод 2'!H185+'дод 2'!H188+'дод 2'!H196</f>
        <v>114667329.88999999</v>
      </c>
      <c r="H19" s="61">
        <f>'дод 2'!I17+'дод 2'!I53+'дод 2'!I80+'дод 2'!I98+'дод 2'!I120+'дод 2'!I125+'дод 2'!I136+'дод 2'!I163+'дод 2'!I166+'дод 2'!I180+'дод 2'!I185+'дод 2'!I188+'дод 2'!I196</f>
        <v>88206169.969999999</v>
      </c>
      <c r="I19" s="61">
        <f>'дод 2'!J17+'дод 2'!J53+'дод 2'!J80+'дод 2'!J98+'дод 2'!J120+'дод 2'!J125+'дод 2'!J136+'дод 2'!J163+'дод 2'!J166+'дод 2'!J180+'дод 2'!J185+'дод 2'!J188+'дод 2'!J196</f>
        <v>1838244.9800000004</v>
      </c>
      <c r="J19" s="138">
        <f t="shared" ref="J19:J82" si="3">G19/D19*100</f>
        <v>48.401138105376539</v>
      </c>
      <c r="K19" s="61">
        <f>'дод 2'!L17+'дод 2'!L53+'дод 2'!L80+'дод 2'!L98+'дод 2'!L120+'дод 2'!L125+'дод 2'!L136+'дод 2'!L163+'дод 2'!L166+'дод 2'!L180+'дод 2'!L185+'дод 2'!L188+'дод 2'!L196</f>
        <v>4615200</v>
      </c>
      <c r="L19" s="61">
        <f>'дод 2'!M17+'дод 2'!M53+'дод 2'!M80+'дод 2'!M98+'дод 2'!M120+'дод 2'!M125+'дод 2'!M136+'дод 2'!M163+'дод 2'!M166+'дод 2'!M180+'дод 2'!M185+'дод 2'!M188+'дод 2'!M196</f>
        <v>1415200</v>
      </c>
      <c r="M19" s="61">
        <f>'дод 2'!N17+'дод 2'!N53+'дод 2'!N80+'дод 2'!N98+'дод 2'!N120+'дод 2'!N125+'дод 2'!N136+'дод 2'!N163+'дод 2'!N166+'дод 2'!N180+'дод 2'!N185+'дод 2'!N188+'дод 2'!N196</f>
        <v>3200000</v>
      </c>
      <c r="N19" s="61">
        <f>'дод 2'!O17+'дод 2'!O53+'дод 2'!O80+'дод 2'!O98+'дод 2'!O120+'дод 2'!O125+'дод 2'!O136+'дод 2'!O163+'дод 2'!O166+'дод 2'!O180+'дод 2'!O185+'дод 2'!O188+'дод 2'!O196</f>
        <v>2348000</v>
      </c>
      <c r="O19" s="61">
        <f>'дод 2'!P17+'дод 2'!P53+'дод 2'!P80+'дод 2'!P98+'дод 2'!P120+'дод 2'!P125+'дод 2'!P136+'дод 2'!P163+'дод 2'!P166+'дод 2'!P180+'дод 2'!P185+'дод 2'!P188+'дод 2'!P196</f>
        <v>90600</v>
      </c>
      <c r="P19" s="61">
        <f>'дод 2'!Q17+'дод 2'!Q53+'дод 2'!Q80+'дод 2'!Q98+'дод 2'!Q120+'дод 2'!Q125+'дод 2'!Q136+'дод 2'!Q163+'дод 2'!Q166+'дод 2'!Q180+'дод 2'!Q185+'дод 2'!Q188+'дод 2'!Q196</f>
        <v>1415200</v>
      </c>
      <c r="Q19" s="61">
        <f>'дод 2'!R17+'дод 2'!R53+'дод 2'!R80+'дод 2'!R98+'дод 2'!R120+'дод 2'!R125+'дод 2'!R136+'дод 2'!R163+'дод 2'!R166+'дод 2'!R180+'дод 2'!R185+'дод 2'!R188+'дод 2'!R196</f>
        <v>1311321.1100000001</v>
      </c>
      <c r="R19" s="61">
        <f>'дод 2'!S17+'дод 2'!S53+'дод 2'!S80+'дод 2'!S98+'дод 2'!S120+'дод 2'!S125+'дод 2'!S136+'дод 2'!S163+'дод 2'!S166+'дод 2'!S180+'дод 2'!S185+'дод 2'!S188+'дод 2'!S196</f>
        <v>787097.78</v>
      </c>
      <c r="S19" s="61">
        <f>'дод 2'!T17+'дод 2'!T53+'дод 2'!T80+'дод 2'!T98+'дод 2'!T120+'дод 2'!T125+'дод 2'!T136+'дод 2'!T163+'дод 2'!T166+'дод 2'!T180+'дод 2'!T185+'дод 2'!T188+'дод 2'!T196</f>
        <v>524223.33</v>
      </c>
      <c r="T19" s="61">
        <f>'дод 2'!U17+'дод 2'!U53+'дод 2'!U80+'дод 2'!U98+'дод 2'!U120+'дод 2'!U125+'дод 2'!U136+'дод 2'!U163+'дод 2'!U166+'дод 2'!U180+'дод 2'!U185+'дод 2'!U188+'дод 2'!U196</f>
        <v>362345.08999999997</v>
      </c>
      <c r="U19" s="61">
        <f>'дод 2'!V17+'дод 2'!V53+'дод 2'!V80+'дод 2'!V98+'дод 2'!V120+'дод 2'!V125+'дод 2'!V136+'дод 2'!V163+'дод 2'!V166+'дод 2'!V180+'дод 2'!V185+'дод 2'!V188+'дод 2'!V196</f>
        <v>40923.24</v>
      </c>
      <c r="V19" s="61">
        <f>'дод 2'!W17+'дод 2'!W53+'дод 2'!W80+'дод 2'!W98+'дод 2'!W120+'дод 2'!W125+'дод 2'!W136+'дод 2'!W163+'дод 2'!W166+'дод 2'!W180+'дод 2'!W185+'дод 2'!W188+'дод 2'!W196</f>
        <v>787097.78</v>
      </c>
      <c r="W19" s="138">
        <f t="shared" ref="W19:W81" si="4">Q19/K19*100</f>
        <v>28.413093907089621</v>
      </c>
      <c r="X19" s="61">
        <f t="shared" ref="X19:X82" si="5">G19+Q19</f>
        <v>115978650.99999999</v>
      </c>
      <c r="Y19" s="178"/>
    </row>
    <row r="20" spans="1:25" ht="27" customHeight="1" x14ac:dyDescent="0.25">
      <c r="A20" s="45" t="s">
        <v>59</v>
      </c>
      <c r="B20" s="45" t="s">
        <v>113</v>
      </c>
      <c r="C20" s="6" t="s">
        <v>283</v>
      </c>
      <c r="D20" s="61">
        <f>'дод 2'!E18</f>
        <v>310000</v>
      </c>
      <c r="E20" s="61">
        <f>'дод 2'!F18</f>
        <v>0</v>
      </c>
      <c r="F20" s="61">
        <f>'дод 2'!G18</f>
        <v>0</v>
      </c>
      <c r="G20" s="61">
        <f>'дод 2'!H18</f>
        <v>95290.97</v>
      </c>
      <c r="H20" s="61">
        <f>'дод 2'!I18</f>
        <v>0</v>
      </c>
      <c r="I20" s="61">
        <f>'дод 2'!J18</f>
        <v>0</v>
      </c>
      <c r="J20" s="138">
        <f t="shared" si="3"/>
        <v>30.739022580645159</v>
      </c>
      <c r="K20" s="61">
        <f>'дод 2'!L18</f>
        <v>0</v>
      </c>
      <c r="L20" s="61">
        <f>'дод 2'!M18</f>
        <v>0</v>
      </c>
      <c r="M20" s="61">
        <f>'дод 2'!N18</f>
        <v>0</v>
      </c>
      <c r="N20" s="61">
        <f>'дод 2'!O18</f>
        <v>0</v>
      </c>
      <c r="O20" s="61">
        <f>'дод 2'!P18</f>
        <v>0</v>
      </c>
      <c r="P20" s="61">
        <f>'дод 2'!Q18</f>
        <v>0</v>
      </c>
      <c r="Q20" s="61">
        <f>'дод 2'!R18</f>
        <v>0</v>
      </c>
      <c r="R20" s="61">
        <f>'дод 2'!S18</f>
        <v>0</v>
      </c>
      <c r="S20" s="61">
        <f>'дод 2'!T18</f>
        <v>0</v>
      </c>
      <c r="T20" s="61">
        <f>'дод 2'!U18</f>
        <v>0</v>
      </c>
      <c r="U20" s="61">
        <f>'дод 2'!V18</f>
        <v>0</v>
      </c>
      <c r="V20" s="61">
        <f>'дод 2'!W18</f>
        <v>0</v>
      </c>
      <c r="W20" s="138"/>
      <c r="X20" s="61">
        <f t="shared" si="5"/>
        <v>95290.97</v>
      </c>
      <c r="Y20" s="178"/>
    </row>
    <row r="21" spans="1:25" s="76" customFormat="1" ht="24" customHeight="1" x14ac:dyDescent="0.25">
      <c r="A21" s="46" t="s">
        <v>61</v>
      </c>
      <c r="B21" s="47"/>
      <c r="C21" s="9" t="s">
        <v>62</v>
      </c>
      <c r="D21" s="60">
        <f t="shared" ref="D21:I21" si="6">D23+D25+D27+D29+D30+D31+D33+D34+D35+D36</f>
        <v>990995784</v>
      </c>
      <c r="E21" s="60">
        <f t="shared" si="6"/>
        <v>674606927</v>
      </c>
      <c r="F21" s="60">
        <f t="shared" si="6"/>
        <v>81762131</v>
      </c>
      <c r="G21" s="60">
        <f t="shared" si="6"/>
        <v>500257774.36999995</v>
      </c>
      <c r="H21" s="60">
        <f t="shared" si="6"/>
        <v>361867252.46000004</v>
      </c>
      <c r="I21" s="60">
        <f t="shared" si="6"/>
        <v>32508066.410000004</v>
      </c>
      <c r="J21" s="137">
        <f t="shared" si="3"/>
        <v>50.480313079717398</v>
      </c>
      <c r="K21" s="60">
        <f t="shared" ref="K21:V21" si="7">K23+K25+K27+K29+K30+K31+K33+K34+K35+K36</f>
        <v>88616586.640000001</v>
      </c>
      <c r="L21" s="60">
        <f t="shared" si="7"/>
        <v>32520438.640000001</v>
      </c>
      <c r="M21" s="60">
        <f t="shared" si="7"/>
        <v>55986428</v>
      </c>
      <c r="N21" s="60">
        <f t="shared" si="7"/>
        <v>6476192</v>
      </c>
      <c r="O21" s="60">
        <f t="shared" si="7"/>
        <v>3124191</v>
      </c>
      <c r="P21" s="60">
        <f t="shared" si="7"/>
        <v>32630158.640000001</v>
      </c>
      <c r="Q21" s="60">
        <f t="shared" si="7"/>
        <v>18220140.199999999</v>
      </c>
      <c r="R21" s="60">
        <f t="shared" si="7"/>
        <v>5234564.68</v>
      </c>
      <c r="S21" s="60">
        <f t="shared" si="7"/>
        <v>12290619.560000001</v>
      </c>
      <c r="T21" s="60">
        <f t="shared" si="7"/>
        <v>2700814.89</v>
      </c>
      <c r="U21" s="60">
        <f t="shared" si="7"/>
        <v>1084116.55</v>
      </c>
      <c r="V21" s="60">
        <f t="shared" si="7"/>
        <v>5929520.6400000006</v>
      </c>
      <c r="W21" s="137">
        <f t="shared" si="4"/>
        <v>20.560643205564116</v>
      </c>
      <c r="X21" s="60">
        <f t="shared" si="5"/>
        <v>518477914.56999993</v>
      </c>
      <c r="Y21" s="178"/>
    </row>
    <row r="22" spans="1:25" s="77" customFormat="1" ht="24" customHeight="1" x14ac:dyDescent="0.25">
      <c r="A22" s="46"/>
      <c r="B22" s="47"/>
      <c r="C22" s="2" t="s">
        <v>307</v>
      </c>
      <c r="D22" s="60">
        <f t="shared" ref="D22:I22" si="8">+D26+D28+D32+D24+D37</f>
        <v>382256478</v>
      </c>
      <c r="E22" s="60">
        <f t="shared" si="8"/>
        <v>307191100</v>
      </c>
      <c r="F22" s="60">
        <f t="shared" si="8"/>
        <v>0</v>
      </c>
      <c r="G22" s="60">
        <f t="shared" si="8"/>
        <v>213089509.07999998</v>
      </c>
      <c r="H22" s="60">
        <f t="shared" si="8"/>
        <v>174426823.13</v>
      </c>
      <c r="I22" s="60">
        <f t="shared" si="8"/>
        <v>0</v>
      </c>
      <c r="J22" s="137">
        <f t="shared" si="3"/>
        <v>55.745166228419016</v>
      </c>
      <c r="K22" s="60">
        <f t="shared" ref="K22:V22" si="9">+K26+K28+K32+K24+K37</f>
        <v>1486539</v>
      </c>
      <c r="L22" s="60">
        <f t="shared" si="9"/>
        <v>1486539</v>
      </c>
      <c r="M22" s="60">
        <f t="shared" si="9"/>
        <v>0</v>
      </c>
      <c r="N22" s="60">
        <f t="shared" si="9"/>
        <v>0</v>
      </c>
      <c r="O22" s="60">
        <f t="shared" si="9"/>
        <v>0</v>
      </c>
      <c r="P22" s="60">
        <f t="shared" si="9"/>
        <v>1486539</v>
      </c>
      <c r="Q22" s="60">
        <f t="shared" si="9"/>
        <v>245132</v>
      </c>
      <c r="R22" s="60">
        <f t="shared" si="9"/>
        <v>245132</v>
      </c>
      <c r="S22" s="60">
        <f t="shared" si="9"/>
        <v>0</v>
      </c>
      <c r="T22" s="60">
        <f t="shared" si="9"/>
        <v>0</v>
      </c>
      <c r="U22" s="60">
        <f t="shared" si="9"/>
        <v>0</v>
      </c>
      <c r="V22" s="60">
        <f t="shared" si="9"/>
        <v>245132</v>
      </c>
      <c r="W22" s="137">
        <f t="shared" si="4"/>
        <v>16.490115631005981</v>
      </c>
      <c r="X22" s="60">
        <f t="shared" si="5"/>
        <v>213334641.07999998</v>
      </c>
      <c r="Y22" s="178"/>
    </row>
    <row r="23" spans="1:25" ht="27" customHeight="1" x14ac:dyDescent="0.25">
      <c r="A23" s="45" t="s">
        <v>63</v>
      </c>
      <c r="B23" s="45" t="s">
        <v>64</v>
      </c>
      <c r="C23" s="6" t="s">
        <v>171</v>
      </c>
      <c r="D23" s="61">
        <f>'дод 2'!E54</f>
        <v>243244632</v>
      </c>
      <c r="E23" s="61">
        <f>'дод 2'!F54</f>
        <v>159483510</v>
      </c>
      <c r="F23" s="61">
        <f>'дод 2'!G54</f>
        <v>26923940</v>
      </c>
      <c r="G23" s="61">
        <f>'дод 2'!H54</f>
        <v>114259925.75</v>
      </c>
      <c r="H23" s="61">
        <f>'дод 2'!I54</f>
        <v>79907670.010000005</v>
      </c>
      <c r="I23" s="61">
        <f>'дод 2'!J54</f>
        <v>9918527.6099999994</v>
      </c>
      <c r="J23" s="138">
        <f t="shared" si="3"/>
        <v>46.973256844574479</v>
      </c>
      <c r="K23" s="61">
        <f>'дод 2'!L54</f>
        <v>22916603</v>
      </c>
      <c r="L23" s="61">
        <f>'дод 2'!M54</f>
        <v>6590947</v>
      </c>
      <c r="M23" s="61">
        <f>'дод 2'!N54</f>
        <v>16325656</v>
      </c>
      <c r="N23" s="61">
        <f>'дод 2'!O54</f>
        <v>0</v>
      </c>
      <c r="O23" s="61">
        <f>'дод 2'!P54</f>
        <v>0</v>
      </c>
      <c r="P23" s="61">
        <f>'дод 2'!Q54</f>
        <v>6590947</v>
      </c>
      <c r="Q23" s="61">
        <f>'дод 2'!R54</f>
        <v>4261692.82</v>
      </c>
      <c r="R23" s="61">
        <f>'дод 2'!S54</f>
        <v>1294247.68</v>
      </c>
      <c r="S23" s="61">
        <f>'дод 2'!T54</f>
        <v>2853748.26</v>
      </c>
      <c r="T23" s="61">
        <f>'дод 2'!U54</f>
        <v>0</v>
      </c>
      <c r="U23" s="61">
        <f>'дод 2'!V54</f>
        <v>0</v>
      </c>
      <c r="V23" s="61">
        <f>'дод 2'!W54</f>
        <v>1407944.56</v>
      </c>
      <c r="W23" s="138">
        <f t="shared" si="4"/>
        <v>18.596529424539927</v>
      </c>
      <c r="X23" s="61">
        <f t="shared" si="5"/>
        <v>118521618.56999999</v>
      </c>
      <c r="Y23" s="178"/>
    </row>
    <row r="24" spans="1:25" ht="27" customHeight="1" x14ac:dyDescent="0.25">
      <c r="A24" s="45"/>
      <c r="B24" s="45"/>
      <c r="C24" s="3" t="s">
        <v>307</v>
      </c>
      <c r="D24" s="61">
        <f>'дод 2'!E55</f>
        <v>162879</v>
      </c>
      <c r="E24" s="61">
        <f>'дод 2'!F55</f>
        <v>133510</v>
      </c>
      <c r="F24" s="61">
        <f>'дод 2'!G55</f>
        <v>0</v>
      </c>
      <c r="G24" s="61">
        <f>'дод 2'!H55</f>
        <v>29770.28</v>
      </c>
      <c r="H24" s="61">
        <f>'дод 2'!I55</f>
        <v>24401.86</v>
      </c>
      <c r="I24" s="61">
        <f>'дод 2'!J55</f>
        <v>0</v>
      </c>
      <c r="J24" s="138">
        <f t="shared" si="3"/>
        <v>18.277543452501551</v>
      </c>
      <c r="K24" s="61">
        <f>'дод 2'!L55</f>
        <v>80600</v>
      </c>
      <c r="L24" s="61">
        <f>'дод 2'!M55</f>
        <v>80600</v>
      </c>
      <c r="M24" s="61">
        <f>'дод 2'!N55</f>
        <v>0</v>
      </c>
      <c r="N24" s="61">
        <f>'дод 2'!O55</f>
        <v>0</v>
      </c>
      <c r="O24" s="61">
        <f>'дод 2'!P55</f>
        <v>0</v>
      </c>
      <c r="P24" s="61">
        <f>'дод 2'!Q55</f>
        <v>80600</v>
      </c>
      <c r="Q24" s="61">
        <f>'дод 2'!R55</f>
        <v>61018</v>
      </c>
      <c r="R24" s="61">
        <f>'дод 2'!S55</f>
        <v>61018</v>
      </c>
      <c r="S24" s="61">
        <f>'дод 2'!T55</f>
        <v>0</v>
      </c>
      <c r="T24" s="61">
        <f>'дод 2'!U55</f>
        <v>0</v>
      </c>
      <c r="U24" s="61">
        <f>'дод 2'!V55</f>
        <v>0</v>
      </c>
      <c r="V24" s="61">
        <f>'дод 2'!W55</f>
        <v>61018</v>
      </c>
      <c r="W24" s="138">
        <f t="shared" si="4"/>
        <v>75.704714640198517</v>
      </c>
      <c r="X24" s="61">
        <f t="shared" si="5"/>
        <v>90788.28</v>
      </c>
      <c r="Y24" s="178"/>
    </row>
    <row r="25" spans="1:25" ht="55.5" customHeight="1" x14ac:dyDescent="0.25">
      <c r="A25" s="45" t="s">
        <v>65</v>
      </c>
      <c r="B25" s="45" t="s">
        <v>66</v>
      </c>
      <c r="C25" s="6" t="s">
        <v>427</v>
      </c>
      <c r="D25" s="61">
        <f>'дод 2'!E56</f>
        <v>540117903</v>
      </c>
      <c r="E25" s="61">
        <f>'дод 2'!F56</f>
        <v>378056547</v>
      </c>
      <c r="F25" s="61">
        <f>'дод 2'!G56</f>
        <v>38154564</v>
      </c>
      <c r="G25" s="61">
        <f>'дод 2'!H56</f>
        <v>283270719.94999999</v>
      </c>
      <c r="H25" s="61">
        <f>'дод 2'!I56</f>
        <v>211131089.53999999</v>
      </c>
      <c r="I25" s="61">
        <f>'дод 2'!J56</f>
        <v>15541554.560000001</v>
      </c>
      <c r="J25" s="138">
        <f t="shared" si="3"/>
        <v>52.446089710527509</v>
      </c>
      <c r="K25" s="61">
        <f>'дод 2'!L56</f>
        <v>53338835.640000001</v>
      </c>
      <c r="L25" s="61">
        <f>'дод 2'!M56</f>
        <v>24427088.640000001</v>
      </c>
      <c r="M25" s="61">
        <f>'дод 2'!N56</f>
        <v>28911747</v>
      </c>
      <c r="N25" s="61">
        <f>'дод 2'!O56</f>
        <v>1713303</v>
      </c>
      <c r="O25" s="61">
        <f>'дод 2'!P56</f>
        <v>147329</v>
      </c>
      <c r="P25" s="61">
        <f>'дод 2'!Q56</f>
        <v>24427088.640000001</v>
      </c>
      <c r="Q25" s="61">
        <f>'дод 2'!R56</f>
        <v>8393002.9699999988</v>
      </c>
      <c r="R25" s="61">
        <f>'дод 2'!S56</f>
        <v>3940317</v>
      </c>
      <c r="S25" s="61">
        <f>'дод 2'!T56</f>
        <v>4150810.8</v>
      </c>
      <c r="T25" s="61">
        <f>'дод 2'!U56</f>
        <v>579409.68000000005</v>
      </c>
      <c r="U25" s="61">
        <f>'дод 2'!V56</f>
        <v>43789.34</v>
      </c>
      <c r="V25" s="61">
        <f>'дод 2'!W56</f>
        <v>4242192.17</v>
      </c>
      <c r="W25" s="138">
        <f t="shared" si="4"/>
        <v>15.735257189802427</v>
      </c>
      <c r="X25" s="61">
        <f t="shared" si="5"/>
        <v>291663722.91999996</v>
      </c>
      <c r="Y25" s="178"/>
    </row>
    <row r="26" spans="1:25" ht="28.5" customHeight="1" x14ac:dyDescent="0.25">
      <c r="A26" s="45"/>
      <c r="B26" s="45"/>
      <c r="C26" s="3" t="s">
        <v>307</v>
      </c>
      <c r="D26" s="61">
        <f>'дод 2'!E57</f>
        <v>356792090</v>
      </c>
      <c r="E26" s="61">
        <f>'дод 2'!F57</f>
        <v>286331520</v>
      </c>
      <c r="F26" s="61">
        <f>'дод 2'!G57</f>
        <v>0</v>
      </c>
      <c r="G26" s="61">
        <f>'дод 2'!H57</f>
        <v>202509800.91</v>
      </c>
      <c r="H26" s="61">
        <f>'дод 2'!I57</f>
        <v>165740158.68000001</v>
      </c>
      <c r="I26" s="61">
        <f>'дод 2'!J57</f>
        <v>0</v>
      </c>
      <c r="J26" s="138">
        <f t="shared" si="3"/>
        <v>56.758489491737329</v>
      </c>
      <c r="K26" s="61">
        <f>'дод 2'!L57</f>
        <v>1384710</v>
      </c>
      <c r="L26" s="61">
        <f>'дод 2'!M57</f>
        <v>1384710</v>
      </c>
      <c r="M26" s="61">
        <f>'дод 2'!N57</f>
        <v>0</v>
      </c>
      <c r="N26" s="61">
        <f>'дод 2'!O57</f>
        <v>0</v>
      </c>
      <c r="O26" s="61">
        <f>'дод 2'!P57</f>
        <v>0</v>
      </c>
      <c r="P26" s="61">
        <f>'дод 2'!Q57</f>
        <v>1384710</v>
      </c>
      <c r="Q26" s="61">
        <f>'дод 2'!R57</f>
        <v>184114</v>
      </c>
      <c r="R26" s="61">
        <f>'дод 2'!S57</f>
        <v>184114</v>
      </c>
      <c r="S26" s="61">
        <f>'дод 2'!T57</f>
        <v>0</v>
      </c>
      <c r="T26" s="61">
        <f>'дод 2'!U57</f>
        <v>0</v>
      </c>
      <c r="U26" s="61">
        <f>'дод 2'!V57</f>
        <v>0</v>
      </c>
      <c r="V26" s="61">
        <f>'дод 2'!W57</f>
        <v>184114</v>
      </c>
      <c r="W26" s="138">
        <f t="shared" si="4"/>
        <v>13.296213647622967</v>
      </c>
      <c r="X26" s="61">
        <f t="shared" si="5"/>
        <v>202693914.91</v>
      </c>
      <c r="Y26" s="178"/>
    </row>
    <row r="27" spans="1:25" ht="75" customHeight="1" x14ac:dyDescent="0.25">
      <c r="A27" s="45">
        <v>1030</v>
      </c>
      <c r="B27" s="45" t="s">
        <v>70</v>
      </c>
      <c r="C27" s="6" t="s">
        <v>428</v>
      </c>
      <c r="D27" s="61">
        <f>'дод 2'!E58</f>
        <v>9444719</v>
      </c>
      <c r="E27" s="61">
        <f>'дод 2'!F58</f>
        <v>6532300</v>
      </c>
      <c r="F27" s="61">
        <f>'дод 2'!G58</f>
        <v>709270</v>
      </c>
      <c r="G27" s="61">
        <f>'дод 2'!H58</f>
        <v>5015949.13</v>
      </c>
      <c r="H27" s="61">
        <f>'дод 2'!I58</f>
        <v>3792238.12</v>
      </c>
      <c r="I27" s="61">
        <f>'дод 2'!J58</f>
        <v>293942.5</v>
      </c>
      <c r="J27" s="138">
        <f t="shared" si="3"/>
        <v>53.108505716263231</v>
      </c>
      <c r="K27" s="61">
        <f>'дод 2'!L58</f>
        <v>213403</v>
      </c>
      <c r="L27" s="61">
        <f>'дод 2'!M58</f>
        <v>213403</v>
      </c>
      <c r="M27" s="61">
        <f>'дод 2'!N58</f>
        <v>0</v>
      </c>
      <c r="N27" s="61">
        <f>'дод 2'!O58</f>
        <v>0</v>
      </c>
      <c r="O27" s="61">
        <f>'дод 2'!P58</f>
        <v>0</v>
      </c>
      <c r="P27" s="61">
        <f>'дод 2'!Q58</f>
        <v>213403</v>
      </c>
      <c r="Q27" s="61">
        <f>'дод 2'!R58</f>
        <v>33563.07</v>
      </c>
      <c r="R27" s="61">
        <f>'дод 2'!S58</f>
        <v>0</v>
      </c>
      <c r="S27" s="61">
        <f>'дод 2'!T58</f>
        <v>18178.86</v>
      </c>
      <c r="T27" s="61">
        <f>'дод 2'!U58</f>
        <v>0</v>
      </c>
      <c r="U27" s="61">
        <f>'дод 2'!V58</f>
        <v>0</v>
      </c>
      <c r="V27" s="61">
        <f>'дод 2'!W58</f>
        <v>15384.21</v>
      </c>
      <c r="W27" s="138">
        <f t="shared" si="4"/>
        <v>15.72755303346251</v>
      </c>
      <c r="X27" s="61">
        <f t="shared" si="5"/>
        <v>5049512.2</v>
      </c>
      <c r="Y27" s="178"/>
    </row>
    <row r="28" spans="1:25" ht="21.75" customHeight="1" x14ac:dyDescent="0.25">
      <c r="A28" s="45"/>
      <c r="B28" s="45"/>
      <c r="C28" s="3" t="s">
        <v>307</v>
      </c>
      <c r="D28" s="61">
        <f>'дод 2'!E59</f>
        <v>6240139</v>
      </c>
      <c r="E28" s="61">
        <f>'дод 2'!F59</f>
        <v>5102000</v>
      </c>
      <c r="F28" s="61">
        <f>'дод 2'!G59</f>
        <v>0</v>
      </c>
      <c r="G28" s="61">
        <f>'дод 2'!H59</f>
        <v>3667579.88</v>
      </c>
      <c r="H28" s="61">
        <f>'дод 2'!I59</f>
        <v>3020414.89</v>
      </c>
      <c r="I28" s="61">
        <f>'дод 2'!J59</f>
        <v>0</v>
      </c>
      <c r="J28" s="138">
        <f t="shared" si="3"/>
        <v>58.774009361009426</v>
      </c>
      <c r="K28" s="61">
        <f>'дод 2'!L59</f>
        <v>21229</v>
      </c>
      <c r="L28" s="61">
        <f>'дод 2'!M59</f>
        <v>21229</v>
      </c>
      <c r="M28" s="61">
        <f>'дод 2'!N59</f>
        <v>0</v>
      </c>
      <c r="N28" s="61">
        <f>'дод 2'!O59</f>
        <v>0</v>
      </c>
      <c r="O28" s="61">
        <f>'дод 2'!P59</f>
        <v>0</v>
      </c>
      <c r="P28" s="61">
        <f>'дод 2'!Q59</f>
        <v>21229</v>
      </c>
      <c r="Q28" s="61">
        <f>'дод 2'!R59</f>
        <v>0</v>
      </c>
      <c r="R28" s="61">
        <f>'дод 2'!S59</f>
        <v>0</v>
      </c>
      <c r="S28" s="61">
        <f>'дод 2'!T59</f>
        <v>0</v>
      </c>
      <c r="T28" s="61">
        <f>'дод 2'!U59</f>
        <v>0</v>
      </c>
      <c r="U28" s="61">
        <f>'дод 2'!V59</f>
        <v>0</v>
      </c>
      <c r="V28" s="61">
        <f>'дод 2'!W59</f>
        <v>0</v>
      </c>
      <c r="W28" s="138">
        <f t="shared" si="4"/>
        <v>0</v>
      </c>
      <c r="X28" s="61">
        <f t="shared" si="5"/>
        <v>3667579.88</v>
      </c>
      <c r="Y28" s="178"/>
    </row>
    <row r="29" spans="1:25" ht="40.5" customHeight="1" x14ac:dyDescent="0.25">
      <c r="A29" s="45" t="s">
        <v>71</v>
      </c>
      <c r="B29" s="45" t="s">
        <v>72</v>
      </c>
      <c r="C29" s="6" t="s">
        <v>430</v>
      </c>
      <c r="D29" s="61">
        <f>'дод 2'!E60</f>
        <v>28048440</v>
      </c>
      <c r="E29" s="61">
        <f>'дод 2'!F60</f>
        <v>19715700</v>
      </c>
      <c r="F29" s="61">
        <f>'дод 2'!G60</f>
        <v>3358190</v>
      </c>
      <c r="G29" s="61">
        <f>'дод 2'!H60</f>
        <v>13779208.5</v>
      </c>
      <c r="H29" s="61">
        <f>'дод 2'!I60</f>
        <v>10016289.67</v>
      </c>
      <c r="I29" s="61">
        <f>'дод 2'!J60</f>
        <v>1473130.75</v>
      </c>
      <c r="J29" s="138">
        <f t="shared" si="3"/>
        <v>49.126470135237469</v>
      </c>
      <c r="K29" s="61">
        <f>'дод 2'!L60</f>
        <v>300000</v>
      </c>
      <c r="L29" s="61">
        <f>'дод 2'!M60</f>
        <v>300000</v>
      </c>
      <c r="M29" s="61">
        <f>'дод 2'!N60</f>
        <v>0</v>
      </c>
      <c r="N29" s="61">
        <f>'дод 2'!O60</f>
        <v>0</v>
      </c>
      <c r="O29" s="61">
        <f>'дод 2'!P60</f>
        <v>0</v>
      </c>
      <c r="P29" s="61">
        <f>'дод 2'!Q60</f>
        <v>300000</v>
      </c>
      <c r="Q29" s="61">
        <f>'дод 2'!R60</f>
        <v>175340.3</v>
      </c>
      <c r="R29" s="61">
        <f>'дод 2'!S60</f>
        <v>0</v>
      </c>
      <c r="S29" s="61">
        <f>'дод 2'!T60</f>
        <v>100727.1</v>
      </c>
      <c r="T29" s="61">
        <f>'дод 2'!U60</f>
        <v>0</v>
      </c>
      <c r="U29" s="61">
        <f>'дод 2'!V60</f>
        <v>0</v>
      </c>
      <c r="V29" s="61">
        <f>'дод 2'!W60</f>
        <v>74613.2</v>
      </c>
      <c r="W29" s="138">
        <f t="shared" si="4"/>
        <v>58.446766666666662</v>
      </c>
      <c r="X29" s="61">
        <f t="shared" si="5"/>
        <v>13954548.800000001</v>
      </c>
      <c r="Y29" s="178"/>
    </row>
    <row r="30" spans="1:25" ht="30.75" customHeight="1" x14ac:dyDescent="0.25">
      <c r="A30" s="45" t="s">
        <v>73</v>
      </c>
      <c r="B30" s="45" t="s">
        <v>72</v>
      </c>
      <c r="C30" s="6" t="s">
        <v>431</v>
      </c>
      <c r="D30" s="61">
        <f>'дод 2'!E126</f>
        <v>39114600</v>
      </c>
      <c r="E30" s="61">
        <f>'дод 2'!F126</f>
        <v>30830000</v>
      </c>
      <c r="F30" s="61">
        <f>'дод 2'!G126</f>
        <v>793600</v>
      </c>
      <c r="G30" s="61">
        <f>'дод 2'!H126</f>
        <v>22954860.32</v>
      </c>
      <c r="H30" s="61">
        <f>'дод 2'!I126</f>
        <v>18421693.399999999</v>
      </c>
      <c r="I30" s="61">
        <f>'дод 2'!J126</f>
        <v>339327.25</v>
      </c>
      <c r="J30" s="138">
        <f t="shared" si="3"/>
        <v>58.68616915422885</v>
      </c>
      <c r="K30" s="61">
        <f>'дод 2'!L126</f>
        <v>3336640</v>
      </c>
      <c r="L30" s="61">
        <f>'дод 2'!M126</f>
        <v>557000</v>
      </c>
      <c r="M30" s="61">
        <f>'дод 2'!N126</f>
        <v>2774920</v>
      </c>
      <c r="N30" s="61">
        <f>'дод 2'!O126</f>
        <v>2267316</v>
      </c>
      <c r="O30" s="61">
        <f>'дод 2'!P126</f>
        <v>0</v>
      </c>
      <c r="P30" s="61">
        <f>'дод 2'!Q126</f>
        <v>561720</v>
      </c>
      <c r="Q30" s="61">
        <f>'дод 2'!R126</f>
        <v>1764213.6</v>
      </c>
      <c r="R30" s="61">
        <f>'дод 2'!S126</f>
        <v>0</v>
      </c>
      <c r="S30" s="61">
        <f>'дод 2'!T126</f>
        <v>1755533.6</v>
      </c>
      <c r="T30" s="61">
        <f>'дод 2'!U126</f>
        <v>1295032.07</v>
      </c>
      <c r="U30" s="61">
        <f>'дод 2'!V126</f>
        <v>0</v>
      </c>
      <c r="V30" s="61">
        <f>'дод 2'!W126</f>
        <v>8680</v>
      </c>
      <c r="W30" s="138">
        <f t="shared" si="4"/>
        <v>52.873957034621654</v>
      </c>
      <c r="X30" s="61">
        <f t="shared" si="5"/>
        <v>24719073.920000002</v>
      </c>
      <c r="Y30" s="178"/>
    </row>
    <row r="31" spans="1:25" ht="39.75" customHeight="1" x14ac:dyDescent="0.25">
      <c r="A31" s="45" t="s">
        <v>261</v>
      </c>
      <c r="B31" s="45" t="s">
        <v>74</v>
      </c>
      <c r="C31" s="6" t="s">
        <v>432</v>
      </c>
      <c r="D31" s="61">
        <f>'дод 2'!E61</f>
        <v>117007900</v>
      </c>
      <c r="E31" s="61">
        <f>'дод 2'!F61</f>
        <v>69744500</v>
      </c>
      <c r="F31" s="61">
        <f>'дод 2'!G61</f>
        <v>11007217</v>
      </c>
      <c r="G31" s="61">
        <f>'дод 2'!H61</f>
        <v>54351930.82</v>
      </c>
      <c r="H31" s="61">
        <f>'дод 2'!I61</f>
        <v>33524650.02</v>
      </c>
      <c r="I31" s="61">
        <f>'дод 2'!J61</f>
        <v>4719494.96</v>
      </c>
      <c r="J31" s="138">
        <f t="shared" si="3"/>
        <v>46.451505257337331</v>
      </c>
      <c r="K31" s="61">
        <f>'дод 2'!L61</f>
        <v>8079105</v>
      </c>
      <c r="L31" s="61">
        <f>'дод 2'!M61</f>
        <v>0</v>
      </c>
      <c r="M31" s="61">
        <f>'дод 2'!N61</f>
        <v>7974105</v>
      </c>
      <c r="N31" s="61">
        <f>'дод 2'!O61</f>
        <v>2495573</v>
      </c>
      <c r="O31" s="61">
        <f>'дод 2'!P61</f>
        <v>2976862</v>
      </c>
      <c r="P31" s="61">
        <f>'дод 2'!Q61</f>
        <v>105000</v>
      </c>
      <c r="Q31" s="61">
        <f>'дод 2'!R61</f>
        <v>3533895.29</v>
      </c>
      <c r="R31" s="61">
        <f>'дод 2'!S61</f>
        <v>0</v>
      </c>
      <c r="S31" s="61">
        <f>'дод 2'!T61</f>
        <v>3355387.82</v>
      </c>
      <c r="T31" s="61">
        <f>'дод 2'!U61</f>
        <v>826373.14</v>
      </c>
      <c r="U31" s="61">
        <f>'дод 2'!V61</f>
        <v>1040327.21</v>
      </c>
      <c r="V31" s="61">
        <f>'дод 2'!W61</f>
        <v>178507.47</v>
      </c>
      <c r="W31" s="138">
        <f t="shared" si="4"/>
        <v>43.741172939329296</v>
      </c>
      <c r="X31" s="61">
        <f t="shared" si="5"/>
        <v>57885826.109999999</v>
      </c>
      <c r="Y31" s="178"/>
    </row>
    <row r="32" spans="1:25" ht="21" customHeight="1" x14ac:dyDescent="0.25">
      <c r="A32" s="45"/>
      <c r="B32" s="45"/>
      <c r="C32" s="3" t="s">
        <v>307</v>
      </c>
      <c r="D32" s="61">
        <f>'дод 2'!E62</f>
        <v>17825000</v>
      </c>
      <c r="E32" s="61">
        <f>'дод 2'!F62</f>
        <v>14610650</v>
      </c>
      <c r="F32" s="61">
        <f>'дод 2'!G62</f>
        <v>0</v>
      </c>
      <c r="G32" s="61">
        <f>'дод 2'!H62</f>
        <v>6557705.4400000004</v>
      </c>
      <c r="H32" s="61">
        <f>'дод 2'!I62</f>
        <v>5375739.04</v>
      </c>
      <c r="I32" s="61">
        <f>'дод 2'!J62</f>
        <v>0</v>
      </c>
      <c r="J32" s="138">
        <f t="shared" si="3"/>
        <v>36.789371332398318</v>
      </c>
      <c r="K32" s="61">
        <f>'дод 2'!L62</f>
        <v>0</v>
      </c>
      <c r="L32" s="61">
        <f>'дод 2'!M62</f>
        <v>0</v>
      </c>
      <c r="M32" s="61">
        <f>'дод 2'!N62</f>
        <v>0</v>
      </c>
      <c r="N32" s="61">
        <f>'дод 2'!O62</f>
        <v>0</v>
      </c>
      <c r="O32" s="61">
        <f>'дод 2'!P62</f>
        <v>0</v>
      </c>
      <c r="P32" s="61">
        <f>'дод 2'!Q62</f>
        <v>0</v>
      </c>
      <c r="Q32" s="61">
        <f>'дод 2'!R62</f>
        <v>0</v>
      </c>
      <c r="R32" s="61">
        <f>'дод 2'!S62</f>
        <v>0</v>
      </c>
      <c r="S32" s="61">
        <f>'дод 2'!T62</f>
        <v>0</v>
      </c>
      <c r="T32" s="61">
        <f>'дод 2'!U62</f>
        <v>0</v>
      </c>
      <c r="U32" s="61">
        <f>'дод 2'!V62</f>
        <v>0</v>
      </c>
      <c r="V32" s="61">
        <f>'дод 2'!W62</f>
        <v>0</v>
      </c>
      <c r="W32" s="138"/>
      <c r="X32" s="61">
        <f t="shared" si="5"/>
        <v>6557705.4400000004</v>
      </c>
      <c r="Y32" s="178"/>
    </row>
    <row r="33" spans="1:25" ht="33" customHeight="1" x14ac:dyDescent="0.25">
      <c r="A33" s="45" t="s">
        <v>142</v>
      </c>
      <c r="B33" s="45" t="s">
        <v>75</v>
      </c>
      <c r="C33" s="6" t="s">
        <v>433</v>
      </c>
      <c r="D33" s="61">
        <f>'дод 2'!E63</f>
        <v>2893730</v>
      </c>
      <c r="E33" s="61">
        <f>'дод 2'!F63</f>
        <v>2237500</v>
      </c>
      <c r="F33" s="61">
        <f>'дод 2'!G63</f>
        <v>120380</v>
      </c>
      <c r="G33" s="61">
        <f>'дод 2'!H63</f>
        <v>1517194.49</v>
      </c>
      <c r="H33" s="61">
        <f>'дод 2'!I63</f>
        <v>1196371.19</v>
      </c>
      <c r="I33" s="61">
        <f>'дод 2'!J63</f>
        <v>39681.32</v>
      </c>
      <c r="J33" s="138">
        <f t="shared" si="3"/>
        <v>52.430409540627501</v>
      </c>
      <c r="K33" s="61">
        <f>'дод 2'!L63</f>
        <v>0</v>
      </c>
      <c r="L33" s="61">
        <f>'дод 2'!M63</f>
        <v>0</v>
      </c>
      <c r="M33" s="61">
        <f>'дод 2'!N63</f>
        <v>0</v>
      </c>
      <c r="N33" s="61">
        <f>'дод 2'!O63</f>
        <v>0</v>
      </c>
      <c r="O33" s="61">
        <f>'дод 2'!P63</f>
        <v>0</v>
      </c>
      <c r="P33" s="61">
        <f>'дод 2'!Q63</f>
        <v>0</v>
      </c>
      <c r="Q33" s="61">
        <f>'дод 2'!R63</f>
        <v>2313.4300000000003</v>
      </c>
      <c r="R33" s="61">
        <f>'дод 2'!S63</f>
        <v>0</v>
      </c>
      <c r="S33" s="61">
        <f>'дод 2'!T63</f>
        <v>114.4</v>
      </c>
      <c r="T33" s="61">
        <f>'дод 2'!U63</f>
        <v>0</v>
      </c>
      <c r="U33" s="61">
        <f>'дод 2'!V63</f>
        <v>0</v>
      </c>
      <c r="V33" s="61">
        <f>'дод 2'!W63</f>
        <v>2199.0300000000002</v>
      </c>
      <c r="W33" s="138"/>
      <c r="X33" s="61">
        <f t="shared" si="5"/>
        <v>1519507.92</v>
      </c>
      <c r="Y33" s="178"/>
    </row>
    <row r="34" spans="1:25" ht="36" customHeight="1" x14ac:dyDescent="0.25">
      <c r="A34" s="45" t="s">
        <v>326</v>
      </c>
      <c r="B34" s="45" t="s">
        <v>75</v>
      </c>
      <c r="C34" s="6" t="s">
        <v>328</v>
      </c>
      <c r="D34" s="61">
        <f>'дод 2'!E64</f>
        <v>9388520</v>
      </c>
      <c r="E34" s="61">
        <f>'дод 2'!F64</f>
        <v>6782550</v>
      </c>
      <c r="F34" s="61">
        <f>'дод 2'!G64</f>
        <v>613500</v>
      </c>
      <c r="G34" s="61">
        <f>'дод 2'!H64</f>
        <v>4698442.76</v>
      </c>
      <c r="H34" s="61">
        <f>'дод 2'!I64</f>
        <v>3611141.85</v>
      </c>
      <c r="I34" s="61">
        <f>'дод 2'!J64</f>
        <v>153265.68</v>
      </c>
      <c r="J34" s="138">
        <f t="shared" si="3"/>
        <v>50.044551856948694</v>
      </c>
      <c r="K34" s="61">
        <f>'дод 2'!L64</f>
        <v>432000</v>
      </c>
      <c r="L34" s="61">
        <f>'дод 2'!M64</f>
        <v>432000</v>
      </c>
      <c r="M34" s="61">
        <f>'дод 2'!N64</f>
        <v>0</v>
      </c>
      <c r="N34" s="61">
        <f>'дод 2'!O64</f>
        <v>0</v>
      </c>
      <c r="O34" s="61">
        <f>'дод 2'!P64</f>
        <v>0</v>
      </c>
      <c r="P34" s="61">
        <f>'дод 2'!Q64</f>
        <v>432000</v>
      </c>
      <c r="Q34" s="61">
        <f>'дод 2'!R64</f>
        <v>52795.08</v>
      </c>
      <c r="R34" s="61">
        <f>'дод 2'!S64</f>
        <v>0</v>
      </c>
      <c r="S34" s="61">
        <f>'дод 2'!T64</f>
        <v>52795.08</v>
      </c>
      <c r="T34" s="61">
        <f>'дод 2'!U64</f>
        <v>0</v>
      </c>
      <c r="U34" s="61">
        <f>'дод 2'!V64</f>
        <v>0</v>
      </c>
      <c r="V34" s="61">
        <f>'дод 2'!W64</f>
        <v>0</v>
      </c>
      <c r="W34" s="138">
        <f t="shared" si="4"/>
        <v>12.221083333333334</v>
      </c>
      <c r="X34" s="61">
        <f t="shared" si="5"/>
        <v>4751237.84</v>
      </c>
      <c r="Y34" s="178"/>
    </row>
    <row r="35" spans="1:25" ht="25.5" customHeight="1" x14ac:dyDescent="0.25">
      <c r="A35" s="45" t="s">
        <v>327</v>
      </c>
      <c r="B35" s="45" t="s">
        <v>75</v>
      </c>
      <c r="C35" s="6" t="s">
        <v>329</v>
      </c>
      <c r="D35" s="61">
        <f>'дод 2'!E65</f>
        <v>107400</v>
      </c>
      <c r="E35" s="61">
        <f>'дод 2'!F65</f>
        <v>0</v>
      </c>
      <c r="F35" s="61">
        <f>'дод 2'!G65</f>
        <v>0</v>
      </c>
      <c r="G35" s="61">
        <f>'дод 2'!H65</f>
        <v>51000</v>
      </c>
      <c r="H35" s="61">
        <f>'дод 2'!I65</f>
        <v>0</v>
      </c>
      <c r="I35" s="61">
        <f>'дод 2'!J65</f>
        <v>0</v>
      </c>
      <c r="J35" s="138">
        <f t="shared" si="3"/>
        <v>47.486033519553075</v>
      </c>
      <c r="K35" s="61">
        <f>'дод 2'!L65</f>
        <v>0</v>
      </c>
      <c r="L35" s="61">
        <f>'дод 2'!M65</f>
        <v>0</v>
      </c>
      <c r="M35" s="61">
        <f>'дод 2'!N65</f>
        <v>0</v>
      </c>
      <c r="N35" s="61">
        <f>'дод 2'!O65</f>
        <v>0</v>
      </c>
      <c r="O35" s="61">
        <f>'дод 2'!P65</f>
        <v>0</v>
      </c>
      <c r="P35" s="61">
        <f>'дод 2'!Q65</f>
        <v>0</v>
      </c>
      <c r="Q35" s="61">
        <f>'дод 2'!R65</f>
        <v>0</v>
      </c>
      <c r="R35" s="61">
        <f>'дод 2'!S65</f>
        <v>0</v>
      </c>
      <c r="S35" s="61">
        <f>'дод 2'!T65</f>
        <v>0</v>
      </c>
      <c r="T35" s="61">
        <f>'дод 2'!U65</f>
        <v>0</v>
      </c>
      <c r="U35" s="61">
        <f>'дод 2'!V65</f>
        <v>0</v>
      </c>
      <c r="V35" s="61">
        <f>'дод 2'!W65</f>
        <v>0</v>
      </c>
      <c r="W35" s="138"/>
      <c r="X35" s="61">
        <f t="shared" si="5"/>
        <v>51000</v>
      </c>
      <c r="Y35" s="178"/>
    </row>
    <row r="36" spans="1:25" ht="25.5" customHeight="1" x14ac:dyDescent="0.25">
      <c r="A36" s="45" t="s">
        <v>390</v>
      </c>
      <c r="B36" s="45" t="s">
        <v>75</v>
      </c>
      <c r="C36" s="41" t="s">
        <v>389</v>
      </c>
      <c r="D36" s="61">
        <f>SUM('дод 2'!E66)</f>
        <v>1627940</v>
      </c>
      <c r="E36" s="61">
        <f>SUM('дод 2'!F66)</f>
        <v>1224320</v>
      </c>
      <c r="F36" s="61">
        <f>SUM('дод 2'!G66)</f>
        <v>81470</v>
      </c>
      <c r="G36" s="61">
        <f>SUM('дод 2'!H66)</f>
        <v>358542.65</v>
      </c>
      <c r="H36" s="61">
        <f>SUM('дод 2'!I66)</f>
        <v>266108.65999999997</v>
      </c>
      <c r="I36" s="61">
        <f>SUM('дод 2'!J66)</f>
        <v>29141.78</v>
      </c>
      <c r="J36" s="138">
        <f t="shared" si="3"/>
        <v>22.024316006732438</v>
      </c>
      <c r="K36" s="61">
        <f>SUM('дод 2'!L66)</f>
        <v>0</v>
      </c>
      <c r="L36" s="61">
        <f>SUM('дод 2'!M66)</f>
        <v>0</v>
      </c>
      <c r="M36" s="61">
        <f>SUM('дод 2'!N66)</f>
        <v>0</v>
      </c>
      <c r="N36" s="61">
        <f>SUM('дод 2'!O66)</f>
        <v>0</v>
      </c>
      <c r="O36" s="61">
        <f>SUM('дод 2'!P66)</f>
        <v>0</v>
      </c>
      <c r="P36" s="61">
        <f>SUM('дод 2'!Q66)</f>
        <v>0</v>
      </c>
      <c r="Q36" s="61">
        <f>SUM('дод 2'!R66)</f>
        <v>3323.64</v>
      </c>
      <c r="R36" s="61">
        <f>SUM('дод 2'!S66)</f>
        <v>0</v>
      </c>
      <c r="S36" s="61">
        <f>SUM('дод 2'!T66)</f>
        <v>3323.64</v>
      </c>
      <c r="T36" s="61">
        <f>SUM('дод 2'!U66)</f>
        <v>0</v>
      </c>
      <c r="U36" s="61">
        <f>SUM('дод 2'!V66)</f>
        <v>0</v>
      </c>
      <c r="V36" s="61">
        <f>SUM('дод 2'!W66)</f>
        <v>0</v>
      </c>
      <c r="W36" s="138"/>
      <c r="X36" s="61">
        <f t="shared" si="5"/>
        <v>361866.29000000004</v>
      </c>
      <c r="Y36" s="178"/>
    </row>
    <row r="37" spans="1:25" ht="15.75" customHeight="1" x14ac:dyDescent="0.25">
      <c r="A37" s="45"/>
      <c r="B37" s="45"/>
      <c r="C37" s="3" t="s">
        <v>307</v>
      </c>
      <c r="D37" s="61">
        <f>'дод 2'!E67</f>
        <v>1236370</v>
      </c>
      <c r="E37" s="61">
        <f>'дод 2'!F67</f>
        <v>1013420</v>
      </c>
      <c r="F37" s="61">
        <f>'дод 2'!G67</f>
        <v>0</v>
      </c>
      <c r="G37" s="61">
        <f>'дод 2'!H67</f>
        <v>324652.57</v>
      </c>
      <c r="H37" s="61">
        <f>'дод 2'!I67</f>
        <v>266108.65999999997</v>
      </c>
      <c r="I37" s="61">
        <f>'дод 2'!J67</f>
        <v>0</v>
      </c>
      <c r="J37" s="138">
        <f t="shared" si="3"/>
        <v>26.258528595808698</v>
      </c>
      <c r="K37" s="61">
        <f>'дод 2'!L67</f>
        <v>0</v>
      </c>
      <c r="L37" s="61">
        <f>'дод 2'!M67</f>
        <v>0</v>
      </c>
      <c r="M37" s="61">
        <f>'дод 2'!N67</f>
        <v>0</v>
      </c>
      <c r="N37" s="61">
        <f>'дод 2'!O67</f>
        <v>0</v>
      </c>
      <c r="O37" s="61">
        <f>'дод 2'!P67</f>
        <v>0</v>
      </c>
      <c r="P37" s="61">
        <f>'дод 2'!Q67</f>
        <v>0</v>
      </c>
      <c r="Q37" s="61">
        <f>'дод 2'!R67</f>
        <v>0</v>
      </c>
      <c r="R37" s="61">
        <f>'дод 2'!S67</f>
        <v>0</v>
      </c>
      <c r="S37" s="61">
        <f>'дод 2'!T67</f>
        <v>0</v>
      </c>
      <c r="T37" s="61">
        <f>'дод 2'!U67</f>
        <v>0</v>
      </c>
      <c r="U37" s="61">
        <f>'дод 2'!V67</f>
        <v>0</v>
      </c>
      <c r="V37" s="61">
        <f>'дод 2'!W67</f>
        <v>0</v>
      </c>
      <c r="W37" s="138"/>
      <c r="X37" s="61">
        <f t="shared" si="5"/>
        <v>324652.57</v>
      </c>
      <c r="Y37" s="178"/>
    </row>
    <row r="38" spans="1:25" s="76" customFormat="1" ht="19.5" customHeight="1" x14ac:dyDescent="0.25">
      <c r="A38" s="46" t="s">
        <v>76</v>
      </c>
      <c r="B38" s="47"/>
      <c r="C38" s="9" t="s">
        <v>77</v>
      </c>
      <c r="D38" s="60">
        <f t="shared" ref="D38:I38" si="10">D40+D42+D44+D46+D48+D50+D51</f>
        <v>229000248</v>
      </c>
      <c r="E38" s="60">
        <f t="shared" si="10"/>
        <v>0</v>
      </c>
      <c r="F38" s="60">
        <f t="shared" si="10"/>
        <v>0</v>
      </c>
      <c r="G38" s="60">
        <f t="shared" si="10"/>
        <v>117035374.15000001</v>
      </c>
      <c r="H38" s="60">
        <f t="shared" si="10"/>
        <v>0</v>
      </c>
      <c r="I38" s="60">
        <f t="shared" si="10"/>
        <v>0</v>
      </c>
      <c r="J38" s="137">
        <f t="shared" si="3"/>
        <v>51.107094936421205</v>
      </c>
      <c r="K38" s="60">
        <f t="shared" ref="K38:V38" si="11">K40+K42+K44+K46+K48+K50+K51</f>
        <v>78966100</v>
      </c>
      <c r="L38" s="60">
        <f t="shared" si="11"/>
        <v>78966100</v>
      </c>
      <c r="M38" s="60">
        <f t="shared" si="11"/>
        <v>0</v>
      </c>
      <c r="N38" s="60">
        <f t="shared" si="11"/>
        <v>0</v>
      </c>
      <c r="O38" s="60">
        <f t="shared" si="11"/>
        <v>0</v>
      </c>
      <c r="P38" s="60">
        <f t="shared" si="11"/>
        <v>78966100</v>
      </c>
      <c r="Q38" s="60">
        <f t="shared" si="11"/>
        <v>37556945.579999998</v>
      </c>
      <c r="R38" s="60">
        <f t="shared" si="11"/>
        <v>36475539.109999999</v>
      </c>
      <c r="S38" s="60">
        <f t="shared" si="11"/>
        <v>1081406.47</v>
      </c>
      <c r="T38" s="60">
        <f t="shared" si="11"/>
        <v>0</v>
      </c>
      <c r="U38" s="60">
        <f t="shared" si="11"/>
        <v>0</v>
      </c>
      <c r="V38" s="60">
        <f t="shared" si="11"/>
        <v>36475539.109999999</v>
      </c>
      <c r="W38" s="137">
        <f t="shared" si="4"/>
        <v>47.560846464495519</v>
      </c>
      <c r="X38" s="60">
        <f t="shared" si="5"/>
        <v>154592319.73000002</v>
      </c>
      <c r="Y38" s="178"/>
    </row>
    <row r="39" spans="1:25" ht="23.25" customHeight="1" x14ac:dyDescent="0.25">
      <c r="A39" s="45"/>
      <c r="B39" s="50"/>
      <c r="C39" s="3" t="s">
        <v>307</v>
      </c>
      <c r="D39" s="61">
        <f t="shared" ref="D39:I39" si="12">D41+D43+D45+D47+D49</f>
        <v>61502848</v>
      </c>
      <c r="E39" s="61">
        <f t="shared" si="12"/>
        <v>0</v>
      </c>
      <c r="F39" s="61">
        <f t="shared" si="12"/>
        <v>0</v>
      </c>
      <c r="G39" s="61">
        <f t="shared" si="12"/>
        <v>58817324.019999996</v>
      </c>
      <c r="H39" s="61">
        <f t="shared" si="12"/>
        <v>0</v>
      </c>
      <c r="I39" s="61">
        <f t="shared" si="12"/>
        <v>0</v>
      </c>
      <c r="J39" s="138">
        <f t="shared" si="3"/>
        <v>95.633496549623189</v>
      </c>
      <c r="K39" s="61">
        <f t="shared" ref="K39:V39" si="13">K41+K43+K45+K47+K49</f>
        <v>0</v>
      </c>
      <c r="L39" s="61">
        <f t="shared" si="13"/>
        <v>0</v>
      </c>
      <c r="M39" s="61">
        <f t="shared" si="13"/>
        <v>0</v>
      </c>
      <c r="N39" s="61">
        <f t="shared" si="13"/>
        <v>0</v>
      </c>
      <c r="O39" s="61">
        <f t="shared" si="13"/>
        <v>0</v>
      </c>
      <c r="P39" s="61">
        <f t="shared" si="13"/>
        <v>0</v>
      </c>
      <c r="Q39" s="61">
        <f t="shared" si="13"/>
        <v>0</v>
      </c>
      <c r="R39" s="61">
        <f t="shared" si="13"/>
        <v>0</v>
      </c>
      <c r="S39" s="61">
        <f t="shared" si="13"/>
        <v>0</v>
      </c>
      <c r="T39" s="61">
        <f t="shared" si="13"/>
        <v>0</v>
      </c>
      <c r="U39" s="61">
        <f t="shared" si="13"/>
        <v>0</v>
      </c>
      <c r="V39" s="61">
        <f t="shared" si="13"/>
        <v>0</v>
      </c>
      <c r="W39" s="138"/>
      <c r="X39" s="61">
        <f t="shared" si="5"/>
        <v>58817324.019999996</v>
      </c>
      <c r="Y39" s="178"/>
    </row>
    <row r="40" spans="1:25" ht="31.5" x14ac:dyDescent="0.25">
      <c r="A40" s="45" t="s">
        <v>78</v>
      </c>
      <c r="B40" s="45" t="s">
        <v>79</v>
      </c>
      <c r="C40" s="6" t="s">
        <v>38</v>
      </c>
      <c r="D40" s="61">
        <f>'дод 2'!E81</f>
        <v>121141058</v>
      </c>
      <c r="E40" s="61">
        <f>'дод 2'!F81</f>
        <v>0</v>
      </c>
      <c r="F40" s="61">
        <f>'дод 2'!G81</f>
        <v>0</v>
      </c>
      <c r="G40" s="61">
        <f>'дод 2'!H81</f>
        <v>81828137.239999995</v>
      </c>
      <c r="H40" s="61">
        <f>'дод 2'!I81</f>
        <v>0</v>
      </c>
      <c r="I40" s="61">
        <f>'дод 2'!J81</f>
        <v>0</v>
      </c>
      <c r="J40" s="138">
        <f t="shared" si="3"/>
        <v>67.547814581576461</v>
      </c>
      <c r="K40" s="61">
        <f>'дод 2'!L81</f>
        <v>44295500</v>
      </c>
      <c r="L40" s="61">
        <f>'дод 2'!M81</f>
        <v>44295500</v>
      </c>
      <c r="M40" s="61">
        <f>'дод 2'!N81</f>
        <v>0</v>
      </c>
      <c r="N40" s="61">
        <f>'дод 2'!O81</f>
        <v>0</v>
      </c>
      <c r="O40" s="61">
        <f>'дод 2'!P81</f>
        <v>0</v>
      </c>
      <c r="P40" s="61">
        <f>'дод 2'!Q81</f>
        <v>44295500</v>
      </c>
      <c r="Q40" s="61">
        <f>'дод 2'!R81</f>
        <v>26964228.18</v>
      </c>
      <c r="R40" s="61">
        <f>'дод 2'!S81</f>
        <v>26964228.18</v>
      </c>
      <c r="S40" s="61">
        <f>'дод 2'!T81</f>
        <v>0</v>
      </c>
      <c r="T40" s="61">
        <f>'дод 2'!U81</f>
        <v>0</v>
      </c>
      <c r="U40" s="61">
        <f>'дод 2'!V81</f>
        <v>0</v>
      </c>
      <c r="V40" s="61">
        <f>'дод 2'!W81</f>
        <v>26964228.18</v>
      </c>
      <c r="W40" s="138">
        <f t="shared" si="4"/>
        <v>60.873515774740092</v>
      </c>
      <c r="X40" s="61">
        <f t="shared" si="5"/>
        <v>108792365.41999999</v>
      </c>
      <c r="Y40" s="178"/>
    </row>
    <row r="41" spans="1:25" ht="15.75" customHeight="1" x14ac:dyDescent="0.25">
      <c r="A41" s="45"/>
      <c r="B41" s="45"/>
      <c r="C41" s="3" t="s">
        <v>307</v>
      </c>
      <c r="D41" s="61">
        <f>'дод 2'!E82</f>
        <v>48187871</v>
      </c>
      <c r="E41" s="61">
        <f>'дод 2'!F82</f>
        <v>0</v>
      </c>
      <c r="F41" s="61">
        <f>'дод 2'!G82</f>
        <v>0</v>
      </c>
      <c r="G41" s="61">
        <f>'дод 2'!H82</f>
        <v>48187738.579999998</v>
      </c>
      <c r="H41" s="61">
        <f>'дод 2'!I82</f>
        <v>0</v>
      </c>
      <c r="I41" s="61">
        <f>'дод 2'!J82</f>
        <v>0</v>
      </c>
      <c r="J41" s="138">
        <f t="shared" si="3"/>
        <v>99.999725200559283</v>
      </c>
      <c r="K41" s="61">
        <f>'дод 2'!L82</f>
        <v>0</v>
      </c>
      <c r="L41" s="61">
        <f>'дод 2'!M82</f>
        <v>0</v>
      </c>
      <c r="M41" s="61">
        <f>'дод 2'!N82</f>
        <v>0</v>
      </c>
      <c r="N41" s="61">
        <f>'дод 2'!O82</f>
        <v>0</v>
      </c>
      <c r="O41" s="61">
        <f>'дод 2'!P82</f>
        <v>0</v>
      </c>
      <c r="P41" s="61">
        <f>'дод 2'!Q82</f>
        <v>0</v>
      </c>
      <c r="Q41" s="61">
        <f>'дод 2'!R82</f>
        <v>0</v>
      </c>
      <c r="R41" s="61">
        <f>'дод 2'!S82</f>
        <v>0</v>
      </c>
      <c r="S41" s="61">
        <f>'дод 2'!T82</f>
        <v>0</v>
      </c>
      <c r="T41" s="61">
        <f>'дод 2'!U82</f>
        <v>0</v>
      </c>
      <c r="U41" s="61">
        <f>'дод 2'!V82</f>
        <v>0</v>
      </c>
      <c r="V41" s="61">
        <f>'дод 2'!W82</f>
        <v>0</v>
      </c>
      <c r="W41" s="138"/>
      <c r="X41" s="61">
        <f t="shared" si="5"/>
        <v>48187738.579999998</v>
      </c>
      <c r="Y41" s="178"/>
    </row>
    <row r="42" spans="1:25" ht="42.75" customHeight="1" x14ac:dyDescent="0.25">
      <c r="A42" s="45" t="s">
        <v>143</v>
      </c>
      <c r="B42" s="45" t="s">
        <v>80</v>
      </c>
      <c r="C42" s="6" t="s">
        <v>144</v>
      </c>
      <c r="D42" s="61">
        <f>'дод 2'!E83</f>
        <v>15420473</v>
      </c>
      <c r="E42" s="61">
        <f>'дод 2'!F83</f>
        <v>0</v>
      </c>
      <c r="F42" s="61">
        <f>'дод 2'!G83</f>
        <v>0</v>
      </c>
      <c r="G42" s="61">
        <f>'дод 2'!H83</f>
        <v>10606509.699999999</v>
      </c>
      <c r="H42" s="61">
        <f>'дод 2'!I83</f>
        <v>0</v>
      </c>
      <c r="I42" s="61">
        <f>'дод 2'!J83</f>
        <v>0</v>
      </c>
      <c r="J42" s="138">
        <f t="shared" si="3"/>
        <v>68.781999747997347</v>
      </c>
      <c r="K42" s="61">
        <f>'дод 2'!L83</f>
        <v>15040600</v>
      </c>
      <c r="L42" s="61">
        <f>'дод 2'!M83</f>
        <v>15040600</v>
      </c>
      <c r="M42" s="61">
        <f>'дод 2'!N83</f>
        <v>0</v>
      </c>
      <c r="N42" s="61">
        <f>'дод 2'!O83</f>
        <v>0</v>
      </c>
      <c r="O42" s="61">
        <f>'дод 2'!P83</f>
        <v>0</v>
      </c>
      <c r="P42" s="61">
        <f>'дод 2'!Q83</f>
        <v>15040600</v>
      </c>
      <c r="Q42" s="61">
        <f>'дод 2'!R83</f>
        <v>8645641.6500000004</v>
      </c>
      <c r="R42" s="61">
        <f>'дод 2'!S83</f>
        <v>8645641.6500000004</v>
      </c>
      <c r="S42" s="61">
        <f>'дод 2'!T83</f>
        <v>0</v>
      </c>
      <c r="T42" s="61">
        <f>'дод 2'!U83</f>
        <v>0</v>
      </c>
      <c r="U42" s="61">
        <f>'дод 2'!V83</f>
        <v>0</v>
      </c>
      <c r="V42" s="61">
        <f>'дод 2'!W83</f>
        <v>8645641.6500000004</v>
      </c>
      <c r="W42" s="138">
        <f t="shared" si="4"/>
        <v>57.482026315439548</v>
      </c>
      <c r="X42" s="61">
        <f t="shared" si="5"/>
        <v>19252151.350000001</v>
      </c>
      <c r="Y42" s="178"/>
    </row>
    <row r="43" spans="1:25" ht="24" customHeight="1" x14ac:dyDescent="0.25">
      <c r="A43" s="45"/>
      <c r="B43" s="45"/>
      <c r="C43" s="3" t="s">
        <v>307</v>
      </c>
      <c r="D43" s="61">
        <f>'дод 2'!E84</f>
        <v>6347600</v>
      </c>
      <c r="E43" s="61">
        <f>'дод 2'!F84</f>
        <v>0</v>
      </c>
      <c r="F43" s="61">
        <f>'дод 2'!G84</f>
        <v>0</v>
      </c>
      <c r="G43" s="61">
        <f>'дод 2'!H84</f>
        <v>6347600</v>
      </c>
      <c r="H43" s="61">
        <f>'дод 2'!I84</f>
        <v>0</v>
      </c>
      <c r="I43" s="61">
        <f>'дод 2'!J84</f>
        <v>0</v>
      </c>
      <c r="J43" s="138">
        <f t="shared" si="3"/>
        <v>100</v>
      </c>
      <c r="K43" s="61">
        <f>'дод 2'!L84</f>
        <v>0</v>
      </c>
      <c r="L43" s="61">
        <f>'дод 2'!M84</f>
        <v>0</v>
      </c>
      <c r="M43" s="61">
        <f>'дод 2'!N84</f>
        <v>0</v>
      </c>
      <c r="N43" s="61">
        <f>'дод 2'!O84</f>
        <v>0</v>
      </c>
      <c r="O43" s="61">
        <f>'дод 2'!P84</f>
        <v>0</v>
      </c>
      <c r="P43" s="61">
        <f>'дод 2'!Q84</f>
        <v>0</v>
      </c>
      <c r="Q43" s="61">
        <f>'дод 2'!R84</f>
        <v>0</v>
      </c>
      <c r="R43" s="61">
        <f>'дод 2'!S84</f>
        <v>0</v>
      </c>
      <c r="S43" s="61">
        <f>'дод 2'!T84</f>
        <v>0</v>
      </c>
      <c r="T43" s="61">
        <f>'дод 2'!U84</f>
        <v>0</v>
      </c>
      <c r="U43" s="61">
        <f>'дод 2'!V84</f>
        <v>0</v>
      </c>
      <c r="V43" s="61">
        <f>'дод 2'!W84</f>
        <v>0</v>
      </c>
      <c r="W43" s="138"/>
      <c r="X43" s="61">
        <f t="shared" si="5"/>
        <v>6347600</v>
      </c>
      <c r="Y43" s="178"/>
    </row>
    <row r="44" spans="1:25" ht="25.5" customHeight="1" x14ac:dyDescent="0.25">
      <c r="A44" s="45" t="s">
        <v>145</v>
      </c>
      <c r="B44" s="45" t="s">
        <v>81</v>
      </c>
      <c r="C44" s="6" t="s">
        <v>146</v>
      </c>
      <c r="D44" s="61">
        <f>'дод 2'!E85</f>
        <v>6663426</v>
      </c>
      <c r="E44" s="61">
        <f>'дод 2'!F85</f>
        <v>0</v>
      </c>
      <c r="F44" s="61">
        <f>'дод 2'!G85</f>
        <v>0</v>
      </c>
      <c r="G44" s="61">
        <f>'дод 2'!H85</f>
        <v>3474089.28</v>
      </c>
      <c r="H44" s="61">
        <f>'дод 2'!I85</f>
        <v>0</v>
      </c>
      <c r="I44" s="61">
        <f>'дод 2'!J85</f>
        <v>0</v>
      </c>
      <c r="J44" s="138">
        <f t="shared" si="3"/>
        <v>52.136682841529272</v>
      </c>
      <c r="K44" s="61">
        <f>'дод 2'!L85</f>
        <v>1130000</v>
      </c>
      <c r="L44" s="61">
        <f>'дод 2'!M85</f>
        <v>1130000</v>
      </c>
      <c r="M44" s="61">
        <f>'дод 2'!N85</f>
        <v>0</v>
      </c>
      <c r="N44" s="61">
        <f>'дод 2'!O85</f>
        <v>0</v>
      </c>
      <c r="O44" s="61">
        <f>'дод 2'!P85</f>
        <v>0</v>
      </c>
      <c r="P44" s="61">
        <f>'дод 2'!Q85</f>
        <v>1130000</v>
      </c>
      <c r="Q44" s="61">
        <f>'дод 2'!R85</f>
        <v>556118.28</v>
      </c>
      <c r="R44" s="61">
        <f>'дод 2'!S85</f>
        <v>556118.28</v>
      </c>
      <c r="S44" s="61">
        <f>'дод 2'!T85</f>
        <v>0</v>
      </c>
      <c r="T44" s="61">
        <f>'дод 2'!U85</f>
        <v>0</v>
      </c>
      <c r="U44" s="61">
        <f>'дод 2'!V85</f>
        <v>0</v>
      </c>
      <c r="V44" s="61">
        <f>'дод 2'!W85</f>
        <v>556118.28</v>
      </c>
      <c r="W44" s="138">
        <f t="shared" si="4"/>
        <v>49.214007079646024</v>
      </c>
      <c r="X44" s="61">
        <f t="shared" si="5"/>
        <v>4030207.5599999996</v>
      </c>
      <c r="Y44" s="178"/>
    </row>
    <row r="45" spans="1:25" ht="25.5" customHeight="1" x14ac:dyDescent="0.25">
      <c r="A45" s="45"/>
      <c r="B45" s="45"/>
      <c r="C45" s="3" t="s">
        <v>307</v>
      </c>
      <c r="D45" s="61">
        <f>'дод 2'!E86</f>
        <v>1132200</v>
      </c>
      <c r="E45" s="61">
        <f>'дод 2'!F86</f>
        <v>0</v>
      </c>
      <c r="F45" s="61">
        <f>'дод 2'!G86</f>
        <v>0</v>
      </c>
      <c r="G45" s="61">
        <f>'дод 2'!H86</f>
        <v>1132200</v>
      </c>
      <c r="H45" s="61">
        <f>'дод 2'!I86</f>
        <v>0</v>
      </c>
      <c r="I45" s="61">
        <f>'дод 2'!J86</f>
        <v>0</v>
      </c>
      <c r="J45" s="138">
        <f t="shared" si="3"/>
        <v>100</v>
      </c>
      <c r="K45" s="61">
        <f>'дод 2'!L86</f>
        <v>0</v>
      </c>
      <c r="L45" s="61">
        <f>'дод 2'!M86</f>
        <v>0</v>
      </c>
      <c r="M45" s="61">
        <f>'дод 2'!N86</f>
        <v>0</v>
      </c>
      <c r="N45" s="61">
        <f>'дод 2'!O86</f>
        <v>0</v>
      </c>
      <c r="O45" s="61">
        <f>'дод 2'!P86</f>
        <v>0</v>
      </c>
      <c r="P45" s="61">
        <f>'дод 2'!Q86</f>
        <v>0</v>
      </c>
      <c r="Q45" s="61">
        <f>'дод 2'!R86</f>
        <v>0</v>
      </c>
      <c r="R45" s="61">
        <f>'дод 2'!S86</f>
        <v>0</v>
      </c>
      <c r="S45" s="61">
        <f>'дод 2'!T86</f>
        <v>0</v>
      </c>
      <c r="T45" s="61">
        <f>'дод 2'!U86</f>
        <v>0</v>
      </c>
      <c r="U45" s="61">
        <f>'дод 2'!V86</f>
        <v>0</v>
      </c>
      <c r="V45" s="61">
        <f>'дод 2'!W86</f>
        <v>0</v>
      </c>
      <c r="W45" s="138"/>
      <c r="X45" s="61">
        <f t="shared" si="5"/>
        <v>1132200</v>
      </c>
      <c r="Y45" s="179">
        <v>15</v>
      </c>
    </row>
    <row r="46" spans="1:25" ht="54" customHeight="1" x14ac:dyDescent="0.25">
      <c r="A46" s="45" t="s">
        <v>147</v>
      </c>
      <c r="B46" s="45" t="s">
        <v>364</v>
      </c>
      <c r="C46" s="6" t="s">
        <v>148</v>
      </c>
      <c r="D46" s="61">
        <f>'дод 2'!E87</f>
        <v>1984936</v>
      </c>
      <c r="E46" s="61">
        <f>'дод 2'!F87</f>
        <v>0</v>
      </c>
      <c r="F46" s="61">
        <f>'дод 2'!G87</f>
        <v>0</v>
      </c>
      <c r="G46" s="61">
        <f>'дод 2'!H87</f>
        <v>1093379.51</v>
      </c>
      <c r="H46" s="61">
        <f>'дод 2'!I87</f>
        <v>0</v>
      </c>
      <c r="I46" s="61">
        <f>'дод 2'!J87</f>
        <v>0</v>
      </c>
      <c r="J46" s="138">
        <f t="shared" si="3"/>
        <v>55.083867187657432</v>
      </c>
      <c r="K46" s="61">
        <f>'дод 2'!L87</f>
        <v>0</v>
      </c>
      <c r="L46" s="61">
        <f>'дод 2'!M87</f>
        <v>0</v>
      </c>
      <c r="M46" s="61">
        <f>'дод 2'!N87</f>
        <v>0</v>
      </c>
      <c r="N46" s="61">
        <f>'дод 2'!O87</f>
        <v>0</v>
      </c>
      <c r="O46" s="61">
        <f>'дод 2'!P87</f>
        <v>0</v>
      </c>
      <c r="P46" s="61">
        <f>'дод 2'!Q87</f>
        <v>0</v>
      </c>
      <c r="Q46" s="61">
        <f>'дод 2'!R87</f>
        <v>0</v>
      </c>
      <c r="R46" s="61">
        <f>'дод 2'!S87</f>
        <v>0</v>
      </c>
      <c r="S46" s="61">
        <f>'дод 2'!T87</f>
        <v>0</v>
      </c>
      <c r="T46" s="61">
        <f>'дод 2'!U87</f>
        <v>0</v>
      </c>
      <c r="U46" s="61">
        <f>'дод 2'!V87</f>
        <v>0</v>
      </c>
      <c r="V46" s="61">
        <f>'дод 2'!W87</f>
        <v>0</v>
      </c>
      <c r="W46" s="138"/>
      <c r="X46" s="61">
        <f t="shared" si="5"/>
        <v>1093379.51</v>
      </c>
      <c r="Y46" s="179"/>
    </row>
    <row r="47" spans="1:25" ht="24.75" customHeight="1" x14ac:dyDescent="0.25">
      <c r="A47" s="48"/>
      <c r="B47" s="45"/>
      <c r="C47" s="3" t="s">
        <v>307</v>
      </c>
      <c r="D47" s="61">
        <f>'дод 2'!E88</f>
        <v>2468</v>
      </c>
      <c r="E47" s="61">
        <f>'дод 2'!F88</f>
        <v>0</v>
      </c>
      <c r="F47" s="61">
        <f>'дод 2'!G88</f>
        <v>0</v>
      </c>
      <c r="G47" s="61">
        <f>'дод 2'!H88</f>
        <v>2468</v>
      </c>
      <c r="H47" s="61">
        <f>'дод 2'!I88</f>
        <v>0</v>
      </c>
      <c r="I47" s="61">
        <f>'дод 2'!J88</f>
        <v>0</v>
      </c>
      <c r="J47" s="138">
        <f t="shared" si="3"/>
        <v>100</v>
      </c>
      <c r="K47" s="61">
        <f>'дод 2'!L88</f>
        <v>0</v>
      </c>
      <c r="L47" s="61">
        <f>'дод 2'!M88</f>
        <v>0</v>
      </c>
      <c r="M47" s="61">
        <f>'дод 2'!N88</f>
        <v>0</v>
      </c>
      <c r="N47" s="61">
        <f>'дод 2'!O88</f>
        <v>0</v>
      </c>
      <c r="O47" s="61">
        <f>'дод 2'!P88</f>
        <v>0</v>
      </c>
      <c r="P47" s="61">
        <f>'дод 2'!Q88</f>
        <v>0</v>
      </c>
      <c r="Q47" s="61">
        <f>'дод 2'!R88</f>
        <v>0</v>
      </c>
      <c r="R47" s="61">
        <f>'дод 2'!S88</f>
        <v>0</v>
      </c>
      <c r="S47" s="61">
        <f>'дод 2'!T88</f>
        <v>0</v>
      </c>
      <c r="T47" s="61">
        <f>'дод 2'!U88</f>
        <v>0</v>
      </c>
      <c r="U47" s="61">
        <f>'дод 2'!V88</f>
        <v>0</v>
      </c>
      <c r="V47" s="61">
        <f>'дод 2'!W88</f>
        <v>0</v>
      </c>
      <c r="W47" s="138"/>
      <c r="X47" s="61">
        <f t="shared" si="5"/>
        <v>2468</v>
      </c>
      <c r="Y47" s="179"/>
    </row>
    <row r="48" spans="1:25" ht="36.75" customHeight="1" x14ac:dyDescent="0.25">
      <c r="A48" s="48">
        <v>2144</v>
      </c>
      <c r="B48" s="45" t="s">
        <v>82</v>
      </c>
      <c r="C48" s="6" t="s">
        <v>149</v>
      </c>
      <c r="D48" s="61">
        <f>'дод 2'!E89</f>
        <v>7432709</v>
      </c>
      <c r="E48" s="61">
        <f>'дод 2'!F89</f>
        <v>0</v>
      </c>
      <c r="F48" s="61">
        <f>'дод 2'!G89</f>
        <v>0</v>
      </c>
      <c r="G48" s="61">
        <f>'дод 2'!H89</f>
        <v>4079370.65</v>
      </c>
      <c r="H48" s="61">
        <f>'дод 2'!I89</f>
        <v>0</v>
      </c>
      <c r="I48" s="61">
        <f>'дод 2'!J89</f>
        <v>0</v>
      </c>
      <c r="J48" s="138">
        <f t="shared" si="3"/>
        <v>54.88403555150618</v>
      </c>
      <c r="K48" s="61">
        <f>'дод 2'!L89</f>
        <v>0</v>
      </c>
      <c r="L48" s="61">
        <f>'дод 2'!M89</f>
        <v>0</v>
      </c>
      <c r="M48" s="61">
        <f>'дод 2'!N89</f>
        <v>0</v>
      </c>
      <c r="N48" s="61">
        <f>'дод 2'!O89</f>
        <v>0</v>
      </c>
      <c r="O48" s="61">
        <f>'дод 2'!P89</f>
        <v>0</v>
      </c>
      <c r="P48" s="61">
        <f>'дод 2'!Q89</f>
        <v>0</v>
      </c>
      <c r="Q48" s="61">
        <f>'дод 2'!R89</f>
        <v>0</v>
      </c>
      <c r="R48" s="61">
        <f>'дод 2'!S89</f>
        <v>0</v>
      </c>
      <c r="S48" s="61">
        <f>'дод 2'!T89</f>
        <v>0</v>
      </c>
      <c r="T48" s="61">
        <f>'дод 2'!U89</f>
        <v>0</v>
      </c>
      <c r="U48" s="61">
        <f>'дод 2'!V89</f>
        <v>0</v>
      </c>
      <c r="V48" s="61">
        <f>'дод 2'!W89</f>
        <v>0</v>
      </c>
      <c r="W48" s="138"/>
      <c r="X48" s="61">
        <f t="shared" si="5"/>
        <v>4079370.65</v>
      </c>
      <c r="Y48" s="179"/>
    </row>
    <row r="49" spans="1:25" ht="24.75" customHeight="1" x14ac:dyDescent="0.25">
      <c r="A49" s="48"/>
      <c r="B49" s="45"/>
      <c r="C49" s="3" t="s">
        <v>307</v>
      </c>
      <c r="D49" s="61">
        <f>'дод 2'!E90</f>
        <v>5832709</v>
      </c>
      <c r="E49" s="61">
        <f>'дод 2'!F90</f>
        <v>0</v>
      </c>
      <c r="F49" s="61">
        <f>'дод 2'!G90</f>
        <v>0</v>
      </c>
      <c r="G49" s="61">
        <f>'дод 2'!H90</f>
        <v>3147317.44</v>
      </c>
      <c r="H49" s="61">
        <f>'дод 2'!I90</f>
        <v>0</v>
      </c>
      <c r="I49" s="61">
        <f>'дод 2'!J90</f>
        <v>0</v>
      </c>
      <c r="J49" s="138">
        <f t="shared" si="3"/>
        <v>53.959788496220199</v>
      </c>
      <c r="K49" s="61">
        <f>'дод 2'!L90</f>
        <v>0</v>
      </c>
      <c r="L49" s="61">
        <f>'дод 2'!M90</f>
        <v>0</v>
      </c>
      <c r="M49" s="61">
        <f>'дод 2'!N90</f>
        <v>0</v>
      </c>
      <c r="N49" s="61">
        <f>'дод 2'!O90</f>
        <v>0</v>
      </c>
      <c r="O49" s="61">
        <f>'дод 2'!P90</f>
        <v>0</v>
      </c>
      <c r="P49" s="61">
        <f>'дод 2'!Q90</f>
        <v>0</v>
      </c>
      <c r="Q49" s="61">
        <f>'дод 2'!R90</f>
        <v>0</v>
      </c>
      <c r="R49" s="61">
        <f>'дод 2'!S90</f>
        <v>0</v>
      </c>
      <c r="S49" s="61">
        <f>'дод 2'!T90</f>
        <v>0</v>
      </c>
      <c r="T49" s="61">
        <f>'дод 2'!U90</f>
        <v>0</v>
      </c>
      <c r="U49" s="61">
        <f>'дод 2'!V90</f>
        <v>0</v>
      </c>
      <c r="V49" s="61">
        <f>'дод 2'!W90</f>
        <v>0</v>
      </c>
      <c r="W49" s="138"/>
      <c r="X49" s="61">
        <f t="shared" si="5"/>
        <v>3147317.44</v>
      </c>
      <c r="Y49" s="179"/>
    </row>
    <row r="50" spans="1:25" ht="37.5" customHeight="1" x14ac:dyDescent="0.25">
      <c r="A50" s="45" t="s">
        <v>330</v>
      </c>
      <c r="B50" s="45" t="s">
        <v>82</v>
      </c>
      <c r="C50" s="3" t="s">
        <v>332</v>
      </c>
      <c r="D50" s="61">
        <f>'дод 2'!E91</f>
        <v>2894213</v>
      </c>
      <c r="E50" s="61">
        <f>'дод 2'!F91</f>
        <v>0</v>
      </c>
      <c r="F50" s="61">
        <f>'дод 2'!G91</f>
        <v>0</v>
      </c>
      <c r="G50" s="61">
        <f>'дод 2'!H91</f>
        <v>1312950.1100000001</v>
      </c>
      <c r="H50" s="61">
        <f>'дод 2'!I91</f>
        <v>0</v>
      </c>
      <c r="I50" s="61">
        <f>'дод 2'!J91</f>
        <v>0</v>
      </c>
      <c r="J50" s="138">
        <f t="shared" si="3"/>
        <v>45.364667700684095</v>
      </c>
      <c r="K50" s="61">
        <f>'дод 2'!L91</f>
        <v>0</v>
      </c>
      <c r="L50" s="61">
        <f>'дод 2'!M91</f>
        <v>0</v>
      </c>
      <c r="M50" s="61">
        <f>'дод 2'!N91</f>
        <v>0</v>
      </c>
      <c r="N50" s="61">
        <f>'дод 2'!O91</f>
        <v>0</v>
      </c>
      <c r="O50" s="61">
        <f>'дод 2'!P91</f>
        <v>0</v>
      </c>
      <c r="P50" s="61">
        <f>'дод 2'!Q91</f>
        <v>0</v>
      </c>
      <c r="Q50" s="61">
        <f>'дод 2'!R91</f>
        <v>105.5</v>
      </c>
      <c r="R50" s="61">
        <f>'дод 2'!S91</f>
        <v>0</v>
      </c>
      <c r="S50" s="61">
        <f>'дод 2'!T91</f>
        <v>105.5</v>
      </c>
      <c r="T50" s="61">
        <f>'дод 2'!U91</f>
        <v>0</v>
      </c>
      <c r="U50" s="61">
        <f>'дод 2'!V91</f>
        <v>0</v>
      </c>
      <c r="V50" s="61">
        <f>'дод 2'!W91</f>
        <v>0</v>
      </c>
      <c r="W50" s="138"/>
      <c r="X50" s="61">
        <f t="shared" si="5"/>
        <v>1313055.6100000001</v>
      </c>
      <c r="Y50" s="179"/>
    </row>
    <row r="51" spans="1:25" ht="21.75" customHeight="1" x14ac:dyDescent="0.25">
      <c r="A51" s="45" t="s">
        <v>331</v>
      </c>
      <c r="B51" s="45" t="s">
        <v>82</v>
      </c>
      <c r="C51" s="3" t="s">
        <v>333</v>
      </c>
      <c r="D51" s="61">
        <f>'дод 2'!E92</f>
        <v>73463433</v>
      </c>
      <c r="E51" s="61">
        <f>'дод 2'!F92</f>
        <v>0</v>
      </c>
      <c r="F51" s="61">
        <f>'дод 2'!G92</f>
        <v>0</v>
      </c>
      <c r="G51" s="61">
        <f>'дод 2'!H92</f>
        <v>14640937.66</v>
      </c>
      <c r="H51" s="61">
        <f>'дод 2'!I92</f>
        <v>0</v>
      </c>
      <c r="I51" s="61">
        <f>'дод 2'!J92</f>
        <v>0</v>
      </c>
      <c r="J51" s="138">
        <f t="shared" si="3"/>
        <v>19.929558233413893</v>
      </c>
      <c r="K51" s="61">
        <f>'дод 2'!L92</f>
        <v>18500000</v>
      </c>
      <c r="L51" s="61">
        <f>'дод 2'!M92</f>
        <v>18500000</v>
      </c>
      <c r="M51" s="61">
        <f>'дод 2'!N92</f>
        <v>0</v>
      </c>
      <c r="N51" s="61">
        <f>'дод 2'!O92</f>
        <v>0</v>
      </c>
      <c r="O51" s="61">
        <f>'дод 2'!P92</f>
        <v>0</v>
      </c>
      <c r="P51" s="61">
        <f>'дод 2'!Q92</f>
        <v>18500000</v>
      </c>
      <c r="Q51" s="61">
        <f>'дод 2'!R92</f>
        <v>1390851.97</v>
      </c>
      <c r="R51" s="61">
        <f>'дод 2'!S92</f>
        <v>309551</v>
      </c>
      <c r="S51" s="61">
        <f>'дод 2'!T92</f>
        <v>1081300.97</v>
      </c>
      <c r="T51" s="61">
        <f>'дод 2'!U92</f>
        <v>0</v>
      </c>
      <c r="U51" s="61">
        <f>'дод 2'!V92</f>
        <v>0</v>
      </c>
      <c r="V51" s="61">
        <f>'дод 2'!W92</f>
        <v>309551</v>
      </c>
      <c r="W51" s="138">
        <f t="shared" si="4"/>
        <v>7.5181187567567571</v>
      </c>
      <c r="X51" s="61">
        <f t="shared" si="5"/>
        <v>16031789.630000001</v>
      </c>
      <c r="Y51" s="179"/>
    </row>
    <row r="52" spans="1:25" s="76" customFormat="1" ht="34.5" customHeight="1" x14ac:dyDescent="0.25">
      <c r="A52" s="46" t="s">
        <v>83</v>
      </c>
      <c r="B52" s="49"/>
      <c r="C52" s="2" t="s">
        <v>84</v>
      </c>
      <c r="D52" s="60">
        <f t="shared" ref="D52:I52" si="14">SUM(D53+D54+D55+D56+D57+D58+D59+D60+D61+D62+D63+D64+D65+D66+D67+D68+D69+D70+D71+D72+D73+D74+D75)</f>
        <v>128905281.63</v>
      </c>
      <c r="E52" s="60">
        <f t="shared" si="14"/>
        <v>16632985</v>
      </c>
      <c r="F52" s="60">
        <f t="shared" si="14"/>
        <v>887160</v>
      </c>
      <c r="G52" s="60">
        <f t="shared" si="14"/>
        <v>47795336.980000004</v>
      </c>
      <c r="H52" s="60">
        <f t="shared" si="14"/>
        <v>8056007.2999999998</v>
      </c>
      <c r="I52" s="60">
        <f t="shared" si="14"/>
        <v>354514.93</v>
      </c>
      <c r="J52" s="137">
        <f t="shared" si="3"/>
        <v>37.07787328465573</v>
      </c>
      <c r="K52" s="60">
        <f t="shared" ref="K52:V52" si="15">SUM(K53+K54+K55+K56+K57+K58+K59+K60+K61+K62+K63+K64+K65+K66+K67+K68+K69+K70+K71+K72+K73+K74+K75)</f>
        <v>1287640</v>
      </c>
      <c r="L52" s="60">
        <f t="shared" si="15"/>
        <v>1179540</v>
      </c>
      <c r="M52" s="60">
        <f t="shared" si="15"/>
        <v>108100</v>
      </c>
      <c r="N52" s="60">
        <f t="shared" si="15"/>
        <v>85100</v>
      </c>
      <c r="O52" s="60">
        <f t="shared" si="15"/>
        <v>0</v>
      </c>
      <c r="P52" s="60">
        <f t="shared" si="15"/>
        <v>1179540</v>
      </c>
      <c r="Q52" s="60">
        <f t="shared" si="15"/>
        <v>340633.17000000004</v>
      </c>
      <c r="R52" s="60">
        <f t="shared" si="15"/>
        <v>80999</v>
      </c>
      <c r="S52" s="60">
        <f t="shared" si="15"/>
        <v>259634.17</v>
      </c>
      <c r="T52" s="60">
        <f t="shared" si="15"/>
        <v>22580.57</v>
      </c>
      <c r="U52" s="60">
        <f t="shared" si="15"/>
        <v>0</v>
      </c>
      <c r="V52" s="60">
        <f t="shared" si="15"/>
        <v>80999</v>
      </c>
      <c r="W52" s="137">
        <f t="shared" si="4"/>
        <v>26.454068683793608</v>
      </c>
      <c r="X52" s="60">
        <f t="shared" si="5"/>
        <v>48135970.150000006</v>
      </c>
      <c r="Y52" s="179"/>
    </row>
    <row r="53" spans="1:25" ht="45" customHeight="1" x14ac:dyDescent="0.25">
      <c r="A53" s="45" t="s">
        <v>118</v>
      </c>
      <c r="B53" s="45" t="s">
        <v>67</v>
      </c>
      <c r="C53" s="3" t="s">
        <v>150</v>
      </c>
      <c r="D53" s="61">
        <f>'дод 2'!E99</f>
        <v>582400</v>
      </c>
      <c r="E53" s="61">
        <f>'дод 2'!F99</f>
        <v>0</v>
      </c>
      <c r="F53" s="61">
        <f>'дод 2'!G99</f>
        <v>0</v>
      </c>
      <c r="G53" s="61">
        <f>'дод 2'!H99</f>
        <v>114064.95</v>
      </c>
      <c r="H53" s="61">
        <f>'дод 2'!I99</f>
        <v>0</v>
      </c>
      <c r="I53" s="61">
        <f>'дод 2'!J99</f>
        <v>0</v>
      </c>
      <c r="J53" s="138">
        <f t="shared" si="3"/>
        <v>19.585327953296702</v>
      </c>
      <c r="K53" s="61">
        <f>'дод 2'!L99</f>
        <v>0</v>
      </c>
      <c r="L53" s="61">
        <f>'дод 2'!M99</f>
        <v>0</v>
      </c>
      <c r="M53" s="61">
        <f>'дод 2'!N99</f>
        <v>0</v>
      </c>
      <c r="N53" s="61">
        <f>'дод 2'!O99</f>
        <v>0</v>
      </c>
      <c r="O53" s="61">
        <f>'дод 2'!P99</f>
        <v>0</v>
      </c>
      <c r="P53" s="61">
        <f>'дод 2'!Q99</f>
        <v>0</v>
      </c>
      <c r="Q53" s="61">
        <f>'дод 2'!R99</f>
        <v>0</v>
      </c>
      <c r="R53" s="61">
        <f>'дод 2'!S99</f>
        <v>0</v>
      </c>
      <c r="S53" s="61">
        <f>'дод 2'!T99</f>
        <v>0</v>
      </c>
      <c r="T53" s="61">
        <f>'дод 2'!U99</f>
        <v>0</v>
      </c>
      <c r="U53" s="61">
        <f>'дод 2'!V99</f>
        <v>0</v>
      </c>
      <c r="V53" s="61">
        <f>'дод 2'!W99</f>
        <v>0</v>
      </c>
      <c r="W53" s="138"/>
      <c r="X53" s="61">
        <f t="shared" si="5"/>
        <v>114064.95</v>
      </c>
      <c r="Y53" s="179"/>
    </row>
    <row r="54" spans="1:25" ht="41.25" customHeight="1" x14ac:dyDescent="0.25">
      <c r="A54" s="45" t="s">
        <v>151</v>
      </c>
      <c r="B54" s="45" t="s">
        <v>69</v>
      </c>
      <c r="C54" s="3" t="s">
        <v>421</v>
      </c>
      <c r="D54" s="61">
        <f>'дод 2'!E100</f>
        <v>1259894</v>
      </c>
      <c r="E54" s="61">
        <f>'дод 2'!F100</f>
        <v>0</v>
      </c>
      <c r="F54" s="61">
        <f>'дод 2'!G100</f>
        <v>0</v>
      </c>
      <c r="G54" s="61">
        <f>'дод 2'!H100</f>
        <v>585964.28</v>
      </c>
      <c r="H54" s="61">
        <f>'дод 2'!I100</f>
        <v>0</v>
      </c>
      <c r="I54" s="61">
        <f>'дод 2'!J100</f>
        <v>0</v>
      </c>
      <c r="J54" s="138">
        <f t="shared" si="3"/>
        <v>46.509014250405194</v>
      </c>
      <c r="K54" s="61">
        <f>'дод 2'!L100</f>
        <v>0</v>
      </c>
      <c r="L54" s="61">
        <f>'дод 2'!M100</f>
        <v>0</v>
      </c>
      <c r="M54" s="61">
        <f>'дод 2'!N100</f>
        <v>0</v>
      </c>
      <c r="N54" s="61">
        <f>'дод 2'!O100</f>
        <v>0</v>
      </c>
      <c r="O54" s="61">
        <f>'дод 2'!P100</f>
        <v>0</v>
      </c>
      <c r="P54" s="61">
        <f>'дод 2'!Q100</f>
        <v>0</v>
      </c>
      <c r="Q54" s="61">
        <f>'дод 2'!R100</f>
        <v>0</v>
      </c>
      <c r="R54" s="61">
        <f>'дод 2'!S100</f>
        <v>0</v>
      </c>
      <c r="S54" s="61">
        <f>'дод 2'!T100</f>
        <v>0</v>
      </c>
      <c r="T54" s="61">
        <f>'дод 2'!U100</f>
        <v>0</v>
      </c>
      <c r="U54" s="61">
        <f>'дод 2'!V100</f>
        <v>0</v>
      </c>
      <c r="V54" s="61">
        <f>'дод 2'!W100</f>
        <v>0</v>
      </c>
      <c r="W54" s="138"/>
      <c r="X54" s="61">
        <f t="shared" si="5"/>
        <v>585964.28</v>
      </c>
      <c r="Y54" s="179"/>
    </row>
    <row r="55" spans="1:25" ht="54.75" customHeight="1" x14ac:dyDescent="0.25">
      <c r="A55" s="45" t="s">
        <v>119</v>
      </c>
      <c r="B55" s="45" t="s">
        <v>69</v>
      </c>
      <c r="C55" s="3" t="s">
        <v>55</v>
      </c>
      <c r="D55" s="61">
        <f>'дод 2'!E101+'дод 2'!E19</f>
        <v>24145963.129999999</v>
      </c>
      <c r="E55" s="61">
        <f>'дод 2'!F101+'дод 2'!F19</f>
        <v>0</v>
      </c>
      <c r="F55" s="61">
        <f>'дод 2'!G101+'дод 2'!G19</f>
        <v>0</v>
      </c>
      <c r="G55" s="61">
        <f>'дод 2'!H101+'дод 2'!H19</f>
        <v>8117963.5899999999</v>
      </c>
      <c r="H55" s="61">
        <f>'дод 2'!I101+'дод 2'!I19</f>
        <v>0</v>
      </c>
      <c r="I55" s="61">
        <f>'дод 2'!J101+'дод 2'!J19</f>
        <v>0</v>
      </c>
      <c r="J55" s="138">
        <f t="shared" si="3"/>
        <v>33.620375987048071</v>
      </c>
      <c r="K55" s="61">
        <f>'дод 2'!L101+'дод 2'!L19</f>
        <v>0</v>
      </c>
      <c r="L55" s="61">
        <f>'дод 2'!M101+'дод 2'!M19</f>
        <v>0</v>
      </c>
      <c r="M55" s="61">
        <f>'дод 2'!N101+'дод 2'!N19</f>
        <v>0</v>
      </c>
      <c r="N55" s="61">
        <f>'дод 2'!O101+'дод 2'!O19</f>
        <v>0</v>
      </c>
      <c r="O55" s="61">
        <f>'дод 2'!P101+'дод 2'!P19</f>
        <v>0</v>
      </c>
      <c r="P55" s="61">
        <f>'дод 2'!Q101+'дод 2'!Q19</f>
        <v>0</v>
      </c>
      <c r="Q55" s="61">
        <f>'дод 2'!R101+'дод 2'!R19</f>
        <v>0</v>
      </c>
      <c r="R55" s="61">
        <f>'дод 2'!S101+'дод 2'!S19</f>
        <v>0</v>
      </c>
      <c r="S55" s="61">
        <f>'дод 2'!T101+'дод 2'!T19</f>
        <v>0</v>
      </c>
      <c r="T55" s="61">
        <f>'дод 2'!U101+'дод 2'!U19</f>
        <v>0</v>
      </c>
      <c r="U55" s="61">
        <f>'дод 2'!V101+'дод 2'!V19</f>
        <v>0</v>
      </c>
      <c r="V55" s="61">
        <f>'дод 2'!W101+'дод 2'!W19</f>
        <v>0</v>
      </c>
      <c r="W55" s="138"/>
      <c r="X55" s="61">
        <f t="shared" si="5"/>
        <v>8117963.5899999999</v>
      </c>
      <c r="Y55" s="179"/>
    </row>
    <row r="56" spans="1:25" ht="46.5" customHeight="1" x14ac:dyDescent="0.25">
      <c r="A56" s="45" t="s">
        <v>379</v>
      </c>
      <c r="B56" s="45" t="s">
        <v>69</v>
      </c>
      <c r="C56" s="3" t="s">
        <v>378</v>
      </c>
      <c r="D56" s="61">
        <f>'дод 2'!E102</f>
        <v>1000000</v>
      </c>
      <c r="E56" s="61">
        <f>'дод 2'!F102</f>
        <v>0</v>
      </c>
      <c r="F56" s="61">
        <f>'дод 2'!G102</f>
        <v>0</v>
      </c>
      <c r="G56" s="61">
        <f>'дод 2'!H102</f>
        <v>249999</v>
      </c>
      <c r="H56" s="61">
        <f>'дод 2'!I102</f>
        <v>0</v>
      </c>
      <c r="I56" s="61">
        <f>'дод 2'!J102</f>
        <v>0</v>
      </c>
      <c r="J56" s="138">
        <f t="shared" si="3"/>
        <v>24.9999</v>
      </c>
      <c r="K56" s="61">
        <f>'дод 2'!L102</f>
        <v>0</v>
      </c>
      <c r="L56" s="61">
        <f>'дод 2'!M102</f>
        <v>0</v>
      </c>
      <c r="M56" s="61">
        <f>'дод 2'!N102</f>
        <v>0</v>
      </c>
      <c r="N56" s="61">
        <f>'дод 2'!O102</f>
        <v>0</v>
      </c>
      <c r="O56" s="61">
        <f>'дод 2'!P102</f>
        <v>0</v>
      </c>
      <c r="P56" s="61">
        <f>'дод 2'!Q102</f>
        <v>0</v>
      </c>
      <c r="Q56" s="61">
        <f>'дод 2'!R102</f>
        <v>0</v>
      </c>
      <c r="R56" s="61">
        <f>'дод 2'!S102</f>
        <v>0</v>
      </c>
      <c r="S56" s="61">
        <f>'дод 2'!T102</f>
        <v>0</v>
      </c>
      <c r="T56" s="61">
        <f>'дод 2'!U102</f>
        <v>0</v>
      </c>
      <c r="U56" s="61">
        <f>'дод 2'!V102</f>
        <v>0</v>
      </c>
      <c r="V56" s="61">
        <f>'дод 2'!W102</f>
        <v>0</v>
      </c>
      <c r="W56" s="138"/>
      <c r="X56" s="61">
        <f t="shared" si="5"/>
        <v>249999</v>
      </c>
      <c r="Y56" s="179"/>
    </row>
    <row r="57" spans="1:25" ht="45" customHeight="1" x14ac:dyDescent="0.25">
      <c r="A57" s="45" t="s">
        <v>152</v>
      </c>
      <c r="B57" s="45" t="s">
        <v>69</v>
      </c>
      <c r="C57" s="3" t="s">
        <v>25</v>
      </c>
      <c r="D57" s="61">
        <f>'дод 2'!E103+'дод 2'!E20</f>
        <v>26348280.5</v>
      </c>
      <c r="E57" s="61">
        <f>'дод 2'!F103+'дод 2'!F20</f>
        <v>0</v>
      </c>
      <c r="F57" s="61">
        <f>'дод 2'!G103+'дод 2'!G20</f>
        <v>0</v>
      </c>
      <c r="G57" s="61">
        <f>'дод 2'!H103+'дод 2'!H20</f>
        <v>10852435.5</v>
      </c>
      <c r="H57" s="61">
        <f>'дод 2'!I103+'дод 2'!I20</f>
        <v>0</v>
      </c>
      <c r="I57" s="61">
        <f>'дод 2'!J103+'дод 2'!J20</f>
        <v>0</v>
      </c>
      <c r="J57" s="138">
        <f t="shared" si="3"/>
        <v>41.188401269676781</v>
      </c>
      <c r="K57" s="61">
        <f>'дод 2'!L103+'дод 2'!L20</f>
        <v>0</v>
      </c>
      <c r="L57" s="61">
        <f>'дод 2'!M103+'дод 2'!M20</f>
        <v>0</v>
      </c>
      <c r="M57" s="61">
        <f>'дод 2'!N103+'дод 2'!N20</f>
        <v>0</v>
      </c>
      <c r="N57" s="61">
        <f>'дод 2'!O103+'дод 2'!O20</f>
        <v>0</v>
      </c>
      <c r="O57" s="61">
        <f>'дод 2'!P103+'дод 2'!P20</f>
        <v>0</v>
      </c>
      <c r="P57" s="61">
        <f>'дод 2'!Q103+'дод 2'!Q20</f>
        <v>0</v>
      </c>
      <c r="Q57" s="61">
        <f>'дод 2'!R103+'дод 2'!R20</f>
        <v>0</v>
      </c>
      <c r="R57" s="61">
        <f>'дод 2'!S103+'дод 2'!S20</f>
        <v>0</v>
      </c>
      <c r="S57" s="61">
        <f>'дод 2'!T103+'дод 2'!T20</f>
        <v>0</v>
      </c>
      <c r="T57" s="61">
        <f>'дод 2'!U103+'дод 2'!U20</f>
        <v>0</v>
      </c>
      <c r="U57" s="61">
        <f>'дод 2'!V103+'дод 2'!V20</f>
        <v>0</v>
      </c>
      <c r="V57" s="61">
        <f>'дод 2'!W103+'дод 2'!W20</f>
        <v>0</v>
      </c>
      <c r="W57" s="138"/>
      <c r="X57" s="61">
        <f t="shared" si="5"/>
        <v>10852435.5</v>
      </c>
      <c r="Y57" s="179"/>
    </row>
    <row r="58" spans="1:25" ht="40.5" customHeight="1" x14ac:dyDescent="0.25">
      <c r="A58" s="45" t="s">
        <v>121</v>
      </c>
      <c r="B58" s="45" t="s">
        <v>69</v>
      </c>
      <c r="C58" s="3" t="s">
        <v>41</v>
      </c>
      <c r="D58" s="61">
        <f>'дод 2'!E104</f>
        <v>853000</v>
      </c>
      <c r="E58" s="61">
        <f>'дод 2'!F104</f>
        <v>0</v>
      </c>
      <c r="F58" s="61">
        <f>'дод 2'!G104</f>
        <v>0</v>
      </c>
      <c r="G58" s="61">
        <f>'дод 2'!H104</f>
        <v>89577.8</v>
      </c>
      <c r="H58" s="61">
        <f>'дод 2'!I104</f>
        <v>0</v>
      </c>
      <c r="I58" s="61">
        <f>'дод 2'!J104</f>
        <v>0</v>
      </c>
      <c r="J58" s="138">
        <f t="shared" si="3"/>
        <v>10.501500586166472</v>
      </c>
      <c r="K58" s="61">
        <f>'дод 2'!L104</f>
        <v>0</v>
      </c>
      <c r="L58" s="61">
        <f>'дод 2'!M104</f>
        <v>0</v>
      </c>
      <c r="M58" s="61">
        <f>'дод 2'!N104</f>
        <v>0</v>
      </c>
      <c r="N58" s="61">
        <f>'дод 2'!O104</f>
        <v>0</v>
      </c>
      <c r="O58" s="61">
        <f>'дод 2'!P104</f>
        <v>0</v>
      </c>
      <c r="P58" s="61">
        <f>'дод 2'!Q104</f>
        <v>0</v>
      </c>
      <c r="Q58" s="61">
        <f>'дод 2'!R104</f>
        <v>0</v>
      </c>
      <c r="R58" s="61">
        <f>'дод 2'!S104</f>
        <v>0</v>
      </c>
      <c r="S58" s="61">
        <f>'дод 2'!T104</f>
        <v>0</v>
      </c>
      <c r="T58" s="61">
        <f>'дод 2'!U104</f>
        <v>0</v>
      </c>
      <c r="U58" s="61">
        <f>'дод 2'!V104</f>
        <v>0</v>
      </c>
      <c r="V58" s="61">
        <f>'дод 2'!W104</f>
        <v>0</v>
      </c>
      <c r="W58" s="138"/>
      <c r="X58" s="61">
        <f t="shared" si="5"/>
        <v>89577.8</v>
      </c>
      <c r="Y58" s="179"/>
    </row>
    <row r="59" spans="1:25" ht="40.5" customHeight="1" x14ac:dyDescent="0.25">
      <c r="A59" s="45" t="s">
        <v>367</v>
      </c>
      <c r="B59" s="45" t="s">
        <v>67</v>
      </c>
      <c r="C59" s="3" t="s">
        <v>368</v>
      </c>
      <c r="D59" s="61">
        <f>'дод 2'!E105</f>
        <v>228400</v>
      </c>
      <c r="E59" s="61">
        <f>'дод 2'!F105</f>
        <v>0</v>
      </c>
      <c r="F59" s="61">
        <f>'дод 2'!G105</f>
        <v>0</v>
      </c>
      <c r="G59" s="61">
        <f>'дод 2'!H105</f>
        <v>79824.039999999994</v>
      </c>
      <c r="H59" s="61">
        <f>'дод 2'!I105</f>
        <v>0</v>
      </c>
      <c r="I59" s="61">
        <f>'дод 2'!J105</f>
        <v>0</v>
      </c>
      <c r="J59" s="138">
        <f t="shared" si="3"/>
        <v>34.949229422066544</v>
      </c>
      <c r="K59" s="61">
        <f>'дод 2'!L105</f>
        <v>0</v>
      </c>
      <c r="L59" s="61">
        <f>'дод 2'!M105</f>
        <v>0</v>
      </c>
      <c r="M59" s="61">
        <f>'дод 2'!N105</f>
        <v>0</v>
      </c>
      <c r="N59" s="61">
        <f>'дод 2'!O105</f>
        <v>0</v>
      </c>
      <c r="O59" s="61">
        <f>'дод 2'!P105</f>
        <v>0</v>
      </c>
      <c r="P59" s="61">
        <f>'дод 2'!Q105</f>
        <v>0</v>
      </c>
      <c r="Q59" s="61">
        <f>'дод 2'!R105</f>
        <v>0</v>
      </c>
      <c r="R59" s="61">
        <f>'дод 2'!S105</f>
        <v>0</v>
      </c>
      <c r="S59" s="61">
        <f>'дод 2'!T105</f>
        <v>0</v>
      </c>
      <c r="T59" s="61">
        <f>'дод 2'!U105</f>
        <v>0</v>
      </c>
      <c r="U59" s="61">
        <f>'дод 2'!V105</f>
        <v>0</v>
      </c>
      <c r="V59" s="61">
        <f>'дод 2'!W105</f>
        <v>0</v>
      </c>
      <c r="W59" s="138"/>
      <c r="X59" s="61">
        <f t="shared" si="5"/>
        <v>79824.039999999994</v>
      </c>
      <c r="Y59" s="179"/>
    </row>
    <row r="60" spans="1:25" ht="74.25" customHeight="1" x14ac:dyDescent="0.25">
      <c r="A60" s="45" t="s">
        <v>122</v>
      </c>
      <c r="B60" s="45" t="s">
        <v>65</v>
      </c>
      <c r="C60" s="3" t="s">
        <v>42</v>
      </c>
      <c r="D60" s="61">
        <f>'дод 2'!E106</f>
        <v>13559330</v>
      </c>
      <c r="E60" s="61">
        <f>'дод 2'!F106</f>
        <v>10389550</v>
      </c>
      <c r="F60" s="61">
        <f>'дод 2'!G106</f>
        <v>230060</v>
      </c>
      <c r="G60" s="61">
        <f>'дод 2'!H106</f>
        <v>6649339.5999999996</v>
      </c>
      <c r="H60" s="61">
        <f>'дод 2'!I106</f>
        <v>5200596.5999999996</v>
      </c>
      <c r="I60" s="61">
        <f>'дод 2'!J106</f>
        <v>122253.69</v>
      </c>
      <c r="J60" s="138">
        <f t="shared" si="3"/>
        <v>49.03885073967519</v>
      </c>
      <c r="K60" s="61">
        <f>'дод 2'!L106</f>
        <v>471000</v>
      </c>
      <c r="L60" s="61">
        <f>'дод 2'!M106</f>
        <v>362900</v>
      </c>
      <c r="M60" s="61">
        <f>'дод 2'!N106</f>
        <v>108100</v>
      </c>
      <c r="N60" s="61">
        <f>'дод 2'!O106</f>
        <v>85100</v>
      </c>
      <c r="O60" s="61">
        <f>'дод 2'!P106</f>
        <v>0</v>
      </c>
      <c r="P60" s="61">
        <f>'дод 2'!Q106</f>
        <v>362900</v>
      </c>
      <c r="Q60" s="61">
        <f>'дод 2'!R106</f>
        <v>234572.98</v>
      </c>
      <c r="R60" s="61">
        <f>'дод 2'!S106</f>
        <v>0</v>
      </c>
      <c r="S60" s="61">
        <f>'дод 2'!T106</f>
        <v>234572.98</v>
      </c>
      <c r="T60" s="61">
        <f>'дод 2'!U106</f>
        <v>22580.57</v>
      </c>
      <c r="U60" s="61">
        <f>'дод 2'!V106</f>
        <v>0</v>
      </c>
      <c r="V60" s="61">
        <f>'дод 2'!W106</f>
        <v>0</v>
      </c>
      <c r="W60" s="138">
        <f t="shared" si="4"/>
        <v>49.803180467091295</v>
      </c>
      <c r="X60" s="61">
        <f t="shared" si="5"/>
        <v>6883912.5800000001</v>
      </c>
      <c r="Y60" s="179"/>
    </row>
    <row r="61" spans="1:25" ht="69.75" customHeight="1" x14ac:dyDescent="0.25">
      <c r="A61" s="45" t="s">
        <v>391</v>
      </c>
      <c r="B61" s="45" t="s">
        <v>120</v>
      </c>
      <c r="C61" s="41" t="s">
        <v>392</v>
      </c>
      <c r="D61" s="61">
        <f>SUM('дод 2'!E121)</f>
        <v>0</v>
      </c>
      <c r="E61" s="61">
        <f>SUM('дод 2'!F121)</f>
        <v>0</v>
      </c>
      <c r="F61" s="61">
        <f>SUM('дод 2'!G121)</f>
        <v>0</v>
      </c>
      <c r="G61" s="61">
        <f>SUM('дод 2'!H121)</f>
        <v>0</v>
      </c>
      <c r="H61" s="61">
        <f>SUM('дод 2'!I121)</f>
        <v>0</v>
      </c>
      <c r="I61" s="61">
        <f>SUM('дод 2'!J121)</f>
        <v>0</v>
      </c>
      <c r="J61" s="138"/>
      <c r="K61" s="61">
        <f>SUM('дод 2'!L121)</f>
        <v>20000</v>
      </c>
      <c r="L61" s="61">
        <f>SUM('дод 2'!M121)</f>
        <v>20000</v>
      </c>
      <c r="M61" s="61">
        <f>SUM('дод 2'!N121)</f>
        <v>0</v>
      </c>
      <c r="N61" s="61">
        <f>SUM('дод 2'!O121)</f>
        <v>0</v>
      </c>
      <c r="O61" s="61">
        <f>SUM('дод 2'!P121)</f>
        <v>0</v>
      </c>
      <c r="P61" s="61">
        <f>SUM('дод 2'!Q121)</f>
        <v>20000</v>
      </c>
      <c r="Q61" s="61">
        <f>SUM('дод 2'!R121)</f>
        <v>19999</v>
      </c>
      <c r="R61" s="61">
        <f>SUM('дод 2'!S121)</f>
        <v>19999</v>
      </c>
      <c r="S61" s="61">
        <f>SUM('дод 2'!T121)</f>
        <v>0</v>
      </c>
      <c r="T61" s="61">
        <f>SUM('дод 2'!U121)</f>
        <v>0</v>
      </c>
      <c r="U61" s="61">
        <f>SUM('дод 2'!V121)</f>
        <v>0</v>
      </c>
      <c r="V61" s="61">
        <f>SUM('дод 2'!W121)</f>
        <v>19999</v>
      </c>
      <c r="W61" s="138">
        <f t="shared" si="4"/>
        <v>99.995000000000005</v>
      </c>
      <c r="X61" s="61">
        <f t="shared" si="5"/>
        <v>19999</v>
      </c>
      <c r="Y61" s="179"/>
    </row>
    <row r="62" spans="1:25" s="78" customFormat="1" ht="43.5" customHeight="1" x14ac:dyDescent="0.25">
      <c r="A62" s="45" t="s">
        <v>123</v>
      </c>
      <c r="B62" s="45" t="s">
        <v>120</v>
      </c>
      <c r="C62" s="3" t="s">
        <v>43</v>
      </c>
      <c r="D62" s="61">
        <f>'дод 2'!E122</f>
        <v>90500</v>
      </c>
      <c r="E62" s="61">
        <f>'дод 2'!F122</f>
        <v>0</v>
      </c>
      <c r="F62" s="61">
        <f>'дод 2'!G122</f>
        <v>0</v>
      </c>
      <c r="G62" s="61">
        <f>'дод 2'!H122</f>
        <v>27074.720000000001</v>
      </c>
      <c r="H62" s="61">
        <f>'дод 2'!I122</f>
        <v>0</v>
      </c>
      <c r="I62" s="61">
        <f>'дод 2'!J122</f>
        <v>0</v>
      </c>
      <c r="J62" s="138">
        <f t="shared" si="3"/>
        <v>29.916817679558012</v>
      </c>
      <c r="K62" s="61">
        <f>'дод 2'!L122</f>
        <v>0</v>
      </c>
      <c r="L62" s="61">
        <f>'дод 2'!M122</f>
        <v>0</v>
      </c>
      <c r="M62" s="61">
        <f>'дод 2'!N122</f>
        <v>0</v>
      </c>
      <c r="N62" s="61">
        <f>'дод 2'!O122</f>
        <v>0</v>
      </c>
      <c r="O62" s="61">
        <f>'дод 2'!P122</f>
        <v>0</v>
      </c>
      <c r="P62" s="61">
        <f>'дод 2'!Q122</f>
        <v>0</v>
      </c>
      <c r="Q62" s="61">
        <f>'дод 2'!R122</f>
        <v>0</v>
      </c>
      <c r="R62" s="61">
        <f>'дод 2'!S122</f>
        <v>0</v>
      </c>
      <c r="S62" s="61">
        <f>'дод 2'!T122</f>
        <v>0</v>
      </c>
      <c r="T62" s="61">
        <f>'дод 2'!U122</f>
        <v>0</v>
      </c>
      <c r="U62" s="61">
        <f>'дод 2'!V122</f>
        <v>0</v>
      </c>
      <c r="V62" s="61">
        <f>'дод 2'!W122</f>
        <v>0</v>
      </c>
      <c r="W62" s="138"/>
      <c r="X62" s="61">
        <f t="shared" si="5"/>
        <v>27074.720000000001</v>
      </c>
      <c r="Y62" s="179"/>
    </row>
    <row r="63" spans="1:25" s="78" customFormat="1" ht="42.75" customHeight="1" x14ac:dyDescent="0.25">
      <c r="A63" s="45" t="s">
        <v>153</v>
      </c>
      <c r="B63" s="45" t="s">
        <v>120</v>
      </c>
      <c r="C63" s="3" t="s">
        <v>154</v>
      </c>
      <c r="D63" s="61">
        <f>'дод 2'!E21</f>
        <v>2529735</v>
      </c>
      <c r="E63" s="61">
        <f>'дод 2'!F21</f>
        <v>1883250</v>
      </c>
      <c r="F63" s="61">
        <f>'дод 2'!G21</f>
        <v>50170</v>
      </c>
      <c r="G63" s="61">
        <f>'дод 2'!H21</f>
        <v>1217391.42</v>
      </c>
      <c r="H63" s="61">
        <f>'дод 2'!I21</f>
        <v>945043.22</v>
      </c>
      <c r="I63" s="61">
        <f>'дод 2'!J21</f>
        <v>20004.72</v>
      </c>
      <c r="J63" s="138">
        <f t="shared" si="3"/>
        <v>48.123278525221018</v>
      </c>
      <c r="K63" s="61">
        <f>'дод 2'!L21</f>
        <v>0</v>
      </c>
      <c r="L63" s="61">
        <f>'дод 2'!M21</f>
        <v>0</v>
      </c>
      <c r="M63" s="61">
        <f>'дод 2'!N21</f>
        <v>0</v>
      </c>
      <c r="N63" s="61">
        <f>'дод 2'!O21</f>
        <v>0</v>
      </c>
      <c r="O63" s="61">
        <f>'дод 2'!P21</f>
        <v>0</v>
      </c>
      <c r="P63" s="61">
        <f>'дод 2'!Q21</f>
        <v>0</v>
      </c>
      <c r="Q63" s="61">
        <f>'дод 2'!R21</f>
        <v>0</v>
      </c>
      <c r="R63" s="61">
        <f>'дод 2'!S21</f>
        <v>0</v>
      </c>
      <c r="S63" s="61">
        <f>'дод 2'!T21</f>
        <v>0</v>
      </c>
      <c r="T63" s="61">
        <f>'дод 2'!U21</f>
        <v>0</v>
      </c>
      <c r="U63" s="61">
        <f>'дод 2'!V21</f>
        <v>0</v>
      </c>
      <c r="V63" s="61">
        <f>'дод 2'!W21</f>
        <v>0</v>
      </c>
      <c r="W63" s="138"/>
      <c r="X63" s="61">
        <f t="shared" si="5"/>
        <v>1217391.42</v>
      </c>
      <c r="Y63" s="179"/>
    </row>
    <row r="64" spans="1:25" s="78" customFormat="1" ht="57" customHeight="1" x14ac:dyDescent="0.25">
      <c r="A64" s="48" t="s">
        <v>127</v>
      </c>
      <c r="B64" s="48" t="s">
        <v>120</v>
      </c>
      <c r="C64" s="3" t="s">
        <v>400</v>
      </c>
      <c r="D64" s="61">
        <f>'дод 2'!E22</f>
        <v>850000</v>
      </c>
      <c r="E64" s="61">
        <f>'дод 2'!F22</f>
        <v>0</v>
      </c>
      <c r="F64" s="61">
        <f>'дод 2'!G22</f>
        <v>0</v>
      </c>
      <c r="G64" s="61">
        <f>'дод 2'!H22</f>
        <v>17240</v>
      </c>
      <c r="H64" s="61">
        <f>'дод 2'!I22</f>
        <v>0</v>
      </c>
      <c r="I64" s="61">
        <f>'дод 2'!J22</f>
        <v>0</v>
      </c>
      <c r="J64" s="138">
        <f t="shared" si="3"/>
        <v>2.0282352941176471</v>
      </c>
      <c r="K64" s="61">
        <f>'дод 2'!L22</f>
        <v>0</v>
      </c>
      <c r="L64" s="61">
        <f>'дод 2'!M22</f>
        <v>0</v>
      </c>
      <c r="M64" s="61">
        <f>'дод 2'!N22</f>
        <v>0</v>
      </c>
      <c r="N64" s="61">
        <f>'дод 2'!O22</f>
        <v>0</v>
      </c>
      <c r="O64" s="61">
        <f>'дод 2'!P22</f>
        <v>0</v>
      </c>
      <c r="P64" s="61">
        <f>'дод 2'!Q22</f>
        <v>0</v>
      </c>
      <c r="Q64" s="61">
        <f>'дод 2'!R22</f>
        <v>0</v>
      </c>
      <c r="R64" s="61">
        <f>'дод 2'!S22</f>
        <v>0</v>
      </c>
      <c r="S64" s="61">
        <f>'дод 2'!T22</f>
        <v>0</v>
      </c>
      <c r="T64" s="61">
        <f>'дод 2'!U22</f>
        <v>0</v>
      </c>
      <c r="U64" s="61">
        <f>'дод 2'!V22</f>
        <v>0</v>
      </c>
      <c r="V64" s="61">
        <f>'дод 2'!W22</f>
        <v>0</v>
      </c>
      <c r="W64" s="138"/>
      <c r="X64" s="61">
        <f t="shared" si="5"/>
        <v>17240</v>
      </c>
      <c r="Y64" s="179"/>
    </row>
    <row r="65" spans="1:25" ht="75" customHeight="1" x14ac:dyDescent="0.25">
      <c r="A65" s="45" t="s">
        <v>128</v>
      </c>
      <c r="B65" s="45" t="s">
        <v>120</v>
      </c>
      <c r="C65" s="6" t="s">
        <v>28</v>
      </c>
      <c r="D65" s="61">
        <f>'дод 2'!E68+'дод 2'!E23</f>
        <v>7560000</v>
      </c>
      <c r="E65" s="61">
        <f>'дод 2'!F68+'дод 2'!F23</f>
        <v>0</v>
      </c>
      <c r="F65" s="61">
        <f>'дод 2'!G68+'дод 2'!G23</f>
        <v>0</v>
      </c>
      <c r="G65" s="61">
        <f>'дод 2'!H68+'дод 2'!H23</f>
        <v>71532.55</v>
      </c>
      <c r="H65" s="61">
        <f>'дод 2'!I68+'дод 2'!I23</f>
        <v>0</v>
      </c>
      <c r="I65" s="61">
        <f>'дод 2'!J68+'дод 2'!J23</f>
        <v>0</v>
      </c>
      <c r="J65" s="138">
        <f t="shared" si="3"/>
        <v>0.94619775132275141</v>
      </c>
      <c r="K65" s="61">
        <f>'дод 2'!L68+'дод 2'!L23</f>
        <v>0</v>
      </c>
      <c r="L65" s="61">
        <f>'дод 2'!M68+'дод 2'!M23</f>
        <v>0</v>
      </c>
      <c r="M65" s="61">
        <f>'дод 2'!N68+'дод 2'!N23</f>
        <v>0</v>
      </c>
      <c r="N65" s="61">
        <f>'дод 2'!O68+'дод 2'!O23</f>
        <v>0</v>
      </c>
      <c r="O65" s="61">
        <f>'дод 2'!P68+'дод 2'!P23</f>
        <v>0</v>
      </c>
      <c r="P65" s="61">
        <f>'дод 2'!Q68+'дод 2'!Q23</f>
        <v>0</v>
      </c>
      <c r="Q65" s="61">
        <f>'дод 2'!R68+'дод 2'!R23</f>
        <v>6008.79</v>
      </c>
      <c r="R65" s="61">
        <f>'дод 2'!S68+'дод 2'!S23</f>
        <v>0</v>
      </c>
      <c r="S65" s="61">
        <f>'дод 2'!T68+'дод 2'!T23</f>
        <v>6008.79</v>
      </c>
      <c r="T65" s="61">
        <f>'дод 2'!U68+'дод 2'!U23</f>
        <v>0</v>
      </c>
      <c r="U65" s="61">
        <f>'дод 2'!V68+'дод 2'!V23</f>
        <v>0</v>
      </c>
      <c r="V65" s="61">
        <f>'дод 2'!W68+'дод 2'!W23</f>
        <v>0</v>
      </c>
      <c r="W65" s="138"/>
      <c r="X65" s="61">
        <f t="shared" si="5"/>
        <v>77541.34</v>
      </c>
      <c r="Y65" s="179"/>
    </row>
    <row r="66" spans="1:25" ht="92.25" customHeight="1" x14ac:dyDescent="0.25">
      <c r="A66" s="45" t="s">
        <v>129</v>
      </c>
      <c r="B66" s="45">
        <v>1010</v>
      </c>
      <c r="C66" s="3" t="s">
        <v>334</v>
      </c>
      <c r="D66" s="61">
        <f>'дод 2'!E107</f>
        <v>1884220</v>
      </c>
      <c r="E66" s="61">
        <f>'дод 2'!F107</f>
        <v>0</v>
      </c>
      <c r="F66" s="61">
        <f>'дод 2'!G107</f>
        <v>0</v>
      </c>
      <c r="G66" s="61">
        <f>'дод 2'!H107</f>
        <v>734564.89</v>
      </c>
      <c r="H66" s="61">
        <f>'дод 2'!I107</f>
        <v>0</v>
      </c>
      <c r="I66" s="61">
        <f>'дод 2'!J107</f>
        <v>0</v>
      </c>
      <c r="J66" s="138">
        <f t="shared" si="3"/>
        <v>38.985091443674307</v>
      </c>
      <c r="K66" s="61">
        <f>'дод 2'!L107</f>
        <v>0</v>
      </c>
      <c r="L66" s="61">
        <f>'дод 2'!M107</f>
        <v>0</v>
      </c>
      <c r="M66" s="61">
        <f>'дод 2'!N107</f>
        <v>0</v>
      </c>
      <c r="N66" s="61">
        <f>'дод 2'!O107</f>
        <v>0</v>
      </c>
      <c r="O66" s="61">
        <f>'дод 2'!P107</f>
        <v>0</v>
      </c>
      <c r="P66" s="61">
        <f>'дод 2'!Q107</f>
        <v>0</v>
      </c>
      <c r="Q66" s="61">
        <f>'дод 2'!R107</f>
        <v>0</v>
      </c>
      <c r="R66" s="61">
        <f>'дод 2'!S107</f>
        <v>0</v>
      </c>
      <c r="S66" s="61">
        <f>'дод 2'!T107</f>
        <v>0</v>
      </c>
      <c r="T66" s="61">
        <f>'дод 2'!U107</f>
        <v>0</v>
      </c>
      <c r="U66" s="61">
        <f>'дод 2'!V107</f>
        <v>0</v>
      </c>
      <c r="V66" s="61">
        <f>'дод 2'!W107</f>
        <v>0</v>
      </c>
      <c r="W66" s="138"/>
      <c r="X66" s="61">
        <f t="shared" si="5"/>
        <v>734564.89</v>
      </c>
      <c r="Y66" s="179"/>
    </row>
    <row r="67" spans="1:25" s="78" customFormat="1" ht="53.25" customHeight="1" x14ac:dyDescent="0.25">
      <c r="A67" s="45" t="s">
        <v>369</v>
      </c>
      <c r="B67" s="45">
        <v>1010</v>
      </c>
      <c r="C67" s="3" t="s">
        <v>371</v>
      </c>
      <c r="D67" s="61">
        <f>'дод 2'!E108</f>
        <v>228095</v>
      </c>
      <c r="E67" s="61">
        <f>'дод 2'!F108</f>
        <v>0</v>
      </c>
      <c r="F67" s="61">
        <f>'дод 2'!G108</f>
        <v>0</v>
      </c>
      <c r="G67" s="61">
        <f>'дод 2'!H108</f>
        <v>85174.67</v>
      </c>
      <c r="H67" s="61">
        <f>'дод 2'!I108</f>
        <v>0</v>
      </c>
      <c r="I67" s="61">
        <f>'дод 2'!J108</f>
        <v>0</v>
      </c>
      <c r="J67" s="138">
        <f t="shared" si="3"/>
        <v>37.341752340033757</v>
      </c>
      <c r="K67" s="61">
        <f>'дод 2'!L108</f>
        <v>0</v>
      </c>
      <c r="L67" s="61">
        <f>'дод 2'!M108</f>
        <v>0</v>
      </c>
      <c r="M67" s="61">
        <f>'дод 2'!N108</f>
        <v>0</v>
      </c>
      <c r="N67" s="61">
        <f>'дод 2'!O108</f>
        <v>0</v>
      </c>
      <c r="O67" s="61">
        <f>'дод 2'!P108</f>
        <v>0</v>
      </c>
      <c r="P67" s="61">
        <f>'дод 2'!Q108</f>
        <v>0</v>
      </c>
      <c r="Q67" s="61">
        <f>'дод 2'!R108</f>
        <v>0</v>
      </c>
      <c r="R67" s="61">
        <f>'дод 2'!S108</f>
        <v>0</v>
      </c>
      <c r="S67" s="61">
        <f>'дод 2'!T108</f>
        <v>0</v>
      </c>
      <c r="T67" s="61">
        <f>'дод 2'!U108</f>
        <v>0</v>
      </c>
      <c r="U67" s="61">
        <f>'дод 2'!V108</f>
        <v>0</v>
      </c>
      <c r="V67" s="61">
        <f>'дод 2'!W108</f>
        <v>0</v>
      </c>
      <c r="W67" s="138"/>
      <c r="X67" s="61">
        <f t="shared" si="5"/>
        <v>85174.67</v>
      </c>
      <c r="Y67" s="179"/>
    </row>
    <row r="68" spans="1:25" s="78" customFormat="1" ht="38.25" customHeight="1" x14ac:dyDescent="0.25">
      <c r="A68" s="45" t="s">
        <v>370</v>
      </c>
      <c r="B68" s="45">
        <v>1010</v>
      </c>
      <c r="C68" s="3" t="s">
        <v>372</v>
      </c>
      <c r="D68" s="61">
        <f>'дод 2'!E109</f>
        <v>90</v>
      </c>
      <c r="E68" s="61">
        <f>'дод 2'!F109</f>
        <v>0</v>
      </c>
      <c r="F68" s="61">
        <f>'дод 2'!G109</f>
        <v>0</v>
      </c>
      <c r="G68" s="61">
        <f>'дод 2'!H109</f>
        <v>0</v>
      </c>
      <c r="H68" s="61">
        <f>'дод 2'!I109</f>
        <v>0</v>
      </c>
      <c r="I68" s="61">
        <f>'дод 2'!J109</f>
        <v>0</v>
      </c>
      <c r="J68" s="138">
        <f t="shared" si="3"/>
        <v>0</v>
      </c>
      <c r="K68" s="61">
        <f>'дод 2'!L109</f>
        <v>0</v>
      </c>
      <c r="L68" s="61">
        <f>'дод 2'!M109</f>
        <v>0</v>
      </c>
      <c r="M68" s="61">
        <f>'дод 2'!N109</f>
        <v>0</v>
      </c>
      <c r="N68" s="61">
        <f>'дод 2'!O109</f>
        <v>0</v>
      </c>
      <c r="O68" s="61">
        <f>'дод 2'!P109</f>
        <v>0</v>
      </c>
      <c r="P68" s="61">
        <f>'дод 2'!Q109</f>
        <v>0</v>
      </c>
      <c r="Q68" s="61">
        <f>'дод 2'!R109</f>
        <v>0</v>
      </c>
      <c r="R68" s="61">
        <f>'дод 2'!S109</f>
        <v>0</v>
      </c>
      <c r="S68" s="61">
        <f>'дод 2'!T109</f>
        <v>0</v>
      </c>
      <c r="T68" s="61">
        <f>'дод 2'!U109</f>
        <v>0</v>
      </c>
      <c r="U68" s="61">
        <f>'дод 2'!V109</f>
        <v>0</v>
      </c>
      <c r="V68" s="61">
        <f>'дод 2'!W109</f>
        <v>0</v>
      </c>
      <c r="W68" s="138"/>
      <c r="X68" s="61">
        <f t="shared" si="5"/>
        <v>0</v>
      </c>
      <c r="Y68" s="179"/>
    </row>
    <row r="69" spans="1:25" ht="77.25" customHeight="1" x14ac:dyDescent="0.25">
      <c r="A69" s="45" t="s">
        <v>124</v>
      </c>
      <c r="B69" s="45" t="s">
        <v>68</v>
      </c>
      <c r="C69" s="3" t="s">
        <v>401</v>
      </c>
      <c r="D69" s="61">
        <f>'дод 2'!E110</f>
        <v>2075000</v>
      </c>
      <c r="E69" s="61">
        <f>'дод 2'!F110</f>
        <v>0</v>
      </c>
      <c r="F69" s="61">
        <f>'дод 2'!G110</f>
        <v>0</v>
      </c>
      <c r="G69" s="61">
        <f>'дод 2'!H110</f>
        <v>1273399.8999999999</v>
      </c>
      <c r="H69" s="61">
        <f>'дод 2'!I110</f>
        <v>0</v>
      </c>
      <c r="I69" s="61">
        <f>'дод 2'!J110</f>
        <v>0</v>
      </c>
      <c r="J69" s="138">
        <f t="shared" si="3"/>
        <v>61.368669879518066</v>
      </c>
      <c r="K69" s="61">
        <f>'дод 2'!L110</f>
        <v>0</v>
      </c>
      <c r="L69" s="61">
        <f>'дод 2'!M110</f>
        <v>0</v>
      </c>
      <c r="M69" s="61">
        <f>'дод 2'!N110</f>
        <v>0</v>
      </c>
      <c r="N69" s="61">
        <f>'дод 2'!O110</f>
        <v>0</v>
      </c>
      <c r="O69" s="61">
        <f>'дод 2'!P110</f>
        <v>0</v>
      </c>
      <c r="P69" s="61">
        <f>'дод 2'!Q110</f>
        <v>0</v>
      </c>
      <c r="Q69" s="61">
        <f>'дод 2'!R110</f>
        <v>0</v>
      </c>
      <c r="R69" s="61">
        <f>'дод 2'!S110</f>
        <v>0</v>
      </c>
      <c r="S69" s="61">
        <f>'дод 2'!T110</f>
        <v>0</v>
      </c>
      <c r="T69" s="61">
        <f>'дод 2'!U110</f>
        <v>0</v>
      </c>
      <c r="U69" s="61">
        <f>'дод 2'!V110</f>
        <v>0</v>
      </c>
      <c r="V69" s="61">
        <f>'дод 2'!W110</f>
        <v>0</v>
      </c>
      <c r="W69" s="138"/>
      <c r="X69" s="61">
        <f t="shared" si="5"/>
        <v>1273399.8999999999</v>
      </c>
      <c r="Y69" s="179"/>
    </row>
    <row r="70" spans="1:25" s="78" customFormat="1" ht="36.75" customHeight="1" x14ac:dyDescent="0.25">
      <c r="A70" s="45" t="s">
        <v>335</v>
      </c>
      <c r="B70" s="45" t="s">
        <v>67</v>
      </c>
      <c r="C70" s="3" t="s">
        <v>24</v>
      </c>
      <c r="D70" s="61">
        <f>'дод 2'!E111</f>
        <v>2170968</v>
      </c>
      <c r="E70" s="61">
        <f>'дод 2'!F111</f>
        <v>0</v>
      </c>
      <c r="F70" s="61">
        <f>'дод 2'!G111</f>
        <v>0</v>
      </c>
      <c r="G70" s="61">
        <f>'дод 2'!H111</f>
        <v>1027396.08</v>
      </c>
      <c r="H70" s="61">
        <f>'дод 2'!I111</f>
        <v>0</v>
      </c>
      <c r="I70" s="61">
        <f>'дод 2'!J111</f>
        <v>0</v>
      </c>
      <c r="J70" s="138">
        <f t="shared" si="3"/>
        <v>47.32433089755353</v>
      </c>
      <c r="K70" s="61">
        <f>'дод 2'!L111</f>
        <v>0</v>
      </c>
      <c r="L70" s="61">
        <f>'дод 2'!M111</f>
        <v>0</v>
      </c>
      <c r="M70" s="61">
        <f>'дод 2'!N111</f>
        <v>0</v>
      </c>
      <c r="N70" s="61">
        <f>'дод 2'!O111</f>
        <v>0</v>
      </c>
      <c r="O70" s="61">
        <f>'дод 2'!P111</f>
        <v>0</v>
      </c>
      <c r="P70" s="61">
        <f>'дод 2'!Q111</f>
        <v>0</v>
      </c>
      <c r="Q70" s="61">
        <f>'дод 2'!R111</f>
        <v>0</v>
      </c>
      <c r="R70" s="61">
        <f>'дод 2'!S111</f>
        <v>0</v>
      </c>
      <c r="S70" s="61">
        <f>'дод 2'!T111</f>
        <v>0</v>
      </c>
      <c r="T70" s="61">
        <f>'дод 2'!U111</f>
        <v>0</v>
      </c>
      <c r="U70" s="61">
        <f>'дод 2'!V111</f>
        <v>0</v>
      </c>
      <c r="V70" s="61">
        <f>'дод 2'!W111</f>
        <v>0</v>
      </c>
      <c r="W70" s="138"/>
      <c r="X70" s="61">
        <f t="shared" si="5"/>
        <v>1027396.08</v>
      </c>
      <c r="Y70" s="179"/>
    </row>
    <row r="71" spans="1:25" s="78" customFormat="1" ht="55.5" customHeight="1" x14ac:dyDescent="0.25">
      <c r="A71" s="45" t="s">
        <v>336</v>
      </c>
      <c r="B71" s="45" t="s">
        <v>67</v>
      </c>
      <c r="C71" s="3" t="s">
        <v>365</v>
      </c>
      <c r="D71" s="61">
        <f>'дод 2'!E112</f>
        <v>1892237</v>
      </c>
      <c r="E71" s="61">
        <f>'дод 2'!F112</f>
        <v>0</v>
      </c>
      <c r="F71" s="61">
        <f>'дод 2'!G112</f>
        <v>0</v>
      </c>
      <c r="G71" s="61">
        <f>'дод 2'!H112</f>
        <v>784939.02</v>
      </c>
      <c r="H71" s="61">
        <f>'дод 2'!I112</f>
        <v>0</v>
      </c>
      <c r="I71" s="61">
        <f>'дод 2'!J112</f>
        <v>0</v>
      </c>
      <c r="J71" s="138">
        <f t="shared" si="3"/>
        <v>41.482066992665295</v>
      </c>
      <c r="K71" s="61">
        <f>'дод 2'!L112</f>
        <v>0</v>
      </c>
      <c r="L71" s="61">
        <f>'дод 2'!M112</f>
        <v>0</v>
      </c>
      <c r="M71" s="61">
        <f>'дод 2'!N112</f>
        <v>0</v>
      </c>
      <c r="N71" s="61">
        <f>'дод 2'!O112</f>
        <v>0</v>
      </c>
      <c r="O71" s="61">
        <f>'дод 2'!P112</f>
        <v>0</v>
      </c>
      <c r="P71" s="61">
        <f>'дод 2'!Q112</f>
        <v>0</v>
      </c>
      <c r="Q71" s="61">
        <f>'дод 2'!R112</f>
        <v>0</v>
      </c>
      <c r="R71" s="61">
        <f>'дод 2'!S112</f>
        <v>0</v>
      </c>
      <c r="S71" s="61">
        <f>'дод 2'!T112</f>
        <v>0</v>
      </c>
      <c r="T71" s="61">
        <f>'дод 2'!U112</f>
        <v>0</v>
      </c>
      <c r="U71" s="61">
        <f>'дод 2'!V112</f>
        <v>0</v>
      </c>
      <c r="V71" s="61">
        <f>'дод 2'!W112</f>
        <v>0</v>
      </c>
      <c r="W71" s="138"/>
      <c r="X71" s="61">
        <f t="shared" si="5"/>
        <v>784939.02</v>
      </c>
      <c r="Y71" s="179"/>
    </row>
    <row r="72" spans="1:25" ht="43.5" customHeight="1" x14ac:dyDescent="0.25">
      <c r="A72" s="45" t="s">
        <v>125</v>
      </c>
      <c r="B72" s="45" t="s">
        <v>71</v>
      </c>
      <c r="C72" s="3" t="s">
        <v>402</v>
      </c>
      <c r="D72" s="61">
        <f>'дод 2'!E113</f>
        <v>86500</v>
      </c>
      <c r="E72" s="61">
        <f>'дод 2'!F113</f>
        <v>0</v>
      </c>
      <c r="F72" s="61">
        <f>'дод 2'!G113</f>
        <v>0</v>
      </c>
      <c r="G72" s="61">
        <f>'дод 2'!H113</f>
        <v>39657</v>
      </c>
      <c r="H72" s="61">
        <f>'дод 2'!I113</f>
        <v>0</v>
      </c>
      <c r="I72" s="61">
        <f>'дод 2'!J113</f>
        <v>0</v>
      </c>
      <c r="J72" s="138">
        <f t="shared" si="3"/>
        <v>45.846242774566477</v>
      </c>
      <c r="K72" s="61">
        <f>'дод 2'!L113</f>
        <v>0</v>
      </c>
      <c r="L72" s="61">
        <f>'дод 2'!M113</f>
        <v>0</v>
      </c>
      <c r="M72" s="61">
        <f>'дод 2'!N113</f>
        <v>0</v>
      </c>
      <c r="N72" s="61">
        <f>'дод 2'!O113</f>
        <v>0</v>
      </c>
      <c r="O72" s="61">
        <f>'дод 2'!P113</f>
        <v>0</v>
      </c>
      <c r="P72" s="61">
        <f>'дод 2'!Q113</f>
        <v>0</v>
      </c>
      <c r="Q72" s="61">
        <f>'дод 2'!R113</f>
        <v>0</v>
      </c>
      <c r="R72" s="61">
        <f>'дод 2'!S113</f>
        <v>0</v>
      </c>
      <c r="S72" s="61">
        <f>'дод 2'!T113</f>
        <v>0</v>
      </c>
      <c r="T72" s="61">
        <f>'дод 2'!U113</f>
        <v>0</v>
      </c>
      <c r="U72" s="61">
        <f>'дод 2'!V113</f>
        <v>0</v>
      </c>
      <c r="V72" s="61">
        <f>'дод 2'!W113</f>
        <v>0</v>
      </c>
      <c r="W72" s="138"/>
      <c r="X72" s="61">
        <f t="shared" si="5"/>
        <v>39657</v>
      </c>
      <c r="Y72" s="179">
        <v>16</v>
      </c>
    </row>
    <row r="73" spans="1:25" ht="27.75" customHeight="1" x14ac:dyDescent="0.25">
      <c r="A73" s="45" t="s">
        <v>337</v>
      </c>
      <c r="B73" s="45" t="s">
        <v>126</v>
      </c>
      <c r="C73" s="3" t="s">
        <v>50</v>
      </c>
      <c r="D73" s="61">
        <f>'дод 2'!E114+'дод 2'!E137</f>
        <v>600000</v>
      </c>
      <c r="E73" s="61">
        <f>'дод 2'!F114+'дод 2'!F137</f>
        <v>163935</v>
      </c>
      <c r="F73" s="61">
        <f>'дод 2'!G114+'дод 2'!G137</f>
        <v>0</v>
      </c>
      <c r="G73" s="61">
        <f>'дод 2'!H114+'дод 2'!H137</f>
        <v>136909.15</v>
      </c>
      <c r="H73" s="61">
        <f>'дод 2'!I114+'дод 2'!I137</f>
        <v>22917.58</v>
      </c>
      <c r="I73" s="61">
        <f>'дод 2'!J114+'дод 2'!J137</f>
        <v>0</v>
      </c>
      <c r="J73" s="138">
        <f t="shared" si="3"/>
        <v>22.818191666666664</v>
      </c>
      <c r="K73" s="61">
        <f>'дод 2'!L114+'дод 2'!L137</f>
        <v>0</v>
      </c>
      <c r="L73" s="61">
        <f>'дод 2'!M114+'дод 2'!M137</f>
        <v>0</v>
      </c>
      <c r="M73" s="61">
        <f>'дод 2'!N114+'дод 2'!N137</f>
        <v>0</v>
      </c>
      <c r="N73" s="61">
        <f>'дод 2'!O114+'дод 2'!O137</f>
        <v>0</v>
      </c>
      <c r="O73" s="61">
        <f>'дод 2'!P114+'дод 2'!P137</f>
        <v>0</v>
      </c>
      <c r="P73" s="61">
        <f>'дод 2'!Q114+'дод 2'!Q137</f>
        <v>0</v>
      </c>
      <c r="Q73" s="61">
        <f>'дод 2'!R114+'дод 2'!R137</f>
        <v>0</v>
      </c>
      <c r="R73" s="61">
        <f>'дод 2'!S114+'дод 2'!S137</f>
        <v>0</v>
      </c>
      <c r="S73" s="61">
        <f>'дод 2'!T114+'дод 2'!T137</f>
        <v>0</v>
      </c>
      <c r="T73" s="61">
        <f>'дод 2'!U114+'дод 2'!U137</f>
        <v>0</v>
      </c>
      <c r="U73" s="61">
        <f>'дод 2'!V114+'дод 2'!V137</f>
        <v>0</v>
      </c>
      <c r="V73" s="61">
        <f>'дод 2'!W114+'дод 2'!W137</f>
        <v>0</v>
      </c>
      <c r="W73" s="138"/>
      <c r="X73" s="61">
        <f t="shared" si="5"/>
        <v>136909.15</v>
      </c>
      <c r="Y73" s="179"/>
    </row>
    <row r="74" spans="1:25" s="78" customFormat="1" ht="32.25" customHeight="1" x14ac:dyDescent="0.25">
      <c r="A74" s="45" t="s">
        <v>338</v>
      </c>
      <c r="B74" s="45" t="s">
        <v>71</v>
      </c>
      <c r="C74" s="3" t="s">
        <v>340</v>
      </c>
      <c r="D74" s="61">
        <f>'дод 2'!E115+'дод 2'!E24</f>
        <v>6719301</v>
      </c>
      <c r="E74" s="61">
        <f>'дод 2'!F115+'дод 2'!F24</f>
        <v>4196250</v>
      </c>
      <c r="F74" s="61">
        <f>'дод 2'!G115+'дод 2'!G24</f>
        <v>606930</v>
      </c>
      <c r="G74" s="61">
        <f>'дод 2'!H115+'дод 2'!H24</f>
        <v>2930648.2</v>
      </c>
      <c r="H74" s="61">
        <f>'дод 2'!I115+'дод 2'!I24</f>
        <v>1887449.9000000001</v>
      </c>
      <c r="I74" s="61">
        <f>'дод 2'!J115+'дод 2'!J24</f>
        <v>212256.52</v>
      </c>
      <c r="J74" s="138">
        <f t="shared" si="3"/>
        <v>43.615373087170831</v>
      </c>
      <c r="K74" s="61">
        <f>'дод 2'!L115+'дод 2'!L24</f>
        <v>761000</v>
      </c>
      <c r="L74" s="61">
        <f>'дод 2'!M115+'дод 2'!M24</f>
        <v>761000</v>
      </c>
      <c r="M74" s="61">
        <f>'дод 2'!N115+'дод 2'!N24</f>
        <v>0</v>
      </c>
      <c r="N74" s="61">
        <f>'дод 2'!O115+'дод 2'!O24</f>
        <v>0</v>
      </c>
      <c r="O74" s="61">
        <f>'дод 2'!P115+'дод 2'!P24</f>
        <v>0</v>
      </c>
      <c r="P74" s="61">
        <f>'дод 2'!Q115+'дод 2'!Q24</f>
        <v>761000</v>
      </c>
      <c r="Q74" s="61">
        <f>'дод 2'!R115+'дод 2'!R24</f>
        <v>80052.399999999994</v>
      </c>
      <c r="R74" s="61">
        <f>'дод 2'!S115+'дод 2'!S24</f>
        <v>61000</v>
      </c>
      <c r="S74" s="61">
        <f>'дод 2'!T115+'дод 2'!T24</f>
        <v>19052.400000000001</v>
      </c>
      <c r="T74" s="61">
        <f>'дод 2'!U115+'дод 2'!U24</f>
        <v>0</v>
      </c>
      <c r="U74" s="61">
        <f>'дод 2'!V115+'дод 2'!V24</f>
        <v>0</v>
      </c>
      <c r="V74" s="61">
        <f>'дод 2'!W115+'дод 2'!W24</f>
        <v>61000</v>
      </c>
      <c r="W74" s="138">
        <f t="shared" si="4"/>
        <v>10.519369250985545</v>
      </c>
      <c r="X74" s="61">
        <f t="shared" si="5"/>
        <v>3010700.6</v>
      </c>
      <c r="Y74" s="179"/>
    </row>
    <row r="75" spans="1:25" s="78" customFormat="1" ht="31.5" customHeight="1" x14ac:dyDescent="0.25">
      <c r="A75" s="45" t="s">
        <v>339</v>
      </c>
      <c r="B75" s="45" t="s">
        <v>71</v>
      </c>
      <c r="C75" s="3" t="s">
        <v>341</v>
      </c>
      <c r="D75" s="61">
        <f>'дод 2'!E69+'дод 2'!E116+'дод 2'!E25</f>
        <v>34241368</v>
      </c>
      <c r="E75" s="61">
        <f>'дод 2'!F69+'дод 2'!F116+'дод 2'!F25</f>
        <v>0</v>
      </c>
      <c r="F75" s="61">
        <f>'дод 2'!G69+'дод 2'!G116+'дод 2'!G25</f>
        <v>0</v>
      </c>
      <c r="G75" s="61">
        <f>'дод 2'!H69+'дод 2'!H116+'дод 2'!H25</f>
        <v>12710240.620000001</v>
      </c>
      <c r="H75" s="61">
        <f>'дод 2'!I69+'дод 2'!I116+'дод 2'!I25</f>
        <v>0</v>
      </c>
      <c r="I75" s="61">
        <f>'дод 2'!J69+'дод 2'!J116+'дод 2'!J25</f>
        <v>0</v>
      </c>
      <c r="J75" s="138">
        <f t="shared" si="3"/>
        <v>37.119546800817069</v>
      </c>
      <c r="K75" s="61">
        <f>'дод 2'!L69+'дод 2'!L116+'дод 2'!L25</f>
        <v>35640</v>
      </c>
      <c r="L75" s="61">
        <f>'дод 2'!M69+'дод 2'!M116+'дод 2'!M25</f>
        <v>35640</v>
      </c>
      <c r="M75" s="61">
        <f>'дод 2'!N69+'дод 2'!N116+'дод 2'!N25</f>
        <v>0</v>
      </c>
      <c r="N75" s="61">
        <f>'дод 2'!O69+'дод 2'!O116+'дод 2'!O25</f>
        <v>0</v>
      </c>
      <c r="O75" s="61">
        <f>'дод 2'!P69+'дод 2'!P116+'дод 2'!P25</f>
        <v>0</v>
      </c>
      <c r="P75" s="61">
        <f>'дод 2'!Q69+'дод 2'!Q116+'дод 2'!Q25</f>
        <v>35640</v>
      </c>
      <c r="Q75" s="61">
        <f>'дод 2'!R69+'дод 2'!R116+'дод 2'!R25</f>
        <v>0</v>
      </c>
      <c r="R75" s="61">
        <f>'дод 2'!S69+'дод 2'!S116+'дод 2'!S25</f>
        <v>0</v>
      </c>
      <c r="S75" s="61">
        <f>'дод 2'!T69+'дод 2'!T116+'дод 2'!T25</f>
        <v>0</v>
      </c>
      <c r="T75" s="61">
        <f>'дод 2'!U69+'дод 2'!U116+'дод 2'!U25</f>
        <v>0</v>
      </c>
      <c r="U75" s="61">
        <f>'дод 2'!V69+'дод 2'!V116+'дод 2'!V25</f>
        <v>0</v>
      </c>
      <c r="V75" s="61">
        <f>'дод 2'!W69+'дод 2'!W116+'дод 2'!W25</f>
        <v>0</v>
      </c>
      <c r="W75" s="138">
        <f t="shared" si="4"/>
        <v>0</v>
      </c>
      <c r="X75" s="61">
        <f t="shared" si="5"/>
        <v>12710240.620000001</v>
      </c>
      <c r="Y75" s="179"/>
    </row>
    <row r="76" spans="1:25" s="76" customFormat="1" ht="19.5" customHeight="1" x14ac:dyDescent="0.25">
      <c r="A76" s="46" t="s">
        <v>90</v>
      </c>
      <c r="B76" s="49"/>
      <c r="C76" s="2" t="s">
        <v>91</v>
      </c>
      <c r="D76" s="60">
        <f t="shared" ref="D76" si="16">D77+D78+D79+D80</f>
        <v>32782865</v>
      </c>
      <c r="E76" s="60">
        <f t="shared" ref="E76:I76" si="17">E77+E78+E79+E80</f>
        <v>19079400</v>
      </c>
      <c r="F76" s="60">
        <f t="shared" si="17"/>
        <v>2209260</v>
      </c>
      <c r="G76" s="60">
        <f t="shared" si="17"/>
        <v>12324932.920000002</v>
      </c>
      <c r="H76" s="60">
        <f t="shared" si="17"/>
        <v>8989455.1500000004</v>
      </c>
      <c r="I76" s="60">
        <f t="shared" si="17"/>
        <v>777519.33000000007</v>
      </c>
      <c r="J76" s="137">
        <f t="shared" si="3"/>
        <v>37.59565529126268</v>
      </c>
      <c r="K76" s="60">
        <f t="shared" ref="K76:V76" si="18">K77+K78+K79+K80</f>
        <v>623495</v>
      </c>
      <c r="L76" s="60">
        <f t="shared" si="18"/>
        <v>587495</v>
      </c>
      <c r="M76" s="60">
        <f t="shared" si="18"/>
        <v>36000</v>
      </c>
      <c r="N76" s="60">
        <f t="shared" si="18"/>
        <v>12100</v>
      </c>
      <c r="O76" s="60">
        <f t="shared" si="18"/>
        <v>3300</v>
      </c>
      <c r="P76" s="60">
        <f t="shared" si="18"/>
        <v>587495</v>
      </c>
      <c r="Q76" s="60">
        <f t="shared" si="18"/>
        <v>143594.33000000002</v>
      </c>
      <c r="R76" s="60">
        <f t="shared" si="18"/>
        <v>45498</v>
      </c>
      <c r="S76" s="60">
        <f t="shared" si="18"/>
        <v>7420.8</v>
      </c>
      <c r="T76" s="60">
        <f t="shared" si="18"/>
        <v>2554.09</v>
      </c>
      <c r="U76" s="60">
        <f t="shared" si="18"/>
        <v>0</v>
      </c>
      <c r="V76" s="60">
        <f t="shared" si="18"/>
        <v>136173.53</v>
      </c>
      <c r="W76" s="137">
        <f t="shared" si="4"/>
        <v>23.030550365279595</v>
      </c>
      <c r="X76" s="60">
        <f t="shared" si="5"/>
        <v>12468527.250000002</v>
      </c>
      <c r="Y76" s="179"/>
    </row>
    <row r="77" spans="1:25" ht="22.5" customHeight="1" x14ac:dyDescent="0.25">
      <c r="A77" s="45" t="s">
        <v>92</v>
      </c>
      <c r="B77" s="45" t="s">
        <v>93</v>
      </c>
      <c r="C77" s="3" t="s">
        <v>21</v>
      </c>
      <c r="D77" s="61">
        <f>'дод 2'!E127</f>
        <v>19303085</v>
      </c>
      <c r="E77" s="61">
        <f>'дод 2'!F127</f>
        <v>13804000</v>
      </c>
      <c r="F77" s="61">
        <f>'дод 2'!G127</f>
        <v>1346200</v>
      </c>
      <c r="G77" s="61">
        <f>'дод 2'!H127</f>
        <v>8921683.25</v>
      </c>
      <c r="H77" s="61">
        <f>'дод 2'!I127</f>
        <v>6744148.1900000004</v>
      </c>
      <c r="I77" s="61">
        <f>'дод 2'!J127</f>
        <v>572933.29</v>
      </c>
      <c r="J77" s="138">
        <f t="shared" si="3"/>
        <v>46.218950235156711</v>
      </c>
      <c r="K77" s="61">
        <f>'дод 2'!L127</f>
        <v>346795</v>
      </c>
      <c r="L77" s="61">
        <f>'дод 2'!M127</f>
        <v>316795</v>
      </c>
      <c r="M77" s="61">
        <f>'дод 2'!N127</f>
        <v>30000</v>
      </c>
      <c r="N77" s="61">
        <f>'дод 2'!O127</f>
        <v>12100</v>
      </c>
      <c r="O77" s="61">
        <f>'дод 2'!P127</f>
        <v>0</v>
      </c>
      <c r="P77" s="61">
        <f>'дод 2'!Q127</f>
        <v>316795</v>
      </c>
      <c r="Q77" s="61">
        <f>'дод 2'!R127</f>
        <v>114794.33</v>
      </c>
      <c r="R77" s="61">
        <f>'дод 2'!S127</f>
        <v>19998</v>
      </c>
      <c r="S77" s="61">
        <f>'дод 2'!T127</f>
        <v>4120.8</v>
      </c>
      <c r="T77" s="61">
        <f>'дод 2'!U127</f>
        <v>2554.09</v>
      </c>
      <c r="U77" s="61">
        <f>'дод 2'!V127</f>
        <v>0</v>
      </c>
      <c r="V77" s="61">
        <f>'дод 2'!W127</f>
        <v>110673.53</v>
      </c>
      <c r="W77" s="138">
        <f t="shared" si="4"/>
        <v>33.10149511959515</v>
      </c>
      <c r="X77" s="61">
        <f t="shared" si="5"/>
        <v>9036477.5800000001</v>
      </c>
      <c r="Y77" s="179"/>
    </row>
    <row r="78" spans="1:25" ht="33.75" customHeight="1" x14ac:dyDescent="0.25">
      <c r="A78" s="45" t="s">
        <v>375</v>
      </c>
      <c r="B78" s="45" t="s">
        <v>376</v>
      </c>
      <c r="C78" s="3" t="s">
        <v>377</v>
      </c>
      <c r="D78" s="61">
        <f>'дод 2'!E26+'дод 2'!E128</f>
        <v>5273180</v>
      </c>
      <c r="E78" s="61">
        <f>'дод 2'!F26+'дод 2'!F128</f>
        <v>2522400</v>
      </c>
      <c r="F78" s="61">
        <f>'дод 2'!G26+'дод 2'!G128</f>
        <v>738960</v>
      </c>
      <c r="G78" s="61">
        <f>'дод 2'!H26+'дод 2'!H128</f>
        <v>1489984.47</v>
      </c>
      <c r="H78" s="61">
        <f>'дод 2'!I26+'дод 2'!I128</f>
        <v>891718.61</v>
      </c>
      <c r="I78" s="61">
        <f>'дод 2'!J26+'дод 2'!J128</f>
        <v>142511.13</v>
      </c>
      <c r="J78" s="138">
        <f t="shared" si="3"/>
        <v>28.255900045134052</v>
      </c>
      <c r="K78" s="61">
        <f>'дод 2'!L26+'дод 2'!L128</f>
        <v>52700</v>
      </c>
      <c r="L78" s="61">
        <f>'дод 2'!M26+'дод 2'!M128</f>
        <v>46700</v>
      </c>
      <c r="M78" s="61">
        <f>'дод 2'!N26+'дод 2'!N128</f>
        <v>6000</v>
      </c>
      <c r="N78" s="61">
        <f>'дод 2'!O26+'дод 2'!O128</f>
        <v>0</v>
      </c>
      <c r="O78" s="61">
        <f>'дод 2'!P26+'дод 2'!P128</f>
        <v>3300</v>
      </c>
      <c r="P78" s="61">
        <f>'дод 2'!Q26+'дод 2'!Q128</f>
        <v>46700</v>
      </c>
      <c r="Q78" s="61">
        <f>'дод 2'!R26+'дод 2'!R128</f>
        <v>25500</v>
      </c>
      <c r="R78" s="61">
        <f>'дод 2'!S26+'дод 2'!S128</f>
        <v>25500</v>
      </c>
      <c r="S78" s="61">
        <f>'дод 2'!T26+'дод 2'!T128</f>
        <v>0</v>
      </c>
      <c r="T78" s="61">
        <f>'дод 2'!U26+'дод 2'!U128</f>
        <v>0</v>
      </c>
      <c r="U78" s="61">
        <f>'дод 2'!V26+'дод 2'!V128</f>
        <v>0</v>
      </c>
      <c r="V78" s="61">
        <f>'дод 2'!W26+'дод 2'!W128</f>
        <v>25500</v>
      </c>
      <c r="W78" s="138">
        <f t="shared" si="4"/>
        <v>48.387096774193552</v>
      </c>
      <c r="X78" s="61">
        <f t="shared" si="5"/>
        <v>1515484.47</v>
      </c>
      <c r="Y78" s="179"/>
    </row>
    <row r="79" spans="1:25" s="78" customFormat="1" ht="39.75" customHeight="1" x14ac:dyDescent="0.25">
      <c r="A79" s="45" t="s">
        <v>342</v>
      </c>
      <c r="B79" s="45" t="s">
        <v>94</v>
      </c>
      <c r="C79" s="3" t="s">
        <v>403</v>
      </c>
      <c r="D79" s="61">
        <f>'дод 2'!E27+'дод 2'!E129</f>
        <v>5240900</v>
      </c>
      <c r="E79" s="61">
        <f>'дод 2'!F27+'дод 2'!F129</f>
        <v>2753000</v>
      </c>
      <c r="F79" s="61">
        <f>'дод 2'!G27+'дод 2'!G129</f>
        <v>124100</v>
      </c>
      <c r="G79" s="61">
        <f>'дод 2'!H27+'дод 2'!H129</f>
        <v>1804160.82</v>
      </c>
      <c r="H79" s="61">
        <f>'дод 2'!I27+'дод 2'!I129</f>
        <v>1353588.35</v>
      </c>
      <c r="I79" s="61">
        <f>'дод 2'!J27+'дод 2'!J129</f>
        <v>62074.91</v>
      </c>
      <c r="J79" s="138">
        <f t="shared" si="3"/>
        <v>34.424637371443836</v>
      </c>
      <c r="K79" s="61">
        <f>'дод 2'!L27+'дод 2'!L129</f>
        <v>224000</v>
      </c>
      <c r="L79" s="61">
        <f>'дод 2'!M27+'дод 2'!M129</f>
        <v>224000</v>
      </c>
      <c r="M79" s="61">
        <f>'дод 2'!N27+'дод 2'!N129</f>
        <v>0</v>
      </c>
      <c r="N79" s="61">
        <f>'дод 2'!O27+'дод 2'!O129</f>
        <v>0</v>
      </c>
      <c r="O79" s="61">
        <f>'дод 2'!P27+'дод 2'!P129</f>
        <v>0</v>
      </c>
      <c r="P79" s="61">
        <f>'дод 2'!Q27+'дод 2'!Q129</f>
        <v>224000</v>
      </c>
      <c r="Q79" s="61">
        <f>'дод 2'!R27+'дод 2'!R129</f>
        <v>3300</v>
      </c>
      <c r="R79" s="61">
        <f>'дод 2'!S27+'дод 2'!S129</f>
        <v>0</v>
      </c>
      <c r="S79" s="61">
        <f>'дод 2'!T27+'дод 2'!T129</f>
        <v>3300</v>
      </c>
      <c r="T79" s="61">
        <f>'дод 2'!U27+'дод 2'!U129</f>
        <v>0</v>
      </c>
      <c r="U79" s="61">
        <f>'дод 2'!V27+'дод 2'!V129</f>
        <v>0</v>
      </c>
      <c r="V79" s="61">
        <f>'дод 2'!W27+'дод 2'!W129</f>
        <v>0</v>
      </c>
      <c r="W79" s="138">
        <f t="shared" si="4"/>
        <v>1.4732142857142856</v>
      </c>
      <c r="X79" s="61">
        <f t="shared" si="5"/>
        <v>1807460.82</v>
      </c>
      <c r="Y79" s="179"/>
    </row>
    <row r="80" spans="1:25" s="78" customFormat="1" ht="30" customHeight="1" x14ac:dyDescent="0.25">
      <c r="A80" s="45" t="s">
        <v>343</v>
      </c>
      <c r="B80" s="45" t="s">
        <v>94</v>
      </c>
      <c r="C80" s="3" t="s">
        <v>344</v>
      </c>
      <c r="D80" s="61">
        <f>'дод 2'!E28+'дод 2'!E130</f>
        <v>2965700</v>
      </c>
      <c r="E80" s="61">
        <f>'дод 2'!F28+'дод 2'!F130</f>
        <v>0</v>
      </c>
      <c r="F80" s="61">
        <f>'дод 2'!G28+'дод 2'!G130</f>
        <v>0</v>
      </c>
      <c r="G80" s="61">
        <f>'дод 2'!H28+'дод 2'!H130</f>
        <v>109104.38</v>
      </c>
      <c r="H80" s="61">
        <f>'дод 2'!I28+'дод 2'!I130</f>
        <v>0</v>
      </c>
      <c r="I80" s="61">
        <f>'дод 2'!J28+'дод 2'!J130</f>
        <v>0</v>
      </c>
      <c r="J80" s="138">
        <f t="shared" si="3"/>
        <v>3.6788744647132212</v>
      </c>
      <c r="K80" s="61">
        <f>'дод 2'!L28+'дод 2'!L130</f>
        <v>0</v>
      </c>
      <c r="L80" s="61">
        <f>'дод 2'!M28+'дод 2'!M130</f>
        <v>0</v>
      </c>
      <c r="M80" s="61">
        <f>'дод 2'!N28+'дод 2'!N130</f>
        <v>0</v>
      </c>
      <c r="N80" s="61">
        <f>'дод 2'!O28+'дод 2'!O130</f>
        <v>0</v>
      </c>
      <c r="O80" s="61">
        <f>'дод 2'!P28+'дод 2'!P130</f>
        <v>0</v>
      </c>
      <c r="P80" s="61">
        <f>'дод 2'!Q28+'дод 2'!Q130</f>
        <v>0</v>
      </c>
      <c r="Q80" s="61">
        <f>'дод 2'!R28+'дод 2'!R130</f>
        <v>0</v>
      </c>
      <c r="R80" s="61">
        <f>'дод 2'!S28+'дод 2'!S130</f>
        <v>0</v>
      </c>
      <c r="S80" s="61">
        <f>'дод 2'!T28+'дод 2'!T130</f>
        <v>0</v>
      </c>
      <c r="T80" s="61">
        <f>'дод 2'!U28+'дод 2'!U130</f>
        <v>0</v>
      </c>
      <c r="U80" s="61">
        <f>'дод 2'!V28+'дод 2'!V130</f>
        <v>0</v>
      </c>
      <c r="V80" s="61">
        <f>'дод 2'!W28+'дод 2'!W130</f>
        <v>0</v>
      </c>
      <c r="W80" s="138"/>
      <c r="X80" s="61">
        <f t="shared" si="5"/>
        <v>109104.38</v>
      </c>
      <c r="Y80" s="179"/>
    </row>
    <row r="81" spans="1:25" s="76" customFormat="1" ht="21.75" customHeight="1" x14ac:dyDescent="0.25">
      <c r="A81" s="46" t="s">
        <v>97</v>
      </c>
      <c r="B81" s="49"/>
      <c r="C81" s="2" t="s">
        <v>98</v>
      </c>
      <c r="D81" s="60">
        <f t="shared" ref="D81" si="19">D82+D83+D84+D85+D86+D87</f>
        <v>46772470</v>
      </c>
      <c r="E81" s="60">
        <f t="shared" ref="E81:I81" si="20">E82+E83+E84+E85+E86+E87</f>
        <v>17286800</v>
      </c>
      <c r="F81" s="60">
        <f t="shared" si="20"/>
        <v>1430790</v>
      </c>
      <c r="G81" s="60">
        <f t="shared" si="20"/>
        <v>19846573.299999997</v>
      </c>
      <c r="H81" s="60">
        <f t="shared" si="20"/>
        <v>8714590.4700000007</v>
      </c>
      <c r="I81" s="60">
        <f t="shared" si="20"/>
        <v>590321.92999999993</v>
      </c>
      <c r="J81" s="137">
        <f t="shared" si="3"/>
        <v>42.432168538458619</v>
      </c>
      <c r="K81" s="60">
        <f t="shared" ref="K81:V81" si="21">K82+K83+K84+K85+K86+K87</f>
        <v>2730570</v>
      </c>
      <c r="L81" s="60">
        <f t="shared" si="21"/>
        <v>2551450</v>
      </c>
      <c r="M81" s="60">
        <f t="shared" si="21"/>
        <v>179120</v>
      </c>
      <c r="N81" s="60">
        <f t="shared" si="21"/>
        <v>91105</v>
      </c>
      <c r="O81" s="60">
        <f t="shared" si="21"/>
        <v>51050</v>
      </c>
      <c r="P81" s="60">
        <f t="shared" si="21"/>
        <v>2551450</v>
      </c>
      <c r="Q81" s="60">
        <f t="shared" si="21"/>
        <v>90590.07</v>
      </c>
      <c r="R81" s="60">
        <f t="shared" si="21"/>
        <v>0</v>
      </c>
      <c r="S81" s="60">
        <f t="shared" si="21"/>
        <v>90590.07</v>
      </c>
      <c r="T81" s="60">
        <f t="shared" si="21"/>
        <v>1826.63</v>
      </c>
      <c r="U81" s="60">
        <f t="shared" si="21"/>
        <v>558.39</v>
      </c>
      <c r="V81" s="60">
        <f t="shared" si="21"/>
        <v>0</v>
      </c>
      <c r="W81" s="137">
        <f t="shared" si="4"/>
        <v>3.3176248915061692</v>
      </c>
      <c r="X81" s="60">
        <f t="shared" si="5"/>
        <v>19937163.369999997</v>
      </c>
      <c r="Y81" s="179"/>
    </row>
    <row r="82" spans="1:25" s="78" customFormat="1" ht="43.5" customHeight="1" x14ac:dyDescent="0.25">
      <c r="A82" s="45" t="s">
        <v>99</v>
      </c>
      <c r="B82" s="45" t="s">
        <v>100</v>
      </c>
      <c r="C82" s="3" t="s">
        <v>29</v>
      </c>
      <c r="D82" s="61">
        <f>'дод 2'!E29</f>
        <v>1761000</v>
      </c>
      <c r="E82" s="61">
        <f>'дод 2'!F29</f>
        <v>0</v>
      </c>
      <c r="F82" s="61">
        <f>'дод 2'!G29</f>
        <v>0</v>
      </c>
      <c r="G82" s="61">
        <f>'дод 2'!H29</f>
        <v>51745.19</v>
      </c>
      <c r="H82" s="61">
        <f>'дод 2'!I29</f>
        <v>0</v>
      </c>
      <c r="I82" s="61">
        <f>'дод 2'!J29</f>
        <v>0</v>
      </c>
      <c r="J82" s="138">
        <f t="shared" si="3"/>
        <v>2.938398069278819</v>
      </c>
      <c r="K82" s="61">
        <f>'дод 2'!L29</f>
        <v>0</v>
      </c>
      <c r="L82" s="61">
        <f>'дод 2'!M29</f>
        <v>0</v>
      </c>
      <c r="M82" s="61">
        <f>'дод 2'!N29</f>
        <v>0</v>
      </c>
      <c r="N82" s="61">
        <f>'дод 2'!O29</f>
        <v>0</v>
      </c>
      <c r="O82" s="61">
        <f>'дод 2'!P29</f>
        <v>0</v>
      </c>
      <c r="P82" s="61">
        <f>'дод 2'!Q29</f>
        <v>0</v>
      </c>
      <c r="Q82" s="61">
        <f>'дод 2'!R29</f>
        <v>0</v>
      </c>
      <c r="R82" s="61">
        <f>'дод 2'!S29</f>
        <v>0</v>
      </c>
      <c r="S82" s="61">
        <f>'дод 2'!T29</f>
        <v>0</v>
      </c>
      <c r="T82" s="61">
        <f>'дод 2'!U29</f>
        <v>0</v>
      </c>
      <c r="U82" s="61">
        <f>'дод 2'!V29</f>
        <v>0</v>
      </c>
      <c r="V82" s="61">
        <f>'дод 2'!W29</f>
        <v>0</v>
      </c>
      <c r="W82" s="138"/>
      <c r="X82" s="61">
        <f t="shared" si="5"/>
        <v>51745.19</v>
      </c>
      <c r="Y82" s="179"/>
    </row>
    <row r="83" spans="1:25" s="78" customFormat="1" ht="39.75" customHeight="1" x14ac:dyDescent="0.25">
      <c r="A83" s="45" t="s">
        <v>101</v>
      </c>
      <c r="B83" s="45" t="s">
        <v>100</v>
      </c>
      <c r="C83" s="3" t="s">
        <v>22</v>
      </c>
      <c r="D83" s="61">
        <f>'дод 2'!E30</f>
        <v>2275000</v>
      </c>
      <c r="E83" s="61">
        <f>'дод 2'!F30</f>
        <v>0</v>
      </c>
      <c r="F83" s="61">
        <f>'дод 2'!G30</f>
        <v>0</v>
      </c>
      <c r="G83" s="61">
        <f>'дод 2'!H30</f>
        <v>133787.51999999999</v>
      </c>
      <c r="H83" s="61">
        <f>'дод 2'!I30</f>
        <v>0</v>
      </c>
      <c r="I83" s="61">
        <f>'дод 2'!J30</f>
        <v>0</v>
      </c>
      <c r="J83" s="138">
        <f t="shared" ref="J83:J146" si="22">G83/D83*100</f>
        <v>5.8807701098901095</v>
      </c>
      <c r="K83" s="61">
        <f>'дод 2'!L30</f>
        <v>0</v>
      </c>
      <c r="L83" s="61">
        <f>'дод 2'!M30</f>
        <v>0</v>
      </c>
      <c r="M83" s="61">
        <f>'дод 2'!N30</f>
        <v>0</v>
      </c>
      <c r="N83" s="61">
        <f>'дод 2'!O30</f>
        <v>0</v>
      </c>
      <c r="O83" s="61">
        <f>'дод 2'!P30</f>
        <v>0</v>
      </c>
      <c r="P83" s="61">
        <f>'дод 2'!Q30</f>
        <v>0</v>
      </c>
      <c r="Q83" s="61">
        <f>'дод 2'!R30</f>
        <v>0</v>
      </c>
      <c r="R83" s="61">
        <f>'дод 2'!S30</f>
        <v>0</v>
      </c>
      <c r="S83" s="61">
        <f>'дод 2'!T30</f>
        <v>0</v>
      </c>
      <c r="T83" s="61">
        <f>'дод 2'!U30</f>
        <v>0</v>
      </c>
      <c r="U83" s="61">
        <f>'дод 2'!V30</f>
        <v>0</v>
      </c>
      <c r="V83" s="61">
        <f>'дод 2'!W30</f>
        <v>0</v>
      </c>
      <c r="W83" s="138"/>
      <c r="X83" s="61">
        <f t="shared" ref="X83:X146" si="23">G83+Q83</f>
        <v>133787.51999999999</v>
      </c>
      <c r="Y83" s="179"/>
    </row>
    <row r="84" spans="1:25" s="78" customFormat="1" ht="36.75" customHeight="1" x14ac:dyDescent="0.25">
      <c r="A84" s="45" t="s">
        <v>137</v>
      </c>
      <c r="B84" s="45" t="s">
        <v>100</v>
      </c>
      <c r="C84" s="3" t="s">
        <v>30</v>
      </c>
      <c r="D84" s="61">
        <f>'дод 2'!E70+'дод 2'!E31</f>
        <v>20353330</v>
      </c>
      <c r="E84" s="61">
        <f>'дод 2'!F70+'дод 2'!F31</f>
        <v>14839900</v>
      </c>
      <c r="F84" s="61">
        <f>'дод 2'!G70+'дод 2'!G31</f>
        <v>1060690</v>
      </c>
      <c r="G84" s="61">
        <f>'дод 2'!H70+'дод 2'!H31</f>
        <v>9770168.879999999</v>
      </c>
      <c r="H84" s="61">
        <f>'дод 2'!I70+'дод 2'!I31</f>
        <v>7563022.8100000005</v>
      </c>
      <c r="I84" s="61">
        <f>'дод 2'!J70+'дод 2'!J31</f>
        <v>444637.19</v>
      </c>
      <c r="J84" s="138">
        <f t="shared" si="22"/>
        <v>48.00280288286978</v>
      </c>
      <c r="K84" s="61">
        <f>'дод 2'!L70+'дод 2'!L31</f>
        <v>1478000</v>
      </c>
      <c r="L84" s="61">
        <f>'дод 2'!M70+'дод 2'!M31</f>
        <v>1478000</v>
      </c>
      <c r="M84" s="61">
        <f>'дод 2'!N70+'дод 2'!N31</f>
        <v>0</v>
      </c>
      <c r="N84" s="61">
        <f>'дод 2'!O70+'дод 2'!O31</f>
        <v>0</v>
      </c>
      <c r="O84" s="61">
        <f>'дод 2'!P70+'дод 2'!P31</f>
        <v>0</v>
      </c>
      <c r="P84" s="61">
        <f>'дод 2'!Q70+'дод 2'!Q31</f>
        <v>1478000</v>
      </c>
      <c r="Q84" s="61">
        <f>'дод 2'!R70+'дод 2'!R31</f>
        <v>590</v>
      </c>
      <c r="R84" s="61">
        <f>'дод 2'!S70+'дод 2'!S31</f>
        <v>0</v>
      </c>
      <c r="S84" s="61">
        <f>'дод 2'!T70+'дод 2'!T31</f>
        <v>590</v>
      </c>
      <c r="T84" s="61">
        <f>'дод 2'!U70+'дод 2'!U31</f>
        <v>0</v>
      </c>
      <c r="U84" s="61">
        <f>'дод 2'!V70+'дод 2'!V31</f>
        <v>0</v>
      </c>
      <c r="V84" s="61">
        <f>'дод 2'!W70+'дод 2'!W31</f>
        <v>0</v>
      </c>
      <c r="W84" s="138">
        <f t="shared" ref="W84:W146" si="24">Q84/K84*100</f>
        <v>3.9918809201623814E-2</v>
      </c>
      <c r="X84" s="61">
        <f t="shared" si="23"/>
        <v>9770758.879999999</v>
      </c>
      <c r="Y84" s="179"/>
    </row>
    <row r="85" spans="1:25" s="78" customFormat="1" ht="31.5" customHeight="1" x14ac:dyDescent="0.25">
      <c r="A85" s="45" t="s">
        <v>138</v>
      </c>
      <c r="B85" s="45" t="s">
        <v>100</v>
      </c>
      <c r="C85" s="3" t="s">
        <v>31</v>
      </c>
      <c r="D85" s="61">
        <f>'дод 2'!E32</f>
        <v>11346630</v>
      </c>
      <c r="E85" s="61">
        <f>'дод 2'!F32</f>
        <v>0</v>
      </c>
      <c r="F85" s="61">
        <f>'дод 2'!G32</f>
        <v>0</v>
      </c>
      <c r="G85" s="61">
        <f>'дод 2'!H32</f>
        <v>5242059.88</v>
      </c>
      <c r="H85" s="61">
        <f>'дод 2'!I32</f>
        <v>0</v>
      </c>
      <c r="I85" s="61">
        <f>'дод 2'!J32</f>
        <v>0</v>
      </c>
      <c r="J85" s="138">
        <f t="shared" si="22"/>
        <v>46.19926691890015</v>
      </c>
      <c r="K85" s="61">
        <f>'дод 2'!L32</f>
        <v>130000</v>
      </c>
      <c r="L85" s="61">
        <f>'дод 2'!M32</f>
        <v>130000</v>
      </c>
      <c r="M85" s="61">
        <f>'дод 2'!N32</f>
        <v>0</v>
      </c>
      <c r="N85" s="61">
        <f>'дод 2'!O32</f>
        <v>0</v>
      </c>
      <c r="O85" s="61">
        <f>'дод 2'!P32</f>
        <v>0</v>
      </c>
      <c r="P85" s="61">
        <f>'дод 2'!Q32</f>
        <v>130000</v>
      </c>
      <c r="Q85" s="61">
        <f>'дод 2'!R32</f>
        <v>0</v>
      </c>
      <c r="R85" s="61">
        <f>'дод 2'!S32</f>
        <v>0</v>
      </c>
      <c r="S85" s="61">
        <f>'дод 2'!T32</f>
        <v>0</v>
      </c>
      <c r="T85" s="61">
        <f>'дод 2'!U32</f>
        <v>0</v>
      </c>
      <c r="U85" s="61">
        <f>'дод 2'!V32</f>
        <v>0</v>
      </c>
      <c r="V85" s="61">
        <f>'дод 2'!W32</f>
        <v>0</v>
      </c>
      <c r="W85" s="138">
        <f t="shared" si="24"/>
        <v>0</v>
      </c>
      <c r="X85" s="61">
        <f t="shared" si="23"/>
        <v>5242059.88</v>
      </c>
      <c r="Y85" s="179"/>
    </row>
    <row r="86" spans="1:25" s="78" customFormat="1" ht="60" customHeight="1" x14ac:dyDescent="0.25">
      <c r="A86" s="45" t="s">
        <v>133</v>
      </c>
      <c r="B86" s="45" t="s">
        <v>100</v>
      </c>
      <c r="C86" s="3" t="s">
        <v>134</v>
      </c>
      <c r="D86" s="61">
        <f>'дод 2'!E33</f>
        <v>3943120</v>
      </c>
      <c r="E86" s="61">
        <f>'дод 2'!F33</f>
        <v>2446900</v>
      </c>
      <c r="F86" s="61">
        <f>'дод 2'!G33</f>
        <v>370100</v>
      </c>
      <c r="G86" s="61">
        <f>'дод 2'!H33</f>
        <v>1656021.24</v>
      </c>
      <c r="H86" s="61">
        <f>'дод 2'!I33</f>
        <v>1151567.6599999999</v>
      </c>
      <c r="I86" s="61">
        <f>'дод 2'!J33</f>
        <v>145684.74</v>
      </c>
      <c r="J86" s="138">
        <f t="shared" si="22"/>
        <v>41.997738846395748</v>
      </c>
      <c r="K86" s="61">
        <f>'дод 2'!L33</f>
        <v>1079120</v>
      </c>
      <c r="L86" s="61">
        <f>'дод 2'!M33</f>
        <v>900000</v>
      </c>
      <c r="M86" s="61">
        <f>'дод 2'!N33</f>
        <v>179120</v>
      </c>
      <c r="N86" s="61">
        <f>'дод 2'!O33</f>
        <v>91105</v>
      </c>
      <c r="O86" s="61">
        <f>'дод 2'!P33</f>
        <v>51050</v>
      </c>
      <c r="P86" s="61">
        <f>'дод 2'!Q33</f>
        <v>900000</v>
      </c>
      <c r="Q86" s="61">
        <f>'дод 2'!R33</f>
        <v>90000.07</v>
      </c>
      <c r="R86" s="61">
        <f>'дод 2'!S33</f>
        <v>0</v>
      </c>
      <c r="S86" s="61">
        <f>'дод 2'!T33</f>
        <v>90000.07</v>
      </c>
      <c r="T86" s="61">
        <f>'дод 2'!U33</f>
        <v>1826.63</v>
      </c>
      <c r="U86" s="61">
        <f>'дод 2'!V33</f>
        <v>558.39</v>
      </c>
      <c r="V86" s="61">
        <f>'дод 2'!W33</f>
        <v>0</v>
      </c>
      <c r="W86" s="138">
        <f t="shared" si="24"/>
        <v>8.340135480762104</v>
      </c>
      <c r="X86" s="61">
        <f t="shared" si="23"/>
        <v>1746021.31</v>
      </c>
      <c r="Y86" s="179"/>
    </row>
    <row r="87" spans="1:25" s="78" customFormat="1" ht="42" customHeight="1" x14ac:dyDescent="0.25">
      <c r="A87" s="45" t="s">
        <v>136</v>
      </c>
      <c r="B87" s="45" t="s">
        <v>100</v>
      </c>
      <c r="C87" s="3" t="s">
        <v>135</v>
      </c>
      <c r="D87" s="61">
        <f>'дод 2'!E34</f>
        <v>7093390</v>
      </c>
      <c r="E87" s="61">
        <f>'дод 2'!F34</f>
        <v>0</v>
      </c>
      <c r="F87" s="61">
        <f>'дод 2'!G34</f>
        <v>0</v>
      </c>
      <c r="G87" s="61">
        <f>'дод 2'!H34</f>
        <v>2992790.59</v>
      </c>
      <c r="H87" s="61">
        <f>'дод 2'!I34</f>
        <v>0</v>
      </c>
      <c r="I87" s="61">
        <f>'дод 2'!J34</f>
        <v>0</v>
      </c>
      <c r="J87" s="138">
        <f t="shared" si="22"/>
        <v>42.191259609298228</v>
      </c>
      <c r="K87" s="61">
        <f>'дод 2'!L34</f>
        <v>43450</v>
      </c>
      <c r="L87" s="61">
        <f>'дод 2'!M34</f>
        <v>43450</v>
      </c>
      <c r="M87" s="61">
        <f>'дод 2'!N34</f>
        <v>0</v>
      </c>
      <c r="N87" s="61">
        <f>'дод 2'!O34</f>
        <v>0</v>
      </c>
      <c r="O87" s="61">
        <f>'дод 2'!P34</f>
        <v>0</v>
      </c>
      <c r="P87" s="61">
        <f>'дод 2'!Q34</f>
        <v>43450</v>
      </c>
      <c r="Q87" s="61">
        <f>'дод 2'!R34</f>
        <v>0</v>
      </c>
      <c r="R87" s="61">
        <f>'дод 2'!S34</f>
        <v>0</v>
      </c>
      <c r="S87" s="61">
        <f>'дод 2'!T34</f>
        <v>0</v>
      </c>
      <c r="T87" s="61">
        <f>'дод 2'!U34</f>
        <v>0</v>
      </c>
      <c r="U87" s="61">
        <f>'дод 2'!V34</f>
        <v>0</v>
      </c>
      <c r="V87" s="61">
        <f>'дод 2'!W34</f>
        <v>0</v>
      </c>
      <c r="W87" s="138">
        <f t="shared" si="24"/>
        <v>0</v>
      </c>
      <c r="X87" s="61">
        <f t="shared" si="23"/>
        <v>2992790.59</v>
      </c>
      <c r="Y87" s="179"/>
    </row>
    <row r="88" spans="1:25" s="76" customFormat="1" ht="27" customHeight="1" x14ac:dyDescent="0.25">
      <c r="A88" s="46" t="s">
        <v>85</v>
      </c>
      <c r="B88" s="49"/>
      <c r="C88" s="2" t="s">
        <v>86</v>
      </c>
      <c r="D88" s="60">
        <f t="shared" ref="D88:I88" si="25">D89+D90+D91+D92+D93+D94+D95+D96</f>
        <v>237848912.95999998</v>
      </c>
      <c r="E88" s="60">
        <f t="shared" si="25"/>
        <v>0</v>
      </c>
      <c r="F88" s="60">
        <f t="shared" si="25"/>
        <v>27658106</v>
      </c>
      <c r="G88" s="60">
        <f t="shared" si="25"/>
        <v>88088400.399999991</v>
      </c>
      <c r="H88" s="60">
        <f t="shared" si="25"/>
        <v>0</v>
      </c>
      <c r="I88" s="60">
        <f t="shared" si="25"/>
        <v>13086485.720000001</v>
      </c>
      <c r="J88" s="137">
        <f t="shared" si="22"/>
        <v>37.035443762912713</v>
      </c>
      <c r="K88" s="60">
        <f t="shared" ref="K88:V88" si="26">K89+K90+K91+K92+K93+K94+K95+K96</f>
        <v>79990609.75999999</v>
      </c>
      <c r="L88" s="60">
        <f t="shared" si="26"/>
        <v>79832906.699999988</v>
      </c>
      <c r="M88" s="60">
        <f t="shared" si="26"/>
        <v>0</v>
      </c>
      <c r="N88" s="60">
        <f t="shared" si="26"/>
        <v>0</v>
      </c>
      <c r="O88" s="60">
        <f t="shared" si="26"/>
        <v>0</v>
      </c>
      <c r="P88" s="60">
        <f t="shared" si="26"/>
        <v>79990609.75999999</v>
      </c>
      <c r="Q88" s="60">
        <f t="shared" si="26"/>
        <v>32575580.460000001</v>
      </c>
      <c r="R88" s="60">
        <f t="shared" si="26"/>
        <v>32575580.460000001</v>
      </c>
      <c r="S88" s="60">
        <f t="shared" si="26"/>
        <v>0</v>
      </c>
      <c r="T88" s="60">
        <f t="shared" si="26"/>
        <v>0</v>
      </c>
      <c r="U88" s="60">
        <f t="shared" si="26"/>
        <v>0</v>
      </c>
      <c r="V88" s="60">
        <f t="shared" si="26"/>
        <v>32575580.460000001</v>
      </c>
      <c r="W88" s="137">
        <f t="shared" si="24"/>
        <v>40.72425570668635</v>
      </c>
      <c r="X88" s="60">
        <f t="shared" si="23"/>
        <v>120663980.85999998</v>
      </c>
      <c r="Y88" s="179"/>
    </row>
    <row r="89" spans="1:25" s="78" customFormat="1" ht="33.75" customHeight="1" x14ac:dyDescent="0.25">
      <c r="A89" s="45" t="s">
        <v>155</v>
      </c>
      <c r="B89" s="45" t="s">
        <v>87</v>
      </c>
      <c r="C89" s="3" t="s">
        <v>156</v>
      </c>
      <c r="D89" s="61">
        <f>'дод 2'!E138</f>
        <v>0</v>
      </c>
      <c r="E89" s="61">
        <f>'дод 2'!F138</f>
        <v>0</v>
      </c>
      <c r="F89" s="61">
        <f>'дод 2'!G138</f>
        <v>0</v>
      </c>
      <c r="G89" s="61">
        <f>'дод 2'!H138</f>
        <v>0</v>
      </c>
      <c r="H89" s="61">
        <f>'дод 2'!I138</f>
        <v>0</v>
      </c>
      <c r="I89" s="61">
        <f>'дод 2'!J138</f>
        <v>0</v>
      </c>
      <c r="J89" s="138"/>
      <c r="K89" s="61">
        <f>'дод 2'!L138</f>
        <v>12167333.93</v>
      </c>
      <c r="L89" s="61">
        <f>'дод 2'!M138</f>
        <v>12137333.93</v>
      </c>
      <c r="M89" s="61">
        <f>'дод 2'!N138</f>
        <v>0</v>
      </c>
      <c r="N89" s="61">
        <f>'дод 2'!O138</f>
        <v>0</v>
      </c>
      <c r="O89" s="61">
        <f>'дод 2'!P138</f>
        <v>0</v>
      </c>
      <c r="P89" s="61">
        <f>'дод 2'!Q138</f>
        <v>12167333.93</v>
      </c>
      <c r="Q89" s="61">
        <f>'дод 2'!R138</f>
        <v>6965955.79</v>
      </c>
      <c r="R89" s="61">
        <f>'дод 2'!S138</f>
        <v>6965955.79</v>
      </c>
      <c r="S89" s="61">
        <f>'дод 2'!T138</f>
        <v>0</v>
      </c>
      <c r="T89" s="61">
        <f>'дод 2'!U138</f>
        <v>0</v>
      </c>
      <c r="U89" s="61">
        <f>'дод 2'!V138</f>
        <v>0</v>
      </c>
      <c r="V89" s="61">
        <f>'дод 2'!W138</f>
        <v>6965955.79</v>
      </c>
      <c r="W89" s="138">
        <f t="shared" si="24"/>
        <v>57.251291285962104</v>
      </c>
      <c r="X89" s="61">
        <f t="shared" si="23"/>
        <v>6965955.79</v>
      </c>
      <c r="Y89" s="179"/>
    </row>
    <row r="90" spans="1:25" s="78" customFormat="1" ht="36.75" customHeight="1" x14ac:dyDescent="0.25">
      <c r="A90" s="45" t="s">
        <v>157</v>
      </c>
      <c r="B90" s="45" t="s">
        <v>89</v>
      </c>
      <c r="C90" s="3" t="s">
        <v>178</v>
      </c>
      <c r="D90" s="61">
        <f>'дод 2'!E139</f>
        <v>30925000</v>
      </c>
      <c r="E90" s="61">
        <f>'дод 2'!F139</f>
        <v>0</v>
      </c>
      <c r="F90" s="61">
        <f>'дод 2'!G139</f>
        <v>0</v>
      </c>
      <c r="G90" s="61">
        <f>'дод 2'!H139</f>
        <v>15685594.76</v>
      </c>
      <c r="H90" s="61">
        <f>'дод 2'!I139</f>
        <v>0</v>
      </c>
      <c r="I90" s="61">
        <f>'дод 2'!J139</f>
        <v>0</v>
      </c>
      <c r="J90" s="138">
        <f t="shared" si="22"/>
        <v>50.72140585286985</v>
      </c>
      <c r="K90" s="61">
        <f>'дод 2'!L139</f>
        <v>1721000</v>
      </c>
      <c r="L90" s="61">
        <f>'дод 2'!M139</f>
        <v>1721000</v>
      </c>
      <c r="M90" s="61">
        <f>'дод 2'!N139</f>
        <v>0</v>
      </c>
      <c r="N90" s="61">
        <f>'дод 2'!O139</f>
        <v>0</v>
      </c>
      <c r="O90" s="61">
        <f>'дод 2'!P139</f>
        <v>0</v>
      </c>
      <c r="P90" s="61">
        <f>'дод 2'!Q139</f>
        <v>1721000</v>
      </c>
      <c r="Q90" s="61">
        <f>'дод 2'!R139</f>
        <v>0</v>
      </c>
      <c r="R90" s="61">
        <f>'дод 2'!S139</f>
        <v>0</v>
      </c>
      <c r="S90" s="61">
        <f>'дод 2'!T139</f>
        <v>0</v>
      </c>
      <c r="T90" s="61">
        <f>'дод 2'!U139</f>
        <v>0</v>
      </c>
      <c r="U90" s="61">
        <f>'дод 2'!V139</f>
        <v>0</v>
      </c>
      <c r="V90" s="61">
        <f>'дод 2'!W139</f>
        <v>0</v>
      </c>
      <c r="W90" s="138">
        <f t="shared" si="24"/>
        <v>0</v>
      </c>
      <c r="X90" s="61">
        <f t="shared" si="23"/>
        <v>15685594.76</v>
      </c>
      <c r="Y90" s="179"/>
    </row>
    <row r="91" spans="1:25" s="78" customFormat="1" ht="36.75" customHeight="1" x14ac:dyDescent="0.25">
      <c r="A91" s="48" t="s">
        <v>301</v>
      </c>
      <c r="B91" s="48" t="s">
        <v>89</v>
      </c>
      <c r="C91" s="3" t="s">
        <v>302</v>
      </c>
      <c r="D91" s="61">
        <f>'дод 2'!E140</f>
        <v>193887</v>
      </c>
      <c r="E91" s="61">
        <f>'дод 2'!F140</f>
        <v>0</v>
      </c>
      <c r="F91" s="61">
        <f>'дод 2'!G140</f>
        <v>0</v>
      </c>
      <c r="G91" s="61">
        <f>'дод 2'!H140</f>
        <v>18319.14</v>
      </c>
      <c r="H91" s="61">
        <f>'дод 2'!I140</f>
        <v>0</v>
      </c>
      <c r="I91" s="61">
        <f>'дод 2'!J140</f>
        <v>0</v>
      </c>
      <c r="J91" s="138">
        <f t="shared" si="22"/>
        <v>9.4483590957619636</v>
      </c>
      <c r="K91" s="61">
        <f>'дод 2'!L140</f>
        <v>13408448.83</v>
      </c>
      <c r="L91" s="61">
        <f>'дод 2'!M140</f>
        <v>13358448.83</v>
      </c>
      <c r="M91" s="61">
        <f>'дод 2'!N140</f>
        <v>0</v>
      </c>
      <c r="N91" s="61">
        <f>'дод 2'!O140</f>
        <v>0</v>
      </c>
      <c r="O91" s="61">
        <f>'дод 2'!P140</f>
        <v>0</v>
      </c>
      <c r="P91" s="61">
        <f>'дод 2'!Q140</f>
        <v>13408448.83</v>
      </c>
      <c r="Q91" s="61">
        <f>'дод 2'!R140</f>
        <v>3603943.81</v>
      </c>
      <c r="R91" s="61">
        <f>'дод 2'!S140</f>
        <v>3603943.81</v>
      </c>
      <c r="S91" s="61">
        <f>'дод 2'!T140</f>
        <v>0</v>
      </c>
      <c r="T91" s="61">
        <f>'дод 2'!U140</f>
        <v>0</v>
      </c>
      <c r="U91" s="61">
        <f>'дод 2'!V140</f>
        <v>0</v>
      </c>
      <c r="V91" s="61">
        <f>'дод 2'!W140</f>
        <v>3603943.81</v>
      </c>
      <c r="W91" s="138">
        <f t="shared" si="24"/>
        <v>26.878156121508649</v>
      </c>
      <c r="X91" s="61">
        <f t="shared" si="23"/>
        <v>3622262.95</v>
      </c>
      <c r="Y91" s="179"/>
    </row>
    <row r="92" spans="1:25" s="78" customFormat="1" ht="33" customHeight="1" x14ac:dyDescent="0.25">
      <c r="A92" s="45" t="s">
        <v>304</v>
      </c>
      <c r="B92" s="45" t="s">
        <v>89</v>
      </c>
      <c r="C92" s="3" t="s">
        <v>404</v>
      </c>
      <c r="D92" s="61">
        <f>'дод 2'!E141</f>
        <v>100000</v>
      </c>
      <c r="E92" s="61">
        <f>'дод 2'!F141</f>
        <v>0</v>
      </c>
      <c r="F92" s="61">
        <f>'дод 2'!G141</f>
        <v>0</v>
      </c>
      <c r="G92" s="61">
        <f>'дод 2'!H141</f>
        <v>0</v>
      </c>
      <c r="H92" s="61">
        <f>'дод 2'!I141</f>
        <v>0</v>
      </c>
      <c r="I92" s="61">
        <f>'дод 2'!J141</f>
        <v>0</v>
      </c>
      <c r="J92" s="138">
        <f t="shared" si="22"/>
        <v>0</v>
      </c>
      <c r="K92" s="61">
        <f>'дод 2'!L141</f>
        <v>0</v>
      </c>
      <c r="L92" s="61">
        <f>'дод 2'!M141</f>
        <v>0</v>
      </c>
      <c r="M92" s="61">
        <f>'дод 2'!N141</f>
        <v>0</v>
      </c>
      <c r="N92" s="61">
        <f>'дод 2'!O141</f>
        <v>0</v>
      </c>
      <c r="O92" s="61">
        <f>'дод 2'!P141</f>
        <v>0</v>
      </c>
      <c r="P92" s="61">
        <f>'дод 2'!Q141</f>
        <v>0</v>
      </c>
      <c r="Q92" s="61">
        <f>'дод 2'!R141</f>
        <v>0</v>
      </c>
      <c r="R92" s="61">
        <f>'дод 2'!S141</f>
        <v>0</v>
      </c>
      <c r="S92" s="61">
        <f>'дод 2'!T141</f>
        <v>0</v>
      </c>
      <c r="T92" s="61">
        <f>'дод 2'!U141</f>
        <v>0</v>
      </c>
      <c r="U92" s="61">
        <f>'дод 2'!V141</f>
        <v>0</v>
      </c>
      <c r="V92" s="61">
        <f>'дод 2'!W141</f>
        <v>0</v>
      </c>
      <c r="W92" s="138"/>
      <c r="X92" s="61">
        <f t="shared" si="23"/>
        <v>0</v>
      </c>
      <c r="Y92" s="179"/>
    </row>
    <row r="93" spans="1:25" s="78" customFormat="1" ht="52.5" customHeight="1" x14ac:dyDescent="0.25">
      <c r="A93" s="45" t="s">
        <v>88</v>
      </c>
      <c r="B93" s="45" t="s">
        <v>89</v>
      </c>
      <c r="C93" s="3" t="s">
        <v>160</v>
      </c>
      <c r="D93" s="61">
        <f>'дод 2'!E142</f>
        <v>2605232</v>
      </c>
      <c r="E93" s="61">
        <f>'дод 2'!F142</f>
        <v>0</v>
      </c>
      <c r="F93" s="61">
        <f>'дод 2'!G142</f>
        <v>0</v>
      </c>
      <c r="G93" s="61">
        <f>'дод 2'!H142</f>
        <v>146562.48000000001</v>
      </c>
      <c r="H93" s="61">
        <f>'дод 2'!I142</f>
        <v>0</v>
      </c>
      <c r="I93" s="61">
        <f>'дод 2'!J142</f>
        <v>0</v>
      </c>
      <c r="J93" s="138">
        <f t="shared" si="22"/>
        <v>5.6256978265275421</v>
      </c>
      <c r="K93" s="61">
        <f>'дод 2'!L142</f>
        <v>2000000</v>
      </c>
      <c r="L93" s="61">
        <f>'дод 2'!M142</f>
        <v>2000000</v>
      </c>
      <c r="M93" s="61">
        <f>'дод 2'!N142</f>
        <v>0</v>
      </c>
      <c r="N93" s="61">
        <f>'дод 2'!O142</f>
        <v>0</v>
      </c>
      <c r="O93" s="61">
        <f>'дод 2'!P142</f>
        <v>0</v>
      </c>
      <c r="P93" s="61">
        <f>'дод 2'!Q142</f>
        <v>2000000</v>
      </c>
      <c r="Q93" s="61">
        <f>'дод 2'!R142</f>
        <v>599323.9</v>
      </c>
      <c r="R93" s="61">
        <f>'дод 2'!S142</f>
        <v>599323.9</v>
      </c>
      <c r="S93" s="61">
        <f>'дод 2'!T142</f>
        <v>0</v>
      </c>
      <c r="T93" s="61">
        <f>'дод 2'!U142</f>
        <v>0</v>
      </c>
      <c r="U93" s="61">
        <f>'дод 2'!V142</f>
        <v>0</v>
      </c>
      <c r="V93" s="61">
        <f>'дод 2'!W142</f>
        <v>599323.9</v>
      </c>
      <c r="W93" s="138">
        <f t="shared" si="24"/>
        <v>29.966195000000003</v>
      </c>
      <c r="X93" s="61">
        <f t="shared" si="23"/>
        <v>745886.38</v>
      </c>
      <c r="Y93" s="179"/>
    </row>
    <row r="94" spans="1:25" ht="30" customHeight="1" x14ac:dyDescent="0.25">
      <c r="A94" s="45" t="s">
        <v>158</v>
      </c>
      <c r="B94" s="45" t="s">
        <v>89</v>
      </c>
      <c r="C94" s="3" t="s">
        <v>159</v>
      </c>
      <c r="D94" s="61">
        <f>'дод 2'!E143+'дод 2'!E167</f>
        <v>192585770.56999999</v>
      </c>
      <c r="E94" s="61">
        <f>'дод 2'!F143+'дод 2'!F167</f>
        <v>0</v>
      </c>
      <c r="F94" s="61">
        <f>'дод 2'!G143+'дод 2'!G167</f>
        <v>27615706</v>
      </c>
      <c r="G94" s="61">
        <f>'дод 2'!H143+'дод 2'!H167</f>
        <v>71380027.049999997</v>
      </c>
      <c r="H94" s="61">
        <f>'дод 2'!I143+'дод 2'!I167</f>
        <v>0</v>
      </c>
      <c r="I94" s="61">
        <f>'дод 2'!J143+'дод 2'!J167</f>
        <v>13078474.83</v>
      </c>
      <c r="J94" s="138">
        <f t="shared" si="22"/>
        <v>37.064019236070813</v>
      </c>
      <c r="K94" s="61">
        <f>'дод 2'!L143+'дод 2'!L167</f>
        <v>49815415.150000006</v>
      </c>
      <c r="L94" s="61">
        <f>'дод 2'!M143+'дод 2'!M167</f>
        <v>49815415.150000006</v>
      </c>
      <c r="M94" s="61">
        <f>'дод 2'!N143+'дод 2'!N167</f>
        <v>0</v>
      </c>
      <c r="N94" s="61">
        <f>'дод 2'!O143+'дод 2'!O167</f>
        <v>0</v>
      </c>
      <c r="O94" s="61">
        <f>'дод 2'!P143+'дод 2'!P167</f>
        <v>0</v>
      </c>
      <c r="P94" s="61">
        <f>'дод 2'!Q143+'дод 2'!Q167</f>
        <v>49815415.150000006</v>
      </c>
      <c r="Q94" s="61">
        <f>'дод 2'!R143+'дод 2'!R167</f>
        <v>21406356.960000001</v>
      </c>
      <c r="R94" s="61">
        <f>'дод 2'!S143+'дод 2'!S167</f>
        <v>21406356.960000001</v>
      </c>
      <c r="S94" s="61">
        <f>'дод 2'!T143+'дод 2'!T167</f>
        <v>0</v>
      </c>
      <c r="T94" s="61">
        <f>'дод 2'!U143+'дод 2'!U167</f>
        <v>0</v>
      </c>
      <c r="U94" s="61">
        <f>'дод 2'!V143+'дод 2'!V167</f>
        <v>0</v>
      </c>
      <c r="V94" s="61">
        <f>'дод 2'!W143+'дод 2'!W167</f>
        <v>21406356.960000001</v>
      </c>
      <c r="W94" s="138">
        <f t="shared" si="24"/>
        <v>42.971351128045349</v>
      </c>
      <c r="X94" s="61">
        <f t="shared" si="23"/>
        <v>92786384.00999999</v>
      </c>
      <c r="Y94" s="179"/>
    </row>
    <row r="95" spans="1:25" s="78" customFormat="1" ht="57" customHeight="1" x14ac:dyDescent="0.25">
      <c r="A95" s="45" t="s">
        <v>162</v>
      </c>
      <c r="B95" s="50" t="s">
        <v>87</v>
      </c>
      <c r="C95" s="3" t="s">
        <v>163</v>
      </c>
      <c r="D95" s="61">
        <f>'дод 2'!E168</f>
        <v>84906</v>
      </c>
      <c r="E95" s="61">
        <f>'дод 2'!F168</f>
        <v>0</v>
      </c>
      <c r="F95" s="61">
        <f>'дод 2'!G168</f>
        <v>0</v>
      </c>
      <c r="G95" s="61">
        <f>'дод 2'!H168</f>
        <v>0</v>
      </c>
      <c r="H95" s="61">
        <f>'дод 2'!I168</f>
        <v>0</v>
      </c>
      <c r="I95" s="61">
        <f>'дод 2'!J168</f>
        <v>0</v>
      </c>
      <c r="J95" s="138">
        <f t="shared" si="22"/>
        <v>0</v>
      </c>
      <c r="K95" s="61">
        <f>'дод 2'!L168</f>
        <v>77703.06</v>
      </c>
      <c r="L95" s="61">
        <f>'дод 2'!M168</f>
        <v>0</v>
      </c>
      <c r="M95" s="61">
        <f>'дод 2'!N168</f>
        <v>0</v>
      </c>
      <c r="N95" s="61">
        <f>'дод 2'!O168</f>
        <v>0</v>
      </c>
      <c r="O95" s="61">
        <f>'дод 2'!P168</f>
        <v>0</v>
      </c>
      <c r="P95" s="61">
        <f>'дод 2'!Q168</f>
        <v>77703.06</v>
      </c>
      <c r="Q95" s="61">
        <f>'дод 2'!R168</f>
        <v>0</v>
      </c>
      <c r="R95" s="61">
        <f>'дод 2'!S168</f>
        <v>0</v>
      </c>
      <c r="S95" s="61">
        <f>'дод 2'!T168</f>
        <v>0</v>
      </c>
      <c r="T95" s="61">
        <f>'дод 2'!U168</f>
        <v>0</v>
      </c>
      <c r="U95" s="61">
        <f>'дод 2'!V168</f>
        <v>0</v>
      </c>
      <c r="V95" s="61">
        <f>'дод 2'!W168</f>
        <v>0</v>
      </c>
      <c r="W95" s="138">
        <f t="shared" si="24"/>
        <v>0</v>
      </c>
      <c r="X95" s="61">
        <f t="shared" si="23"/>
        <v>0</v>
      </c>
      <c r="Y95" s="179"/>
    </row>
    <row r="96" spans="1:25" ht="39.75" customHeight="1" x14ac:dyDescent="0.25">
      <c r="A96" s="45" t="s">
        <v>172</v>
      </c>
      <c r="B96" s="50" t="s">
        <v>363</v>
      </c>
      <c r="C96" s="3" t="s">
        <v>173</v>
      </c>
      <c r="D96" s="61">
        <f>'дод 2'!E144+'дод 2'!E181</f>
        <v>11354117.390000001</v>
      </c>
      <c r="E96" s="61">
        <f>'дод 2'!F144+'дод 2'!F181</f>
        <v>0</v>
      </c>
      <c r="F96" s="61">
        <f>'дод 2'!G144+'дод 2'!G181</f>
        <v>42400</v>
      </c>
      <c r="G96" s="61">
        <f>'дод 2'!H144+'дод 2'!H181</f>
        <v>857896.97</v>
      </c>
      <c r="H96" s="61">
        <f>'дод 2'!I144+'дод 2'!I181</f>
        <v>0</v>
      </c>
      <c r="I96" s="61">
        <f>'дод 2'!J144+'дод 2'!J181</f>
        <v>8010.89</v>
      </c>
      <c r="J96" s="138">
        <f t="shared" si="22"/>
        <v>7.5558226195158253</v>
      </c>
      <c r="K96" s="61">
        <f>'дод 2'!L144+'дод 2'!L181</f>
        <v>800708.78999999911</v>
      </c>
      <c r="L96" s="61">
        <f>'дод 2'!M144+'дод 2'!M181</f>
        <v>800708.78999999911</v>
      </c>
      <c r="M96" s="61">
        <f>'дод 2'!N144+'дод 2'!N181</f>
        <v>0</v>
      </c>
      <c r="N96" s="61">
        <f>'дод 2'!O144+'дод 2'!O181</f>
        <v>0</v>
      </c>
      <c r="O96" s="61">
        <f>'дод 2'!P144+'дод 2'!P181</f>
        <v>0</v>
      </c>
      <c r="P96" s="61">
        <f>'дод 2'!Q144+'дод 2'!Q181</f>
        <v>800708.78999999911</v>
      </c>
      <c r="Q96" s="61">
        <f>'дод 2'!R144+'дод 2'!R181</f>
        <v>0</v>
      </c>
      <c r="R96" s="61">
        <f>'дод 2'!S144+'дод 2'!S181</f>
        <v>0</v>
      </c>
      <c r="S96" s="61">
        <f>'дод 2'!T144+'дод 2'!T181</f>
        <v>0</v>
      </c>
      <c r="T96" s="61">
        <f>'дод 2'!U144+'дод 2'!U181</f>
        <v>0</v>
      </c>
      <c r="U96" s="61">
        <f>'дод 2'!V144+'дод 2'!V181</f>
        <v>0</v>
      </c>
      <c r="V96" s="61">
        <f>'дод 2'!W144+'дод 2'!W181</f>
        <v>0</v>
      </c>
      <c r="W96" s="138">
        <f t="shared" si="24"/>
        <v>0</v>
      </c>
      <c r="X96" s="61">
        <f t="shared" si="23"/>
        <v>857896.97</v>
      </c>
      <c r="Y96" s="179"/>
    </row>
    <row r="97" spans="1:25" s="76" customFormat="1" ht="29.25" customHeight="1" x14ac:dyDescent="0.25">
      <c r="A97" s="46" t="s">
        <v>164</v>
      </c>
      <c r="B97" s="49"/>
      <c r="C97" s="2" t="s">
        <v>165</v>
      </c>
      <c r="D97" s="60">
        <f t="shared" ref="D97:I97" si="27">D99+D101+D113+D120+D122+D131</f>
        <v>50749667</v>
      </c>
      <c r="E97" s="60">
        <f t="shared" si="27"/>
        <v>0</v>
      </c>
      <c r="F97" s="60">
        <f t="shared" si="27"/>
        <v>0</v>
      </c>
      <c r="G97" s="60">
        <f t="shared" si="27"/>
        <v>22887764.250000004</v>
      </c>
      <c r="H97" s="60">
        <f t="shared" si="27"/>
        <v>0</v>
      </c>
      <c r="I97" s="60">
        <f t="shared" si="27"/>
        <v>0</v>
      </c>
      <c r="J97" s="137">
        <f t="shared" si="22"/>
        <v>45.099338779897813</v>
      </c>
      <c r="K97" s="60">
        <f t="shared" ref="K97:V97" si="28">K99+K101+K113+K120+K122+K131</f>
        <v>334741522.25999999</v>
      </c>
      <c r="L97" s="60">
        <f t="shared" si="28"/>
        <v>240232390.13</v>
      </c>
      <c r="M97" s="60">
        <f t="shared" si="28"/>
        <v>82171363.010000005</v>
      </c>
      <c r="N97" s="60">
        <f t="shared" si="28"/>
        <v>0</v>
      </c>
      <c r="O97" s="60">
        <f t="shared" si="28"/>
        <v>0</v>
      </c>
      <c r="P97" s="60">
        <f t="shared" si="28"/>
        <v>252570159.25</v>
      </c>
      <c r="Q97" s="60">
        <f t="shared" si="28"/>
        <v>70122852.400000006</v>
      </c>
      <c r="R97" s="60">
        <f t="shared" si="28"/>
        <v>29552451.399999999</v>
      </c>
      <c r="S97" s="60">
        <f t="shared" si="28"/>
        <v>40130690</v>
      </c>
      <c r="T97" s="60">
        <f t="shared" si="28"/>
        <v>0</v>
      </c>
      <c r="U97" s="60">
        <f t="shared" si="28"/>
        <v>0</v>
      </c>
      <c r="V97" s="60">
        <f t="shared" si="28"/>
        <v>29992162.399999999</v>
      </c>
      <c r="W97" s="137">
        <f t="shared" si="24"/>
        <v>20.948357982770442</v>
      </c>
      <c r="X97" s="60">
        <f t="shared" si="23"/>
        <v>93010616.650000006</v>
      </c>
      <c r="Y97" s="179"/>
    </row>
    <row r="98" spans="1:25" s="76" customFormat="1" ht="18.75" customHeight="1" x14ac:dyDescent="0.25">
      <c r="A98" s="46"/>
      <c r="B98" s="49"/>
      <c r="C98" s="2" t="s">
        <v>307</v>
      </c>
      <c r="D98" s="60">
        <f t="shared" ref="D98:I98" si="29">D102+D114</f>
        <v>0</v>
      </c>
      <c r="E98" s="60">
        <f t="shared" si="29"/>
        <v>0</v>
      </c>
      <c r="F98" s="60">
        <f t="shared" si="29"/>
        <v>0</v>
      </c>
      <c r="G98" s="60">
        <f t="shared" si="29"/>
        <v>0</v>
      </c>
      <c r="H98" s="60">
        <f t="shared" si="29"/>
        <v>0</v>
      </c>
      <c r="I98" s="60">
        <f t="shared" si="29"/>
        <v>0</v>
      </c>
      <c r="J98" s="137"/>
      <c r="K98" s="60">
        <f t="shared" ref="K98:V98" si="30">K102+K114</f>
        <v>81187498.930000007</v>
      </c>
      <c r="L98" s="60">
        <f t="shared" si="30"/>
        <v>1187498.93</v>
      </c>
      <c r="M98" s="60">
        <f t="shared" si="30"/>
        <v>80000000</v>
      </c>
      <c r="N98" s="60">
        <f t="shared" si="30"/>
        <v>0</v>
      </c>
      <c r="O98" s="60">
        <f t="shared" si="30"/>
        <v>0</v>
      </c>
      <c r="P98" s="60">
        <f t="shared" si="30"/>
        <v>1187498.93</v>
      </c>
      <c r="Q98" s="60">
        <f t="shared" si="30"/>
        <v>40359890.479999997</v>
      </c>
      <c r="R98" s="60">
        <f t="shared" si="30"/>
        <v>359890.48</v>
      </c>
      <c r="S98" s="60">
        <f t="shared" si="30"/>
        <v>40000000</v>
      </c>
      <c r="T98" s="60">
        <f t="shared" si="30"/>
        <v>0</v>
      </c>
      <c r="U98" s="60">
        <f t="shared" si="30"/>
        <v>0</v>
      </c>
      <c r="V98" s="60">
        <f t="shared" si="30"/>
        <v>359890.48</v>
      </c>
      <c r="W98" s="137">
        <f t="shared" si="24"/>
        <v>49.711951977727949</v>
      </c>
      <c r="X98" s="60">
        <f t="shared" si="23"/>
        <v>40359890.479999997</v>
      </c>
      <c r="Y98" s="179"/>
    </row>
    <row r="99" spans="1:25" x14ac:dyDescent="0.25">
      <c r="A99" s="45" t="s">
        <v>174</v>
      </c>
      <c r="B99" s="135"/>
      <c r="C99" s="3" t="s">
        <v>175</v>
      </c>
      <c r="D99" s="61">
        <f t="shared" ref="D99:V99" si="31">D100</f>
        <v>700000</v>
      </c>
      <c r="E99" s="61">
        <f t="shared" si="31"/>
        <v>0</v>
      </c>
      <c r="F99" s="61">
        <f t="shared" si="31"/>
        <v>0</v>
      </c>
      <c r="G99" s="61">
        <f t="shared" si="31"/>
        <v>0</v>
      </c>
      <c r="H99" s="61">
        <f t="shared" si="31"/>
        <v>0</v>
      </c>
      <c r="I99" s="61">
        <f t="shared" si="31"/>
        <v>0</v>
      </c>
      <c r="J99" s="138">
        <f t="shared" si="22"/>
        <v>0</v>
      </c>
      <c r="K99" s="61">
        <f t="shared" si="31"/>
        <v>0</v>
      </c>
      <c r="L99" s="61">
        <f t="shared" si="31"/>
        <v>0</v>
      </c>
      <c r="M99" s="61">
        <f t="shared" si="31"/>
        <v>0</v>
      </c>
      <c r="N99" s="61">
        <f t="shared" si="31"/>
        <v>0</v>
      </c>
      <c r="O99" s="61">
        <f t="shared" si="31"/>
        <v>0</v>
      </c>
      <c r="P99" s="61">
        <f t="shared" si="31"/>
        <v>0</v>
      </c>
      <c r="Q99" s="61">
        <f t="shared" si="31"/>
        <v>0</v>
      </c>
      <c r="R99" s="61">
        <f t="shared" si="31"/>
        <v>0</v>
      </c>
      <c r="S99" s="61">
        <f t="shared" si="31"/>
        <v>0</v>
      </c>
      <c r="T99" s="61">
        <f t="shared" si="31"/>
        <v>0</v>
      </c>
      <c r="U99" s="61">
        <f t="shared" si="31"/>
        <v>0</v>
      </c>
      <c r="V99" s="61">
        <f t="shared" si="31"/>
        <v>0</v>
      </c>
      <c r="W99" s="138"/>
      <c r="X99" s="61">
        <f t="shared" si="23"/>
        <v>0</v>
      </c>
      <c r="Y99" s="179"/>
    </row>
    <row r="100" spans="1:25" ht="24" customHeight="1" x14ac:dyDescent="0.25">
      <c r="A100" s="45" t="s">
        <v>166</v>
      </c>
      <c r="B100" s="45" t="s">
        <v>103</v>
      </c>
      <c r="C100" s="3" t="s">
        <v>405</v>
      </c>
      <c r="D100" s="61">
        <f>'дод 2'!E189</f>
        <v>700000</v>
      </c>
      <c r="E100" s="61">
        <f>'дод 2'!F189</f>
        <v>0</v>
      </c>
      <c r="F100" s="61">
        <f>'дод 2'!G189</f>
        <v>0</v>
      </c>
      <c r="G100" s="61">
        <f>'дод 2'!H189</f>
        <v>0</v>
      </c>
      <c r="H100" s="61">
        <f>'дод 2'!I189</f>
        <v>0</v>
      </c>
      <c r="I100" s="61">
        <f>'дод 2'!J189</f>
        <v>0</v>
      </c>
      <c r="J100" s="138">
        <f t="shared" si="22"/>
        <v>0</v>
      </c>
      <c r="K100" s="61">
        <f>'дод 2'!L189</f>
        <v>0</v>
      </c>
      <c r="L100" s="61">
        <f>'дод 2'!M189</f>
        <v>0</v>
      </c>
      <c r="M100" s="61">
        <f>'дод 2'!N189</f>
        <v>0</v>
      </c>
      <c r="N100" s="61">
        <f>'дод 2'!O189</f>
        <v>0</v>
      </c>
      <c r="O100" s="61">
        <f>'дод 2'!P189</f>
        <v>0</v>
      </c>
      <c r="P100" s="61">
        <f>'дод 2'!Q189</f>
        <v>0</v>
      </c>
      <c r="Q100" s="61">
        <f>'дод 2'!R189</f>
        <v>0</v>
      </c>
      <c r="R100" s="61">
        <f>'дод 2'!S189</f>
        <v>0</v>
      </c>
      <c r="S100" s="61">
        <f>'дод 2'!T189</f>
        <v>0</v>
      </c>
      <c r="T100" s="61">
        <f>'дод 2'!U189</f>
        <v>0</v>
      </c>
      <c r="U100" s="61">
        <f>'дод 2'!V189</f>
        <v>0</v>
      </c>
      <c r="V100" s="61">
        <f>'дод 2'!W189</f>
        <v>0</v>
      </c>
      <c r="W100" s="138"/>
      <c r="X100" s="61">
        <f t="shared" si="23"/>
        <v>0</v>
      </c>
      <c r="Y100" s="179"/>
    </row>
    <row r="101" spans="1:25" s="76" customFormat="1" ht="21" customHeight="1" x14ac:dyDescent="0.25">
      <c r="A101" s="46" t="s">
        <v>117</v>
      </c>
      <c r="B101" s="46"/>
      <c r="C101" s="12" t="s">
        <v>167</v>
      </c>
      <c r="D101" s="60">
        <f t="shared" ref="D101:I101" si="32">D103+D104+D105+D107+D108+D110+D106+D109+D111</f>
        <v>0</v>
      </c>
      <c r="E101" s="60">
        <f t="shared" si="32"/>
        <v>0</v>
      </c>
      <c r="F101" s="60">
        <f t="shared" si="32"/>
        <v>0</v>
      </c>
      <c r="G101" s="60">
        <f t="shared" si="32"/>
        <v>0</v>
      </c>
      <c r="H101" s="60">
        <f t="shared" si="32"/>
        <v>0</v>
      </c>
      <c r="I101" s="60">
        <f t="shared" si="32"/>
        <v>0</v>
      </c>
      <c r="J101" s="137"/>
      <c r="K101" s="60">
        <f t="shared" ref="K101:V101" si="33">K103+K104+K105+K107+K108+K110+K106+K109+K111</f>
        <v>94767338.129999995</v>
      </c>
      <c r="L101" s="60">
        <f t="shared" si="33"/>
        <v>94767338.129999995</v>
      </c>
      <c r="M101" s="60">
        <f t="shared" si="33"/>
        <v>0</v>
      </c>
      <c r="N101" s="60">
        <f t="shared" si="33"/>
        <v>0</v>
      </c>
      <c r="O101" s="60">
        <f t="shared" si="33"/>
        <v>0</v>
      </c>
      <c r="P101" s="60">
        <f t="shared" si="33"/>
        <v>94767338.129999995</v>
      </c>
      <c r="Q101" s="60">
        <f t="shared" si="33"/>
        <v>25472414.73</v>
      </c>
      <c r="R101" s="60">
        <f t="shared" si="33"/>
        <v>25472414.73</v>
      </c>
      <c r="S101" s="60">
        <f t="shared" si="33"/>
        <v>0</v>
      </c>
      <c r="T101" s="60">
        <f t="shared" si="33"/>
        <v>0</v>
      </c>
      <c r="U101" s="60">
        <f t="shared" si="33"/>
        <v>0</v>
      </c>
      <c r="V101" s="60">
        <f t="shared" si="33"/>
        <v>25472414.73</v>
      </c>
      <c r="W101" s="137">
        <f t="shared" si="24"/>
        <v>26.878896498134658</v>
      </c>
      <c r="X101" s="60">
        <f t="shared" si="23"/>
        <v>25472414.73</v>
      </c>
      <c r="Y101" s="179"/>
    </row>
    <row r="102" spans="1:25" s="76" customFormat="1" ht="21" customHeight="1" x14ac:dyDescent="0.25">
      <c r="A102" s="46"/>
      <c r="B102" s="46"/>
      <c r="C102" s="2" t="s">
        <v>307</v>
      </c>
      <c r="D102" s="60">
        <f t="shared" ref="D102:I102" si="34">D112</f>
        <v>0</v>
      </c>
      <c r="E102" s="60">
        <f t="shared" si="34"/>
        <v>0</v>
      </c>
      <c r="F102" s="60">
        <f t="shared" si="34"/>
        <v>0</v>
      </c>
      <c r="G102" s="60">
        <f t="shared" si="34"/>
        <v>0</v>
      </c>
      <c r="H102" s="60">
        <f t="shared" si="34"/>
        <v>0</v>
      </c>
      <c r="I102" s="60">
        <f t="shared" si="34"/>
        <v>0</v>
      </c>
      <c r="J102" s="137"/>
      <c r="K102" s="60">
        <f t="shared" ref="K102:V102" si="35">K112</f>
        <v>1187498.93</v>
      </c>
      <c r="L102" s="60">
        <f t="shared" si="35"/>
        <v>1187498.93</v>
      </c>
      <c r="M102" s="60">
        <f t="shared" si="35"/>
        <v>0</v>
      </c>
      <c r="N102" s="60">
        <f t="shared" si="35"/>
        <v>0</v>
      </c>
      <c r="O102" s="60">
        <f t="shared" si="35"/>
        <v>0</v>
      </c>
      <c r="P102" s="60">
        <f t="shared" si="35"/>
        <v>1187498.93</v>
      </c>
      <c r="Q102" s="60">
        <f t="shared" si="35"/>
        <v>359890.48</v>
      </c>
      <c r="R102" s="60">
        <f t="shared" si="35"/>
        <v>359890.48</v>
      </c>
      <c r="S102" s="60">
        <f t="shared" si="35"/>
        <v>0</v>
      </c>
      <c r="T102" s="60">
        <f t="shared" si="35"/>
        <v>0</v>
      </c>
      <c r="U102" s="60">
        <f t="shared" si="35"/>
        <v>0</v>
      </c>
      <c r="V102" s="60">
        <f t="shared" si="35"/>
        <v>359890.48</v>
      </c>
      <c r="W102" s="137">
        <f t="shared" si="24"/>
        <v>30.306594044678427</v>
      </c>
      <c r="X102" s="60">
        <f t="shared" si="23"/>
        <v>359890.48</v>
      </c>
      <c r="Y102" s="179"/>
    </row>
    <row r="103" spans="1:25" ht="28.5" customHeight="1" x14ac:dyDescent="0.25">
      <c r="A103" s="48" t="s">
        <v>314</v>
      </c>
      <c r="B103" s="48" t="s">
        <v>132</v>
      </c>
      <c r="C103" s="3" t="s">
        <v>323</v>
      </c>
      <c r="D103" s="61">
        <f>'дод 2'!E169+'дод 2'!E145</f>
        <v>0</v>
      </c>
      <c r="E103" s="61">
        <f>'дод 2'!F169+'дод 2'!F145</f>
        <v>0</v>
      </c>
      <c r="F103" s="61">
        <f>'дод 2'!G169+'дод 2'!G145</f>
        <v>0</v>
      </c>
      <c r="G103" s="61">
        <f>'дод 2'!H169+'дод 2'!H145</f>
        <v>0</v>
      </c>
      <c r="H103" s="61">
        <f>'дод 2'!I169+'дод 2'!I145</f>
        <v>0</v>
      </c>
      <c r="I103" s="61">
        <f>'дод 2'!J169+'дод 2'!J145</f>
        <v>0</v>
      </c>
      <c r="J103" s="138"/>
      <c r="K103" s="61">
        <f>'дод 2'!L169+'дод 2'!L145</f>
        <v>13462297.759999998</v>
      </c>
      <c r="L103" s="61">
        <f>'дод 2'!M169+'дод 2'!M145</f>
        <v>13462297.759999998</v>
      </c>
      <c r="M103" s="61">
        <f>'дод 2'!N169+'дод 2'!N145</f>
        <v>0</v>
      </c>
      <c r="N103" s="61">
        <f>'дод 2'!O169+'дод 2'!O145</f>
        <v>0</v>
      </c>
      <c r="O103" s="61">
        <f>'дод 2'!P169+'дод 2'!P145</f>
        <v>0</v>
      </c>
      <c r="P103" s="61">
        <f>'дод 2'!Q169+'дод 2'!Q145</f>
        <v>13462297.759999998</v>
      </c>
      <c r="Q103" s="61">
        <f>'дод 2'!R169+'дод 2'!R145</f>
        <v>5521299.6299999999</v>
      </c>
      <c r="R103" s="61">
        <f>'дод 2'!S169+'дод 2'!S145</f>
        <v>5521299.6299999999</v>
      </c>
      <c r="S103" s="61">
        <f>'дод 2'!T169+'дод 2'!T145</f>
        <v>0</v>
      </c>
      <c r="T103" s="61">
        <f>'дод 2'!U169+'дод 2'!U145</f>
        <v>0</v>
      </c>
      <c r="U103" s="61">
        <f>'дод 2'!V169+'дод 2'!V145</f>
        <v>0</v>
      </c>
      <c r="V103" s="61">
        <f>'дод 2'!W169+'дод 2'!W145</f>
        <v>5521299.6299999999</v>
      </c>
      <c r="W103" s="138">
        <f t="shared" si="24"/>
        <v>41.013055337441898</v>
      </c>
      <c r="X103" s="61">
        <f t="shared" si="23"/>
        <v>5521299.6299999999</v>
      </c>
      <c r="Y103" s="179"/>
    </row>
    <row r="104" spans="1:25" s="78" customFormat="1" ht="28.5" customHeight="1" x14ac:dyDescent="0.25">
      <c r="A104" s="48" t="s">
        <v>319</v>
      </c>
      <c r="B104" s="48" t="s">
        <v>132</v>
      </c>
      <c r="C104" s="3" t="s">
        <v>324</v>
      </c>
      <c r="D104" s="61">
        <f>'дод 2'!E170+'дод 2'!E71</f>
        <v>0</v>
      </c>
      <c r="E104" s="61">
        <f>'дод 2'!F170+'дод 2'!F71</f>
        <v>0</v>
      </c>
      <c r="F104" s="61">
        <f>'дод 2'!G170+'дод 2'!G71</f>
        <v>0</v>
      </c>
      <c r="G104" s="61">
        <f>'дод 2'!H170+'дод 2'!H71</f>
        <v>0</v>
      </c>
      <c r="H104" s="61">
        <f>'дод 2'!I170+'дод 2'!I71</f>
        <v>0</v>
      </c>
      <c r="I104" s="61">
        <f>'дод 2'!J170+'дод 2'!J71</f>
        <v>0</v>
      </c>
      <c r="J104" s="138"/>
      <c r="K104" s="61">
        <f>'дод 2'!L170+'дод 2'!L71</f>
        <v>4050000</v>
      </c>
      <c r="L104" s="61">
        <f>'дод 2'!M170+'дод 2'!M71</f>
        <v>4050000</v>
      </c>
      <c r="M104" s="61">
        <f>'дод 2'!N170+'дод 2'!N71</f>
        <v>0</v>
      </c>
      <c r="N104" s="61">
        <f>'дод 2'!O170+'дод 2'!O71</f>
        <v>0</v>
      </c>
      <c r="O104" s="61">
        <f>'дод 2'!P170+'дод 2'!P71</f>
        <v>0</v>
      </c>
      <c r="P104" s="61">
        <f>'дод 2'!Q170+'дод 2'!Q71</f>
        <v>4050000</v>
      </c>
      <c r="Q104" s="61">
        <f>'дод 2'!R170+'дод 2'!R71</f>
        <v>0</v>
      </c>
      <c r="R104" s="61">
        <f>'дод 2'!S170+'дод 2'!S71</f>
        <v>0</v>
      </c>
      <c r="S104" s="61">
        <f>'дод 2'!T170+'дод 2'!T71</f>
        <v>0</v>
      </c>
      <c r="T104" s="61">
        <f>'дод 2'!U170+'дод 2'!U71</f>
        <v>0</v>
      </c>
      <c r="U104" s="61">
        <f>'дод 2'!V170+'дод 2'!V71</f>
        <v>0</v>
      </c>
      <c r="V104" s="61">
        <f>'дод 2'!W170+'дод 2'!W71</f>
        <v>0</v>
      </c>
      <c r="W104" s="138">
        <f t="shared" si="24"/>
        <v>0</v>
      </c>
      <c r="X104" s="61">
        <f t="shared" si="23"/>
        <v>0</v>
      </c>
      <c r="Y104" s="179"/>
    </row>
    <row r="105" spans="1:25" s="78" customFormat="1" ht="28.5" customHeight="1" x14ac:dyDescent="0.25">
      <c r="A105" s="48" t="s">
        <v>321</v>
      </c>
      <c r="B105" s="48" t="s">
        <v>132</v>
      </c>
      <c r="C105" s="3" t="s">
        <v>325</v>
      </c>
      <c r="D105" s="61">
        <f>'дод 2'!E171</f>
        <v>0</v>
      </c>
      <c r="E105" s="61">
        <f>'дод 2'!F171</f>
        <v>0</v>
      </c>
      <c r="F105" s="61">
        <f>'дод 2'!G171</f>
        <v>0</v>
      </c>
      <c r="G105" s="61">
        <f>'дод 2'!H171</f>
        <v>0</v>
      </c>
      <c r="H105" s="61">
        <f>'дод 2'!I171</f>
        <v>0</v>
      </c>
      <c r="I105" s="61">
        <f>'дод 2'!J171</f>
        <v>0</v>
      </c>
      <c r="J105" s="138"/>
      <c r="K105" s="61">
        <f>'дод 2'!L171</f>
        <v>12454849</v>
      </c>
      <c r="L105" s="61">
        <f>'дод 2'!M171</f>
        <v>12454849</v>
      </c>
      <c r="M105" s="61">
        <f>'дод 2'!N171</f>
        <v>0</v>
      </c>
      <c r="N105" s="61">
        <f>'дод 2'!O171</f>
        <v>0</v>
      </c>
      <c r="O105" s="61">
        <f>'дод 2'!P171</f>
        <v>0</v>
      </c>
      <c r="P105" s="61">
        <f>'дод 2'!Q171</f>
        <v>12454849</v>
      </c>
      <c r="Q105" s="61">
        <f>'дод 2'!R171</f>
        <v>4417109</v>
      </c>
      <c r="R105" s="61">
        <f>'дод 2'!S171</f>
        <v>4417109</v>
      </c>
      <c r="S105" s="61">
        <f>'дод 2'!T171</f>
        <v>0</v>
      </c>
      <c r="T105" s="61">
        <f>'дод 2'!U171</f>
        <v>0</v>
      </c>
      <c r="U105" s="61">
        <f>'дод 2'!V171</f>
        <v>0</v>
      </c>
      <c r="V105" s="61">
        <f>'дод 2'!W171</f>
        <v>4417109</v>
      </c>
      <c r="W105" s="138">
        <f t="shared" si="24"/>
        <v>35.464974324457884</v>
      </c>
      <c r="X105" s="61">
        <f t="shared" si="23"/>
        <v>4417109</v>
      </c>
      <c r="Y105" s="179"/>
    </row>
    <row r="106" spans="1:25" s="78" customFormat="1" ht="31.5" x14ac:dyDescent="0.25">
      <c r="A106" s="48">
        <v>7325</v>
      </c>
      <c r="B106" s="151" t="s">
        <v>132</v>
      </c>
      <c r="C106" s="3" t="s">
        <v>420</v>
      </c>
      <c r="D106" s="61">
        <f>'дод 2'!E172</f>
        <v>0</v>
      </c>
      <c r="E106" s="61">
        <f>'дод 2'!F172</f>
        <v>0</v>
      </c>
      <c r="F106" s="61">
        <f>'дод 2'!G172</f>
        <v>0</v>
      </c>
      <c r="G106" s="61">
        <f>'дод 2'!H172</f>
        <v>0</v>
      </c>
      <c r="H106" s="61">
        <f>'дод 2'!I172</f>
        <v>0</v>
      </c>
      <c r="I106" s="61">
        <f>'дод 2'!J172</f>
        <v>0</v>
      </c>
      <c r="J106" s="138"/>
      <c r="K106" s="61">
        <f>'дод 2'!L172</f>
        <v>500000</v>
      </c>
      <c r="L106" s="61">
        <f>'дод 2'!M172</f>
        <v>500000</v>
      </c>
      <c r="M106" s="61">
        <f>'дод 2'!N172</f>
        <v>0</v>
      </c>
      <c r="N106" s="61">
        <f>'дод 2'!O172</f>
        <v>0</v>
      </c>
      <c r="O106" s="61">
        <f>'дод 2'!P172</f>
        <v>0</v>
      </c>
      <c r="P106" s="61">
        <f>'дод 2'!Q172</f>
        <v>500000</v>
      </c>
      <c r="Q106" s="61">
        <f>'дод 2'!R172</f>
        <v>150454</v>
      </c>
      <c r="R106" s="61">
        <f>'дод 2'!S172</f>
        <v>150454</v>
      </c>
      <c r="S106" s="61">
        <f>'дод 2'!T172</f>
        <v>0</v>
      </c>
      <c r="T106" s="61">
        <f>'дод 2'!U172</f>
        <v>0</v>
      </c>
      <c r="U106" s="61">
        <f>'дод 2'!V172</f>
        <v>0</v>
      </c>
      <c r="V106" s="61">
        <f>'дод 2'!W172</f>
        <v>150454</v>
      </c>
      <c r="W106" s="138">
        <f t="shared" si="24"/>
        <v>30.090800000000002</v>
      </c>
      <c r="X106" s="61">
        <f t="shared" si="23"/>
        <v>150454</v>
      </c>
      <c r="Y106" s="179"/>
    </row>
    <row r="107" spans="1:25" ht="32.25" customHeight="1" x14ac:dyDescent="0.25">
      <c r="A107" s="48" t="s">
        <v>316</v>
      </c>
      <c r="B107" s="48" t="s">
        <v>132</v>
      </c>
      <c r="C107" s="3" t="s">
        <v>388</v>
      </c>
      <c r="D107" s="61">
        <f>'дод 2'!E173+'дод 2'!E146</f>
        <v>0</v>
      </c>
      <c r="E107" s="61">
        <f>'дод 2'!F173+'дод 2'!F146</f>
        <v>0</v>
      </c>
      <c r="F107" s="61">
        <f>'дод 2'!G173+'дод 2'!G146</f>
        <v>0</v>
      </c>
      <c r="G107" s="61">
        <f>'дод 2'!H173+'дод 2'!H146</f>
        <v>0</v>
      </c>
      <c r="H107" s="61">
        <f>'дод 2'!I173+'дод 2'!I146</f>
        <v>0</v>
      </c>
      <c r="I107" s="61">
        <f>'дод 2'!J173+'дод 2'!J146</f>
        <v>0</v>
      </c>
      <c r="J107" s="138"/>
      <c r="K107" s="61">
        <f>'дод 2'!L173+'дод 2'!L146</f>
        <v>50529710.769999996</v>
      </c>
      <c r="L107" s="61">
        <f>'дод 2'!M173+'дод 2'!M146</f>
        <v>50529710.769999996</v>
      </c>
      <c r="M107" s="61">
        <f>'дод 2'!N173+'дод 2'!N146</f>
        <v>0</v>
      </c>
      <c r="N107" s="61">
        <f>'дод 2'!O173+'дод 2'!O146</f>
        <v>0</v>
      </c>
      <c r="O107" s="61">
        <f>'дод 2'!P173+'дод 2'!P146</f>
        <v>0</v>
      </c>
      <c r="P107" s="61">
        <f>'дод 2'!Q173+'дод 2'!Q146</f>
        <v>50529710.769999996</v>
      </c>
      <c r="Q107" s="61">
        <f>'дод 2'!R173+'дод 2'!R146</f>
        <v>13175869.189999999</v>
      </c>
      <c r="R107" s="61">
        <f>'дод 2'!S173+'дод 2'!S146</f>
        <v>13175869.189999999</v>
      </c>
      <c r="S107" s="61">
        <f>'дод 2'!T173+'дод 2'!T146</f>
        <v>0</v>
      </c>
      <c r="T107" s="61">
        <f>'дод 2'!U173+'дод 2'!U146</f>
        <v>0</v>
      </c>
      <c r="U107" s="61">
        <f>'дод 2'!V173+'дод 2'!V146</f>
        <v>0</v>
      </c>
      <c r="V107" s="61">
        <f>'дод 2'!W173+'дод 2'!W146</f>
        <v>13175869.189999999</v>
      </c>
      <c r="W107" s="138">
        <f t="shared" si="24"/>
        <v>26.075489032529052</v>
      </c>
      <c r="X107" s="61">
        <f t="shared" si="23"/>
        <v>13175869.189999999</v>
      </c>
      <c r="Y107" s="179"/>
    </row>
    <row r="108" spans="1:25" ht="35.25" customHeight="1" x14ac:dyDescent="0.25">
      <c r="A108" s="45" t="s">
        <v>168</v>
      </c>
      <c r="B108" s="45" t="s">
        <v>132</v>
      </c>
      <c r="C108" s="3" t="s">
        <v>1</v>
      </c>
      <c r="D108" s="61">
        <f>'дод 2'!E147</f>
        <v>0</v>
      </c>
      <c r="E108" s="61">
        <f>'дод 2'!F147</f>
        <v>0</v>
      </c>
      <c r="F108" s="61">
        <f>'дод 2'!G147</f>
        <v>0</v>
      </c>
      <c r="G108" s="61">
        <f>'дод 2'!H147</f>
        <v>0</v>
      </c>
      <c r="H108" s="61">
        <f>'дод 2'!I147</f>
        <v>0</v>
      </c>
      <c r="I108" s="61">
        <f>'дод 2'!J147</f>
        <v>0</v>
      </c>
      <c r="J108" s="138"/>
      <c r="K108" s="61">
        <f>'дод 2'!L147</f>
        <v>3000000</v>
      </c>
      <c r="L108" s="61">
        <f>'дод 2'!M147</f>
        <v>3000000</v>
      </c>
      <c r="M108" s="61">
        <f>'дод 2'!N147</f>
        <v>0</v>
      </c>
      <c r="N108" s="61">
        <f>'дод 2'!O147</f>
        <v>0</v>
      </c>
      <c r="O108" s="61">
        <f>'дод 2'!P147</f>
        <v>0</v>
      </c>
      <c r="P108" s="61">
        <f>'дод 2'!Q147</f>
        <v>3000000</v>
      </c>
      <c r="Q108" s="61">
        <f>'дод 2'!R147</f>
        <v>0</v>
      </c>
      <c r="R108" s="61">
        <f>'дод 2'!S147</f>
        <v>0</v>
      </c>
      <c r="S108" s="61">
        <f>'дод 2'!T147</f>
        <v>0</v>
      </c>
      <c r="T108" s="61">
        <f>'дод 2'!U147</f>
        <v>0</v>
      </c>
      <c r="U108" s="61">
        <f>'дод 2'!V147</f>
        <v>0</v>
      </c>
      <c r="V108" s="61">
        <f>'дод 2'!W147</f>
        <v>0</v>
      </c>
      <c r="W108" s="138">
        <f t="shared" si="24"/>
        <v>0</v>
      </c>
      <c r="X108" s="61">
        <f t="shared" si="23"/>
        <v>0</v>
      </c>
      <c r="Y108" s="179"/>
    </row>
    <row r="109" spans="1:25" ht="51.75" customHeight="1" x14ac:dyDescent="0.25">
      <c r="A109" s="45">
        <v>7361</v>
      </c>
      <c r="B109" s="45" t="s">
        <v>102</v>
      </c>
      <c r="C109" s="3" t="s">
        <v>445</v>
      </c>
      <c r="D109" s="61">
        <f>'дод 2'!E148+'дод 2'!E174+'дод 2'!E93</f>
        <v>0</v>
      </c>
      <c r="E109" s="61">
        <f>'дод 2'!F148+'дод 2'!F174+'дод 2'!F93</f>
        <v>0</v>
      </c>
      <c r="F109" s="61">
        <f>'дод 2'!G148+'дод 2'!G174+'дод 2'!G93</f>
        <v>0</v>
      </c>
      <c r="G109" s="61">
        <f>'дод 2'!H148+'дод 2'!H174+'дод 2'!H93</f>
        <v>0</v>
      </c>
      <c r="H109" s="61">
        <f>'дод 2'!I148+'дод 2'!I174+'дод 2'!I93</f>
        <v>0</v>
      </c>
      <c r="I109" s="61">
        <f>'дод 2'!J148+'дод 2'!J174+'дод 2'!J93</f>
        <v>0</v>
      </c>
      <c r="J109" s="138"/>
      <c r="K109" s="61">
        <f>'дод 2'!L148+'дод 2'!L174+'дод 2'!L93</f>
        <v>9386113</v>
      </c>
      <c r="L109" s="61">
        <f>'дод 2'!M148+'дод 2'!M174+'дод 2'!M93</f>
        <v>9386113</v>
      </c>
      <c r="M109" s="61">
        <f>'дод 2'!N148+'дод 2'!N174+'дод 2'!N93</f>
        <v>0</v>
      </c>
      <c r="N109" s="61">
        <f>'дод 2'!O148+'дод 2'!O174+'дод 2'!O93</f>
        <v>0</v>
      </c>
      <c r="O109" s="61">
        <f>'дод 2'!P148+'дод 2'!P174+'дод 2'!P93</f>
        <v>0</v>
      </c>
      <c r="P109" s="61">
        <f>'дод 2'!Q148+'дод 2'!Q174+'дод 2'!Q93</f>
        <v>9386113</v>
      </c>
      <c r="Q109" s="61">
        <f>'дод 2'!R148+'дод 2'!R174+'дод 2'!R93</f>
        <v>1845615.88</v>
      </c>
      <c r="R109" s="61">
        <f>'дод 2'!S148+'дод 2'!S174+'дод 2'!S93</f>
        <v>1845615.88</v>
      </c>
      <c r="S109" s="61">
        <f>'дод 2'!T148+'дод 2'!T174+'дод 2'!T93</f>
        <v>0</v>
      </c>
      <c r="T109" s="61">
        <f>'дод 2'!U148+'дод 2'!U174+'дод 2'!U93</f>
        <v>0</v>
      </c>
      <c r="U109" s="61">
        <f>'дод 2'!V148+'дод 2'!V174+'дод 2'!V93</f>
        <v>0</v>
      </c>
      <c r="V109" s="61">
        <f>'дод 2'!W148+'дод 2'!W174+'дод 2'!W93</f>
        <v>1845615.88</v>
      </c>
      <c r="W109" s="138">
        <f t="shared" si="24"/>
        <v>19.663260819468078</v>
      </c>
      <c r="X109" s="61">
        <f t="shared" si="23"/>
        <v>1845615.88</v>
      </c>
      <c r="Y109" s="179"/>
    </row>
    <row r="110" spans="1:25" s="78" customFormat="1" ht="46.5" customHeight="1" x14ac:dyDescent="0.25">
      <c r="A110" s="45">
        <v>7362</v>
      </c>
      <c r="B110" s="45" t="s">
        <v>102</v>
      </c>
      <c r="C110" s="3" t="s">
        <v>426</v>
      </c>
      <c r="D110" s="61">
        <f>'дод 2'!E149</f>
        <v>0</v>
      </c>
      <c r="E110" s="61">
        <f>'дод 2'!F149</f>
        <v>0</v>
      </c>
      <c r="F110" s="61">
        <f>'дод 2'!G149</f>
        <v>0</v>
      </c>
      <c r="G110" s="61">
        <f>'дод 2'!H149</f>
        <v>0</v>
      </c>
      <c r="H110" s="61">
        <f>'дод 2'!I149</f>
        <v>0</v>
      </c>
      <c r="I110" s="61">
        <f>'дод 2'!J149</f>
        <v>0</v>
      </c>
      <c r="J110" s="138"/>
      <c r="K110" s="61">
        <f>'дод 2'!L149</f>
        <v>75600</v>
      </c>
      <c r="L110" s="61">
        <f>'дод 2'!M149</f>
        <v>75600</v>
      </c>
      <c r="M110" s="61">
        <f>'дод 2'!N149</f>
        <v>0</v>
      </c>
      <c r="N110" s="61">
        <f>'дод 2'!O149</f>
        <v>0</v>
      </c>
      <c r="O110" s="61">
        <f>'дод 2'!P149</f>
        <v>0</v>
      </c>
      <c r="P110" s="61">
        <f>'дод 2'!Q149</f>
        <v>75600</v>
      </c>
      <c r="Q110" s="61">
        <f>'дод 2'!R149</f>
        <v>0</v>
      </c>
      <c r="R110" s="61">
        <f>'дод 2'!S149</f>
        <v>0</v>
      </c>
      <c r="S110" s="61">
        <f>'дод 2'!T149</f>
        <v>0</v>
      </c>
      <c r="T110" s="61">
        <f>'дод 2'!U149</f>
        <v>0</v>
      </c>
      <c r="U110" s="61">
        <f>'дод 2'!V149</f>
        <v>0</v>
      </c>
      <c r="V110" s="61">
        <f>'дод 2'!W149</f>
        <v>0</v>
      </c>
      <c r="W110" s="138">
        <f t="shared" si="24"/>
        <v>0</v>
      </c>
      <c r="X110" s="61">
        <f t="shared" si="23"/>
        <v>0</v>
      </c>
      <c r="Y110" s="179">
        <v>17</v>
      </c>
    </row>
    <row r="111" spans="1:25" s="78" customFormat="1" ht="46.5" customHeight="1" x14ac:dyDescent="0.25">
      <c r="A111" s="45">
        <v>7363</v>
      </c>
      <c r="B111" s="97" t="s">
        <v>102</v>
      </c>
      <c r="C111" s="98" t="s">
        <v>435</v>
      </c>
      <c r="D111" s="61">
        <f>'дод 2'!E72+'дод 2'!E150+'дод 2'!E175</f>
        <v>0</v>
      </c>
      <c r="E111" s="61">
        <f>'дод 2'!F72+'дод 2'!F150+'дод 2'!F175</f>
        <v>0</v>
      </c>
      <c r="F111" s="61">
        <f>'дод 2'!G72+'дод 2'!G150+'дод 2'!G175</f>
        <v>0</v>
      </c>
      <c r="G111" s="61">
        <f>'дод 2'!H72+'дод 2'!H150+'дод 2'!H175</f>
        <v>0</v>
      </c>
      <c r="H111" s="61">
        <f>'дод 2'!I72+'дод 2'!I150+'дод 2'!I175</f>
        <v>0</v>
      </c>
      <c r="I111" s="61">
        <f>'дод 2'!J72+'дод 2'!J150+'дод 2'!J175</f>
        <v>0</v>
      </c>
      <c r="J111" s="138"/>
      <c r="K111" s="61">
        <f>'дод 2'!L72+'дод 2'!L150+'дод 2'!L175</f>
        <v>1308767.6000000001</v>
      </c>
      <c r="L111" s="61">
        <f>'дод 2'!M72+'дод 2'!M150+'дод 2'!M175</f>
        <v>1308767.6000000001</v>
      </c>
      <c r="M111" s="61">
        <f>'дод 2'!N72+'дод 2'!N150+'дод 2'!N175</f>
        <v>0</v>
      </c>
      <c r="N111" s="61">
        <f>'дод 2'!O72+'дод 2'!O150+'дод 2'!O175</f>
        <v>0</v>
      </c>
      <c r="O111" s="61">
        <f>'дод 2'!P72+'дод 2'!P150+'дод 2'!P175</f>
        <v>0</v>
      </c>
      <c r="P111" s="61">
        <f>'дод 2'!Q72+'дод 2'!Q150+'дод 2'!Q175</f>
        <v>1308767.6000000001</v>
      </c>
      <c r="Q111" s="61">
        <f>'дод 2'!R72+'дод 2'!R150+'дод 2'!R175</f>
        <v>362067.03</v>
      </c>
      <c r="R111" s="61">
        <f>'дод 2'!S72+'дод 2'!S150+'дод 2'!S175</f>
        <v>362067.03</v>
      </c>
      <c r="S111" s="61">
        <f>'дод 2'!T72+'дод 2'!T150+'дод 2'!T175</f>
        <v>0</v>
      </c>
      <c r="T111" s="61">
        <f>'дод 2'!U72+'дод 2'!U150+'дод 2'!U175</f>
        <v>0</v>
      </c>
      <c r="U111" s="61">
        <f>'дод 2'!V72+'дод 2'!V150+'дод 2'!V175</f>
        <v>0</v>
      </c>
      <c r="V111" s="61">
        <f>'дод 2'!W72+'дод 2'!W150+'дод 2'!W175</f>
        <v>362067.03</v>
      </c>
      <c r="W111" s="138">
        <f t="shared" si="24"/>
        <v>27.664730544979871</v>
      </c>
      <c r="X111" s="61">
        <f t="shared" si="23"/>
        <v>362067.03</v>
      </c>
      <c r="Y111" s="179"/>
    </row>
    <row r="112" spans="1:25" s="78" customFormat="1" x14ac:dyDescent="0.25">
      <c r="A112" s="45"/>
      <c r="B112" s="97"/>
      <c r="C112" s="3" t="s">
        <v>307</v>
      </c>
      <c r="D112" s="61">
        <f>'дод 2'!E73+'дод 2'!E151</f>
        <v>0</v>
      </c>
      <c r="E112" s="61">
        <f>'дод 2'!F73+'дод 2'!F151</f>
        <v>0</v>
      </c>
      <c r="F112" s="61">
        <f>'дод 2'!G73+'дод 2'!G151</f>
        <v>0</v>
      </c>
      <c r="G112" s="61">
        <f>'дод 2'!H73+'дод 2'!H151</f>
        <v>0</v>
      </c>
      <c r="H112" s="61">
        <f>'дод 2'!I73+'дод 2'!I151</f>
        <v>0</v>
      </c>
      <c r="I112" s="61">
        <f>'дод 2'!J73+'дод 2'!J151</f>
        <v>0</v>
      </c>
      <c r="J112" s="138"/>
      <c r="K112" s="61">
        <f>'дод 2'!L73+'дод 2'!L151</f>
        <v>1187498.93</v>
      </c>
      <c r="L112" s="61">
        <f>'дод 2'!M73+'дод 2'!M151</f>
        <v>1187498.93</v>
      </c>
      <c r="M112" s="61">
        <f>'дод 2'!N73+'дод 2'!N151</f>
        <v>0</v>
      </c>
      <c r="N112" s="61">
        <f>'дод 2'!O73+'дод 2'!O151</f>
        <v>0</v>
      </c>
      <c r="O112" s="61">
        <f>'дод 2'!P73+'дод 2'!P151</f>
        <v>0</v>
      </c>
      <c r="P112" s="61">
        <f>'дод 2'!Q73+'дод 2'!Q151</f>
        <v>1187498.93</v>
      </c>
      <c r="Q112" s="61">
        <f>'дод 2'!R73+'дод 2'!R151</f>
        <v>359890.48</v>
      </c>
      <c r="R112" s="61">
        <f>'дод 2'!S73+'дод 2'!S151</f>
        <v>359890.48</v>
      </c>
      <c r="S112" s="61">
        <f>'дод 2'!T73+'дод 2'!T151</f>
        <v>0</v>
      </c>
      <c r="T112" s="61">
        <f>'дод 2'!U73+'дод 2'!U151</f>
        <v>0</v>
      </c>
      <c r="U112" s="61">
        <f>'дод 2'!V73+'дод 2'!V151</f>
        <v>0</v>
      </c>
      <c r="V112" s="61">
        <f>'дод 2'!W73+'дод 2'!W151</f>
        <v>359890.48</v>
      </c>
      <c r="W112" s="138">
        <f t="shared" si="24"/>
        <v>30.306594044678427</v>
      </c>
      <c r="X112" s="61">
        <f t="shared" si="23"/>
        <v>359890.48</v>
      </c>
      <c r="Y112" s="179"/>
    </row>
    <row r="113" spans="1:25" s="76" customFormat="1" ht="39.75" customHeight="1" x14ac:dyDescent="0.25">
      <c r="A113" s="46" t="s">
        <v>105</v>
      </c>
      <c r="B113" s="49"/>
      <c r="C113" s="2" t="s">
        <v>2</v>
      </c>
      <c r="D113" s="60">
        <f t="shared" ref="D113:I113" si="36">D115+D118+D116+D117</f>
        <v>28000000</v>
      </c>
      <c r="E113" s="60">
        <f t="shared" si="36"/>
        <v>0</v>
      </c>
      <c r="F113" s="60">
        <f t="shared" si="36"/>
        <v>0</v>
      </c>
      <c r="G113" s="60">
        <f t="shared" si="36"/>
        <v>18294129.640000001</v>
      </c>
      <c r="H113" s="60">
        <f t="shared" si="36"/>
        <v>0</v>
      </c>
      <c r="I113" s="60">
        <f t="shared" si="36"/>
        <v>0</v>
      </c>
      <c r="J113" s="137">
        <f t="shared" si="22"/>
        <v>65.336177285714285</v>
      </c>
      <c r="K113" s="60">
        <f t="shared" ref="K113:V113" si="37">K115+K118+K116+K117</f>
        <v>80000000</v>
      </c>
      <c r="L113" s="60">
        <f t="shared" si="37"/>
        <v>0</v>
      </c>
      <c r="M113" s="60">
        <f t="shared" si="37"/>
        <v>80000000</v>
      </c>
      <c r="N113" s="60">
        <f t="shared" si="37"/>
        <v>0</v>
      </c>
      <c r="O113" s="60">
        <f t="shared" si="37"/>
        <v>0</v>
      </c>
      <c r="P113" s="60">
        <f t="shared" si="37"/>
        <v>0</v>
      </c>
      <c r="Q113" s="60">
        <f t="shared" si="37"/>
        <v>40000000</v>
      </c>
      <c r="R113" s="60">
        <f t="shared" si="37"/>
        <v>0</v>
      </c>
      <c r="S113" s="60">
        <f t="shared" si="37"/>
        <v>40000000</v>
      </c>
      <c r="T113" s="60">
        <f t="shared" si="37"/>
        <v>0</v>
      </c>
      <c r="U113" s="60">
        <f t="shared" si="37"/>
        <v>0</v>
      </c>
      <c r="V113" s="60">
        <f t="shared" si="37"/>
        <v>0</v>
      </c>
      <c r="W113" s="137">
        <f t="shared" si="24"/>
        <v>50</v>
      </c>
      <c r="X113" s="60">
        <f t="shared" si="23"/>
        <v>58294129.640000001</v>
      </c>
      <c r="Y113" s="179"/>
    </row>
    <row r="114" spans="1:25" s="76" customFormat="1" ht="17.25" customHeight="1" x14ac:dyDescent="0.25">
      <c r="A114" s="46"/>
      <c r="B114" s="49"/>
      <c r="C114" s="2" t="s">
        <v>307</v>
      </c>
      <c r="D114" s="60">
        <f t="shared" ref="D114:I114" si="38">D119</f>
        <v>0</v>
      </c>
      <c r="E114" s="60">
        <f t="shared" si="38"/>
        <v>0</v>
      </c>
      <c r="F114" s="60">
        <f t="shared" si="38"/>
        <v>0</v>
      </c>
      <c r="G114" s="60">
        <f t="shared" si="38"/>
        <v>0</v>
      </c>
      <c r="H114" s="60">
        <f t="shared" si="38"/>
        <v>0</v>
      </c>
      <c r="I114" s="60">
        <f t="shared" si="38"/>
        <v>0</v>
      </c>
      <c r="J114" s="137"/>
      <c r="K114" s="60">
        <f t="shared" ref="K114:V114" si="39">K119</f>
        <v>80000000</v>
      </c>
      <c r="L114" s="60">
        <f t="shared" si="39"/>
        <v>0</v>
      </c>
      <c r="M114" s="60">
        <f t="shared" si="39"/>
        <v>80000000</v>
      </c>
      <c r="N114" s="60">
        <f t="shared" si="39"/>
        <v>0</v>
      </c>
      <c r="O114" s="60">
        <f t="shared" si="39"/>
        <v>0</v>
      </c>
      <c r="P114" s="60">
        <f t="shared" si="39"/>
        <v>0</v>
      </c>
      <c r="Q114" s="60">
        <f t="shared" si="39"/>
        <v>40000000</v>
      </c>
      <c r="R114" s="60">
        <f t="shared" si="39"/>
        <v>0</v>
      </c>
      <c r="S114" s="60">
        <f t="shared" si="39"/>
        <v>40000000</v>
      </c>
      <c r="T114" s="60">
        <f t="shared" si="39"/>
        <v>0</v>
      </c>
      <c r="U114" s="60">
        <f t="shared" si="39"/>
        <v>0</v>
      </c>
      <c r="V114" s="60">
        <f t="shared" si="39"/>
        <v>0</v>
      </c>
      <c r="W114" s="137">
        <f t="shared" si="24"/>
        <v>50</v>
      </c>
      <c r="X114" s="60">
        <f t="shared" si="23"/>
        <v>40000000</v>
      </c>
      <c r="Y114" s="179"/>
    </row>
    <row r="115" spans="1:25" s="78" customFormat="1" ht="30" customHeight="1" x14ac:dyDescent="0.25">
      <c r="A115" s="45" t="s">
        <v>4</v>
      </c>
      <c r="B115" s="45" t="s">
        <v>104</v>
      </c>
      <c r="C115" s="3" t="s">
        <v>49</v>
      </c>
      <c r="D115" s="61">
        <f>'дод 2'!E35</f>
        <v>10000000</v>
      </c>
      <c r="E115" s="61">
        <f>'дод 2'!F35</f>
        <v>0</v>
      </c>
      <c r="F115" s="61">
        <f>'дод 2'!G35</f>
        <v>0</v>
      </c>
      <c r="G115" s="61">
        <f>'дод 2'!H35</f>
        <v>2425589</v>
      </c>
      <c r="H115" s="61">
        <f>'дод 2'!I35</f>
        <v>0</v>
      </c>
      <c r="I115" s="61">
        <f>'дод 2'!J35</f>
        <v>0</v>
      </c>
      <c r="J115" s="138">
        <f t="shared" si="22"/>
        <v>24.255890000000001</v>
      </c>
      <c r="K115" s="61">
        <f>'дод 2'!L35</f>
        <v>0</v>
      </c>
      <c r="L115" s="61">
        <f>'дод 2'!M35</f>
        <v>0</v>
      </c>
      <c r="M115" s="61">
        <f>'дод 2'!N35</f>
        <v>0</v>
      </c>
      <c r="N115" s="61">
        <f>'дод 2'!O35</f>
        <v>0</v>
      </c>
      <c r="O115" s="61">
        <f>'дод 2'!P35</f>
        <v>0</v>
      </c>
      <c r="P115" s="61">
        <f>'дод 2'!Q35</f>
        <v>0</v>
      </c>
      <c r="Q115" s="61">
        <f>'дод 2'!R35</f>
        <v>0</v>
      </c>
      <c r="R115" s="61">
        <f>'дод 2'!S35</f>
        <v>0</v>
      </c>
      <c r="S115" s="61">
        <f>'дод 2'!T35</f>
        <v>0</v>
      </c>
      <c r="T115" s="61">
        <f>'дод 2'!U35</f>
        <v>0</v>
      </c>
      <c r="U115" s="61">
        <f>'дод 2'!V35</f>
        <v>0</v>
      </c>
      <c r="V115" s="61">
        <f>'дод 2'!W35</f>
        <v>0</v>
      </c>
      <c r="W115" s="138"/>
      <c r="X115" s="61">
        <f t="shared" si="23"/>
        <v>2425589</v>
      </c>
      <c r="Y115" s="179"/>
    </row>
    <row r="116" spans="1:25" s="78" customFormat="1" ht="30" customHeight="1" x14ac:dyDescent="0.25">
      <c r="A116" s="45">
        <v>7413</v>
      </c>
      <c r="B116" s="45" t="s">
        <v>104</v>
      </c>
      <c r="C116" s="3" t="s">
        <v>449</v>
      </c>
      <c r="D116" s="61">
        <f>'дод 2'!E36</f>
        <v>2800000</v>
      </c>
      <c r="E116" s="61">
        <f>'дод 2'!F36</f>
        <v>0</v>
      </c>
      <c r="F116" s="61">
        <f>'дод 2'!G36</f>
        <v>0</v>
      </c>
      <c r="G116" s="61">
        <f>'дод 2'!H36</f>
        <v>2800000</v>
      </c>
      <c r="H116" s="61">
        <f>'дод 2'!I36</f>
        <v>0</v>
      </c>
      <c r="I116" s="61">
        <f>'дод 2'!J36</f>
        <v>0</v>
      </c>
      <c r="J116" s="138">
        <f t="shared" si="22"/>
        <v>100</v>
      </c>
      <c r="K116" s="61">
        <f>'дод 2'!L36</f>
        <v>0</v>
      </c>
      <c r="L116" s="61">
        <f>'дод 2'!M36</f>
        <v>0</v>
      </c>
      <c r="M116" s="61">
        <f>'дод 2'!N36</f>
        <v>0</v>
      </c>
      <c r="N116" s="61">
        <f>'дод 2'!O36</f>
        <v>0</v>
      </c>
      <c r="O116" s="61">
        <f>'дод 2'!P36</f>
        <v>0</v>
      </c>
      <c r="P116" s="61">
        <f>'дод 2'!Q36</f>
        <v>0</v>
      </c>
      <c r="Q116" s="61">
        <f>'дод 2'!R36</f>
        <v>0</v>
      </c>
      <c r="R116" s="61">
        <f>'дод 2'!S36</f>
        <v>0</v>
      </c>
      <c r="S116" s="61">
        <f>'дод 2'!T36</f>
        <v>0</v>
      </c>
      <c r="T116" s="61">
        <f>'дод 2'!U36</f>
        <v>0</v>
      </c>
      <c r="U116" s="61">
        <f>'дод 2'!V36</f>
        <v>0</v>
      </c>
      <c r="V116" s="61">
        <f>'дод 2'!W36</f>
        <v>0</v>
      </c>
      <c r="W116" s="138"/>
      <c r="X116" s="61">
        <f t="shared" si="23"/>
        <v>2800000</v>
      </c>
      <c r="Y116" s="179"/>
    </row>
    <row r="117" spans="1:25" s="78" customFormat="1" ht="30" customHeight="1" x14ac:dyDescent="0.25">
      <c r="A117" s="45">
        <v>7426</v>
      </c>
      <c r="B117" s="90" t="s">
        <v>470</v>
      </c>
      <c r="C117" s="3" t="s">
        <v>450</v>
      </c>
      <c r="D117" s="61">
        <f>'дод 2'!E37</f>
        <v>15200000</v>
      </c>
      <c r="E117" s="61">
        <f>'дод 2'!F37</f>
        <v>0</v>
      </c>
      <c r="F117" s="61">
        <f>'дод 2'!G37</f>
        <v>0</v>
      </c>
      <c r="G117" s="61">
        <f>'дод 2'!H37</f>
        <v>13068540.640000001</v>
      </c>
      <c r="H117" s="61">
        <f>'дод 2'!I37</f>
        <v>0</v>
      </c>
      <c r="I117" s="61">
        <f>'дод 2'!J37</f>
        <v>0</v>
      </c>
      <c r="J117" s="138">
        <f t="shared" si="22"/>
        <v>85.977241052631584</v>
      </c>
      <c r="K117" s="61">
        <f>'дод 2'!L37</f>
        <v>0</v>
      </c>
      <c r="L117" s="61">
        <f>'дод 2'!M37</f>
        <v>0</v>
      </c>
      <c r="M117" s="61">
        <f>'дод 2'!N37</f>
        <v>0</v>
      </c>
      <c r="N117" s="61">
        <f>'дод 2'!O37</f>
        <v>0</v>
      </c>
      <c r="O117" s="61">
        <f>'дод 2'!P37</f>
        <v>0</v>
      </c>
      <c r="P117" s="61">
        <f>'дод 2'!Q37</f>
        <v>0</v>
      </c>
      <c r="Q117" s="61">
        <f>'дод 2'!R37</f>
        <v>0</v>
      </c>
      <c r="R117" s="61">
        <f>'дод 2'!S37</f>
        <v>0</v>
      </c>
      <c r="S117" s="61">
        <f>'дод 2'!T37</f>
        <v>0</v>
      </c>
      <c r="T117" s="61">
        <f>'дод 2'!U37</f>
        <v>0</v>
      </c>
      <c r="U117" s="61">
        <f>'дод 2'!V37</f>
        <v>0</v>
      </c>
      <c r="V117" s="61">
        <f>'дод 2'!W37</f>
        <v>0</v>
      </c>
      <c r="W117" s="138"/>
      <c r="X117" s="61">
        <f t="shared" si="23"/>
        <v>13068540.640000001</v>
      </c>
      <c r="Y117" s="179"/>
    </row>
    <row r="118" spans="1:25" s="78" customFormat="1" ht="53.25" customHeight="1" x14ac:dyDescent="0.25">
      <c r="A118" s="45">
        <v>7462</v>
      </c>
      <c r="B118" s="90" t="s">
        <v>471</v>
      </c>
      <c r="C118" s="3" t="s">
        <v>447</v>
      </c>
      <c r="D118" s="61">
        <f>'дод 2'!E152</f>
        <v>0</v>
      </c>
      <c r="E118" s="61">
        <f>'дод 2'!F152</f>
        <v>0</v>
      </c>
      <c r="F118" s="61">
        <f>'дод 2'!G152</f>
        <v>0</v>
      </c>
      <c r="G118" s="61">
        <f>'дод 2'!H152</f>
        <v>0</v>
      </c>
      <c r="H118" s="61">
        <f>'дод 2'!I152</f>
        <v>0</v>
      </c>
      <c r="I118" s="61">
        <f>'дод 2'!J152</f>
        <v>0</v>
      </c>
      <c r="J118" s="138"/>
      <c r="K118" s="61">
        <f>'дод 2'!L152</f>
        <v>80000000</v>
      </c>
      <c r="L118" s="61">
        <f>'дод 2'!M152</f>
        <v>0</v>
      </c>
      <c r="M118" s="61">
        <f>'дод 2'!N152</f>
        <v>80000000</v>
      </c>
      <c r="N118" s="61">
        <f>'дод 2'!O152</f>
        <v>0</v>
      </c>
      <c r="O118" s="61">
        <f>'дод 2'!P152</f>
        <v>0</v>
      </c>
      <c r="P118" s="61">
        <f>'дод 2'!Q152</f>
        <v>0</v>
      </c>
      <c r="Q118" s="61">
        <f>'дод 2'!R152</f>
        <v>40000000</v>
      </c>
      <c r="R118" s="61">
        <f>'дод 2'!S152</f>
        <v>0</v>
      </c>
      <c r="S118" s="61">
        <f>'дод 2'!T152</f>
        <v>40000000</v>
      </c>
      <c r="T118" s="61">
        <f>'дод 2'!U152</f>
        <v>0</v>
      </c>
      <c r="U118" s="61">
        <f>'дод 2'!V152</f>
        <v>0</v>
      </c>
      <c r="V118" s="61">
        <f>'дод 2'!W152</f>
        <v>0</v>
      </c>
      <c r="W118" s="138">
        <f t="shared" si="24"/>
        <v>50</v>
      </c>
      <c r="X118" s="61">
        <f t="shared" si="23"/>
        <v>40000000</v>
      </c>
      <c r="Y118" s="179"/>
    </row>
    <row r="119" spans="1:25" s="78" customFormat="1" ht="17.25" customHeight="1" x14ac:dyDescent="0.25">
      <c r="A119" s="45"/>
      <c r="B119" s="45"/>
      <c r="C119" s="3" t="s">
        <v>307</v>
      </c>
      <c r="D119" s="61">
        <f>'дод 2'!E153</f>
        <v>0</v>
      </c>
      <c r="E119" s="61">
        <f>'дод 2'!F153</f>
        <v>0</v>
      </c>
      <c r="F119" s="61">
        <f>'дод 2'!G153</f>
        <v>0</v>
      </c>
      <c r="G119" s="61">
        <f>'дод 2'!H153</f>
        <v>0</v>
      </c>
      <c r="H119" s="61">
        <f>'дод 2'!I153</f>
        <v>0</v>
      </c>
      <c r="I119" s="61">
        <f>'дод 2'!J153</f>
        <v>0</v>
      </c>
      <c r="J119" s="138"/>
      <c r="K119" s="61">
        <f>'дод 2'!L153</f>
        <v>80000000</v>
      </c>
      <c r="L119" s="61">
        <f>'дод 2'!M153</f>
        <v>0</v>
      </c>
      <c r="M119" s="61">
        <f>'дод 2'!N153</f>
        <v>80000000</v>
      </c>
      <c r="N119" s="61">
        <f>'дод 2'!O153</f>
        <v>0</v>
      </c>
      <c r="O119" s="61">
        <f>'дод 2'!P153</f>
        <v>0</v>
      </c>
      <c r="P119" s="61">
        <f>'дод 2'!Q153</f>
        <v>0</v>
      </c>
      <c r="Q119" s="61">
        <f>'дод 2'!R153</f>
        <v>40000000</v>
      </c>
      <c r="R119" s="61">
        <f>'дод 2'!S153</f>
        <v>0</v>
      </c>
      <c r="S119" s="61">
        <f>'дод 2'!T153</f>
        <v>40000000</v>
      </c>
      <c r="T119" s="61">
        <f>'дод 2'!U153</f>
        <v>0</v>
      </c>
      <c r="U119" s="61">
        <f>'дод 2'!V153</f>
        <v>0</v>
      </c>
      <c r="V119" s="61">
        <f>'дод 2'!W153</f>
        <v>0</v>
      </c>
      <c r="W119" s="138">
        <f t="shared" si="24"/>
        <v>50</v>
      </c>
      <c r="X119" s="61">
        <f t="shared" si="23"/>
        <v>40000000</v>
      </c>
      <c r="Y119" s="179"/>
    </row>
    <row r="120" spans="1:25" s="76" customFormat="1" ht="28.5" customHeight="1" x14ac:dyDescent="0.25">
      <c r="A120" s="47" t="s">
        <v>278</v>
      </c>
      <c r="B120" s="49"/>
      <c r="C120" s="2" t="s">
        <v>279</v>
      </c>
      <c r="D120" s="60">
        <f t="shared" ref="D120:V120" si="40">D121</f>
        <v>13450000</v>
      </c>
      <c r="E120" s="60">
        <f t="shared" si="40"/>
        <v>0</v>
      </c>
      <c r="F120" s="60">
        <f t="shared" si="40"/>
        <v>0</v>
      </c>
      <c r="G120" s="60">
        <f t="shared" si="40"/>
        <v>2884105.6</v>
      </c>
      <c r="H120" s="60">
        <f t="shared" si="40"/>
        <v>0</v>
      </c>
      <c r="I120" s="60">
        <f t="shared" si="40"/>
        <v>0</v>
      </c>
      <c r="J120" s="137">
        <f t="shared" si="22"/>
        <v>21.443164312267658</v>
      </c>
      <c r="K120" s="60">
        <f t="shared" si="40"/>
        <v>6050000</v>
      </c>
      <c r="L120" s="60">
        <f t="shared" si="40"/>
        <v>6050000</v>
      </c>
      <c r="M120" s="60">
        <f t="shared" si="40"/>
        <v>0</v>
      </c>
      <c r="N120" s="60">
        <f t="shared" si="40"/>
        <v>0</v>
      </c>
      <c r="O120" s="60">
        <f t="shared" si="40"/>
        <v>0</v>
      </c>
      <c r="P120" s="60">
        <f t="shared" si="40"/>
        <v>6050000</v>
      </c>
      <c r="Q120" s="60">
        <f t="shared" si="40"/>
        <v>0</v>
      </c>
      <c r="R120" s="60">
        <f t="shared" si="40"/>
        <v>0</v>
      </c>
      <c r="S120" s="60">
        <f t="shared" si="40"/>
        <v>0</v>
      </c>
      <c r="T120" s="60">
        <f t="shared" si="40"/>
        <v>0</v>
      </c>
      <c r="U120" s="60">
        <f t="shared" si="40"/>
        <v>0</v>
      </c>
      <c r="V120" s="60">
        <f t="shared" si="40"/>
        <v>0</v>
      </c>
      <c r="W120" s="137">
        <f t="shared" si="24"/>
        <v>0</v>
      </c>
      <c r="X120" s="60">
        <f t="shared" si="23"/>
        <v>2884105.6</v>
      </c>
      <c r="Y120" s="179"/>
    </row>
    <row r="121" spans="1:25" ht="37.5" customHeight="1" x14ac:dyDescent="0.25">
      <c r="A121" s="48" t="s">
        <v>276</v>
      </c>
      <c r="B121" s="48" t="s">
        <v>277</v>
      </c>
      <c r="C121" s="11" t="s">
        <v>275</v>
      </c>
      <c r="D121" s="61">
        <f>'дод 2'!E38</f>
        <v>13450000</v>
      </c>
      <c r="E121" s="61">
        <f>'дод 2'!F38</f>
        <v>0</v>
      </c>
      <c r="F121" s="61">
        <f>'дод 2'!G38</f>
        <v>0</v>
      </c>
      <c r="G121" s="61">
        <f>'дод 2'!H38</f>
        <v>2884105.6</v>
      </c>
      <c r="H121" s="61">
        <f>'дод 2'!I38</f>
        <v>0</v>
      </c>
      <c r="I121" s="61">
        <f>'дод 2'!J38</f>
        <v>0</v>
      </c>
      <c r="J121" s="137">
        <f t="shared" si="22"/>
        <v>21.443164312267658</v>
      </c>
      <c r="K121" s="61">
        <f>'дод 2'!L38</f>
        <v>6050000</v>
      </c>
      <c r="L121" s="61">
        <f>'дод 2'!M38</f>
        <v>6050000</v>
      </c>
      <c r="M121" s="61">
        <f>'дод 2'!N38</f>
        <v>0</v>
      </c>
      <c r="N121" s="61">
        <f>'дод 2'!O38</f>
        <v>0</v>
      </c>
      <c r="O121" s="61">
        <f>'дод 2'!P38</f>
        <v>0</v>
      </c>
      <c r="P121" s="61">
        <f>'дод 2'!Q38</f>
        <v>6050000</v>
      </c>
      <c r="Q121" s="61">
        <f>'дод 2'!R38</f>
        <v>0</v>
      </c>
      <c r="R121" s="61">
        <f>'дод 2'!S38</f>
        <v>0</v>
      </c>
      <c r="S121" s="61">
        <f>'дод 2'!T38</f>
        <v>0</v>
      </c>
      <c r="T121" s="61">
        <f>'дод 2'!U38</f>
        <v>0</v>
      </c>
      <c r="U121" s="61">
        <f>'дод 2'!V38</f>
        <v>0</v>
      </c>
      <c r="V121" s="61">
        <f>'дод 2'!W38</f>
        <v>0</v>
      </c>
      <c r="W121" s="137">
        <f t="shared" si="24"/>
        <v>0</v>
      </c>
      <c r="X121" s="60">
        <f t="shared" si="23"/>
        <v>2884105.6</v>
      </c>
      <c r="Y121" s="179"/>
    </row>
    <row r="122" spans="1:25" s="76" customFormat="1" ht="38.25" customHeight="1" x14ac:dyDescent="0.25">
      <c r="A122" s="46" t="s">
        <v>108</v>
      </c>
      <c r="B122" s="49"/>
      <c r="C122" s="2" t="s">
        <v>5</v>
      </c>
      <c r="D122" s="60">
        <f t="shared" ref="D122" si="41">D123+D124+D125+D126+D127+D128+D129+D130</f>
        <v>8599667</v>
      </c>
      <c r="E122" s="60">
        <f t="shared" ref="E122:I122" si="42">E123+E124+E125+E126+E127+E128+E129+E130</f>
        <v>0</v>
      </c>
      <c r="F122" s="60">
        <f t="shared" si="42"/>
        <v>0</v>
      </c>
      <c r="G122" s="60">
        <f t="shared" si="42"/>
        <v>1709529.01</v>
      </c>
      <c r="H122" s="60">
        <f t="shared" si="42"/>
        <v>0</v>
      </c>
      <c r="I122" s="60">
        <f t="shared" si="42"/>
        <v>0</v>
      </c>
      <c r="J122" s="137">
        <f t="shared" si="22"/>
        <v>19.879014036241173</v>
      </c>
      <c r="K122" s="60">
        <f t="shared" ref="K122:V122" si="43">K123+K124+K125+K126+K127+K128+K129+K130</f>
        <v>153039184.13</v>
      </c>
      <c r="L122" s="60">
        <f t="shared" si="43"/>
        <v>139415052</v>
      </c>
      <c r="M122" s="60">
        <f t="shared" si="43"/>
        <v>2171363.0100000002</v>
      </c>
      <c r="N122" s="60">
        <f t="shared" si="43"/>
        <v>0</v>
      </c>
      <c r="O122" s="60">
        <f t="shared" si="43"/>
        <v>0</v>
      </c>
      <c r="P122" s="60">
        <f t="shared" si="43"/>
        <v>150867821.12</v>
      </c>
      <c r="Q122" s="60">
        <f t="shared" si="43"/>
        <v>4650437.67</v>
      </c>
      <c r="R122" s="60">
        <f t="shared" si="43"/>
        <v>4080036.67</v>
      </c>
      <c r="S122" s="60">
        <f t="shared" si="43"/>
        <v>130690</v>
      </c>
      <c r="T122" s="60">
        <f t="shared" si="43"/>
        <v>0</v>
      </c>
      <c r="U122" s="60">
        <f t="shared" si="43"/>
        <v>0</v>
      </c>
      <c r="V122" s="60">
        <f t="shared" si="43"/>
        <v>4519747.67</v>
      </c>
      <c r="W122" s="137">
        <f t="shared" si="24"/>
        <v>3.0387235115221598</v>
      </c>
      <c r="X122" s="60">
        <f t="shared" si="23"/>
        <v>6359966.6799999997</v>
      </c>
      <c r="Y122" s="179"/>
    </row>
    <row r="123" spans="1:25" ht="30.75" customHeight="1" x14ac:dyDescent="0.25">
      <c r="A123" s="45" t="s">
        <v>6</v>
      </c>
      <c r="B123" s="45" t="s">
        <v>107</v>
      </c>
      <c r="C123" s="3" t="s">
        <v>32</v>
      </c>
      <c r="D123" s="61">
        <f>'дод 2'!E39+'дод 2'!E190</f>
        <v>1235000</v>
      </c>
      <c r="E123" s="61">
        <f>'дод 2'!F39+'дод 2'!F190</f>
        <v>0</v>
      </c>
      <c r="F123" s="61">
        <f>'дод 2'!G39+'дод 2'!G190</f>
        <v>0</v>
      </c>
      <c r="G123" s="61">
        <f>'дод 2'!H39+'дод 2'!H190</f>
        <v>64700</v>
      </c>
      <c r="H123" s="61">
        <f>'дод 2'!I39+'дод 2'!I190</f>
        <v>0</v>
      </c>
      <c r="I123" s="61">
        <f>'дод 2'!J39+'дод 2'!J190</f>
        <v>0</v>
      </c>
      <c r="J123" s="138">
        <f t="shared" si="22"/>
        <v>5.2388663967611331</v>
      </c>
      <c r="K123" s="61">
        <f>'дод 2'!L39+'дод 2'!L190</f>
        <v>0</v>
      </c>
      <c r="L123" s="61">
        <f>'дод 2'!M39+'дод 2'!M190</f>
        <v>0</v>
      </c>
      <c r="M123" s="61">
        <f>'дод 2'!N39+'дод 2'!N190</f>
        <v>0</v>
      </c>
      <c r="N123" s="61">
        <f>'дод 2'!O39+'дод 2'!O190</f>
        <v>0</v>
      </c>
      <c r="O123" s="61">
        <f>'дод 2'!P39+'дод 2'!P190</f>
        <v>0</v>
      </c>
      <c r="P123" s="61">
        <f>'дод 2'!Q39+'дод 2'!Q190</f>
        <v>0</v>
      </c>
      <c r="Q123" s="61">
        <f>'дод 2'!R39+'дод 2'!R190</f>
        <v>0</v>
      </c>
      <c r="R123" s="61">
        <f>'дод 2'!S39+'дод 2'!S190</f>
        <v>0</v>
      </c>
      <c r="S123" s="61">
        <f>'дод 2'!T39+'дод 2'!T190</f>
        <v>0</v>
      </c>
      <c r="T123" s="61">
        <f>'дод 2'!U39+'дод 2'!U190</f>
        <v>0</v>
      </c>
      <c r="U123" s="61">
        <f>'дод 2'!V39+'дод 2'!V190</f>
        <v>0</v>
      </c>
      <c r="V123" s="61">
        <f>'дод 2'!W39+'дод 2'!W190</f>
        <v>0</v>
      </c>
      <c r="W123" s="138"/>
      <c r="X123" s="61">
        <f t="shared" si="23"/>
        <v>64700</v>
      </c>
      <c r="Y123" s="179"/>
    </row>
    <row r="124" spans="1:25" ht="24.75" customHeight="1" x14ac:dyDescent="0.25">
      <c r="A124" s="45" t="s">
        <v>3</v>
      </c>
      <c r="B124" s="45" t="s">
        <v>106</v>
      </c>
      <c r="C124" s="3" t="s">
        <v>45</v>
      </c>
      <c r="D124" s="61">
        <f>'дод 2'!E74+'дод 2'!E94+'дод 2'!E131+'дод 2'!E154+'дод 2'!E176+'дод 2'!E197</f>
        <v>4350811</v>
      </c>
      <c r="E124" s="61">
        <f>'дод 2'!F74+'дод 2'!F94+'дод 2'!F131+'дод 2'!F154+'дод 2'!F176+'дод 2'!F197</f>
        <v>0</v>
      </c>
      <c r="F124" s="61">
        <f>'дод 2'!G74+'дод 2'!G94+'дод 2'!G131+'дод 2'!G154+'дод 2'!G176+'дод 2'!G197</f>
        <v>0</v>
      </c>
      <c r="G124" s="61">
        <f>'дод 2'!H74+'дод 2'!H94+'дод 2'!H131+'дод 2'!H154+'дод 2'!H176+'дод 2'!H197</f>
        <v>1174495.51</v>
      </c>
      <c r="H124" s="61">
        <f>'дод 2'!I74+'дод 2'!I94+'дод 2'!I131+'дод 2'!I154+'дод 2'!I176+'дод 2'!I197</f>
        <v>0</v>
      </c>
      <c r="I124" s="61">
        <f>'дод 2'!J74+'дод 2'!J94+'дод 2'!J131+'дод 2'!J154+'дод 2'!J176+'дод 2'!J197</f>
        <v>0</v>
      </c>
      <c r="J124" s="138">
        <f t="shared" si="22"/>
        <v>26.994863946055116</v>
      </c>
      <c r="K124" s="61">
        <f>'дод 2'!L74+'дод 2'!L94+'дод 2'!L131+'дод 2'!L154+'дод 2'!L176+'дод 2'!L197</f>
        <v>109462174</v>
      </c>
      <c r="L124" s="61">
        <f>'дод 2'!M74+'дод 2'!M94+'дод 2'!M131+'дод 2'!M154+'дод 2'!M176+'дод 2'!M197</f>
        <v>99725722</v>
      </c>
      <c r="M124" s="61">
        <f>'дод 2'!N74+'дод 2'!N94+'дод 2'!N131+'дод 2'!N154+'дод 2'!N176+'дод 2'!N197</f>
        <v>0</v>
      </c>
      <c r="N124" s="61">
        <f>'дод 2'!O74+'дод 2'!O94+'дод 2'!O131+'дод 2'!O154+'дод 2'!O176+'дод 2'!O197</f>
        <v>0</v>
      </c>
      <c r="O124" s="61">
        <f>'дод 2'!P74+'дод 2'!P94+'дод 2'!P131+'дод 2'!P154+'дод 2'!P176+'дод 2'!P197</f>
        <v>0</v>
      </c>
      <c r="P124" s="61">
        <f>'дод 2'!Q74+'дод 2'!Q94+'дод 2'!Q131+'дод 2'!Q154+'дод 2'!Q176+'дод 2'!Q197</f>
        <v>109462174</v>
      </c>
      <c r="Q124" s="61">
        <f>'дод 2'!R74+'дод 2'!R94+'дод 2'!R131+'дод 2'!R154+'дод 2'!R176+'дод 2'!R197</f>
        <v>4515247.67</v>
      </c>
      <c r="R124" s="61">
        <f>'дод 2'!S74+'дод 2'!S94+'дод 2'!S131+'дод 2'!S154+'дод 2'!S176+'дод 2'!S197</f>
        <v>4075536.67</v>
      </c>
      <c r="S124" s="61">
        <f>'дод 2'!T74+'дод 2'!T94+'дод 2'!T131+'дод 2'!T154+'дод 2'!T176+'дод 2'!T197</f>
        <v>0</v>
      </c>
      <c r="T124" s="61">
        <f>'дод 2'!U74+'дод 2'!U94+'дод 2'!U131+'дод 2'!U154+'дод 2'!U176+'дод 2'!U197</f>
        <v>0</v>
      </c>
      <c r="U124" s="61">
        <f>'дод 2'!V74+'дод 2'!V94+'дод 2'!V131+'дод 2'!V154+'дод 2'!V176+'дод 2'!V197</f>
        <v>0</v>
      </c>
      <c r="V124" s="61">
        <f>'дод 2'!W74+'дод 2'!W94+'дод 2'!W131+'дод 2'!W154+'дод 2'!W176+'дод 2'!W197</f>
        <v>4515247.67</v>
      </c>
      <c r="W124" s="138">
        <f t="shared" si="24"/>
        <v>4.1249387847897117</v>
      </c>
      <c r="X124" s="61">
        <f t="shared" si="23"/>
        <v>5689743.1799999997</v>
      </c>
      <c r="Y124" s="179"/>
    </row>
    <row r="125" spans="1:25" ht="33.75" customHeight="1" x14ac:dyDescent="0.25">
      <c r="A125" s="45" t="s">
        <v>309</v>
      </c>
      <c r="B125" s="45" t="s">
        <v>102</v>
      </c>
      <c r="C125" s="3" t="s">
        <v>406</v>
      </c>
      <c r="D125" s="61">
        <f>'дод 2'!E191</f>
        <v>0</v>
      </c>
      <c r="E125" s="61">
        <f>'дод 2'!F191</f>
        <v>0</v>
      </c>
      <c r="F125" s="61">
        <f>'дод 2'!G191</f>
        <v>0</v>
      </c>
      <c r="G125" s="61">
        <f>'дод 2'!H191</f>
        <v>0</v>
      </c>
      <c r="H125" s="61">
        <f>'дод 2'!I191</f>
        <v>0</v>
      </c>
      <c r="I125" s="61">
        <f>'дод 2'!J191</f>
        <v>0</v>
      </c>
      <c r="J125" s="138"/>
      <c r="K125" s="61">
        <f>'дод 2'!L191</f>
        <v>30000</v>
      </c>
      <c r="L125" s="61">
        <f>'дод 2'!M191</f>
        <v>30000</v>
      </c>
      <c r="M125" s="61">
        <f>'дод 2'!N191</f>
        <v>0</v>
      </c>
      <c r="N125" s="61">
        <f>'дод 2'!O191</f>
        <v>0</v>
      </c>
      <c r="O125" s="61">
        <f>'дод 2'!P191</f>
        <v>0</v>
      </c>
      <c r="P125" s="61">
        <f>'дод 2'!Q191</f>
        <v>30000</v>
      </c>
      <c r="Q125" s="61">
        <f>'дод 2'!R191</f>
        <v>4500</v>
      </c>
      <c r="R125" s="61">
        <f>'дод 2'!S191</f>
        <v>4500</v>
      </c>
      <c r="S125" s="61">
        <f>'дод 2'!T191</f>
        <v>0</v>
      </c>
      <c r="T125" s="61">
        <f>'дод 2'!U191</f>
        <v>0</v>
      </c>
      <c r="U125" s="61">
        <f>'дод 2'!V191</f>
        <v>0</v>
      </c>
      <c r="V125" s="61">
        <f>'дод 2'!W191</f>
        <v>4500</v>
      </c>
      <c r="W125" s="138">
        <f t="shared" si="24"/>
        <v>15</v>
      </c>
      <c r="X125" s="61">
        <f t="shared" si="23"/>
        <v>4500</v>
      </c>
      <c r="Y125" s="179"/>
    </row>
    <row r="126" spans="1:25" ht="59.25" customHeight="1" x14ac:dyDescent="0.25">
      <c r="A126" s="45" t="s">
        <v>311</v>
      </c>
      <c r="B126" s="45" t="s">
        <v>102</v>
      </c>
      <c r="C126" s="3" t="s">
        <v>312</v>
      </c>
      <c r="D126" s="61">
        <f>'дод 2'!E192</f>
        <v>0</v>
      </c>
      <c r="E126" s="61">
        <f>'дод 2'!F192</f>
        <v>0</v>
      </c>
      <c r="F126" s="61">
        <f>'дод 2'!G192</f>
        <v>0</v>
      </c>
      <c r="G126" s="61">
        <f>'дод 2'!H192</f>
        <v>0</v>
      </c>
      <c r="H126" s="61">
        <f>'дод 2'!I192</f>
        <v>0</v>
      </c>
      <c r="I126" s="61">
        <f>'дод 2'!J192</f>
        <v>0</v>
      </c>
      <c r="J126" s="138"/>
      <c r="K126" s="61">
        <f>'дод 2'!L192</f>
        <v>45000</v>
      </c>
      <c r="L126" s="61">
        <f>'дод 2'!M192</f>
        <v>45000</v>
      </c>
      <c r="M126" s="61">
        <f>'дод 2'!N192</f>
        <v>0</v>
      </c>
      <c r="N126" s="61">
        <f>'дод 2'!O192</f>
        <v>0</v>
      </c>
      <c r="O126" s="61">
        <f>'дод 2'!P192</f>
        <v>0</v>
      </c>
      <c r="P126" s="61">
        <f>'дод 2'!Q192</f>
        <v>45000</v>
      </c>
      <c r="Q126" s="61">
        <f>'дод 2'!R192</f>
        <v>0</v>
      </c>
      <c r="R126" s="61">
        <f>'дод 2'!S192</f>
        <v>0</v>
      </c>
      <c r="S126" s="61">
        <f>'дод 2'!T192</f>
        <v>0</v>
      </c>
      <c r="T126" s="61">
        <f>'дод 2'!U192</f>
        <v>0</v>
      </c>
      <c r="U126" s="61">
        <f>'дод 2'!V192</f>
        <v>0</v>
      </c>
      <c r="V126" s="61">
        <f>'дод 2'!W192</f>
        <v>0</v>
      </c>
      <c r="W126" s="138">
        <f t="shared" si="24"/>
        <v>0</v>
      </c>
      <c r="X126" s="61">
        <f t="shared" si="23"/>
        <v>0</v>
      </c>
      <c r="Y126" s="179"/>
    </row>
    <row r="127" spans="1:25" ht="30.75" customHeight="1" x14ac:dyDescent="0.25">
      <c r="A127" s="45" t="s">
        <v>7</v>
      </c>
      <c r="B127" s="45" t="s">
        <v>102</v>
      </c>
      <c r="C127" s="3" t="s">
        <v>33</v>
      </c>
      <c r="D127" s="61">
        <f>'дод 2'!E40+'дод 2'!E155</f>
        <v>0</v>
      </c>
      <c r="E127" s="61">
        <f>'дод 2'!F40+'дод 2'!F155</f>
        <v>0</v>
      </c>
      <c r="F127" s="61">
        <f>'дод 2'!G40+'дод 2'!G155</f>
        <v>0</v>
      </c>
      <c r="G127" s="61">
        <f>'дод 2'!H40+'дод 2'!H155</f>
        <v>0</v>
      </c>
      <c r="H127" s="61">
        <f>'дод 2'!I40+'дод 2'!I155</f>
        <v>0</v>
      </c>
      <c r="I127" s="61">
        <f>'дод 2'!J40+'дод 2'!J155</f>
        <v>0</v>
      </c>
      <c r="J127" s="138"/>
      <c r="K127" s="61">
        <f>'дод 2'!L40+'дод 2'!L155</f>
        <v>39614330</v>
      </c>
      <c r="L127" s="61">
        <f>'дод 2'!M40+'дод 2'!M155</f>
        <v>39614330</v>
      </c>
      <c r="M127" s="61">
        <f>'дод 2'!N40+'дод 2'!N155</f>
        <v>0</v>
      </c>
      <c r="N127" s="61">
        <f>'дод 2'!O40+'дод 2'!O155</f>
        <v>0</v>
      </c>
      <c r="O127" s="61">
        <f>'дод 2'!P40+'дод 2'!P155</f>
        <v>0</v>
      </c>
      <c r="P127" s="61">
        <f>'дод 2'!Q40+'дод 2'!Q155</f>
        <v>39614330</v>
      </c>
      <c r="Q127" s="61">
        <f>'дод 2'!R40+'дод 2'!R155</f>
        <v>0</v>
      </c>
      <c r="R127" s="61">
        <f>'дод 2'!S40+'дод 2'!S155</f>
        <v>0</v>
      </c>
      <c r="S127" s="61">
        <f>'дод 2'!T40+'дод 2'!T155</f>
        <v>0</v>
      </c>
      <c r="T127" s="61">
        <f>'дод 2'!U40+'дод 2'!U155</f>
        <v>0</v>
      </c>
      <c r="U127" s="61">
        <f>'дод 2'!V40+'дод 2'!V155</f>
        <v>0</v>
      </c>
      <c r="V127" s="61">
        <f>'дод 2'!W40+'дод 2'!W155</f>
        <v>0</v>
      </c>
      <c r="W127" s="138">
        <f t="shared" si="24"/>
        <v>0</v>
      </c>
      <c r="X127" s="61">
        <f t="shared" si="23"/>
        <v>0</v>
      </c>
      <c r="Y127" s="179"/>
    </row>
    <row r="128" spans="1:25" ht="36.75" customHeight="1" x14ac:dyDescent="0.25">
      <c r="A128" s="45" t="s">
        <v>289</v>
      </c>
      <c r="B128" s="45" t="s">
        <v>102</v>
      </c>
      <c r="C128" s="3" t="s">
        <v>290</v>
      </c>
      <c r="D128" s="61">
        <f>'дод 2'!E41</f>
        <v>241467</v>
      </c>
      <c r="E128" s="61">
        <f>'дод 2'!F41</f>
        <v>0</v>
      </c>
      <c r="F128" s="61">
        <f>'дод 2'!G41</f>
        <v>0</v>
      </c>
      <c r="G128" s="61">
        <f>'дод 2'!H41</f>
        <v>129892</v>
      </c>
      <c r="H128" s="61">
        <f>'дод 2'!I41</f>
        <v>0</v>
      </c>
      <c r="I128" s="61">
        <f>'дод 2'!J41</f>
        <v>0</v>
      </c>
      <c r="J128" s="138">
        <f t="shared" si="22"/>
        <v>53.792857823222221</v>
      </c>
      <c r="K128" s="61">
        <f>'дод 2'!L41</f>
        <v>0</v>
      </c>
      <c r="L128" s="61">
        <f>'дод 2'!M41</f>
        <v>0</v>
      </c>
      <c r="M128" s="61">
        <f>'дод 2'!N41</f>
        <v>0</v>
      </c>
      <c r="N128" s="61">
        <f>'дод 2'!O41</f>
        <v>0</v>
      </c>
      <c r="O128" s="61">
        <f>'дод 2'!P41</f>
        <v>0</v>
      </c>
      <c r="P128" s="61">
        <f>'дод 2'!Q41</f>
        <v>0</v>
      </c>
      <c r="Q128" s="61">
        <f>'дод 2'!R41</f>
        <v>0</v>
      </c>
      <c r="R128" s="61">
        <f>'дод 2'!S41</f>
        <v>0</v>
      </c>
      <c r="S128" s="61">
        <f>'дод 2'!T41</f>
        <v>0</v>
      </c>
      <c r="T128" s="61">
        <f>'дод 2'!U41</f>
        <v>0</v>
      </c>
      <c r="U128" s="61">
        <f>'дод 2'!V41</f>
        <v>0</v>
      </c>
      <c r="V128" s="61">
        <f>'дод 2'!W41</f>
        <v>0</v>
      </c>
      <c r="W128" s="138"/>
      <c r="X128" s="61">
        <f t="shared" si="23"/>
        <v>129892</v>
      </c>
      <c r="Y128" s="179"/>
    </row>
    <row r="129" spans="1:25" s="78" customFormat="1" ht="108" customHeight="1" x14ac:dyDescent="0.25">
      <c r="A129" s="45" t="s">
        <v>345</v>
      </c>
      <c r="B129" s="45" t="s">
        <v>102</v>
      </c>
      <c r="C129" s="3" t="s">
        <v>366</v>
      </c>
      <c r="D129" s="61">
        <f>'дод 2'!E42+'дод 2'!E156+'дод 2'!E177+'дод 2'!E182</f>
        <v>0</v>
      </c>
      <c r="E129" s="61">
        <f>'дод 2'!F42+'дод 2'!F156+'дод 2'!F177+'дод 2'!F182</f>
        <v>0</v>
      </c>
      <c r="F129" s="61">
        <f>'дод 2'!G42+'дод 2'!G156+'дод 2'!G177+'дод 2'!G182</f>
        <v>0</v>
      </c>
      <c r="G129" s="61">
        <f>'дод 2'!H42+'дод 2'!H156+'дод 2'!H177+'дод 2'!H182</f>
        <v>0</v>
      </c>
      <c r="H129" s="61">
        <f>'дод 2'!I42+'дод 2'!I156+'дод 2'!I177+'дод 2'!I182</f>
        <v>0</v>
      </c>
      <c r="I129" s="61">
        <f>'дод 2'!J42+'дод 2'!J156+'дод 2'!J177+'дод 2'!J182</f>
        <v>0</v>
      </c>
      <c r="J129" s="138"/>
      <c r="K129" s="61">
        <f>'дод 2'!L42+'дод 2'!L156+'дод 2'!L177+'дод 2'!L182</f>
        <v>3887680.13</v>
      </c>
      <c r="L129" s="61">
        <f>'дод 2'!M42+'дод 2'!M156+'дод 2'!M177+'дод 2'!M182</f>
        <v>0</v>
      </c>
      <c r="M129" s="61">
        <f>'дод 2'!N42+'дод 2'!N156+'дод 2'!N177+'дод 2'!N182</f>
        <v>2171363.0100000002</v>
      </c>
      <c r="N129" s="61">
        <f>'дод 2'!O42+'дод 2'!O156+'дод 2'!O177+'дод 2'!O182</f>
        <v>0</v>
      </c>
      <c r="O129" s="61">
        <f>'дод 2'!P42+'дод 2'!P156+'дод 2'!P177+'дод 2'!P182</f>
        <v>0</v>
      </c>
      <c r="P129" s="61">
        <f>'дод 2'!Q42+'дод 2'!Q156+'дод 2'!Q177+'дод 2'!Q182</f>
        <v>1716317.12</v>
      </c>
      <c r="Q129" s="61">
        <f>'дод 2'!R42+'дод 2'!R156+'дод 2'!R177+'дод 2'!R182</f>
        <v>130690</v>
      </c>
      <c r="R129" s="61">
        <f>'дод 2'!S42+'дод 2'!S156+'дод 2'!S177+'дод 2'!S182</f>
        <v>0</v>
      </c>
      <c r="S129" s="61">
        <f>'дод 2'!T42+'дод 2'!T156+'дод 2'!T177+'дод 2'!T182</f>
        <v>130690</v>
      </c>
      <c r="T129" s="61">
        <f>'дод 2'!U42+'дод 2'!U156+'дод 2'!U177+'дод 2'!U182</f>
        <v>0</v>
      </c>
      <c r="U129" s="61">
        <f>'дод 2'!V42+'дод 2'!V156+'дод 2'!V177+'дод 2'!V182</f>
        <v>0</v>
      </c>
      <c r="V129" s="61">
        <f>'дод 2'!W42+'дод 2'!W156+'дод 2'!W177+'дод 2'!W182</f>
        <v>0</v>
      </c>
      <c r="W129" s="138">
        <f t="shared" si="24"/>
        <v>3.3616448789473843</v>
      </c>
      <c r="X129" s="61">
        <f t="shared" si="23"/>
        <v>130690</v>
      </c>
      <c r="Y129" s="179"/>
    </row>
    <row r="130" spans="1:25" s="78" customFormat="1" ht="30.75" customHeight="1" x14ac:dyDescent="0.25">
      <c r="A130" s="45" t="s">
        <v>280</v>
      </c>
      <c r="B130" s="45" t="s">
        <v>102</v>
      </c>
      <c r="C130" s="3" t="s">
        <v>23</v>
      </c>
      <c r="D130" s="61">
        <f>'дод 2'!E43+'дод 2'!E193+'дод 2'!E198</f>
        <v>2772389</v>
      </c>
      <c r="E130" s="61">
        <f>'дод 2'!F43+'дод 2'!F193+'дод 2'!F198</f>
        <v>0</v>
      </c>
      <c r="F130" s="61">
        <f>'дод 2'!G43+'дод 2'!G193+'дод 2'!G198</f>
        <v>0</v>
      </c>
      <c r="G130" s="61">
        <f>'дод 2'!H43+'дод 2'!H193+'дод 2'!H198</f>
        <v>340441.5</v>
      </c>
      <c r="H130" s="61">
        <f>'дод 2'!I43+'дод 2'!I193+'дод 2'!I198</f>
        <v>0</v>
      </c>
      <c r="I130" s="61">
        <f>'дод 2'!J43+'дод 2'!J193+'дод 2'!J198</f>
        <v>0</v>
      </c>
      <c r="J130" s="138">
        <f t="shared" si="22"/>
        <v>12.27971615815818</v>
      </c>
      <c r="K130" s="61">
        <f>'дод 2'!L43+'дод 2'!L193+'дод 2'!L198</f>
        <v>0</v>
      </c>
      <c r="L130" s="61">
        <f>'дод 2'!M43+'дод 2'!M193+'дод 2'!M198</f>
        <v>0</v>
      </c>
      <c r="M130" s="61">
        <f>'дод 2'!N43+'дод 2'!N193+'дод 2'!N198</f>
        <v>0</v>
      </c>
      <c r="N130" s="61">
        <f>'дод 2'!O43+'дод 2'!O193+'дод 2'!O198</f>
        <v>0</v>
      </c>
      <c r="O130" s="61">
        <f>'дод 2'!P43+'дод 2'!P193+'дод 2'!P198</f>
        <v>0</v>
      </c>
      <c r="P130" s="61">
        <f>'дод 2'!Q43+'дод 2'!Q193+'дод 2'!Q198</f>
        <v>0</v>
      </c>
      <c r="Q130" s="61">
        <f>'дод 2'!R43+'дод 2'!R193+'дод 2'!R198</f>
        <v>0</v>
      </c>
      <c r="R130" s="61">
        <f>'дод 2'!S43+'дод 2'!S193+'дод 2'!S198</f>
        <v>0</v>
      </c>
      <c r="S130" s="61">
        <f>'дод 2'!T43+'дод 2'!T193+'дод 2'!T198</f>
        <v>0</v>
      </c>
      <c r="T130" s="61">
        <f>'дод 2'!U43+'дод 2'!U193+'дод 2'!U198</f>
        <v>0</v>
      </c>
      <c r="U130" s="61">
        <f>'дод 2'!V43+'дод 2'!V193+'дод 2'!V198</f>
        <v>0</v>
      </c>
      <c r="V130" s="61">
        <f>'дод 2'!W43+'дод 2'!W193+'дод 2'!W198</f>
        <v>0</v>
      </c>
      <c r="W130" s="138"/>
      <c r="X130" s="61">
        <f t="shared" si="23"/>
        <v>340441.5</v>
      </c>
      <c r="Y130" s="179"/>
    </row>
    <row r="131" spans="1:25" s="77" customFormat="1" ht="48.75" customHeight="1" x14ac:dyDescent="0.25">
      <c r="A131" s="46">
        <v>7700</v>
      </c>
      <c r="B131" s="46"/>
      <c r="C131" s="91" t="s">
        <v>424</v>
      </c>
      <c r="D131" s="60">
        <f t="shared" ref="D131:I131" si="44">D132</f>
        <v>0</v>
      </c>
      <c r="E131" s="60">
        <f t="shared" si="44"/>
        <v>0</v>
      </c>
      <c r="F131" s="60">
        <f t="shared" si="44"/>
        <v>0</v>
      </c>
      <c r="G131" s="60">
        <f t="shared" si="44"/>
        <v>0</v>
      </c>
      <c r="H131" s="60">
        <f t="shared" si="44"/>
        <v>0</v>
      </c>
      <c r="I131" s="60">
        <f t="shared" si="44"/>
        <v>0</v>
      </c>
      <c r="J131" s="137"/>
      <c r="K131" s="60">
        <f t="shared" ref="K131:V131" si="45">K132</f>
        <v>885000</v>
      </c>
      <c r="L131" s="60">
        <f t="shared" si="45"/>
        <v>0</v>
      </c>
      <c r="M131" s="60">
        <f t="shared" si="45"/>
        <v>0</v>
      </c>
      <c r="N131" s="60">
        <f t="shared" si="45"/>
        <v>0</v>
      </c>
      <c r="O131" s="60">
        <f t="shared" si="45"/>
        <v>0</v>
      </c>
      <c r="P131" s="60">
        <f t="shared" si="45"/>
        <v>885000</v>
      </c>
      <c r="Q131" s="60">
        <f t="shared" si="45"/>
        <v>0</v>
      </c>
      <c r="R131" s="60">
        <f t="shared" si="45"/>
        <v>0</v>
      </c>
      <c r="S131" s="60">
        <f t="shared" si="45"/>
        <v>0</v>
      </c>
      <c r="T131" s="60">
        <f t="shared" si="45"/>
        <v>0</v>
      </c>
      <c r="U131" s="60">
        <f t="shared" si="45"/>
        <v>0</v>
      </c>
      <c r="V131" s="60">
        <f t="shared" si="45"/>
        <v>0</v>
      </c>
      <c r="W131" s="137">
        <f t="shared" si="24"/>
        <v>0</v>
      </c>
      <c r="X131" s="60">
        <f t="shared" si="23"/>
        <v>0</v>
      </c>
      <c r="Y131" s="179"/>
    </row>
    <row r="132" spans="1:25" s="78" customFormat="1" ht="46.5" customHeight="1" x14ac:dyDescent="0.25">
      <c r="A132" s="45">
        <v>7700</v>
      </c>
      <c r="B132" s="90" t="s">
        <v>113</v>
      </c>
      <c r="C132" s="23" t="s">
        <v>424</v>
      </c>
      <c r="D132" s="61">
        <f>'дод 2'!E95</f>
        <v>0</v>
      </c>
      <c r="E132" s="61">
        <f>'дод 2'!F95</f>
        <v>0</v>
      </c>
      <c r="F132" s="61">
        <f>'дод 2'!G95</f>
        <v>0</v>
      </c>
      <c r="G132" s="61">
        <f>'дод 2'!H95</f>
        <v>0</v>
      </c>
      <c r="H132" s="61">
        <f>'дод 2'!I95</f>
        <v>0</v>
      </c>
      <c r="I132" s="61">
        <f>'дод 2'!J95</f>
        <v>0</v>
      </c>
      <c r="J132" s="137"/>
      <c r="K132" s="61">
        <f>'дод 2'!L95</f>
        <v>885000</v>
      </c>
      <c r="L132" s="61">
        <f>'дод 2'!M95</f>
        <v>0</v>
      </c>
      <c r="M132" s="61">
        <f>'дод 2'!N95</f>
        <v>0</v>
      </c>
      <c r="N132" s="61">
        <f>'дод 2'!O95</f>
        <v>0</v>
      </c>
      <c r="O132" s="61">
        <f>'дод 2'!P95</f>
        <v>0</v>
      </c>
      <c r="P132" s="61">
        <f>'дод 2'!Q95</f>
        <v>885000</v>
      </c>
      <c r="Q132" s="61">
        <f>'дод 2'!R95</f>
        <v>0</v>
      </c>
      <c r="R132" s="61">
        <f>'дод 2'!S95</f>
        <v>0</v>
      </c>
      <c r="S132" s="61">
        <f>'дод 2'!T95</f>
        <v>0</v>
      </c>
      <c r="T132" s="61">
        <f>'дод 2'!U95</f>
        <v>0</v>
      </c>
      <c r="U132" s="61">
        <f>'дод 2'!V95</f>
        <v>0</v>
      </c>
      <c r="V132" s="61">
        <f>'дод 2'!W95</f>
        <v>0</v>
      </c>
      <c r="W132" s="137">
        <f t="shared" si="24"/>
        <v>0</v>
      </c>
      <c r="X132" s="60">
        <f t="shared" si="23"/>
        <v>0</v>
      </c>
      <c r="Y132" s="179"/>
    </row>
    <row r="133" spans="1:25" s="76" customFormat="1" x14ac:dyDescent="0.25">
      <c r="A133" s="46" t="s">
        <v>114</v>
      </c>
      <c r="B133" s="47"/>
      <c r="C133" s="2" t="s">
        <v>9</v>
      </c>
      <c r="D133" s="60">
        <f t="shared" ref="D133" si="46">D134+D137+D139+D142+D144+D145</f>
        <v>11880585</v>
      </c>
      <c r="E133" s="60">
        <f t="shared" ref="E133:I133" si="47">E134+E137+E139+E142+E144+E145</f>
        <v>1542220</v>
      </c>
      <c r="F133" s="60">
        <f t="shared" si="47"/>
        <v>413540</v>
      </c>
      <c r="G133" s="60">
        <f t="shared" si="47"/>
        <v>2014314.39</v>
      </c>
      <c r="H133" s="60">
        <f t="shared" si="47"/>
        <v>749610.38</v>
      </c>
      <c r="I133" s="60">
        <f t="shared" si="47"/>
        <v>142516.10999999999</v>
      </c>
      <c r="J133" s="137">
        <f t="shared" si="22"/>
        <v>16.954673444110703</v>
      </c>
      <c r="K133" s="60">
        <f t="shared" ref="K133:V133" si="48">K134+K137+K139+K142+K144+K145</f>
        <v>8664643.4499999993</v>
      </c>
      <c r="L133" s="60">
        <f t="shared" si="48"/>
        <v>2299600</v>
      </c>
      <c r="M133" s="60">
        <f t="shared" si="48"/>
        <v>2552000</v>
      </c>
      <c r="N133" s="60">
        <f t="shared" si="48"/>
        <v>0</v>
      </c>
      <c r="O133" s="60">
        <f t="shared" si="48"/>
        <v>541400</v>
      </c>
      <c r="P133" s="60">
        <f t="shared" si="48"/>
        <v>6112643.4500000002</v>
      </c>
      <c r="Q133" s="60">
        <f t="shared" si="48"/>
        <v>728974.33000000007</v>
      </c>
      <c r="R133" s="60">
        <f t="shared" si="48"/>
        <v>133584</v>
      </c>
      <c r="S133" s="60">
        <f t="shared" si="48"/>
        <v>511390.33</v>
      </c>
      <c r="T133" s="60">
        <f t="shared" si="48"/>
        <v>15000</v>
      </c>
      <c r="U133" s="60">
        <f t="shared" si="48"/>
        <v>54999.9</v>
      </c>
      <c r="V133" s="60">
        <f t="shared" si="48"/>
        <v>217584</v>
      </c>
      <c r="W133" s="137">
        <f t="shared" si="24"/>
        <v>8.4132063160660131</v>
      </c>
      <c r="X133" s="60">
        <f t="shared" si="23"/>
        <v>2743288.7199999997</v>
      </c>
      <c r="Y133" s="179"/>
    </row>
    <row r="134" spans="1:25" s="76" customFormat="1" ht="39.75" customHeight="1" x14ac:dyDescent="0.25">
      <c r="A134" s="46" t="s">
        <v>116</v>
      </c>
      <c r="B134" s="47"/>
      <c r="C134" s="2" t="s">
        <v>10</v>
      </c>
      <c r="D134" s="60">
        <f t="shared" ref="D134" si="49">D135+D136</f>
        <v>4703088</v>
      </c>
      <c r="E134" s="60">
        <f t="shared" ref="E134:I134" si="50">E135+E136</f>
        <v>1542220</v>
      </c>
      <c r="F134" s="60">
        <f t="shared" si="50"/>
        <v>135380</v>
      </c>
      <c r="G134" s="60">
        <f t="shared" si="50"/>
        <v>1703663.17</v>
      </c>
      <c r="H134" s="60">
        <f t="shared" si="50"/>
        <v>749610.38</v>
      </c>
      <c r="I134" s="60">
        <f t="shared" si="50"/>
        <v>38890.22</v>
      </c>
      <c r="J134" s="137">
        <f t="shared" si="22"/>
        <v>36.224352382944993</v>
      </c>
      <c r="K134" s="60">
        <f t="shared" ref="K134:V134" si="51">K135+K136</f>
        <v>2305100</v>
      </c>
      <c r="L134" s="60">
        <f t="shared" si="51"/>
        <v>2299600</v>
      </c>
      <c r="M134" s="60">
        <f t="shared" si="51"/>
        <v>5500</v>
      </c>
      <c r="N134" s="60">
        <f t="shared" si="51"/>
        <v>0</v>
      </c>
      <c r="O134" s="60">
        <f t="shared" si="51"/>
        <v>1400</v>
      </c>
      <c r="P134" s="60">
        <f t="shared" si="51"/>
        <v>2299600</v>
      </c>
      <c r="Q134" s="60">
        <f t="shared" si="51"/>
        <v>154184</v>
      </c>
      <c r="R134" s="60">
        <f t="shared" si="51"/>
        <v>133584</v>
      </c>
      <c r="S134" s="60">
        <f t="shared" si="51"/>
        <v>20600</v>
      </c>
      <c r="T134" s="60">
        <f t="shared" si="51"/>
        <v>15000</v>
      </c>
      <c r="U134" s="60">
        <f t="shared" si="51"/>
        <v>0</v>
      </c>
      <c r="V134" s="60">
        <f t="shared" si="51"/>
        <v>133584</v>
      </c>
      <c r="W134" s="137">
        <f t="shared" si="24"/>
        <v>6.6888204416294297</v>
      </c>
      <c r="X134" s="60">
        <f t="shared" si="23"/>
        <v>1857847.17</v>
      </c>
      <c r="Y134" s="179"/>
    </row>
    <row r="135" spans="1:25" ht="36.75" customHeight="1" x14ac:dyDescent="0.25">
      <c r="A135" s="48" t="s">
        <v>11</v>
      </c>
      <c r="B135" s="48" t="s">
        <v>109</v>
      </c>
      <c r="C135" s="3" t="s">
        <v>346</v>
      </c>
      <c r="D135" s="61">
        <f>'дод 2'!E44+'дод 2'!E157</f>
        <v>2672818</v>
      </c>
      <c r="E135" s="61">
        <f>'дод 2'!F44+'дод 2'!F157</f>
        <v>0</v>
      </c>
      <c r="F135" s="61">
        <f>'дод 2'!G44+'дод 2'!G157</f>
        <v>55500</v>
      </c>
      <c r="G135" s="61">
        <f>'дод 2'!H44+'дод 2'!H157</f>
        <v>751900.19</v>
      </c>
      <c r="H135" s="61">
        <f>'дод 2'!I44+'дод 2'!I157</f>
        <v>0</v>
      </c>
      <c r="I135" s="61">
        <f>'дод 2'!J44+'дод 2'!J157</f>
        <v>23210.57</v>
      </c>
      <c r="J135" s="138">
        <f t="shared" si="22"/>
        <v>28.131365098558899</v>
      </c>
      <c r="K135" s="61">
        <f>'дод 2'!L44+'дод 2'!L157</f>
        <v>2299600</v>
      </c>
      <c r="L135" s="61">
        <f>'дод 2'!M44+'дод 2'!M157</f>
        <v>2299600</v>
      </c>
      <c r="M135" s="61">
        <f>'дод 2'!N44+'дод 2'!N157</f>
        <v>0</v>
      </c>
      <c r="N135" s="61">
        <f>'дод 2'!O44+'дод 2'!O157</f>
        <v>0</v>
      </c>
      <c r="O135" s="61">
        <f>'дод 2'!P44+'дод 2'!P157</f>
        <v>0</v>
      </c>
      <c r="P135" s="61">
        <f>'дод 2'!Q44+'дод 2'!Q157</f>
        <v>2299600</v>
      </c>
      <c r="Q135" s="61">
        <f>'дод 2'!R44+'дод 2'!R157</f>
        <v>133584</v>
      </c>
      <c r="R135" s="61">
        <f>'дод 2'!S44+'дод 2'!S157</f>
        <v>133584</v>
      </c>
      <c r="S135" s="61">
        <f>'дод 2'!T44+'дод 2'!T157</f>
        <v>0</v>
      </c>
      <c r="T135" s="61">
        <f>'дод 2'!U44+'дод 2'!U157</f>
        <v>0</v>
      </c>
      <c r="U135" s="61">
        <f>'дод 2'!V44+'дод 2'!V157</f>
        <v>0</v>
      </c>
      <c r="V135" s="61">
        <f>'дод 2'!W44+'дод 2'!W157</f>
        <v>133584</v>
      </c>
      <c r="W135" s="138">
        <f t="shared" si="24"/>
        <v>5.8090102626543745</v>
      </c>
      <c r="X135" s="61">
        <f t="shared" si="23"/>
        <v>885484.19</v>
      </c>
      <c r="Y135" s="179"/>
    </row>
    <row r="136" spans="1:25" ht="24.75" customHeight="1" x14ac:dyDescent="0.25">
      <c r="A136" s="45" t="s">
        <v>179</v>
      </c>
      <c r="B136" s="50" t="s">
        <v>109</v>
      </c>
      <c r="C136" s="3" t="s">
        <v>12</v>
      </c>
      <c r="D136" s="61">
        <f>'дод 2'!E45</f>
        <v>2030270</v>
      </c>
      <c r="E136" s="61">
        <f>'дод 2'!F45</f>
        <v>1542220</v>
      </c>
      <c r="F136" s="61">
        <f>'дод 2'!G45</f>
        <v>79880</v>
      </c>
      <c r="G136" s="61">
        <f>'дод 2'!H45</f>
        <v>951762.98</v>
      </c>
      <c r="H136" s="61">
        <f>'дод 2'!I45</f>
        <v>749610.38</v>
      </c>
      <c r="I136" s="61">
        <f>'дод 2'!J45</f>
        <v>15679.65</v>
      </c>
      <c r="J136" s="138">
        <f t="shared" si="22"/>
        <v>46.878640771917034</v>
      </c>
      <c r="K136" s="61">
        <f>'дод 2'!L45</f>
        <v>5500</v>
      </c>
      <c r="L136" s="61">
        <f>'дод 2'!M45</f>
        <v>0</v>
      </c>
      <c r="M136" s="61">
        <f>'дод 2'!N45</f>
        <v>5500</v>
      </c>
      <c r="N136" s="61">
        <f>'дод 2'!O45</f>
        <v>0</v>
      </c>
      <c r="O136" s="61">
        <f>'дод 2'!P45</f>
        <v>1400</v>
      </c>
      <c r="P136" s="61">
        <f>'дод 2'!Q45</f>
        <v>0</v>
      </c>
      <c r="Q136" s="61">
        <f>'дод 2'!R45</f>
        <v>20600</v>
      </c>
      <c r="R136" s="61">
        <f>'дод 2'!S45</f>
        <v>0</v>
      </c>
      <c r="S136" s="61">
        <f>'дод 2'!T45</f>
        <v>20600</v>
      </c>
      <c r="T136" s="61">
        <f>'дод 2'!U45</f>
        <v>15000</v>
      </c>
      <c r="U136" s="61">
        <f>'дод 2'!V45</f>
        <v>0</v>
      </c>
      <c r="V136" s="61">
        <f>'дод 2'!W45</f>
        <v>0</v>
      </c>
      <c r="W136" s="138">
        <f t="shared" si="24"/>
        <v>374.54545454545456</v>
      </c>
      <c r="X136" s="61">
        <f t="shared" si="23"/>
        <v>972362.98</v>
      </c>
      <c r="Y136" s="179"/>
    </row>
    <row r="137" spans="1:25" ht="30" customHeight="1" x14ac:dyDescent="0.25">
      <c r="A137" s="45" t="s">
        <v>291</v>
      </c>
      <c r="B137" s="45"/>
      <c r="C137" s="136" t="s">
        <v>292</v>
      </c>
      <c r="D137" s="61">
        <f t="shared" ref="D137:V137" si="52">D138</f>
        <v>683360</v>
      </c>
      <c r="E137" s="61">
        <f t="shared" si="52"/>
        <v>0</v>
      </c>
      <c r="F137" s="61">
        <f t="shared" si="52"/>
        <v>278160</v>
      </c>
      <c r="G137" s="61">
        <f t="shared" si="52"/>
        <v>287187.78999999998</v>
      </c>
      <c r="H137" s="61">
        <f t="shared" si="52"/>
        <v>0</v>
      </c>
      <c r="I137" s="61">
        <f t="shared" si="52"/>
        <v>103625.89</v>
      </c>
      <c r="J137" s="138">
        <f t="shared" si="22"/>
        <v>42.025841430578318</v>
      </c>
      <c r="K137" s="61">
        <f t="shared" si="52"/>
        <v>0</v>
      </c>
      <c r="L137" s="61">
        <f t="shared" si="52"/>
        <v>0</v>
      </c>
      <c r="M137" s="61">
        <f t="shared" si="52"/>
        <v>0</v>
      </c>
      <c r="N137" s="61">
        <f t="shared" si="52"/>
        <v>0</v>
      </c>
      <c r="O137" s="61">
        <f t="shared" si="52"/>
        <v>0</v>
      </c>
      <c r="P137" s="61">
        <f t="shared" si="52"/>
        <v>0</v>
      </c>
      <c r="Q137" s="61">
        <f t="shared" si="52"/>
        <v>0</v>
      </c>
      <c r="R137" s="61">
        <f t="shared" si="52"/>
        <v>0</v>
      </c>
      <c r="S137" s="61">
        <f t="shared" si="52"/>
        <v>0</v>
      </c>
      <c r="T137" s="61">
        <f t="shared" si="52"/>
        <v>0</v>
      </c>
      <c r="U137" s="61">
        <f t="shared" si="52"/>
        <v>0</v>
      </c>
      <c r="V137" s="61">
        <f t="shared" si="52"/>
        <v>0</v>
      </c>
      <c r="W137" s="138"/>
      <c r="X137" s="61">
        <f t="shared" si="23"/>
        <v>287187.78999999998</v>
      </c>
      <c r="Y137" s="179"/>
    </row>
    <row r="138" spans="1:25" ht="30" customHeight="1" x14ac:dyDescent="0.25">
      <c r="A138" s="45" t="s">
        <v>285</v>
      </c>
      <c r="B138" s="50" t="s">
        <v>286</v>
      </c>
      <c r="C138" s="3" t="s">
        <v>287</v>
      </c>
      <c r="D138" s="61">
        <f>'дод 2'!E46+'дод 2'!E158</f>
        <v>683360</v>
      </c>
      <c r="E138" s="61">
        <f>'дод 2'!F46+'дод 2'!F158</f>
        <v>0</v>
      </c>
      <c r="F138" s="61">
        <f>'дод 2'!G46+'дод 2'!G158</f>
        <v>278160</v>
      </c>
      <c r="G138" s="61">
        <f>'дод 2'!H46+'дод 2'!H158</f>
        <v>287187.78999999998</v>
      </c>
      <c r="H138" s="61">
        <f>'дод 2'!I46+'дод 2'!I158</f>
        <v>0</v>
      </c>
      <c r="I138" s="61">
        <f>'дод 2'!J46+'дод 2'!J158</f>
        <v>103625.89</v>
      </c>
      <c r="J138" s="138">
        <f t="shared" si="22"/>
        <v>42.025841430578318</v>
      </c>
      <c r="K138" s="61">
        <f>'дод 2'!L46+'дод 2'!L158</f>
        <v>0</v>
      </c>
      <c r="L138" s="61">
        <f>'дод 2'!M46+'дод 2'!M158</f>
        <v>0</v>
      </c>
      <c r="M138" s="61">
        <f>'дод 2'!N46+'дод 2'!N158</f>
        <v>0</v>
      </c>
      <c r="N138" s="61">
        <f>'дод 2'!O46+'дод 2'!O158</f>
        <v>0</v>
      </c>
      <c r="O138" s="61">
        <f>'дод 2'!P46+'дод 2'!P158</f>
        <v>0</v>
      </c>
      <c r="P138" s="61">
        <f>'дод 2'!Q46+'дод 2'!Q158</f>
        <v>0</v>
      </c>
      <c r="Q138" s="61">
        <f>'дод 2'!R46+'дод 2'!R158</f>
        <v>0</v>
      </c>
      <c r="R138" s="61">
        <f>'дод 2'!S46+'дод 2'!S158</f>
        <v>0</v>
      </c>
      <c r="S138" s="61">
        <f>'дод 2'!T46+'дод 2'!T158</f>
        <v>0</v>
      </c>
      <c r="T138" s="61">
        <f>'дод 2'!U46+'дод 2'!U158</f>
        <v>0</v>
      </c>
      <c r="U138" s="61">
        <f>'дод 2'!V46+'дод 2'!V158</f>
        <v>0</v>
      </c>
      <c r="V138" s="61">
        <f>'дод 2'!W46+'дод 2'!W158</f>
        <v>0</v>
      </c>
      <c r="W138" s="138"/>
      <c r="X138" s="61">
        <f t="shared" si="23"/>
        <v>287187.78999999998</v>
      </c>
      <c r="Y138" s="179"/>
    </row>
    <row r="139" spans="1:25" s="76" customFormat="1" ht="22.5" customHeight="1" x14ac:dyDescent="0.25">
      <c r="A139" s="46" t="s">
        <v>8</v>
      </c>
      <c r="B139" s="47"/>
      <c r="C139" s="2" t="s">
        <v>13</v>
      </c>
      <c r="D139" s="60">
        <f t="shared" ref="D139" si="53">D141+D140</f>
        <v>75000</v>
      </c>
      <c r="E139" s="60">
        <f t="shared" ref="E139:I139" si="54">E141+E140</f>
        <v>0</v>
      </c>
      <c r="F139" s="60">
        <f t="shared" si="54"/>
        <v>0</v>
      </c>
      <c r="G139" s="60">
        <f t="shared" si="54"/>
        <v>0</v>
      </c>
      <c r="H139" s="60">
        <f t="shared" si="54"/>
        <v>0</v>
      </c>
      <c r="I139" s="60">
        <f t="shared" si="54"/>
        <v>0</v>
      </c>
      <c r="J139" s="137">
        <f t="shared" si="22"/>
        <v>0</v>
      </c>
      <c r="K139" s="60">
        <f t="shared" ref="K139:V139" si="55">K141+K140</f>
        <v>6359543.4500000002</v>
      </c>
      <c r="L139" s="60">
        <f t="shared" si="55"/>
        <v>0</v>
      </c>
      <c r="M139" s="60">
        <f t="shared" si="55"/>
        <v>2546500</v>
      </c>
      <c r="N139" s="60">
        <f t="shared" si="55"/>
        <v>0</v>
      </c>
      <c r="O139" s="60">
        <f t="shared" si="55"/>
        <v>540000</v>
      </c>
      <c r="P139" s="60">
        <f t="shared" si="55"/>
        <v>3813043.45</v>
      </c>
      <c r="Q139" s="60">
        <f t="shared" si="55"/>
        <v>574790.33000000007</v>
      </c>
      <c r="R139" s="60">
        <f t="shared" si="55"/>
        <v>0</v>
      </c>
      <c r="S139" s="60">
        <f t="shared" si="55"/>
        <v>490790.33</v>
      </c>
      <c r="T139" s="60">
        <f t="shared" si="55"/>
        <v>0</v>
      </c>
      <c r="U139" s="60">
        <f t="shared" si="55"/>
        <v>54999.9</v>
      </c>
      <c r="V139" s="60">
        <f t="shared" si="55"/>
        <v>84000</v>
      </c>
      <c r="W139" s="137">
        <f t="shared" si="24"/>
        <v>9.0382326108645437</v>
      </c>
      <c r="X139" s="60">
        <f t="shared" si="23"/>
        <v>574790.33000000007</v>
      </c>
      <c r="Y139" s="179"/>
    </row>
    <row r="140" spans="1:25" ht="46.5" customHeight="1" x14ac:dyDescent="0.25">
      <c r="A140" s="45">
        <v>8330</v>
      </c>
      <c r="B140" s="90" t="s">
        <v>112</v>
      </c>
      <c r="C140" s="3" t="s">
        <v>408</v>
      </c>
      <c r="D140" s="61">
        <f>'дод 2'!E199</f>
        <v>75000</v>
      </c>
      <c r="E140" s="61">
        <f>'дод 2'!F199</f>
        <v>0</v>
      </c>
      <c r="F140" s="61">
        <f>'дод 2'!G199</f>
        <v>0</v>
      </c>
      <c r="G140" s="61">
        <f>'дод 2'!H199</f>
        <v>0</v>
      </c>
      <c r="H140" s="61">
        <f>'дод 2'!I199</f>
        <v>0</v>
      </c>
      <c r="I140" s="61">
        <f>'дод 2'!J199</f>
        <v>0</v>
      </c>
      <c r="J140" s="138">
        <f t="shared" si="22"/>
        <v>0</v>
      </c>
      <c r="K140" s="61">
        <f>'дод 2'!L199</f>
        <v>0</v>
      </c>
      <c r="L140" s="61">
        <f>'дод 2'!M199</f>
        <v>0</v>
      </c>
      <c r="M140" s="61">
        <f>'дод 2'!N199</f>
        <v>0</v>
      </c>
      <c r="N140" s="61">
        <f>'дод 2'!O199</f>
        <v>0</v>
      </c>
      <c r="O140" s="61">
        <f>'дод 2'!P199</f>
        <v>0</v>
      </c>
      <c r="P140" s="61">
        <f>'дод 2'!Q199</f>
        <v>0</v>
      </c>
      <c r="Q140" s="61">
        <f>'дод 2'!R199</f>
        <v>0</v>
      </c>
      <c r="R140" s="61">
        <f>'дод 2'!S199</f>
        <v>0</v>
      </c>
      <c r="S140" s="61">
        <f>'дод 2'!T199</f>
        <v>0</v>
      </c>
      <c r="T140" s="61">
        <f>'дод 2'!U199</f>
        <v>0</v>
      </c>
      <c r="U140" s="61">
        <f>'дод 2'!V199</f>
        <v>0</v>
      </c>
      <c r="V140" s="61">
        <f>'дод 2'!W199</f>
        <v>0</v>
      </c>
      <c r="W140" s="138"/>
      <c r="X140" s="61">
        <f t="shared" si="23"/>
        <v>0</v>
      </c>
      <c r="Y140" s="179"/>
    </row>
    <row r="141" spans="1:25" ht="25.5" customHeight="1" x14ac:dyDescent="0.25">
      <c r="A141" s="45" t="s">
        <v>14</v>
      </c>
      <c r="B141" s="45" t="s">
        <v>112</v>
      </c>
      <c r="C141" s="3" t="s">
        <v>15</v>
      </c>
      <c r="D141" s="61">
        <f>'дод 2'!E47+'дод 2'!E75+'дод 2'!E159+'дод 2'!E200+'дод 2'!E132</f>
        <v>0</v>
      </c>
      <c r="E141" s="61">
        <f>'дод 2'!F47+'дод 2'!F75+'дод 2'!F159+'дод 2'!F200+'дод 2'!F132</f>
        <v>0</v>
      </c>
      <c r="F141" s="61">
        <f>'дод 2'!G47+'дод 2'!G75+'дод 2'!G159+'дод 2'!G200+'дод 2'!G132</f>
        <v>0</v>
      </c>
      <c r="G141" s="61">
        <f>'дод 2'!H47+'дод 2'!H75+'дод 2'!H159+'дод 2'!H200+'дод 2'!H132</f>
        <v>0</v>
      </c>
      <c r="H141" s="61">
        <f>'дод 2'!I47+'дод 2'!I75+'дод 2'!I159+'дод 2'!I200+'дод 2'!I132</f>
        <v>0</v>
      </c>
      <c r="I141" s="61">
        <f>'дод 2'!J47+'дод 2'!J75+'дод 2'!J159+'дод 2'!J200+'дод 2'!J132</f>
        <v>0</v>
      </c>
      <c r="J141" s="138"/>
      <c r="K141" s="61">
        <f>'дод 2'!L47+'дод 2'!L75+'дод 2'!L159+'дод 2'!L200+'дод 2'!L132</f>
        <v>6359543.4500000002</v>
      </c>
      <c r="L141" s="61">
        <f>'дод 2'!M47+'дод 2'!M75+'дод 2'!M159+'дод 2'!M200+'дод 2'!M132</f>
        <v>0</v>
      </c>
      <c r="M141" s="61">
        <f>'дод 2'!N47+'дод 2'!N75+'дод 2'!N159+'дод 2'!N200+'дод 2'!N132</f>
        <v>2546500</v>
      </c>
      <c r="N141" s="61">
        <f>'дод 2'!O47+'дод 2'!O75+'дод 2'!O159+'дод 2'!O200+'дод 2'!O132</f>
        <v>0</v>
      </c>
      <c r="O141" s="61">
        <f>'дод 2'!P47+'дод 2'!P75+'дод 2'!P159+'дод 2'!P200+'дод 2'!P132</f>
        <v>540000</v>
      </c>
      <c r="P141" s="61">
        <f>'дод 2'!Q47+'дод 2'!Q75+'дод 2'!Q159+'дод 2'!Q200+'дод 2'!Q132</f>
        <v>3813043.45</v>
      </c>
      <c r="Q141" s="61">
        <f>'дод 2'!R47+'дод 2'!R75+'дод 2'!R159+'дод 2'!R200+'дод 2'!R132</f>
        <v>574790.33000000007</v>
      </c>
      <c r="R141" s="61">
        <f>'дод 2'!S47+'дод 2'!S75+'дод 2'!S159+'дод 2'!S200+'дод 2'!S132</f>
        <v>0</v>
      </c>
      <c r="S141" s="61">
        <f>'дод 2'!T47+'дод 2'!T75+'дод 2'!T159+'дод 2'!T200+'дод 2'!T132</f>
        <v>490790.33</v>
      </c>
      <c r="T141" s="61">
        <f>'дод 2'!U47+'дод 2'!U75+'дод 2'!U159+'дод 2'!U200+'дод 2'!U132</f>
        <v>0</v>
      </c>
      <c r="U141" s="61">
        <f>'дод 2'!V47+'дод 2'!V75+'дод 2'!V159+'дод 2'!V200+'дод 2'!V132</f>
        <v>54999.9</v>
      </c>
      <c r="V141" s="61">
        <f>'дод 2'!W47+'дод 2'!W75+'дод 2'!W159+'дод 2'!W200+'дод 2'!W132</f>
        <v>84000</v>
      </c>
      <c r="W141" s="138">
        <f t="shared" si="24"/>
        <v>9.0382326108645437</v>
      </c>
      <c r="X141" s="61">
        <f t="shared" si="23"/>
        <v>574790.33000000007</v>
      </c>
      <c r="Y141" s="179"/>
    </row>
    <row r="142" spans="1:25" ht="26.25" customHeight="1" x14ac:dyDescent="0.25">
      <c r="A142" s="45" t="s">
        <v>161</v>
      </c>
      <c r="B142" s="50"/>
      <c r="C142" s="3" t="s">
        <v>95</v>
      </c>
      <c r="D142" s="61">
        <f t="shared" ref="D142:V142" si="56">D143</f>
        <v>100000</v>
      </c>
      <c r="E142" s="61">
        <f t="shared" si="56"/>
        <v>0</v>
      </c>
      <c r="F142" s="61">
        <f t="shared" si="56"/>
        <v>0</v>
      </c>
      <c r="G142" s="61">
        <f t="shared" si="56"/>
        <v>0</v>
      </c>
      <c r="H142" s="61">
        <f t="shared" si="56"/>
        <v>0</v>
      </c>
      <c r="I142" s="61">
        <f t="shared" si="56"/>
        <v>0</v>
      </c>
      <c r="J142" s="138">
        <f t="shared" si="22"/>
        <v>0</v>
      </c>
      <c r="K142" s="61">
        <f t="shared" si="56"/>
        <v>0</v>
      </c>
      <c r="L142" s="61">
        <f t="shared" si="56"/>
        <v>0</v>
      </c>
      <c r="M142" s="61">
        <f t="shared" si="56"/>
        <v>0</v>
      </c>
      <c r="N142" s="61">
        <f t="shared" si="56"/>
        <v>0</v>
      </c>
      <c r="O142" s="61">
        <f t="shared" si="56"/>
        <v>0</v>
      </c>
      <c r="P142" s="61">
        <f t="shared" si="56"/>
        <v>0</v>
      </c>
      <c r="Q142" s="61">
        <f t="shared" si="56"/>
        <v>0</v>
      </c>
      <c r="R142" s="61">
        <f t="shared" si="56"/>
        <v>0</v>
      </c>
      <c r="S142" s="61">
        <f t="shared" si="56"/>
        <v>0</v>
      </c>
      <c r="T142" s="61">
        <f t="shared" si="56"/>
        <v>0</v>
      </c>
      <c r="U142" s="61">
        <f t="shared" si="56"/>
        <v>0</v>
      </c>
      <c r="V142" s="61">
        <f t="shared" si="56"/>
        <v>0</v>
      </c>
      <c r="W142" s="138"/>
      <c r="X142" s="61">
        <f t="shared" si="23"/>
        <v>0</v>
      </c>
      <c r="Y142" s="179"/>
    </row>
    <row r="143" spans="1:25" ht="25.5" customHeight="1" x14ac:dyDescent="0.25">
      <c r="A143" s="45" t="s">
        <v>296</v>
      </c>
      <c r="B143" s="50" t="s">
        <v>96</v>
      </c>
      <c r="C143" s="3" t="s">
        <v>297</v>
      </c>
      <c r="D143" s="61">
        <f>'дод 2'!E48</f>
        <v>100000</v>
      </c>
      <c r="E143" s="61">
        <f>'дод 2'!F48</f>
        <v>0</v>
      </c>
      <c r="F143" s="61">
        <f>'дод 2'!G48</f>
        <v>0</v>
      </c>
      <c r="G143" s="61">
        <f>'дод 2'!H48</f>
        <v>0</v>
      </c>
      <c r="H143" s="61">
        <f>'дод 2'!I48</f>
        <v>0</v>
      </c>
      <c r="I143" s="61">
        <f>'дод 2'!J48</f>
        <v>0</v>
      </c>
      <c r="J143" s="138">
        <f t="shared" si="22"/>
        <v>0</v>
      </c>
      <c r="K143" s="61">
        <f>'дод 2'!L48</f>
        <v>0</v>
      </c>
      <c r="L143" s="61">
        <f>'дод 2'!M48</f>
        <v>0</v>
      </c>
      <c r="M143" s="61">
        <f>'дод 2'!N48</f>
        <v>0</v>
      </c>
      <c r="N143" s="61">
        <f>'дод 2'!O48</f>
        <v>0</v>
      </c>
      <c r="O143" s="61">
        <f>'дод 2'!P48</f>
        <v>0</v>
      </c>
      <c r="P143" s="61">
        <f>'дод 2'!Q48</f>
        <v>0</v>
      </c>
      <c r="Q143" s="61">
        <f>'дод 2'!R48</f>
        <v>0</v>
      </c>
      <c r="R143" s="61">
        <f>'дод 2'!S48</f>
        <v>0</v>
      </c>
      <c r="S143" s="61">
        <f>'дод 2'!T48</f>
        <v>0</v>
      </c>
      <c r="T143" s="61">
        <f>'дод 2'!U48</f>
        <v>0</v>
      </c>
      <c r="U143" s="61">
        <f>'дод 2'!V48</f>
        <v>0</v>
      </c>
      <c r="V143" s="61">
        <f>'дод 2'!W48</f>
        <v>0</v>
      </c>
      <c r="W143" s="138"/>
      <c r="X143" s="61">
        <f t="shared" si="23"/>
        <v>0</v>
      </c>
      <c r="Y143" s="179"/>
    </row>
    <row r="144" spans="1:25" ht="26.25" customHeight="1" x14ac:dyDescent="0.25">
      <c r="A144" s="45" t="s">
        <v>115</v>
      </c>
      <c r="B144" s="45" t="s">
        <v>110</v>
      </c>
      <c r="C144" s="3" t="s">
        <v>16</v>
      </c>
      <c r="D144" s="61">
        <f>'дод 2'!E201</f>
        <v>712065</v>
      </c>
      <c r="E144" s="61">
        <f>'дод 2'!F201</f>
        <v>0</v>
      </c>
      <c r="F144" s="61">
        <f>'дод 2'!G201</f>
        <v>0</v>
      </c>
      <c r="G144" s="61">
        <f>'дод 2'!H201</f>
        <v>23463.43</v>
      </c>
      <c r="H144" s="61">
        <f>'дод 2'!I201</f>
        <v>0</v>
      </c>
      <c r="I144" s="61">
        <f>'дод 2'!J201</f>
        <v>0</v>
      </c>
      <c r="J144" s="138">
        <f t="shared" si="22"/>
        <v>3.2951247428254442</v>
      </c>
      <c r="K144" s="61">
        <f>'дод 2'!L201</f>
        <v>0</v>
      </c>
      <c r="L144" s="61">
        <f>'дод 2'!M201</f>
        <v>0</v>
      </c>
      <c r="M144" s="61">
        <f>'дод 2'!N201</f>
        <v>0</v>
      </c>
      <c r="N144" s="61">
        <f>'дод 2'!O201</f>
        <v>0</v>
      </c>
      <c r="O144" s="61">
        <f>'дод 2'!P201</f>
        <v>0</v>
      </c>
      <c r="P144" s="61">
        <f>'дод 2'!Q201</f>
        <v>0</v>
      </c>
      <c r="Q144" s="61">
        <f>'дод 2'!R201</f>
        <v>0</v>
      </c>
      <c r="R144" s="61">
        <f>'дод 2'!S201</f>
        <v>0</v>
      </c>
      <c r="S144" s="61">
        <f>'дод 2'!T201</f>
        <v>0</v>
      </c>
      <c r="T144" s="61">
        <f>'дод 2'!U201</f>
        <v>0</v>
      </c>
      <c r="U144" s="61">
        <f>'дод 2'!V201</f>
        <v>0</v>
      </c>
      <c r="V144" s="61">
        <f>'дод 2'!W201</f>
        <v>0</v>
      </c>
      <c r="W144" s="138"/>
      <c r="X144" s="61">
        <f t="shared" si="23"/>
        <v>23463.43</v>
      </c>
      <c r="Y144" s="179"/>
    </row>
    <row r="145" spans="1:25" ht="26.25" customHeight="1" x14ac:dyDescent="0.25">
      <c r="A145" s="45" t="s">
        <v>17</v>
      </c>
      <c r="B145" s="45" t="s">
        <v>113</v>
      </c>
      <c r="C145" s="3" t="s">
        <v>26</v>
      </c>
      <c r="D145" s="61">
        <f>'дод 2'!E202</f>
        <v>5607072</v>
      </c>
      <c r="E145" s="61">
        <f>'дод 2'!F202</f>
        <v>0</v>
      </c>
      <c r="F145" s="61">
        <f>'дод 2'!G202</f>
        <v>0</v>
      </c>
      <c r="G145" s="61">
        <f>'дод 2'!H202</f>
        <v>0</v>
      </c>
      <c r="H145" s="61">
        <f>'дод 2'!I202</f>
        <v>0</v>
      </c>
      <c r="I145" s="61">
        <f>'дод 2'!J202</f>
        <v>0</v>
      </c>
      <c r="J145" s="138">
        <f t="shared" si="22"/>
        <v>0</v>
      </c>
      <c r="K145" s="61">
        <f>'дод 2'!L202</f>
        <v>0</v>
      </c>
      <c r="L145" s="61">
        <f>'дод 2'!M202</f>
        <v>0</v>
      </c>
      <c r="M145" s="61">
        <f>'дод 2'!N202</f>
        <v>0</v>
      </c>
      <c r="N145" s="61">
        <f>'дод 2'!O202</f>
        <v>0</v>
      </c>
      <c r="O145" s="61">
        <f>'дод 2'!P202</f>
        <v>0</v>
      </c>
      <c r="P145" s="61">
        <f>'дод 2'!Q202</f>
        <v>0</v>
      </c>
      <c r="Q145" s="61">
        <f>'дод 2'!R202</f>
        <v>0</v>
      </c>
      <c r="R145" s="61">
        <f>'дод 2'!S202</f>
        <v>0</v>
      </c>
      <c r="S145" s="61">
        <f>'дод 2'!T202</f>
        <v>0</v>
      </c>
      <c r="T145" s="61">
        <f>'дод 2'!U202</f>
        <v>0</v>
      </c>
      <c r="U145" s="61">
        <f>'дод 2'!V202</f>
        <v>0</v>
      </c>
      <c r="V145" s="61">
        <f>'дод 2'!W202</f>
        <v>0</v>
      </c>
      <c r="W145" s="138"/>
      <c r="X145" s="61">
        <f t="shared" si="23"/>
        <v>0</v>
      </c>
      <c r="Y145" s="179"/>
    </row>
    <row r="146" spans="1:25" s="76" customFormat="1" ht="27.75" customHeight="1" x14ac:dyDescent="0.25">
      <c r="A146" s="46" t="s">
        <v>18</v>
      </c>
      <c r="B146" s="46"/>
      <c r="C146" s="2" t="s">
        <v>131</v>
      </c>
      <c r="D146" s="60">
        <f t="shared" ref="D146:I146" si="57">D147+D149+D151</f>
        <v>109689485</v>
      </c>
      <c r="E146" s="60">
        <f t="shared" si="57"/>
        <v>0</v>
      </c>
      <c r="F146" s="60">
        <f t="shared" si="57"/>
        <v>0</v>
      </c>
      <c r="G146" s="60">
        <f t="shared" si="57"/>
        <v>54690280</v>
      </c>
      <c r="H146" s="60">
        <f t="shared" si="57"/>
        <v>0</v>
      </c>
      <c r="I146" s="60">
        <f t="shared" si="57"/>
        <v>0</v>
      </c>
      <c r="J146" s="137">
        <f t="shared" si="22"/>
        <v>49.859182035543334</v>
      </c>
      <c r="K146" s="60">
        <f t="shared" ref="K146:V146" si="58">K147+K149+K151</f>
        <v>7632000</v>
      </c>
      <c r="L146" s="60">
        <f t="shared" si="58"/>
        <v>7632000</v>
      </c>
      <c r="M146" s="60">
        <f t="shared" si="58"/>
        <v>0</v>
      </c>
      <c r="N146" s="60">
        <f t="shared" si="58"/>
        <v>0</v>
      </c>
      <c r="O146" s="60">
        <f t="shared" si="58"/>
        <v>0</v>
      </c>
      <c r="P146" s="60">
        <f t="shared" si="58"/>
        <v>7632000</v>
      </c>
      <c r="Q146" s="60">
        <f t="shared" si="58"/>
        <v>0</v>
      </c>
      <c r="R146" s="60">
        <f t="shared" si="58"/>
        <v>0</v>
      </c>
      <c r="S146" s="60">
        <f t="shared" si="58"/>
        <v>0</v>
      </c>
      <c r="T146" s="60">
        <f t="shared" si="58"/>
        <v>0</v>
      </c>
      <c r="U146" s="60">
        <f t="shared" si="58"/>
        <v>0</v>
      </c>
      <c r="V146" s="60">
        <f t="shared" si="58"/>
        <v>0</v>
      </c>
      <c r="W146" s="137">
        <f t="shared" si="24"/>
        <v>0</v>
      </c>
      <c r="X146" s="60">
        <f t="shared" si="23"/>
        <v>54690280</v>
      </c>
      <c r="Y146" s="179"/>
    </row>
    <row r="147" spans="1:25" ht="21.75" customHeight="1" x14ac:dyDescent="0.25">
      <c r="A147" s="45" t="s">
        <v>294</v>
      </c>
      <c r="B147" s="45"/>
      <c r="C147" s="3" t="s">
        <v>347</v>
      </c>
      <c r="D147" s="61">
        <f t="shared" ref="D147:V147" si="59">D148</f>
        <v>108116600</v>
      </c>
      <c r="E147" s="61">
        <f t="shared" si="59"/>
        <v>0</v>
      </c>
      <c r="F147" s="61">
        <f t="shared" si="59"/>
        <v>0</v>
      </c>
      <c r="G147" s="61">
        <f t="shared" si="59"/>
        <v>54058200</v>
      </c>
      <c r="H147" s="61">
        <f t="shared" si="59"/>
        <v>0</v>
      </c>
      <c r="I147" s="61">
        <f t="shared" si="59"/>
        <v>0</v>
      </c>
      <c r="J147" s="138">
        <f t="shared" ref="J147:J153" si="60">G147/D147*100</f>
        <v>49.999907507265306</v>
      </c>
      <c r="K147" s="61">
        <f t="shared" si="59"/>
        <v>0</v>
      </c>
      <c r="L147" s="61">
        <f t="shared" si="59"/>
        <v>0</v>
      </c>
      <c r="M147" s="61">
        <f t="shared" si="59"/>
        <v>0</v>
      </c>
      <c r="N147" s="61">
        <f t="shared" si="59"/>
        <v>0</v>
      </c>
      <c r="O147" s="61">
        <f t="shared" si="59"/>
        <v>0</v>
      </c>
      <c r="P147" s="61">
        <f t="shared" si="59"/>
        <v>0</v>
      </c>
      <c r="Q147" s="61">
        <f t="shared" si="59"/>
        <v>0</v>
      </c>
      <c r="R147" s="61">
        <f t="shared" si="59"/>
        <v>0</v>
      </c>
      <c r="S147" s="61">
        <f t="shared" si="59"/>
        <v>0</v>
      </c>
      <c r="T147" s="61">
        <f t="shared" si="59"/>
        <v>0</v>
      </c>
      <c r="U147" s="61">
        <f t="shared" si="59"/>
        <v>0</v>
      </c>
      <c r="V147" s="61">
        <f t="shared" si="59"/>
        <v>0</v>
      </c>
      <c r="W147" s="138"/>
      <c r="X147" s="61">
        <f t="shared" ref="X147:X153" si="61">G147+Q147</f>
        <v>54058200</v>
      </c>
      <c r="Y147" s="177">
        <v>18</v>
      </c>
    </row>
    <row r="148" spans="1:25" ht="21.75" customHeight="1" x14ac:dyDescent="0.25">
      <c r="A148" s="45" t="s">
        <v>111</v>
      </c>
      <c r="B148" s="50" t="s">
        <v>59</v>
      </c>
      <c r="C148" s="3" t="s">
        <v>130</v>
      </c>
      <c r="D148" s="61">
        <f>'дод 2'!E203</f>
        <v>108116600</v>
      </c>
      <c r="E148" s="61">
        <f>'дод 2'!F203</f>
        <v>0</v>
      </c>
      <c r="F148" s="61">
        <f>'дод 2'!G203</f>
        <v>0</v>
      </c>
      <c r="G148" s="61">
        <f>'дод 2'!H203</f>
        <v>54058200</v>
      </c>
      <c r="H148" s="61">
        <f>'дод 2'!I203</f>
        <v>0</v>
      </c>
      <c r="I148" s="61">
        <f>'дод 2'!J203</f>
        <v>0</v>
      </c>
      <c r="J148" s="138">
        <f t="shared" si="60"/>
        <v>49.999907507265306</v>
      </c>
      <c r="K148" s="61">
        <f>'дод 2'!L203</f>
        <v>0</v>
      </c>
      <c r="L148" s="61">
        <f>'дод 2'!M203</f>
        <v>0</v>
      </c>
      <c r="M148" s="61">
        <f>'дод 2'!N203</f>
        <v>0</v>
      </c>
      <c r="N148" s="61">
        <f>'дод 2'!O203</f>
        <v>0</v>
      </c>
      <c r="O148" s="61">
        <f>'дод 2'!P203</f>
        <v>0</v>
      </c>
      <c r="P148" s="61">
        <f>'дод 2'!Q203</f>
        <v>0</v>
      </c>
      <c r="Q148" s="61">
        <f>'дод 2'!R203</f>
        <v>0</v>
      </c>
      <c r="R148" s="61">
        <f>'дод 2'!S203</f>
        <v>0</v>
      </c>
      <c r="S148" s="61">
        <f>'дод 2'!T203</f>
        <v>0</v>
      </c>
      <c r="T148" s="61">
        <f>'дод 2'!U203</f>
        <v>0</v>
      </c>
      <c r="U148" s="61">
        <f>'дод 2'!V203</f>
        <v>0</v>
      </c>
      <c r="V148" s="61">
        <f>'дод 2'!W203</f>
        <v>0</v>
      </c>
      <c r="W148" s="138"/>
      <c r="X148" s="61">
        <f t="shared" si="61"/>
        <v>54058200</v>
      </c>
      <c r="Y148" s="177"/>
    </row>
    <row r="149" spans="1:25" s="76" customFormat="1" ht="50.25" customHeight="1" x14ac:dyDescent="0.25">
      <c r="A149" s="46" t="s">
        <v>19</v>
      </c>
      <c r="B149" s="47"/>
      <c r="C149" s="2" t="s">
        <v>407</v>
      </c>
      <c r="D149" s="60">
        <f t="shared" ref="D149:V149" si="62">D150</f>
        <v>1438000</v>
      </c>
      <c r="E149" s="60">
        <f t="shared" si="62"/>
        <v>0</v>
      </c>
      <c r="F149" s="60">
        <f t="shared" si="62"/>
        <v>0</v>
      </c>
      <c r="G149" s="60">
        <f t="shared" si="62"/>
        <v>573910</v>
      </c>
      <c r="H149" s="60">
        <f t="shared" si="62"/>
        <v>0</v>
      </c>
      <c r="I149" s="60">
        <f t="shared" si="62"/>
        <v>0</v>
      </c>
      <c r="J149" s="137">
        <f t="shared" si="60"/>
        <v>39.910292072322676</v>
      </c>
      <c r="K149" s="60">
        <f t="shared" si="62"/>
        <v>7632000</v>
      </c>
      <c r="L149" s="60">
        <f t="shared" si="62"/>
        <v>7632000</v>
      </c>
      <c r="M149" s="60">
        <f t="shared" si="62"/>
        <v>0</v>
      </c>
      <c r="N149" s="60">
        <f t="shared" si="62"/>
        <v>0</v>
      </c>
      <c r="O149" s="60">
        <f t="shared" si="62"/>
        <v>0</v>
      </c>
      <c r="P149" s="60">
        <f t="shared" si="62"/>
        <v>7632000</v>
      </c>
      <c r="Q149" s="60">
        <f t="shared" si="62"/>
        <v>0</v>
      </c>
      <c r="R149" s="60">
        <f t="shared" si="62"/>
        <v>0</v>
      </c>
      <c r="S149" s="60">
        <f t="shared" si="62"/>
        <v>0</v>
      </c>
      <c r="T149" s="60">
        <f t="shared" si="62"/>
        <v>0</v>
      </c>
      <c r="U149" s="60">
        <f t="shared" si="62"/>
        <v>0</v>
      </c>
      <c r="V149" s="60">
        <f t="shared" si="62"/>
        <v>0</v>
      </c>
      <c r="W149" s="137">
        <f t="shared" ref="W149:W153" si="63">Q149/K149*100</f>
        <v>0</v>
      </c>
      <c r="X149" s="60">
        <f t="shared" si="61"/>
        <v>573910</v>
      </c>
      <c r="Y149" s="177"/>
    </row>
    <row r="150" spans="1:25" ht="30.75" customHeight="1" x14ac:dyDescent="0.25">
      <c r="A150" s="45" t="s">
        <v>20</v>
      </c>
      <c r="B150" s="50" t="s">
        <v>59</v>
      </c>
      <c r="C150" s="6" t="s">
        <v>416</v>
      </c>
      <c r="D150" s="61">
        <f>'дод 2'!E160+'дод 2'!E117</f>
        <v>1438000</v>
      </c>
      <c r="E150" s="61">
        <f>'дод 2'!F160+'дод 2'!F117</f>
        <v>0</v>
      </c>
      <c r="F150" s="61">
        <f>'дод 2'!G160+'дод 2'!G117</f>
        <v>0</v>
      </c>
      <c r="G150" s="61">
        <f>'дод 2'!H160+'дод 2'!H117</f>
        <v>573910</v>
      </c>
      <c r="H150" s="61">
        <f>'дод 2'!I160+'дод 2'!I117</f>
        <v>0</v>
      </c>
      <c r="I150" s="61">
        <f>'дод 2'!J160+'дод 2'!J117</f>
        <v>0</v>
      </c>
      <c r="J150" s="138">
        <f t="shared" si="60"/>
        <v>39.910292072322676</v>
      </c>
      <c r="K150" s="61">
        <f>'дод 2'!L160+'дод 2'!L117</f>
        <v>7632000</v>
      </c>
      <c r="L150" s="61">
        <f>'дод 2'!M160+'дод 2'!M117</f>
        <v>7632000</v>
      </c>
      <c r="M150" s="61">
        <f>'дод 2'!N160+'дод 2'!N117</f>
        <v>0</v>
      </c>
      <c r="N150" s="61">
        <f>'дод 2'!O160+'дод 2'!O117</f>
        <v>0</v>
      </c>
      <c r="O150" s="61">
        <f>'дод 2'!P160+'дод 2'!P117</f>
        <v>0</v>
      </c>
      <c r="P150" s="61">
        <f>'дод 2'!Q160+'дод 2'!Q117</f>
        <v>7632000</v>
      </c>
      <c r="Q150" s="61">
        <f>'дод 2'!R160+'дод 2'!R117</f>
        <v>0</v>
      </c>
      <c r="R150" s="61">
        <f>'дод 2'!S160+'дод 2'!S117</f>
        <v>0</v>
      </c>
      <c r="S150" s="61">
        <f>'дод 2'!T160+'дод 2'!T117</f>
        <v>0</v>
      </c>
      <c r="T150" s="61">
        <f>'дод 2'!U160+'дод 2'!U117</f>
        <v>0</v>
      </c>
      <c r="U150" s="61">
        <f>'дод 2'!V160+'дод 2'!V117</f>
        <v>0</v>
      </c>
      <c r="V150" s="61">
        <f>'дод 2'!W160+'дод 2'!W117</f>
        <v>0</v>
      </c>
      <c r="W150" s="138">
        <f t="shared" si="63"/>
        <v>0</v>
      </c>
      <c r="X150" s="61">
        <f t="shared" si="61"/>
        <v>573910</v>
      </c>
      <c r="Y150" s="177"/>
    </row>
    <row r="151" spans="1:25" ht="55.5" customHeight="1" x14ac:dyDescent="0.25">
      <c r="A151" s="45" t="s">
        <v>441</v>
      </c>
      <c r="B151" s="50" t="s">
        <v>59</v>
      </c>
      <c r="C151" s="6" t="s">
        <v>438</v>
      </c>
      <c r="D151" s="61">
        <f>'дод 2'!E76+'дод 2'!E49</f>
        <v>134885</v>
      </c>
      <c r="E151" s="61">
        <f>'дод 2'!F76+'дод 2'!F49</f>
        <v>0</v>
      </c>
      <c r="F151" s="61">
        <f>'дод 2'!G76+'дод 2'!G49</f>
        <v>0</v>
      </c>
      <c r="G151" s="61">
        <f>'дод 2'!H76+'дод 2'!H49</f>
        <v>58170</v>
      </c>
      <c r="H151" s="61">
        <f>'дод 2'!I76+'дод 2'!I49</f>
        <v>0</v>
      </c>
      <c r="I151" s="61">
        <f>'дод 2'!J76+'дод 2'!J49</f>
        <v>0</v>
      </c>
      <c r="J151" s="138">
        <f t="shared" si="60"/>
        <v>43.125625532861328</v>
      </c>
      <c r="K151" s="61">
        <f>'дод 2'!L76+'дод 2'!L49</f>
        <v>0</v>
      </c>
      <c r="L151" s="61">
        <f>'дод 2'!M76+'дод 2'!M49</f>
        <v>0</v>
      </c>
      <c r="M151" s="61">
        <f>'дод 2'!N76+'дод 2'!N49</f>
        <v>0</v>
      </c>
      <c r="N151" s="61">
        <f>'дод 2'!O76+'дод 2'!O49</f>
        <v>0</v>
      </c>
      <c r="O151" s="61">
        <f>'дод 2'!P76+'дод 2'!P49</f>
        <v>0</v>
      </c>
      <c r="P151" s="61">
        <f>'дод 2'!Q76+'дод 2'!Q49</f>
        <v>0</v>
      </c>
      <c r="Q151" s="61">
        <f>'дод 2'!R76+'дод 2'!R49</f>
        <v>0</v>
      </c>
      <c r="R151" s="61">
        <f>'дод 2'!S76+'дод 2'!S49</f>
        <v>0</v>
      </c>
      <c r="S151" s="61">
        <f>'дод 2'!T76+'дод 2'!T49</f>
        <v>0</v>
      </c>
      <c r="T151" s="61">
        <f>'дод 2'!U76+'дод 2'!U49</f>
        <v>0</v>
      </c>
      <c r="U151" s="61">
        <f>'дод 2'!V76+'дод 2'!V49</f>
        <v>0</v>
      </c>
      <c r="V151" s="61">
        <f>'дод 2'!W76+'дод 2'!W49</f>
        <v>0</v>
      </c>
      <c r="W151" s="138"/>
      <c r="X151" s="61">
        <f t="shared" si="61"/>
        <v>58170</v>
      </c>
      <c r="Y151" s="177"/>
    </row>
    <row r="152" spans="1:25" s="76" customFormat="1" ht="25.5" customHeight="1" x14ac:dyDescent="0.25">
      <c r="A152" s="7"/>
      <c r="B152" s="7"/>
      <c r="C152" s="2" t="s">
        <v>27</v>
      </c>
      <c r="D152" s="60">
        <f t="shared" ref="D152" si="64">D18+D21+D38+D52+D76+D81+D88+D97+D133+D146</f>
        <v>2075845698.5900002</v>
      </c>
      <c r="E152" s="60">
        <f t="shared" ref="E152:I152" si="65">E18+E21+E38+E52+E76+E81+E88+E97+E133+E146</f>
        <v>908559932</v>
      </c>
      <c r="F152" s="60">
        <f t="shared" si="65"/>
        <v>119078887</v>
      </c>
      <c r="G152" s="60">
        <f t="shared" si="65"/>
        <v>979703371.61999977</v>
      </c>
      <c r="H152" s="60">
        <f t="shared" si="65"/>
        <v>476583085.73000008</v>
      </c>
      <c r="I152" s="60">
        <f t="shared" si="65"/>
        <v>49297669.409999996</v>
      </c>
      <c r="J152" s="137">
        <f t="shared" si="60"/>
        <v>47.195385104271217</v>
      </c>
      <c r="K152" s="60">
        <f t="shared" ref="K152:V152" si="66">K18+K21+K38+K52+K76+K81+K88+K97+K133+K146</f>
        <v>607868367.11000001</v>
      </c>
      <c r="L152" s="60">
        <f t="shared" si="66"/>
        <v>447217120.46999997</v>
      </c>
      <c r="M152" s="60">
        <f t="shared" si="66"/>
        <v>144233011.00999999</v>
      </c>
      <c r="N152" s="60">
        <f t="shared" si="66"/>
        <v>9012497</v>
      </c>
      <c r="O152" s="60">
        <f t="shared" si="66"/>
        <v>3810541</v>
      </c>
      <c r="P152" s="60">
        <f t="shared" si="66"/>
        <v>463635356.09999996</v>
      </c>
      <c r="Q152" s="60">
        <f t="shared" si="66"/>
        <v>161090631.65000001</v>
      </c>
      <c r="R152" s="60">
        <f t="shared" si="66"/>
        <v>104885314.43000001</v>
      </c>
      <c r="S152" s="60">
        <f t="shared" si="66"/>
        <v>54895974.730000004</v>
      </c>
      <c r="T152" s="60">
        <f t="shared" si="66"/>
        <v>3105121.2699999996</v>
      </c>
      <c r="U152" s="60">
        <f t="shared" si="66"/>
        <v>1180598.0799999998</v>
      </c>
      <c r="V152" s="60">
        <f t="shared" si="66"/>
        <v>106194656.92000002</v>
      </c>
      <c r="W152" s="137">
        <f t="shared" si="63"/>
        <v>26.500907164469872</v>
      </c>
      <c r="X152" s="60">
        <f t="shared" si="61"/>
        <v>1140794003.2699997</v>
      </c>
      <c r="Y152" s="177"/>
    </row>
    <row r="153" spans="1:25" s="76" customFormat="1" ht="25.5" customHeight="1" x14ac:dyDescent="0.25">
      <c r="A153" s="7"/>
      <c r="B153" s="7"/>
      <c r="C153" s="2" t="s">
        <v>307</v>
      </c>
      <c r="D153" s="60">
        <f t="shared" ref="D153:I153" si="67">D22+D39+D98</f>
        <v>443759326</v>
      </c>
      <c r="E153" s="60">
        <f t="shared" si="67"/>
        <v>307191100</v>
      </c>
      <c r="F153" s="60">
        <f t="shared" si="67"/>
        <v>0</v>
      </c>
      <c r="G153" s="60">
        <f t="shared" si="67"/>
        <v>271906833.09999996</v>
      </c>
      <c r="H153" s="60">
        <f t="shared" si="67"/>
        <v>174426823.13</v>
      </c>
      <c r="I153" s="60">
        <f t="shared" si="67"/>
        <v>0</v>
      </c>
      <c r="J153" s="137">
        <f t="shared" si="60"/>
        <v>61.273491545730337</v>
      </c>
      <c r="K153" s="60">
        <f t="shared" ref="K153:V153" si="68">K22+K39+K98</f>
        <v>82674037.930000007</v>
      </c>
      <c r="L153" s="60">
        <f t="shared" si="68"/>
        <v>2674037.9299999997</v>
      </c>
      <c r="M153" s="60">
        <f t="shared" si="68"/>
        <v>80000000</v>
      </c>
      <c r="N153" s="60">
        <f t="shared" si="68"/>
        <v>0</v>
      </c>
      <c r="O153" s="60">
        <f t="shared" si="68"/>
        <v>0</v>
      </c>
      <c r="P153" s="60">
        <f t="shared" si="68"/>
        <v>2674037.9299999997</v>
      </c>
      <c r="Q153" s="60">
        <f>Q22+Q39+Q98</f>
        <v>40605022.479999997</v>
      </c>
      <c r="R153" s="60">
        <f t="shared" si="68"/>
        <v>605022.48</v>
      </c>
      <c r="S153" s="60">
        <f t="shared" si="68"/>
        <v>40000000</v>
      </c>
      <c r="T153" s="60">
        <f t="shared" si="68"/>
        <v>0</v>
      </c>
      <c r="U153" s="60">
        <f t="shared" si="68"/>
        <v>0</v>
      </c>
      <c r="V153" s="60">
        <f t="shared" si="68"/>
        <v>605022.48</v>
      </c>
      <c r="W153" s="137">
        <f t="shared" si="63"/>
        <v>49.114599330905079</v>
      </c>
      <c r="X153" s="60">
        <f t="shared" si="61"/>
        <v>312511855.57999998</v>
      </c>
      <c r="Y153" s="177"/>
    </row>
    <row r="154" spans="1:25" s="76" customFormat="1" ht="25.5" customHeight="1" x14ac:dyDescent="0.25">
      <c r="A154" s="118"/>
      <c r="B154" s="118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77"/>
    </row>
    <row r="155" spans="1:25" s="76" customFormat="1" ht="25.5" customHeight="1" x14ac:dyDescent="0.25">
      <c r="A155" s="118"/>
      <c r="B155" s="118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77"/>
    </row>
    <row r="156" spans="1:25" s="76" customFormat="1" ht="25.5" customHeight="1" x14ac:dyDescent="0.25">
      <c r="A156" s="118"/>
      <c r="B156" s="118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77"/>
    </row>
    <row r="157" spans="1:25" s="76" customFormat="1" ht="25.5" customHeight="1" x14ac:dyDescent="0.25">
      <c r="A157" s="118"/>
      <c r="B157" s="118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77"/>
    </row>
    <row r="158" spans="1:25" s="53" customFormat="1" x14ac:dyDescent="0.25">
      <c r="A158" s="99"/>
      <c r="B158" s="52"/>
      <c r="C158" s="52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177"/>
    </row>
    <row r="159" spans="1:25" ht="15.75" customHeight="1" x14ac:dyDescent="0.2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177"/>
    </row>
    <row r="160" spans="1:25" ht="15.75" customHeight="1" x14ac:dyDescent="0.2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177"/>
    </row>
    <row r="161" spans="1:25" s="150" customFormat="1" ht="37.5" customHeight="1" x14ac:dyDescent="0.5">
      <c r="A161" s="108" t="s">
        <v>474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9"/>
      <c r="L161" s="109"/>
      <c r="M161" s="109"/>
      <c r="N161" s="110"/>
      <c r="O161" s="110"/>
      <c r="Q161" s="169" t="s">
        <v>469</v>
      </c>
      <c r="R161" s="169"/>
      <c r="S161" s="143"/>
      <c r="T161" s="143"/>
      <c r="U161" s="143"/>
      <c r="V161" s="143"/>
      <c r="W161" s="143"/>
      <c r="X161" s="143"/>
      <c r="Y161" s="177"/>
    </row>
    <row r="162" spans="1:25" ht="30" customHeight="1" x14ac:dyDescent="0.45">
      <c r="A162" s="114"/>
      <c r="B162" s="114"/>
      <c r="C162" s="114"/>
      <c r="D162" s="115"/>
      <c r="E162" s="116"/>
      <c r="F162" s="116"/>
      <c r="G162" s="116"/>
      <c r="H162" s="116"/>
      <c r="I162" s="116"/>
      <c r="J162" s="116"/>
      <c r="K162" s="116"/>
      <c r="L162" s="116"/>
      <c r="M162" s="117"/>
      <c r="N162" s="116"/>
      <c r="O162" s="116"/>
      <c r="P162" s="33"/>
      <c r="Q162" s="116"/>
      <c r="R162" s="116"/>
      <c r="S162" s="117"/>
      <c r="T162" s="116"/>
      <c r="U162" s="116"/>
      <c r="V162" s="33"/>
      <c r="W162" s="33"/>
      <c r="X162" s="33"/>
      <c r="Y162" s="177"/>
    </row>
    <row r="163" spans="1:25" ht="23.25" customHeight="1" x14ac:dyDescent="0.25">
      <c r="Y163" s="177"/>
    </row>
    <row r="164" spans="1:25" x14ac:dyDescent="0.25">
      <c r="Y164" s="177"/>
    </row>
    <row r="165" spans="1:25" ht="22.5" customHeight="1" x14ac:dyDescent="0.25">
      <c r="Y165" s="177"/>
    </row>
    <row r="166" spans="1:25" x14ac:dyDescent="0.25">
      <c r="Y166" s="177"/>
    </row>
    <row r="167" spans="1:25" x14ac:dyDescent="0.25">
      <c r="Y167" s="177"/>
    </row>
    <row r="168" spans="1:25" x14ac:dyDescent="0.25">
      <c r="Y168" s="177"/>
    </row>
    <row r="169" spans="1:25" x14ac:dyDescent="0.25">
      <c r="Y169" s="177"/>
    </row>
    <row r="170" spans="1:25" x14ac:dyDescent="0.25">
      <c r="Y170" s="177"/>
    </row>
    <row r="171" spans="1:25" x14ac:dyDescent="0.25">
      <c r="Y171" s="177"/>
    </row>
    <row r="172" spans="1:25" x14ac:dyDescent="0.25">
      <c r="Y172" s="177"/>
    </row>
    <row r="173" spans="1:25" x14ac:dyDescent="0.25">
      <c r="Y173" s="177"/>
    </row>
    <row r="174" spans="1:25" x14ac:dyDescent="0.25">
      <c r="Y174" s="177"/>
    </row>
    <row r="175" spans="1:25" x14ac:dyDescent="0.25">
      <c r="Y175" s="146"/>
    </row>
    <row r="176" spans="1:25" x14ac:dyDescent="0.25">
      <c r="Y176" s="146"/>
    </row>
    <row r="177" spans="25:25" x14ac:dyDescent="0.25">
      <c r="Y177" s="146"/>
    </row>
    <row r="178" spans="25:25" x14ac:dyDescent="0.25">
      <c r="Y178" s="146"/>
    </row>
    <row r="179" spans="25:25" x14ac:dyDescent="0.25">
      <c r="Y179" s="146"/>
    </row>
    <row r="180" spans="25:25" x14ac:dyDescent="0.25">
      <c r="Y180" s="146"/>
    </row>
    <row r="181" spans="25:25" x14ac:dyDescent="0.25">
      <c r="Y181" s="146"/>
    </row>
    <row r="182" spans="25:25" x14ac:dyDescent="0.25">
      <c r="Y182" s="146"/>
    </row>
    <row r="183" spans="25:25" x14ac:dyDescent="0.25">
      <c r="Y183" s="146"/>
    </row>
  </sheetData>
  <mergeCells count="37">
    <mergeCell ref="R1:W1"/>
    <mergeCell ref="Q161:R161"/>
    <mergeCell ref="T16:U16"/>
    <mergeCell ref="Y147:Y174"/>
    <mergeCell ref="N16:O16"/>
    <mergeCell ref="P16:P17"/>
    <mergeCell ref="Q16:Q17"/>
    <mergeCell ref="R16:R17"/>
    <mergeCell ref="S16:S17"/>
    <mergeCell ref="Y1:Y44"/>
    <mergeCell ref="Y45:Y71"/>
    <mergeCell ref="Y72:Y109"/>
    <mergeCell ref="Y110:Y146"/>
    <mergeCell ref="W14:W17"/>
    <mergeCell ref="R3:V3"/>
    <mergeCell ref="A10:X10"/>
    <mergeCell ref="A11:B11"/>
    <mergeCell ref="K14:V14"/>
    <mergeCell ref="B14:B17"/>
    <mergeCell ref="A14:A17"/>
    <mergeCell ref="A12:B12"/>
    <mergeCell ref="C14:C17"/>
    <mergeCell ref="D16:D17"/>
    <mergeCell ref="E16:F16"/>
    <mergeCell ref="G16:G17"/>
    <mergeCell ref="H16:I16"/>
    <mergeCell ref="J14:J17"/>
    <mergeCell ref="D14:I14"/>
    <mergeCell ref="V16:V17"/>
    <mergeCell ref="K15:P15"/>
    <mergeCell ref="D15:F15"/>
    <mergeCell ref="G15:I15"/>
    <mergeCell ref="Q15:V15"/>
    <mergeCell ref="X14:X17"/>
    <mergeCell ref="K16:K17"/>
    <mergeCell ref="L16:L17"/>
    <mergeCell ref="M16:M17"/>
  </mergeCells>
  <phoneticPr fontId="2" type="noConversion"/>
  <printOptions horizontalCentered="1"/>
  <pageMargins left="0" right="0" top="0.78740157480314965" bottom="0.39370078740157483" header="0.59055118110236227" footer="0.19685039370078741"/>
  <pageSetup paperSize="9" scale="35" fitToHeight="100" orientation="landscape" verticalDpi="300" r:id="rId1"/>
  <headerFooter differentFirst="1" scaleWithDoc="0" alignWithMargins="0">
    <oddHeader>&amp;R&amp;12Продовження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2020-07-23T11:23:38Z</cp:lastPrinted>
  <dcterms:created xsi:type="dcterms:W3CDTF">2014-01-17T10:52:16Z</dcterms:created>
  <dcterms:modified xsi:type="dcterms:W3CDTF">2020-07-23T11:23:39Z</dcterms:modified>
</cp:coreProperties>
</file>