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<sst xmlns="http://schemas.openxmlformats.org/spreadsheetml/2006/main" count="390" uniqueCount="239">
  <si>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</si>
  <si>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</si>
  <si>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</si>
  <si>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</si>
  <si>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</si>
  <si>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</si>
  <si>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</si>
  <si>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</si>
  <si>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</si>
  <si>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</si>
  <si>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</si>
  <si>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</si>
  <si>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</si>
  <si>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</si>
  <si>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</si>
  <si>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</si>
  <si>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</si>
  <si>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</si>
  <si>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</si>
  <si>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</si>
  <si>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</si>
  <si>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</si>
  <si>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</si>
  <si>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</si>
  <si>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</si>
  <si>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</si>
  <si>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</si>
  <si>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</si>
  <si>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</si>
  <si>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</si>
  <si>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</si>
  <si>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</si>
  <si>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</si>
  <si>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</si>
  <si>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</si>
  <si>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</si>
  <si>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</si>
  <si>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</si>
  <si>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</si>
  <si>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</si>
  <si>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</si>
  <si>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</si>
  <si>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</si>
  <si>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</si>
  <si>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</si>
  <si>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</si>
  <si>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</si>
  <si>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</si>
  <si>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</si>
  <si>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</si>
  <si>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</si>
  <si>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</si>
  <si>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</si>
  <si>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</si>
  <si>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</si>
  <si>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</si>
  <si>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</si>
  <si>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</si>
  <si>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</si>
  <si>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</si>
  <si>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</si>
  <si>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</si>
  <si>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</si>
  <si>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</si>
  <si>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</si>
  <si>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</si>
  <si>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</si>
  <si>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</si>
  <si>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</si>
  <si>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</si>
  <si>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</si>
  <si>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</si>
  <si>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</si>
  <si>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</si>
  <si>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</si>
  <si>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</si>
  <si>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</si>
  <si>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</si>
  <si>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</si>
  <si>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</si>
  <si>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</si>
  <si>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</si>
  <si>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</si>
  <si>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</si>
  <si>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</si>
  <si>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</si>
  <si>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</si>
  <si>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</si>
  <si>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</si>
  <si>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</si>
  <si>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</si>
  <si>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</si>
  <si>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</si>
  <si>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</si>
  <si>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</si>
  <si>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</si>
  <si>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</si>
  <si>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</si>
  <si>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</si>
  <si>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</si>
  <si>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</si>
  <si>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</si>
  <si>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</si>
  <si>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</si>
  <si>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</si>
  <si>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</si>
  <si>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</si>
  <si>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</si>
  <si>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</si>
  <si>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</si>
  <si>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</si>
  <si>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</si>
  <si>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</si>
  <si>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</si>
  <si>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</si>
  <si>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</si>
  <si>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</si>
  <si>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</si>
  <si>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</si>
  <si>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</si>
  <si>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</si>
  <si>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</si>
  <si>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</si>
  <si>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</si>
  <si>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</si>
  <si>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</si>
  <si>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</si>
  <si>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</si>
  <si>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</si>
  <si>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</si>
  <si>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</si>
  <si>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</si>
  <si>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</si>
  <si>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</si>
  <si>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</si>
  <si>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</si>
  <si>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</si>
  <si>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</si>
  <si>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</si>
  <si>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</si>
  <si>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</si>
  <si>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</si>
  <si>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</si>
  <si>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</si>
  <si>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</si>
  <si>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</si>
  <si>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</si>
  <si>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</si>
  <si>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</si>
  <si>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Мета: 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</si>
  <si>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</si>
  <si>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</si>
  <si>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</si>
  <si>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</si>
  <si>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</si>
  <si>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</si>
  <si>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</si>
  <si>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</si>
  <si>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</si>
  <si>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</si>
  <si>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</si>
  <si>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</si>
  <si>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</si>
  <si>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</si>
  <si>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</si>
  <si>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</si>
  <si>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</si>
  <si>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</si>
  <si>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</si>
  <si>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</si>
  <si>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</si>
  <si>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</si>
  <si>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</si>
  <si>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</si>
  <si>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</si>
  <si>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</si>
  <si>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</si>
  <si>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</si>
  <si>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</si>
  <si>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</si>
  <si>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</si>
  <si>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</si>
  <si>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</si>
  <si>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</si>
  <si>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</si>
  <si>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</si>
  <si>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КПКВК 0617231</t>
  </si>
  <si>
    <t>середня вартість встановлення системи автоматичної пожежної сигналізації, грн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</si>
  <si>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</si>
  <si>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</si>
  <si>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</si>
  <si>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Виконавець: Дрига Т.В.</t>
  </si>
  <si>
    <t>КПКВК 0619770, 0619320</t>
  </si>
  <si>
    <t xml:space="preserve">                                 05.08.2021 р.</t>
  </si>
  <si>
    <t>КПКВК 0611010, 0611200, 06111210</t>
  </si>
  <si>
    <t>Додаток 5</t>
  </si>
  <si>
    <t>КПКВК 0611021,0611030, 0611031, 0611040, 0611041, 0611060, 0611061, 0611180, 0611181, 0611182, 0611200, 06111210</t>
  </si>
  <si>
    <t>передача міжбюджетних трансфертів для приватної школи</t>
  </si>
  <si>
    <t>Підпрограма 3. Спеціальна освіта</t>
  </si>
  <si>
    <t>Підпрограма 4. Позашкільна  освіта</t>
  </si>
  <si>
    <t>КПКВК 0611070</t>
  </si>
  <si>
    <t>КПКВК 0611141</t>
  </si>
  <si>
    <t>КПКВК 0611142</t>
  </si>
  <si>
    <t>реалізація шкільного громадського бюджету</t>
  </si>
  <si>
    <t>Підпрограма 7. Інші програми та заходи у сфері освіти</t>
  </si>
  <si>
    <t>Підпрограма 5. Централізований бухгалтерський та фінансовий облік у сфері "Освіта"</t>
  </si>
  <si>
    <t>Підпрограма 6. Централізоване господарське обслуговування закладів освіти</t>
  </si>
  <si>
    <t>КПКВК 0611141, 0611160</t>
  </si>
  <si>
    <t>Підпрограма 8. Забезпечення діяльності інших закладів у сфері освіти</t>
  </si>
  <si>
    <t>Підпрограма 9. Компенсаційні виплати на пільговий проїзд електротранстпортом окремим категоріям громадян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</si>
  <si>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Сумської міської територіальної громади, грн</t>
  </si>
  <si>
    <t>Підпрограма 10. Забезпечення діяльності інклюзивно - ресурсних центрів</t>
  </si>
  <si>
    <t>КПКВК 0611151, 0611152</t>
  </si>
  <si>
    <t>Підпрограма 11.  Будівництво освітніх установ та закладів</t>
  </si>
  <si>
    <t>Капітальний ремонт інженерних мереж</t>
  </si>
  <si>
    <t>Підпрограма 12.  Реалізація заходів, спрямованих на підвищення якості освіти</t>
  </si>
  <si>
    <t>Мета: розвиток професійно - технічної освіти</t>
  </si>
  <si>
    <t>Підпрограма 13. Спроможна школа для краших результатів</t>
  </si>
  <si>
    <t>КПКВК  0611170, 0611171, 0611172</t>
  </si>
  <si>
    <t>Підпрограма 14. Виконання інвестиційних проєктів</t>
  </si>
  <si>
    <t>КПКВК  0617360, 0617361, 0617362, 0617363</t>
  </si>
  <si>
    <t xml:space="preserve">Оснащення закладів загальної середньої освіти  пожежною сигналізацією </t>
  </si>
  <si>
    <t>мб</t>
  </si>
  <si>
    <t>дб</t>
  </si>
  <si>
    <t>зф</t>
  </si>
  <si>
    <t>кількість закладів освіти, од.</t>
  </si>
  <si>
    <t>Мета: створення комфортних умов навчання та виховання дітей шляхом проведення капітальних ремонтів у закладах освіти</t>
  </si>
  <si>
    <t xml:space="preserve">до комплексної програми Сумської міської територіальної громади  "Освіта на 2022-2024 роки"                                                                                  </t>
  </si>
  <si>
    <t xml:space="preserve">Результативні показники виконання завдань комплексної програми Сумської міської територіальної громади «Освіта на 2022-2024 роки» </t>
  </si>
  <si>
    <t>очікувана кількість поїздок на автобусних маршрутах загального користування</t>
  </si>
  <si>
    <t xml:space="preserve">очікувана кількість поїздок у міському електротранспорті </t>
  </si>
  <si>
    <t xml:space="preserve">                         __________________ 2021 р.</t>
  </si>
  <si>
    <t>2022 рік (план)</t>
  </si>
  <si>
    <t>2023 рік (план)</t>
  </si>
  <si>
    <t>2024 рік (план)</t>
  </si>
  <si>
    <t>КПКВК 0611020, 0611022, 0611025, 0611030, 0611032, 0611035, 0611040, 0611042, 0611060, 0611062, 0611180, 0611181, 0611182</t>
  </si>
  <si>
    <t xml:space="preserve"> Міський голова </t>
  </si>
  <si>
    <t>О.М. Лисенко</t>
  </si>
  <si>
    <t>Виконавець: Данильченко А.М.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</si>
</sst>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_);_(* \(#,##0.0\);_(* &quot;-&quot;??_);_(@_)"/>
    <numFmt numFmtId="210" formatCode="#,##0.0000"/>
    <numFmt numFmtId="211" formatCode="#,##0.00000"/>
    <numFmt numFmtId="212" formatCode="#,##0.00_ ;\-#,##0.00\ "/>
    <numFmt numFmtId="213" formatCode="_-* #,##0.0_₴_-;\-* #,##0.0_₴_-;_-* &quot;-&quot;?_₴_-;_-@_-"/>
    <numFmt numFmtId="214" formatCode="_-* #,##0.0\ _₽_-;\-* #,##0.0\ _₽_-;_-* &quot;-&quot;?\ _₽_-;_-@_-"/>
  </numFmts>
  <fonts count="9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95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9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95" fontId="5" fillId="34" borderId="10" xfId="0" applyNumberFormat="1" applyFont="1" applyFill="1" applyBorder="1" applyAlignment="1">
      <alignment horizontal="center" vertical="top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95" fontId="2" fillId="34" borderId="1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justify" vertical="top" wrapText="1"/>
    </xf>
    <xf numFmtId="195" fontId="15" fillId="0" borderId="10" xfId="0" applyNumberFormat="1" applyFont="1" applyFill="1" applyBorder="1" applyAlignment="1">
      <alignment horizontal="center" vertical="top" wrapText="1"/>
    </xf>
    <xf numFmtId="195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94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95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horizontal="center" vertical="top" wrapText="1"/>
    </xf>
    <xf numFmtId="4" fontId="79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95" fontId="11" fillId="33" borderId="10" xfId="0" applyNumberFormat="1" applyFont="1" applyFill="1" applyBorder="1" applyAlignment="1">
      <alignment horizontal="center" vertical="center" wrapText="1"/>
    </xf>
    <xf numFmtId="209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05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95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95" fontId="3" fillId="34" borderId="10" xfId="0" applyNumberFormat="1" applyFont="1" applyFill="1" applyBorder="1" applyAlignment="1">
      <alignment horizontal="justify" vertical="top" wrapText="1"/>
    </xf>
    <xf numFmtId="194" fontId="2" fillId="34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justify" vertical="top" wrapText="1"/>
    </xf>
    <xf numFmtId="195" fontId="80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94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9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194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12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81" fillId="0" borderId="0" xfId="0" applyFont="1" applyFill="1" applyAlignment="1">
      <alignment/>
    </xf>
    <xf numFmtId="195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94" fontId="2" fillId="34" borderId="15" xfId="55" applyNumberFormat="1" applyFont="1" applyFill="1" applyBorder="1" applyAlignment="1">
      <alignment horizontal="center" vertical="center"/>
      <protection/>
    </xf>
    <xf numFmtId="194" fontId="2" fillId="34" borderId="15" xfId="57" applyNumberFormat="1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94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3" fillId="35" borderId="16" xfId="0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5" fillId="35" borderId="17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3" fillId="35" borderId="20" xfId="0" applyFont="1" applyFill="1" applyBorder="1" applyAlignment="1">
      <alignment horizontal="center" vertical="center" wrapText="1"/>
    </xf>
    <xf numFmtId="0" fontId="87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195" fontId="0" fillId="0" borderId="0" xfId="0" applyNumberFormat="1" applyFont="1" applyFill="1" applyAlignment="1">
      <alignment/>
    </xf>
    <xf numFmtId="209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94" fontId="6" fillId="33" borderId="10" xfId="55" applyNumberFormat="1" applyFont="1" applyFill="1" applyBorder="1" applyAlignment="1">
      <alignment horizontal="center" vertical="center" wrapText="1"/>
      <protection/>
    </xf>
    <xf numFmtId="194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9" fontId="11" fillId="33" borderId="10" xfId="67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212" fontId="92" fillId="0" borderId="0" xfId="0" applyNumberFormat="1" applyFont="1" applyFill="1" applyAlignment="1">
      <alignment/>
    </xf>
    <xf numFmtId="0" fontId="6" fillId="33" borderId="10" xfId="56" applyFont="1" applyFill="1" applyBorder="1" applyAlignment="1">
      <alignment horizontal="left" vertical="top" wrapText="1"/>
      <protection/>
    </xf>
    <xf numFmtId="0" fontId="93" fillId="0" borderId="10" xfId="0" applyFont="1" applyFill="1" applyBorder="1" applyAlignment="1">
      <alignment vertical="top" wrapText="1"/>
    </xf>
    <xf numFmtId="0" fontId="94" fillId="33" borderId="10" xfId="0" applyFont="1" applyFill="1" applyBorder="1" applyAlignment="1">
      <alignment horizontal="justify" vertical="top" wrapText="1"/>
    </xf>
    <xf numFmtId="195" fontId="94" fillId="33" borderId="10" xfId="0" applyNumberFormat="1" applyFont="1" applyFill="1" applyBorder="1" applyAlignment="1">
      <alignment horizontal="justify" vertical="top" wrapText="1"/>
    </xf>
    <xf numFmtId="195" fontId="95" fillId="33" borderId="10" xfId="0" applyNumberFormat="1" applyFont="1" applyFill="1" applyBorder="1" applyAlignment="1">
      <alignment horizontal="center" vertical="top" wrapText="1"/>
    </xf>
    <xf numFmtId="0" fontId="96" fillId="0" borderId="10" xfId="0" applyFont="1" applyBorder="1" applyAlignment="1">
      <alignment vertical="center" wrapText="1"/>
    </xf>
    <xf numFmtId="181" fontId="13" fillId="0" borderId="0" xfId="0" applyNumberFormat="1" applyFont="1" applyAlignment="1">
      <alignment/>
    </xf>
    <xf numFmtId="195" fontId="97" fillId="33" borderId="10" xfId="0" applyNumberFormat="1" applyFont="1" applyFill="1" applyBorder="1" applyAlignment="1">
      <alignment horizontal="center" vertical="top" wrapText="1"/>
    </xf>
    <xf numFmtId="194" fontId="98" fillId="33" borderId="10" xfId="0" applyNumberFormat="1" applyFont="1" applyFill="1" applyBorder="1" applyAlignment="1">
      <alignment horizontal="center" vertical="center" wrapText="1"/>
    </xf>
    <xf numFmtId="0" fontId="9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7" fillId="0" borderId="17" xfId="0" applyFont="1" applyBorder="1" applyAlignment="1">
      <alignment vertical="center" wrapText="1"/>
    </xf>
    <xf numFmtId="194" fontId="0" fillId="32" borderId="0" xfId="0" applyNumberFormat="1" applyFont="1" applyFill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0" fillId="32" borderId="10" xfId="0" applyFill="1" applyBorder="1" applyAlignment="1">
      <alignment/>
    </xf>
    <xf numFmtId="195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left" vertical="center" wrapText="1"/>
    </xf>
    <xf numFmtId="194" fontId="2" fillId="34" borderId="10" xfId="0" applyNumberFormat="1" applyFont="1" applyFill="1" applyBorder="1" applyAlignment="1">
      <alignment horizontal="center" vertical="top" wrapText="1" shrinkToFit="1"/>
    </xf>
    <xf numFmtId="194" fontId="6" fillId="0" borderId="10" xfId="0" applyNumberFormat="1" applyFont="1" applyFill="1" applyBorder="1" applyAlignment="1">
      <alignment horizontal="center" vertical="center" wrapText="1" shrinkToFit="1"/>
    </xf>
    <xf numFmtId="194" fontId="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 shrinkToFit="1"/>
    </xf>
    <xf numFmtId="0" fontId="2" fillId="34" borderId="12" xfId="0" applyFont="1" applyFill="1" applyBorder="1" applyAlignment="1">
      <alignment horizontal="left" vertical="top" wrapText="1" shrinkToFit="1"/>
    </xf>
    <xf numFmtId="0" fontId="2" fillId="34" borderId="13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96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10" xfId="0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left" wrapText="1"/>
      <protection/>
    </xf>
    <xf numFmtId="0" fontId="11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4" fillId="35" borderId="20" xfId="0" applyFont="1" applyFill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85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0"/>
  <sheetViews>
    <sheetView tabSelected="1" zoomScale="75" zoomScaleNormal="75" zoomScaleSheetLayoutView="75" zoomScalePageLayoutView="0" workbookViewId="0" topLeftCell="A316">
      <selection activeCell="B354" sqref="B354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5.42187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07" hidden="1" customWidth="1"/>
    <col min="14" max="14" width="15.7109375" style="107" hidden="1" customWidth="1"/>
    <col min="15" max="16" width="16.57421875" style="107" hidden="1" customWidth="1"/>
    <col min="17" max="17" width="16.140625" style="107" hidden="1" customWidth="1"/>
    <col min="18" max="20" width="9.140625" style="107" hidden="1" customWidth="1"/>
    <col min="21" max="21" width="62.8515625" style="107" hidden="1" customWidth="1"/>
    <col min="22" max="24" width="9.140625" style="107" customWidth="1"/>
    <col min="25" max="25" width="14.421875" style="107" bestFit="1" customWidth="1"/>
    <col min="26" max="26" width="9.140625" style="107" customWidth="1"/>
  </cols>
  <sheetData>
    <row r="1" spans="8:11" ht="20.25" customHeight="1">
      <c r="H1" s="255" t="s">
        <v>195</v>
      </c>
      <c r="I1" s="255"/>
      <c r="J1" s="255"/>
      <c r="K1" s="4"/>
    </row>
    <row r="2" spans="1:11" ht="36.75" customHeight="1">
      <c r="A2" s="5"/>
      <c r="H2" s="260" t="s">
        <v>227</v>
      </c>
      <c r="I2" s="260"/>
      <c r="J2" s="260"/>
      <c r="K2" s="260"/>
    </row>
    <row r="3" spans="1:11" ht="25.5" customHeight="1">
      <c r="A3" s="6"/>
      <c r="H3" s="163"/>
      <c r="I3" s="163"/>
      <c r="J3" s="163"/>
      <c r="K3" s="163"/>
    </row>
    <row r="4" spans="8:10" ht="15.75">
      <c r="H4" s="7"/>
      <c r="I4" s="3"/>
      <c r="J4" s="3"/>
    </row>
    <row r="5" spans="1:11" ht="46.5" customHeight="1">
      <c r="A5" s="256" t="s">
        <v>228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7" ht="15.75">
      <c r="A6" s="1"/>
      <c r="E6" s="113">
        <v>1034867098</v>
      </c>
      <c r="F6" s="113">
        <v>962596798</v>
      </c>
      <c r="G6" s="113">
        <v>72270300</v>
      </c>
      <c r="H6" s="113">
        <v>1108071535</v>
      </c>
      <c r="I6" s="113">
        <v>1031587035</v>
      </c>
      <c r="J6" s="113">
        <v>76484500</v>
      </c>
      <c r="K6" s="10" t="s">
        <v>116</v>
      </c>
      <c r="N6" s="252" t="s">
        <v>140</v>
      </c>
      <c r="O6" s="252"/>
      <c r="P6" s="252"/>
      <c r="Q6" s="252"/>
    </row>
    <row r="7" spans="1:26" s="2" customFormat="1" ht="32.25" customHeight="1">
      <c r="A7" s="261" t="s">
        <v>28</v>
      </c>
      <c r="B7" s="258" t="s">
        <v>18</v>
      </c>
      <c r="C7" s="253" t="s">
        <v>232</v>
      </c>
      <c r="D7" s="253"/>
      <c r="E7" s="253"/>
      <c r="F7" s="253" t="s">
        <v>233</v>
      </c>
      <c r="G7" s="253"/>
      <c r="H7" s="253"/>
      <c r="I7" s="253" t="s">
        <v>234</v>
      </c>
      <c r="J7" s="253"/>
      <c r="K7" s="253"/>
      <c r="L7" s="108"/>
      <c r="M7" s="108"/>
      <c r="N7" s="108">
        <v>2022</v>
      </c>
      <c r="O7" s="108">
        <v>2023</v>
      </c>
      <c r="P7" s="108">
        <v>2024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s="2" customFormat="1" ht="23.25" customHeight="1">
      <c r="A8" s="261"/>
      <c r="B8" s="258"/>
      <c r="C8" s="253"/>
      <c r="D8" s="253"/>
      <c r="E8" s="253"/>
      <c r="F8" s="253"/>
      <c r="G8" s="253"/>
      <c r="H8" s="253"/>
      <c r="I8" s="253"/>
      <c r="J8" s="253"/>
      <c r="K8" s="253"/>
      <c r="L8" s="108"/>
      <c r="M8" s="108"/>
      <c r="N8" s="111">
        <f>E12-E23-E54-E55-E56-E24</f>
        <v>28867300</v>
      </c>
      <c r="O8" s="111">
        <f>H12-H23-H54-H55-H56-H24</f>
        <v>27114300</v>
      </c>
      <c r="P8" s="203">
        <f>K12-K23-K54-K55-K56-K24-K107-K126-K224</f>
        <v>26864300</v>
      </c>
      <c r="Q8" s="111">
        <f>N8+O8+P8</f>
        <v>82845900</v>
      </c>
      <c r="R8" s="108"/>
      <c r="S8" s="108"/>
      <c r="T8" s="108"/>
      <c r="U8" s="108"/>
      <c r="V8" s="108"/>
      <c r="W8" s="108"/>
      <c r="X8" s="108"/>
      <c r="Y8" s="108"/>
      <c r="Z8" s="108"/>
    </row>
    <row r="9" spans="1:26" s="2" customFormat="1" ht="18.75" customHeight="1">
      <c r="A9" s="261"/>
      <c r="B9" s="258"/>
      <c r="C9" s="257" t="s">
        <v>0</v>
      </c>
      <c r="D9" s="257" t="s">
        <v>1</v>
      </c>
      <c r="E9" s="257"/>
      <c r="F9" s="257" t="s">
        <v>0</v>
      </c>
      <c r="G9" s="257" t="s">
        <v>1</v>
      </c>
      <c r="H9" s="257"/>
      <c r="I9" s="257" t="s">
        <v>0</v>
      </c>
      <c r="J9" s="257" t="s">
        <v>1</v>
      </c>
      <c r="K9" s="257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2" customFormat="1" ht="28.5">
      <c r="A10" s="261"/>
      <c r="B10" s="258"/>
      <c r="C10" s="257"/>
      <c r="D10" s="14" t="s">
        <v>2</v>
      </c>
      <c r="E10" s="14" t="s">
        <v>3</v>
      </c>
      <c r="F10" s="257"/>
      <c r="G10" s="14" t="s">
        <v>2</v>
      </c>
      <c r="H10" s="14" t="s">
        <v>3</v>
      </c>
      <c r="I10" s="257"/>
      <c r="J10" s="14" t="s">
        <v>2</v>
      </c>
      <c r="K10" s="14" t="s">
        <v>3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08"/>
      <c r="M11" s="108"/>
      <c r="N11" s="161" t="s">
        <v>171</v>
      </c>
      <c r="O11" s="108" t="s">
        <v>172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s="8" customFormat="1" ht="29.25" customHeight="1">
      <c r="A12" s="11" t="s">
        <v>148</v>
      </c>
      <c r="B12" s="54">
        <f>C12+F12+I12</f>
        <v>4593341900</v>
      </c>
      <c r="C12" s="55">
        <f>D12+E12</f>
        <v>1440405900</v>
      </c>
      <c r="D12" s="55">
        <f>D21+D53+D88+D104+D124+D146+D166+D183+D201+D222+D246+D268+D283+D308+D316+D331</f>
        <v>1340006900</v>
      </c>
      <c r="E12" s="55">
        <f>E21+E53+E88+E104+E124+E146+E166+E183+E201+E222+E246+E268+E283+E308+E316+E331</f>
        <v>100399000</v>
      </c>
      <c r="F12" s="55">
        <f>G12+H12</f>
        <v>1530517600</v>
      </c>
      <c r="G12" s="55">
        <f>G21+G53+G88+G104+G124+G146+G166+G183+G201+G222+G246+G268+G283+G308+G316+G331</f>
        <v>1428023900</v>
      </c>
      <c r="H12" s="55">
        <f>H21+H53+H88+H104+H124+H146+H166+H183+H201+H222+H246+H268+H283+H308+H316+H331</f>
        <v>102493700</v>
      </c>
      <c r="I12" s="55">
        <f>J12+K12</f>
        <v>1622418400</v>
      </c>
      <c r="J12" s="55">
        <f>J21+J53+J88+J104+J124+J146+J166+J183+J201+J222+J246+J268+J283+J308+J316+J331</f>
        <v>1516224200</v>
      </c>
      <c r="K12" s="55">
        <f>K21+K53+K88+K104+K124+K146+K166+K183+K201+K222+K246+K268+K283+K308+K316+K331</f>
        <v>106194200</v>
      </c>
      <c r="L12" s="109"/>
      <c r="M12" s="109"/>
      <c r="N12" s="114">
        <f>D12+G12+J12</f>
        <v>4284255000</v>
      </c>
      <c r="O12" s="114">
        <f>E12+H12+K12</f>
        <v>309086900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s="8" customFormat="1" ht="29.25" customHeight="1" hidden="1">
      <c r="A13" s="11" t="s">
        <v>71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s="8" customFormat="1" ht="29.25" customHeight="1" hidden="1">
      <c r="A14" s="11" t="s">
        <v>74</v>
      </c>
      <c r="B14" s="54">
        <f>D14+G14+J14</f>
        <v>3253850522</v>
      </c>
      <c r="C14" s="55"/>
      <c r="D14" s="55">
        <f>D12-D13</f>
        <v>1024954877</v>
      </c>
      <c r="E14" s="55"/>
      <c r="F14" s="55"/>
      <c r="G14" s="55">
        <f>G12-G13</f>
        <v>1083459447</v>
      </c>
      <c r="H14" s="55"/>
      <c r="I14" s="55"/>
      <c r="J14" s="55">
        <f>J12-J13</f>
        <v>1145436198</v>
      </c>
      <c r="K14" s="55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8" customFormat="1" ht="29.25" customHeight="1" hidden="1">
      <c r="A15" s="11" t="s">
        <v>73</v>
      </c>
      <c r="B15" s="54">
        <f>E12+H12+K12</f>
        <v>309086900</v>
      </c>
      <c r="C15" s="55"/>
      <c r="D15" s="55"/>
      <c r="E15" s="55"/>
      <c r="F15" s="55"/>
      <c r="G15" s="55"/>
      <c r="H15" s="55"/>
      <c r="I15" s="55"/>
      <c r="J15" s="55"/>
      <c r="K15" s="55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8" customFormat="1" ht="29.25" customHeight="1" hidden="1">
      <c r="A16" s="11" t="s">
        <v>72</v>
      </c>
      <c r="B16" s="54">
        <f>D16+G16+J16</f>
        <v>3562937422</v>
      </c>
      <c r="C16" s="55">
        <f>B16+B13</f>
        <v>4593341900</v>
      </c>
      <c r="D16" s="55">
        <f>D14+E12</f>
        <v>1125353877</v>
      </c>
      <c r="E16" s="55"/>
      <c r="F16" s="55"/>
      <c r="G16" s="55">
        <f>G14+H12</f>
        <v>1185953147</v>
      </c>
      <c r="H16" s="55"/>
      <c r="I16" s="55"/>
      <c r="J16" s="55">
        <f>J14+K12</f>
        <v>1251630398</v>
      </c>
      <c r="K16" s="55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s="8" customFormat="1" ht="51" customHeight="1">
      <c r="A17" s="262" t="s">
        <v>17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8" customFormat="1" ht="21" customHeight="1">
      <c r="A18" s="240" t="s">
        <v>29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s="8" customFormat="1" ht="21" customHeight="1">
      <c r="A19" s="233" t="s">
        <v>152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s="8" customFormat="1" ht="19.5" customHeight="1">
      <c r="A20" s="9" t="s">
        <v>194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s="8" customFormat="1" ht="18.75" customHeight="1">
      <c r="A21" s="46" t="s">
        <v>75</v>
      </c>
      <c r="B21" s="56">
        <f>C21+F21+I21</f>
        <v>1233568200</v>
      </c>
      <c r="C21" s="53">
        <f aca="true" t="shared" si="0" ref="C21:J21">SUM(C22:C30)</f>
        <v>385540200</v>
      </c>
      <c r="D21" s="53">
        <f>SUM(D22:D30)</f>
        <v>358214100</v>
      </c>
      <c r="E21" s="53">
        <f t="shared" si="0"/>
        <v>27326100</v>
      </c>
      <c r="F21" s="53">
        <f t="shared" si="0"/>
        <v>411794500</v>
      </c>
      <c r="G21" s="53">
        <f t="shared" si="0"/>
        <v>383010900</v>
      </c>
      <c r="H21" s="53">
        <f t="shared" si="0"/>
        <v>28783600</v>
      </c>
      <c r="I21" s="53">
        <f t="shared" si="0"/>
        <v>436233500</v>
      </c>
      <c r="J21" s="53">
        <f t="shared" si="0"/>
        <v>405993300</v>
      </c>
      <c r="K21" s="53">
        <f>SUM(K22:K30)</f>
        <v>30240200</v>
      </c>
      <c r="L21" s="109"/>
      <c r="M21" s="109"/>
      <c r="N21" s="114">
        <f>D21+G21+J21</f>
        <v>1147218300</v>
      </c>
      <c r="O21" s="114">
        <f>E21+H21+K21</f>
        <v>86349900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s="8" customFormat="1" ht="18.75" customHeight="1">
      <c r="A22" s="182" t="s">
        <v>33</v>
      </c>
      <c r="B22" s="211">
        <f>D21+G21+J21</f>
        <v>1147218300</v>
      </c>
      <c r="C22" s="33">
        <f>D22+E22</f>
        <v>277437500</v>
      </c>
      <c r="D22" s="33">
        <f>277037500+400000</f>
        <v>277437500</v>
      </c>
      <c r="E22" s="33"/>
      <c r="F22" s="33">
        <f>G22+H22</f>
        <v>304169300</v>
      </c>
      <c r="G22" s="33">
        <f>303769300+400000</f>
        <v>304169300</v>
      </c>
      <c r="H22" s="33"/>
      <c r="I22" s="33">
        <f>J22+K22</f>
        <v>324899200</v>
      </c>
      <c r="J22" s="33">
        <f>324499200+400000</f>
        <v>324899200</v>
      </c>
      <c r="K22" s="33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s="8" customFormat="1" ht="18.75" customHeight="1">
      <c r="A23" s="182" t="s">
        <v>30</v>
      </c>
      <c r="B23" s="208"/>
      <c r="C23" s="33">
        <f aca="true" t="shared" si="1" ref="C23:C30">D23+E23</f>
        <v>40902700</v>
      </c>
      <c r="D23" s="33">
        <f>16820300-2563700+620000</f>
        <v>14876600</v>
      </c>
      <c r="E23" s="33">
        <v>26026100</v>
      </c>
      <c r="F23" s="33">
        <f aca="true" t="shared" si="2" ref="F23:F30">G23+H23</f>
        <v>41603200</v>
      </c>
      <c r="G23" s="33">
        <f>16820300-2700700</f>
        <v>14119600</v>
      </c>
      <c r="H23" s="33">
        <v>27483600</v>
      </c>
      <c r="I23" s="33">
        <f aca="true" t="shared" si="3" ref="I23:I30">J23+K23</f>
        <v>42923700</v>
      </c>
      <c r="J23" s="33">
        <f>16820300-2836800</f>
        <v>13983500</v>
      </c>
      <c r="K23" s="33">
        <v>28940200</v>
      </c>
      <c r="L23" s="109"/>
      <c r="M23" s="109"/>
      <c r="N23" s="114">
        <f>D23+G23+J23</f>
        <v>42979700</v>
      </c>
      <c r="O23" s="114">
        <f>E23+H23+K23</f>
        <v>82449900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s="8" customFormat="1" ht="18.75" customHeight="1">
      <c r="A24" s="182" t="s">
        <v>31</v>
      </c>
      <c r="B24" s="208"/>
      <c r="C24" s="33">
        <f t="shared" si="1"/>
        <v>67200000</v>
      </c>
      <c r="D24" s="33">
        <f>42835100+2563700+120000+16500000-620000+4501200</f>
        <v>65900000</v>
      </c>
      <c r="E24" s="33">
        <v>1300000</v>
      </c>
      <c r="F24" s="33">
        <f t="shared" si="2"/>
        <v>66022000</v>
      </c>
      <c r="G24" s="33">
        <f>45401300+2700700+120000+16500000</f>
        <v>64722000</v>
      </c>
      <c r="H24" s="33">
        <v>1300000</v>
      </c>
      <c r="I24" s="33">
        <f t="shared" si="3"/>
        <v>68410600</v>
      </c>
      <c r="J24" s="33">
        <f>47653800+2836800+120000+16500000</f>
        <v>67110600</v>
      </c>
      <c r="K24" s="33">
        <v>1300000</v>
      </c>
      <c r="L24" s="109"/>
      <c r="M24" s="109"/>
      <c r="N24" s="114">
        <f>D24+G24+J24</f>
        <v>197732600</v>
      </c>
      <c r="O24" s="114">
        <f>E24+H24+K24</f>
        <v>3900000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14"/>
      <c r="Z24" s="109"/>
    </row>
    <row r="25" spans="1:26" s="8" customFormat="1" ht="18.75" customHeight="1" hidden="1">
      <c r="A25" s="182" t="s">
        <v>32</v>
      </c>
      <c r="B25" s="208"/>
      <c r="C25" s="33">
        <f t="shared" si="1"/>
        <v>0</v>
      </c>
      <c r="D25" s="33"/>
      <c r="E25" s="33"/>
      <c r="F25" s="33">
        <f t="shared" si="2"/>
        <v>0</v>
      </c>
      <c r="G25" s="33"/>
      <c r="H25" s="33"/>
      <c r="I25" s="33">
        <f>J25+K25</f>
        <v>0</v>
      </c>
      <c r="J25" s="33"/>
      <c r="K25" s="3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s="8" customFormat="1" ht="18.75" customHeight="1" hidden="1">
      <c r="A26" s="182" t="s">
        <v>34</v>
      </c>
      <c r="B26" s="208"/>
      <c r="C26" s="33">
        <f t="shared" si="1"/>
        <v>0</v>
      </c>
      <c r="D26" s="33"/>
      <c r="E26" s="33"/>
      <c r="F26" s="33">
        <f t="shared" si="2"/>
        <v>0</v>
      </c>
      <c r="G26" s="33"/>
      <c r="H26" s="33"/>
      <c r="I26" s="33">
        <f t="shared" si="3"/>
        <v>0</v>
      </c>
      <c r="J26" s="33"/>
      <c r="K26" s="33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s="8" customFormat="1" ht="18.75" customHeight="1" hidden="1">
      <c r="A27" s="182" t="s">
        <v>35</v>
      </c>
      <c r="B27" s="208"/>
      <c r="C27" s="33">
        <f t="shared" si="1"/>
        <v>0</v>
      </c>
      <c r="D27" s="33"/>
      <c r="E27" s="33"/>
      <c r="F27" s="33">
        <f t="shared" si="2"/>
        <v>0</v>
      </c>
      <c r="G27" s="33"/>
      <c r="H27" s="33"/>
      <c r="I27" s="33">
        <f t="shared" si="3"/>
        <v>0</v>
      </c>
      <c r="J27" s="33"/>
      <c r="K27" s="33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s="8" customFormat="1" ht="18.75" customHeight="1" hidden="1">
      <c r="A28" s="182" t="s">
        <v>36</v>
      </c>
      <c r="B28" s="208"/>
      <c r="C28" s="33">
        <f t="shared" si="1"/>
        <v>0</v>
      </c>
      <c r="D28" s="33"/>
      <c r="E28" s="33"/>
      <c r="F28" s="33">
        <f t="shared" si="2"/>
        <v>0</v>
      </c>
      <c r="G28" s="33"/>
      <c r="H28" s="33"/>
      <c r="I28" s="33">
        <f t="shared" si="3"/>
        <v>0</v>
      </c>
      <c r="J28" s="33"/>
      <c r="K28" s="3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s="8" customFormat="1" ht="33" customHeight="1" hidden="1">
      <c r="A29" s="30" t="s">
        <v>111</v>
      </c>
      <c r="B29" s="206"/>
      <c r="C29" s="33">
        <f t="shared" si="1"/>
        <v>0</v>
      </c>
      <c r="D29" s="33"/>
      <c r="E29" s="33"/>
      <c r="F29" s="33">
        <f t="shared" si="2"/>
        <v>0</v>
      </c>
      <c r="G29" s="33"/>
      <c r="H29" s="33"/>
      <c r="I29" s="33">
        <f t="shared" si="3"/>
        <v>0</v>
      </c>
      <c r="J29" s="33"/>
      <c r="K29" s="33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s="8" customFormat="1" ht="69.75" customHeight="1" hidden="1">
      <c r="A30" s="30" t="s">
        <v>112</v>
      </c>
      <c r="B30" s="207"/>
      <c r="C30" s="33">
        <f t="shared" si="1"/>
        <v>0</v>
      </c>
      <c r="D30" s="33"/>
      <c r="E30" s="33"/>
      <c r="F30" s="33">
        <f t="shared" si="2"/>
        <v>0</v>
      </c>
      <c r="G30" s="33"/>
      <c r="H30" s="33"/>
      <c r="I30" s="33">
        <f t="shared" si="3"/>
        <v>0</v>
      </c>
      <c r="J30" s="33"/>
      <c r="K30" s="3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s="8" customFormat="1" ht="17.25" customHeight="1">
      <c r="A31" s="43" t="s">
        <v>4</v>
      </c>
      <c r="B31" s="206"/>
      <c r="C31" s="26"/>
      <c r="D31" s="26"/>
      <c r="E31" s="26"/>
      <c r="F31" s="26"/>
      <c r="G31" s="26"/>
      <c r="H31" s="26"/>
      <c r="I31" s="26"/>
      <c r="J31" s="26"/>
      <c r="K31" s="27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s="8" customFormat="1" ht="17.25" customHeight="1">
      <c r="A32" s="183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s="8" customFormat="1" ht="17.25" customHeight="1">
      <c r="A33" s="43" t="s">
        <v>37</v>
      </c>
      <c r="B33" s="25"/>
      <c r="C33" s="28">
        <v>38</v>
      </c>
      <c r="D33" s="28"/>
      <c r="E33" s="28"/>
      <c r="F33" s="28">
        <v>38</v>
      </c>
      <c r="G33" s="28"/>
      <c r="H33" s="28"/>
      <c r="I33" s="28">
        <v>38</v>
      </c>
      <c r="J33" s="26"/>
      <c r="K33" s="27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s="8" customFormat="1" ht="17.25" customHeight="1">
      <c r="A34" s="183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s="8" customFormat="1" ht="17.25" customHeight="1">
      <c r="A35" s="43" t="s">
        <v>38</v>
      </c>
      <c r="B35" s="29"/>
      <c r="C35" s="28"/>
      <c r="D35" s="28"/>
      <c r="E35" s="28"/>
      <c r="F35" s="28"/>
      <c r="G35" s="28"/>
      <c r="H35" s="28"/>
      <c r="I35" s="28"/>
      <c r="J35" s="29"/>
      <c r="K35" s="2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s="8" customFormat="1" ht="17.25" customHeight="1">
      <c r="A36" s="43" t="s">
        <v>39</v>
      </c>
      <c r="B36" s="25"/>
      <c r="C36" s="28">
        <v>8922</v>
      </c>
      <c r="D36" s="28"/>
      <c r="E36" s="28"/>
      <c r="F36" s="28">
        <v>8922</v>
      </c>
      <c r="G36" s="28"/>
      <c r="H36" s="28"/>
      <c r="I36" s="28">
        <v>8922</v>
      </c>
      <c r="J36" s="28"/>
      <c r="K36" s="27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s="8" customFormat="1" ht="18.75" customHeight="1">
      <c r="A37" s="43" t="s">
        <v>40</v>
      </c>
      <c r="B37" s="25"/>
      <c r="C37" s="28">
        <v>8922</v>
      </c>
      <c r="D37" s="28"/>
      <c r="E37" s="26"/>
      <c r="F37" s="28">
        <v>8922</v>
      </c>
      <c r="G37" s="28"/>
      <c r="H37" s="26"/>
      <c r="I37" s="28">
        <v>8922</v>
      </c>
      <c r="J37" s="28"/>
      <c r="K37" s="27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s="8" customFormat="1" ht="18.75" customHeight="1" hidden="1">
      <c r="A38" s="43" t="s">
        <v>43</v>
      </c>
      <c r="B38" s="25"/>
      <c r="C38" s="28">
        <v>1517431</v>
      </c>
      <c r="D38" s="28"/>
      <c r="E38" s="26"/>
      <c r="F38" s="28">
        <v>820900</v>
      </c>
      <c r="G38" s="28"/>
      <c r="H38" s="26"/>
      <c r="I38" s="28">
        <v>931178</v>
      </c>
      <c r="J38" s="28"/>
      <c r="K38" s="27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s="8" customFormat="1" ht="18.75" customHeight="1" hidden="1">
      <c r="A39" s="43" t="s">
        <v>142</v>
      </c>
      <c r="B39" s="25"/>
      <c r="C39" s="28" t="e">
        <f>E26/C44</f>
        <v>#DIV/0!</v>
      </c>
      <c r="D39" s="28"/>
      <c r="E39" s="26"/>
      <c r="F39" s="28"/>
      <c r="G39" s="28"/>
      <c r="H39" s="26"/>
      <c r="I39" s="28"/>
      <c r="J39" s="28"/>
      <c r="K39" s="27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s="8" customFormat="1" ht="18.75" customHeight="1" hidden="1">
      <c r="A40" s="43" t="s">
        <v>77</v>
      </c>
      <c r="B40" s="25"/>
      <c r="C40" s="28" t="e">
        <f>E27/C45</f>
        <v>#DIV/0!</v>
      </c>
      <c r="D40" s="28"/>
      <c r="E40" s="26"/>
      <c r="F40" s="28"/>
      <c r="G40" s="28"/>
      <c r="H40" s="26"/>
      <c r="I40" s="28"/>
      <c r="J40" s="28"/>
      <c r="K40" s="27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s="8" customFormat="1" ht="17.25" customHeight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s="8" customFormat="1" ht="20.25" customHeight="1">
      <c r="A42" s="30" t="s">
        <v>76</v>
      </c>
      <c r="B42" s="25"/>
      <c r="C42" s="26">
        <f>C21/C36</f>
        <v>43212.306657700065</v>
      </c>
      <c r="D42" s="26"/>
      <c r="E42" s="26"/>
      <c r="F42" s="26">
        <f>F21/F36</f>
        <v>46154.95404617798</v>
      </c>
      <c r="G42" s="26"/>
      <c r="H42" s="26"/>
      <c r="I42" s="26">
        <f>I21/I36</f>
        <v>48894.13808563103</v>
      </c>
      <c r="J42" s="26"/>
      <c r="K42" s="27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s="8" customFormat="1" ht="19.5" customHeight="1" hidden="1">
      <c r="A43" s="30" t="s">
        <v>41</v>
      </c>
      <c r="B43" s="25"/>
      <c r="C43" s="26">
        <f>(C23/C38)</f>
        <v>26.955228936274533</v>
      </c>
      <c r="D43" s="26"/>
      <c r="E43" s="26"/>
      <c r="F43" s="26">
        <f>(F23/F38)</f>
        <v>50.679985381897914</v>
      </c>
      <c r="G43" s="26"/>
      <c r="H43" s="26"/>
      <c r="I43" s="26">
        <f>(I23/I38)</f>
        <v>46.09612770061148</v>
      </c>
      <c r="J43" s="26"/>
      <c r="K43" s="27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s="8" customFormat="1" ht="19.5" customHeight="1" hidden="1">
      <c r="A44" s="30" t="s">
        <v>78</v>
      </c>
      <c r="B44" s="25"/>
      <c r="C44" s="26"/>
      <c r="D44" s="26"/>
      <c r="E44" s="26"/>
      <c r="F44" s="26"/>
      <c r="G44" s="26"/>
      <c r="H44" s="26"/>
      <c r="I44" s="26"/>
      <c r="J44" s="26"/>
      <c r="K44" s="27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s="8" customFormat="1" ht="19.5" customHeight="1" hidden="1">
      <c r="A45" s="30" t="s">
        <v>119</v>
      </c>
      <c r="B45" s="25"/>
      <c r="C45" s="26"/>
      <c r="D45" s="26"/>
      <c r="E45" s="26"/>
      <c r="F45" s="26"/>
      <c r="G45" s="26"/>
      <c r="H45" s="26"/>
      <c r="I45" s="26"/>
      <c r="J45" s="26"/>
      <c r="K45" s="27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s="8" customFormat="1" ht="17.25" customHeight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s="8" customFormat="1" ht="35.25" customHeight="1">
      <c r="A47" s="192" t="s">
        <v>122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100</v>
      </c>
      <c r="J47" s="26"/>
      <c r="K47" s="27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s="8" customFormat="1" ht="35.25" customHeight="1">
      <c r="A48" s="83" t="s">
        <v>124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s="8" customFormat="1" ht="21.75" customHeight="1">
      <c r="A49" s="192" t="s">
        <v>120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s="8" customFormat="1" ht="18" customHeight="1">
      <c r="A50" s="240" t="s">
        <v>44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s="8" customFormat="1" ht="18" customHeight="1">
      <c r="A51" s="233" t="s">
        <v>45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s="8" customFormat="1" ht="36" customHeight="1">
      <c r="A52" s="205" t="s">
        <v>196</v>
      </c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s="8" customFormat="1" ht="18" customHeight="1">
      <c r="A53" s="46" t="s">
        <v>21</v>
      </c>
      <c r="B53" s="93">
        <f>C53+F53+I53</f>
        <v>2673226500.01</v>
      </c>
      <c r="C53" s="56">
        <f aca="true" t="shared" si="4" ref="C53:J53">SUM(C54:C63)</f>
        <v>837193200.01</v>
      </c>
      <c r="D53" s="56">
        <f>SUM(D54:D63)</f>
        <v>792987600</v>
      </c>
      <c r="E53" s="56">
        <f>SUM(E54:E63)</f>
        <v>44205600</v>
      </c>
      <c r="F53" s="56">
        <f t="shared" si="4"/>
        <v>890284200</v>
      </c>
      <c r="G53" s="56">
        <f t="shared" si="4"/>
        <v>843688400</v>
      </c>
      <c r="H53" s="56">
        <f>SUM(H54:H63)</f>
        <v>46595800</v>
      </c>
      <c r="I53" s="56">
        <f t="shared" si="4"/>
        <v>945749100</v>
      </c>
      <c r="J53" s="56">
        <f t="shared" si="4"/>
        <v>896909400</v>
      </c>
      <c r="K53" s="56">
        <f>SUM(K54:K63)</f>
        <v>48839700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s="8" customFormat="1" ht="18" customHeight="1">
      <c r="A54" s="92" t="s">
        <v>33</v>
      </c>
      <c r="B54" s="25"/>
      <c r="C54" s="76">
        <f>D54+E54</f>
        <v>674678500</v>
      </c>
      <c r="D54" s="76">
        <f>508338800+150505900+3000000+9494100</f>
        <v>671338800</v>
      </c>
      <c r="E54" s="76">
        <f>3339700</f>
        <v>3339700</v>
      </c>
      <c r="F54" s="76">
        <f>G54+H54</f>
        <v>728305800</v>
      </c>
      <c r="G54" s="76">
        <f>556754900+164894600+3000000</f>
        <v>724649500</v>
      </c>
      <c r="H54" s="76">
        <f>3656300</f>
        <v>3656300</v>
      </c>
      <c r="I54" s="76">
        <f>J54+K54</f>
        <v>776831600</v>
      </c>
      <c r="J54" s="76">
        <f>594746300+176350000+3000000</f>
        <v>774096300</v>
      </c>
      <c r="K54" s="76">
        <f>2735300</f>
        <v>2735300</v>
      </c>
      <c r="L54" s="109"/>
      <c r="M54" s="109"/>
      <c r="N54" s="109"/>
      <c r="O54" s="114">
        <f>E54+H54+K54</f>
        <v>9731300</v>
      </c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s="8" customFormat="1" ht="18" customHeight="1">
      <c r="A55" s="92" t="s">
        <v>30</v>
      </c>
      <c r="B55" s="95"/>
      <c r="C55" s="76">
        <f aca="true" t="shared" si="5" ref="C55:C63">D55+E55</f>
        <v>51823700</v>
      </c>
      <c r="D55" s="76">
        <f>16848100-5250300+860000</f>
        <v>12457800</v>
      </c>
      <c r="E55" s="76">
        <v>39365900</v>
      </c>
      <c r="F55" s="76">
        <f aca="true" t="shared" si="6" ref="F55:F63">G55+H55</f>
        <v>52753400</v>
      </c>
      <c r="G55" s="76">
        <f>16848100-5534200</f>
        <v>11313900</v>
      </c>
      <c r="H55" s="76">
        <v>41439500</v>
      </c>
      <c r="I55" s="76">
        <f aca="true" t="shared" si="7" ref="I55:I63">J55+K55</f>
        <v>55635000</v>
      </c>
      <c r="J55" s="76">
        <f>16848100-5817500</f>
        <v>11030600</v>
      </c>
      <c r="K55" s="76">
        <v>44604400</v>
      </c>
      <c r="L55" s="109"/>
      <c r="M55" s="109"/>
      <c r="N55" s="114">
        <f>D55+G55+J55</f>
        <v>34802300</v>
      </c>
      <c r="O55" s="114">
        <f>E55+H55+K55</f>
        <v>125409800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s="8" customFormat="1" ht="18" customHeight="1">
      <c r="A56" s="92" t="s">
        <v>31</v>
      </c>
      <c r="B56" s="95"/>
      <c r="C56" s="77">
        <f>D56+E56+0.01</f>
        <v>108422400.01</v>
      </c>
      <c r="D56" s="77">
        <f>62132100+5500000+5250300+3000000+900000+24500000-860000+6500000</f>
        <v>106922400</v>
      </c>
      <c r="E56" s="77">
        <v>1500000</v>
      </c>
      <c r="F56" s="77">
        <f t="shared" si="6"/>
        <v>106740800</v>
      </c>
      <c r="G56" s="188">
        <f>65806600+5500000+3000000+5534200+900000+24500000</f>
        <v>105240800</v>
      </c>
      <c r="H56" s="77">
        <v>1500000</v>
      </c>
      <c r="I56" s="162">
        <f>J56+K56</f>
        <v>110629400</v>
      </c>
      <c r="J56" s="77">
        <f>69411900+5500000+3000000+5817500+900000+24500000</f>
        <v>109129400</v>
      </c>
      <c r="K56" s="162">
        <v>1500000</v>
      </c>
      <c r="L56" s="109"/>
      <c r="M56" s="109"/>
      <c r="N56" s="114">
        <f>D56+G56+J56</f>
        <v>321292600</v>
      </c>
      <c r="O56" s="114">
        <f>E56+H56+K56</f>
        <v>4500000</v>
      </c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s="8" customFormat="1" ht="18" customHeight="1">
      <c r="A57" s="92" t="s">
        <v>197</v>
      </c>
      <c r="B57" s="96">
        <f>C57+F57+I57</f>
        <v>7405900</v>
      </c>
      <c r="C57" s="76">
        <f t="shared" si="5"/>
        <v>2268600</v>
      </c>
      <c r="D57" s="76">
        <v>2268600</v>
      </c>
      <c r="E57" s="76"/>
      <c r="F57" s="76">
        <f t="shared" si="6"/>
        <v>2484200</v>
      </c>
      <c r="G57" s="76">
        <v>2484200</v>
      </c>
      <c r="H57" s="76"/>
      <c r="I57" s="76">
        <f t="shared" si="7"/>
        <v>2653100</v>
      </c>
      <c r="J57" s="76">
        <v>2653100</v>
      </c>
      <c r="K57" s="76"/>
      <c r="L57" s="109"/>
      <c r="M57" s="109"/>
      <c r="N57" s="114">
        <f>D57+G57+J57</f>
        <v>7405900</v>
      </c>
      <c r="O57" s="114">
        <f>E57+H57+K57</f>
        <v>0</v>
      </c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s="8" customFormat="1" ht="18" customHeight="1" hidden="1">
      <c r="A58" s="92" t="s">
        <v>34</v>
      </c>
      <c r="B58" s="95"/>
      <c r="C58" s="76">
        <f t="shared" si="5"/>
        <v>0</v>
      </c>
      <c r="D58" s="76"/>
      <c r="E58" s="76"/>
      <c r="F58" s="76">
        <f t="shared" si="6"/>
        <v>0</v>
      </c>
      <c r="G58" s="76"/>
      <c r="H58" s="76"/>
      <c r="I58" s="76">
        <f t="shared" si="7"/>
        <v>0</v>
      </c>
      <c r="J58" s="76"/>
      <c r="K58" s="76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s="8" customFormat="1" ht="22.5" customHeight="1" hidden="1">
      <c r="A59" s="92" t="s">
        <v>35</v>
      </c>
      <c r="B59" s="95"/>
      <c r="C59" s="76">
        <f t="shared" si="5"/>
        <v>0</v>
      </c>
      <c r="D59" s="76"/>
      <c r="E59" s="76"/>
      <c r="F59" s="76">
        <f t="shared" si="6"/>
        <v>0</v>
      </c>
      <c r="G59" s="76"/>
      <c r="H59" s="76"/>
      <c r="I59" s="76">
        <f t="shared" si="7"/>
        <v>0</v>
      </c>
      <c r="J59" s="76"/>
      <c r="K59" s="76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s="8" customFormat="1" ht="35.25" customHeight="1" hidden="1">
      <c r="A60" s="92" t="s">
        <v>51</v>
      </c>
      <c r="B60" s="95"/>
      <c r="C60" s="76">
        <f t="shared" si="5"/>
        <v>0</v>
      </c>
      <c r="D60" s="76"/>
      <c r="E60" s="76"/>
      <c r="F60" s="76">
        <f t="shared" si="6"/>
        <v>0</v>
      </c>
      <c r="G60" s="76"/>
      <c r="H60" s="76"/>
      <c r="I60" s="76">
        <f t="shared" si="7"/>
        <v>0</v>
      </c>
      <c r="J60" s="76"/>
      <c r="K60" s="76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26" s="8" customFormat="1" ht="32.25" customHeight="1" hidden="1">
      <c r="A61" s="30" t="s">
        <v>113</v>
      </c>
      <c r="B61" s="95"/>
      <c r="C61" s="76">
        <f t="shared" si="5"/>
        <v>0</v>
      </c>
      <c r="D61" s="76"/>
      <c r="E61" s="76"/>
      <c r="F61" s="76">
        <f t="shared" si="6"/>
        <v>0</v>
      </c>
      <c r="G61" s="76"/>
      <c r="H61" s="76"/>
      <c r="I61" s="76">
        <f t="shared" si="7"/>
        <v>0</v>
      </c>
      <c r="J61" s="76"/>
      <c r="K61" s="76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s="8" customFormat="1" ht="66.75" customHeight="1" hidden="1">
      <c r="A62" s="30" t="s">
        <v>115</v>
      </c>
      <c r="B62" s="96">
        <f>C62+F62+I62</f>
        <v>0</v>
      </c>
      <c r="C62" s="76">
        <f t="shared" si="5"/>
        <v>0</v>
      </c>
      <c r="D62" s="76"/>
      <c r="E62" s="76"/>
      <c r="F62" s="76">
        <f t="shared" si="6"/>
        <v>0</v>
      </c>
      <c r="G62" s="76"/>
      <c r="H62" s="76"/>
      <c r="I62" s="76">
        <f t="shared" si="7"/>
        <v>0</v>
      </c>
      <c r="J62" s="76"/>
      <c r="K62" s="7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s="8" customFormat="1" ht="32.25" customHeight="1" hidden="1">
      <c r="A63" s="30" t="s">
        <v>114</v>
      </c>
      <c r="B63" s="25"/>
      <c r="C63" s="33">
        <f t="shared" si="5"/>
        <v>0</v>
      </c>
      <c r="D63" s="33"/>
      <c r="E63" s="33"/>
      <c r="F63" s="33">
        <f t="shared" si="6"/>
        <v>0</v>
      </c>
      <c r="G63" s="33"/>
      <c r="H63" s="33"/>
      <c r="I63" s="33">
        <f t="shared" si="7"/>
        <v>0</v>
      </c>
      <c r="J63" s="33"/>
      <c r="K63" s="33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s="8" customFormat="1" ht="18" customHeight="1">
      <c r="A64" s="43" t="s">
        <v>4</v>
      </c>
      <c r="B64" s="25"/>
      <c r="C64" s="26"/>
      <c r="D64" s="26"/>
      <c r="E64" s="26"/>
      <c r="F64" s="26"/>
      <c r="G64" s="26"/>
      <c r="H64" s="26"/>
      <c r="I64" s="26"/>
      <c r="J64" s="26"/>
      <c r="K64" s="27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s="8" customFormat="1" ht="18" customHeight="1">
      <c r="A65" s="44" t="s">
        <v>19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s="8" customFormat="1" ht="18" customHeight="1">
      <c r="A66" s="43" t="s">
        <v>57</v>
      </c>
      <c r="B66" s="25"/>
      <c r="C66" s="28">
        <v>36</v>
      </c>
      <c r="D66" s="28"/>
      <c r="E66" s="28"/>
      <c r="F66" s="28">
        <v>36</v>
      </c>
      <c r="G66" s="28"/>
      <c r="H66" s="28"/>
      <c r="I66" s="28">
        <v>36</v>
      </c>
      <c r="J66" s="26"/>
      <c r="K66" s="27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:26" s="8" customFormat="1" ht="18" customHeight="1">
      <c r="A67" s="43" t="s">
        <v>46</v>
      </c>
      <c r="B67" s="25"/>
      <c r="C67" s="28">
        <v>1</v>
      </c>
      <c r="D67" s="28"/>
      <c r="E67" s="28"/>
      <c r="F67" s="28">
        <v>1</v>
      </c>
      <c r="G67" s="28"/>
      <c r="H67" s="28"/>
      <c r="I67" s="28">
        <v>1</v>
      </c>
      <c r="J67" s="26"/>
      <c r="K67" s="27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:26" s="8" customFormat="1" ht="18" customHeight="1">
      <c r="A68" s="44" t="s">
        <v>5</v>
      </c>
      <c r="B68" s="25"/>
      <c r="C68" s="26"/>
      <c r="D68" s="26"/>
      <c r="E68" s="26"/>
      <c r="F68" s="26"/>
      <c r="G68" s="26"/>
      <c r="H68" s="26"/>
      <c r="I68" s="26"/>
      <c r="J68" s="26"/>
      <c r="K68" s="27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s="8" customFormat="1" ht="18" customHeight="1" hidden="1">
      <c r="A69" s="43" t="s">
        <v>47</v>
      </c>
      <c r="B69" s="25"/>
      <c r="C69" s="28">
        <v>975</v>
      </c>
      <c r="D69" s="28"/>
      <c r="E69" s="28"/>
      <c r="F69" s="28">
        <v>1012</v>
      </c>
      <c r="G69" s="28"/>
      <c r="H69" s="28"/>
      <c r="I69" s="28">
        <v>1066</v>
      </c>
      <c r="J69" s="28"/>
      <c r="K69" s="28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s="8" customFormat="1" ht="18" customHeight="1">
      <c r="A70" s="43" t="s">
        <v>48</v>
      </c>
      <c r="B70" s="25"/>
      <c r="C70" s="28">
        <v>31245</v>
      </c>
      <c r="D70" s="28"/>
      <c r="E70" s="28"/>
      <c r="F70" s="28">
        <v>31245</v>
      </c>
      <c r="G70" s="28"/>
      <c r="H70" s="28"/>
      <c r="I70" s="28">
        <v>31245</v>
      </c>
      <c r="J70" s="28"/>
      <c r="K70" s="28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s="8" customFormat="1" ht="18" customHeight="1">
      <c r="A71" s="43" t="s">
        <v>49</v>
      </c>
      <c r="B71" s="25"/>
      <c r="C71" s="28">
        <v>39</v>
      </c>
      <c r="D71" s="28"/>
      <c r="E71" s="28"/>
      <c r="F71" s="28">
        <v>39</v>
      </c>
      <c r="G71" s="28"/>
      <c r="H71" s="28"/>
      <c r="I71" s="28">
        <v>39</v>
      </c>
      <c r="J71" s="28"/>
      <c r="K71" s="28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s="8" customFormat="1" ht="18" customHeight="1">
      <c r="A72" s="43" t="s">
        <v>50</v>
      </c>
      <c r="B72" s="25"/>
      <c r="C72" s="28">
        <v>885</v>
      </c>
      <c r="D72" s="28"/>
      <c r="E72" s="28"/>
      <c r="F72" s="28">
        <v>885</v>
      </c>
      <c r="G72" s="28"/>
      <c r="H72" s="28"/>
      <c r="I72" s="28">
        <v>885</v>
      </c>
      <c r="J72" s="28"/>
      <c r="K72" s="28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s="8" customFormat="1" ht="24" customHeight="1" hidden="1">
      <c r="A73" s="43" t="s">
        <v>80</v>
      </c>
      <c r="B73" s="25"/>
      <c r="C73" s="28">
        <v>13760</v>
      </c>
      <c r="D73" s="28"/>
      <c r="E73" s="26"/>
      <c r="F73" s="28">
        <v>14611</v>
      </c>
      <c r="G73" s="28"/>
      <c r="H73" s="26"/>
      <c r="I73" s="28">
        <v>15000</v>
      </c>
      <c r="J73" s="28"/>
      <c r="K73" s="27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s="8" customFormat="1" ht="18" customHeight="1" hidden="1">
      <c r="A74" s="43" t="s">
        <v>43</v>
      </c>
      <c r="B74" s="25"/>
      <c r="C74" s="28">
        <v>1940528</v>
      </c>
      <c r="D74" s="28"/>
      <c r="E74" s="26"/>
      <c r="F74" s="28">
        <v>1447000</v>
      </c>
      <c r="G74" s="28"/>
      <c r="H74" s="26"/>
      <c r="I74" s="28">
        <v>1940528</v>
      </c>
      <c r="J74" s="28"/>
      <c r="K74" s="27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s="8" customFormat="1" ht="18" customHeight="1" hidden="1">
      <c r="A75" s="43" t="s">
        <v>142</v>
      </c>
      <c r="B75" s="25"/>
      <c r="C75" s="28">
        <f>E58/C80</f>
        <v>0</v>
      </c>
      <c r="D75" s="28"/>
      <c r="E75" s="26"/>
      <c r="F75" s="28">
        <v>190</v>
      </c>
      <c r="G75" s="28"/>
      <c r="H75" s="26"/>
      <c r="I75" s="28">
        <v>195</v>
      </c>
      <c r="J75" s="28"/>
      <c r="K75" s="27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s="8" customFormat="1" ht="18" customHeight="1" hidden="1">
      <c r="A76" s="43" t="s">
        <v>77</v>
      </c>
      <c r="B76" s="25"/>
      <c r="C76" s="28">
        <f>E59/C81</f>
        <v>0</v>
      </c>
      <c r="D76" s="28"/>
      <c r="E76" s="26"/>
      <c r="F76" s="28"/>
      <c r="G76" s="28"/>
      <c r="H76" s="26"/>
      <c r="I76" s="28"/>
      <c r="J76" s="28"/>
      <c r="K76" s="27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s="8" customFormat="1" ht="18" customHeight="1">
      <c r="A77" s="31" t="s">
        <v>8</v>
      </c>
      <c r="B77" s="25"/>
      <c r="C77" s="26"/>
      <c r="D77" s="26"/>
      <c r="E77" s="26"/>
      <c r="F77" s="28"/>
      <c r="G77" s="26"/>
      <c r="H77" s="26"/>
      <c r="I77" s="28"/>
      <c r="J77" s="26"/>
      <c r="K77" s="27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s="8" customFormat="1" ht="18" customHeight="1">
      <c r="A78" s="30" t="s">
        <v>107</v>
      </c>
      <c r="B78" s="25"/>
      <c r="C78" s="26">
        <f>C53/(C70+C72)</f>
        <v>26056.433240273887</v>
      </c>
      <c r="D78" s="26"/>
      <c r="E78" s="26"/>
      <c r="F78" s="26">
        <f>F53/(F70+F72)</f>
        <v>27708.814192343605</v>
      </c>
      <c r="G78" s="26"/>
      <c r="H78" s="26"/>
      <c r="I78" s="26">
        <f>I53/(I70+I72)</f>
        <v>29435.079365079364</v>
      </c>
      <c r="J78" s="26"/>
      <c r="K78" s="27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s="8" customFormat="1" ht="18" customHeight="1" hidden="1">
      <c r="A79" s="30" t="s">
        <v>41</v>
      </c>
      <c r="B79" s="25"/>
      <c r="C79" s="26"/>
      <c r="D79" s="26">
        <f>(D55/C74)</f>
        <v>6.419799147448529</v>
      </c>
      <c r="E79" s="26"/>
      <c r="F79" s="26"/>
      <c r="G79" s="26">
        <f>(G55/F74)</f>
        <v>7.818866620594333</v>
      </c>
      <c r="H79" s="26"/>
      <c r="I79" s="26"/>
      <c r="J79" s="26">
        <f>(J55/I74)</f>
        <v>5.68432921349241</v>
      </c>
      <c r="K79" s="27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s="8" customFormat="1" ht="18" customHeight="1" hidden="1">
      <c r="A80" s="30" t="s">
        <v>78</v>
      </c>
      <c r="B80" s="25"/>
      <c r="C80" s="26">
        <v>15740</v>
      </c>
      <c r="D80" s="26"/>
      <c r="E80" s="26"/>
      <c r="F80" s="28">
        <f>H58/F75</f>
        <v>0</v>
      </c>
      <c r="G80" s="26"/>
      <c r="H80" s="26"/>
      <c r="I80" s="28">
        <f>K58/I75</f>
        <v>0</v>
      </c>
      <c r="J80" s="26"/>
      <c r="K80" s="27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:26" s="8" customFormat="1" ht="18" customHeight="1" hidden="1">
      <c r="A81" s="30" t="s">
        <v>79</v>
      </c>
      <c r="B81" s="25"/>
      <c r="C81" s="26">
        <v>300000</v>
      </c>
      <c r="D81" s="26"/>
      <c r="E81" s="26"/>
      <c r="F81" s="28"/>
      <c r="G81" s="26"/>
      <c r="H81" s="26"/>
      <c r="I81" s="28"/>
      <c r="J81" s="26"/>
      <c r="K81" s="27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:26" s="88" customFormat="1" ht="18" customHeight="1">
      <c r="A82" s="81" t="s">
        <v>7</v>
      </c>
      <c r="B82" s="25"/>
      <c r="C82" s="26"/>
      <c r="D82" s="26"/>
      <c r="E82" s="26"/>
      <c r="F82" s="28"/>
      <c r="G82" s="26"/>
      <c r="H82" s="26"/>
      <c r="I82" s="28"/>
      <c r="J82" s="26"/>
      <c r="K82" s="27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s="8" customFormat="1" ht="34.5" customHeight="1">
      <c r="A83" s="83" t="s">
        <v>123</v>
      </c>
      <c r="B83" s="25"/>
      <c r="C83" s="28">
        <v>100</v>
      </c>
      <c r="D83" s="26"/>
      <c r="E83" s="26"/>
      <c r="F83" s="28">
        <f>F70/C70*100</f>
        <v>100</v>
      </c>
      <c r="G83" s="26"/>
      <c r="H83" s="26"/>
      <c r="I83" s="28">
        <f>I70/F70*100</f>
        <v>100</v>
      </c>
      <c r="J83" s="26"/>
      <c r="K83" s="27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s="8" customFormat="1" ht="32.25" customHeight="1">
      <c r="A84" s="75" t="s">
        <v>121</v>
      </c>
      <c r="B84" s="29"/>
      <c r="C84" s="82">
        <v>80</v>
      </c>
      <c r="D84" s="32"/>
      <c r="E84" s="32"/>
      <c r="F84" s="32">
        <v>81</v>
      </c>
      <c r="G84" s="32"/>
      <c r="H84" s="32"/>
      <c r="I84" s="82">
        <v>82</v>
      </c>
      <c r="J84" s="29"/>
      <c r="K84" s="2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:26" s="8" customFormat="1" ht="18" customHeight="1" hidden="1">
      <c r="A85" s="240" t="s">
        <v>52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s="8" customFormat="1" ht="18" customHeight="1" hidden="1">
      <c r="A86" s="233" t="s">
        <v>53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s="8" customFormat="1" ht="18" customHeight="1" hidden="1">
      <c r="A87" s="9" t="s">
        <v>54</v>
      </c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s="8" customFormat="1" ht="18" customHeight="1" hidden="1">
      <c r="A88" s="46" t="s">
        <v>75</v>
      </c>
      <c r="B88" s="93">
        <f>C88+F88+I88</f>
        <v>0</v>
      </c>
      <c r="C88" s="47">
        <f>C89+C90</f>
        <v>0</v>
      </c>
      <c r="D88" s="47">
        <f aca="true" t="shared" si="8" ref="D88:K88">SUM(D89:D96)</f>
        <v>0</v>
      </c>
      <c r="E88" s="47">
        <f t="shared" si="8"/>
        <v>0</v>
      </c>
      <c r="F88" s="47">
        <f>F89+F90</f>
        <v>0</v>
      </c>
      <c r="G88" s="47">
        <f>SUM(G89:G96)</f>
        <v>0</v>
      </c>
      <c r="H88" s="47">
        <f t="shared" si="8"/>
        <v>0</v>
      </c>
      <c r="I88" s="47">
        <f>I89+I90</f>
        <v>0</v>
      </c>
      <c r="J88" s="47">
        <f t="shared" si="8"/>
        <v>0</v>
      </c>
      <c r="K88" s="47">
        <f t="shared" si="8"/>
        <v>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6" s="8" customFormat="1" ht="18" customHeight="1" hidden="1">
      <c r="A89" s="42" t="s">
        <v>33</v>
      </c>
      <c r="B89" s="25"/>
      <c r="C89" s="33">
        <f>D89+E89</f>
        <v>0</v>
      </c>
      <c r="D89" s="33"/>
      <c r="E89" s="33"/>
      <c r="F89" s="33">
        <f>G89+H89</f>
        <v>0</v>
      </c>
      <c r="G89" s="33"/>
      <c r="H89" s="33"/>
      <c r="I89" s="33">
        <f>J89+K89</f>
        <v>0</v>
      </c>
      <c r="J89" s="33"/>
      <c r="K89" s="33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:26" s="8" customFormat="1" ht="18" customHeight="1" hidden="1">
      <c r="A90" s="50" t="s">
        <v>31</v>
      </c>
      <c r="B90" s="25"/>
      <c r="C90" s="33">
        <f>D90+E90</f>
        <v>0</v>
      </c>
      <c r="D90" s="33"/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s="8" customFormat="1" ht="18" customHeight="1" hidden="1">
      <c r="A91" s="43" t="s">
        <v>4</v>
      </c>
      <c r="B91" s="25"/>
      <c r="C91" s="26"/>
      <c r="D91" s="26"/>
      <c r="E91" s="26"/>
      <c r="F91" s="26"/>
      <c r="G91" s="26"/>
      <c r="H91" s="26"/>
      <c r="I91" s="26"/>
      <c r="J91" s="26"/>
      <c r="K91" s="27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s="8" customFormat="1" ht="18" customHeight="1" hidden="1">
      <c r="A92" s="44" t="s">
        <v>19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s="8" customFormat="1" ht="18" customHeight="1" hidden="1">
      <c r="A93" s="43" t="s">
        <v>55</v>
      </c>
      <c r="B93" s="25"/>
      <c r="C93" s="28"/>
      <c r="D93" s="28"/>
      <c r="E93" s="28"/>
      <c r="F93" s="28"/>
      <c r="G93" s="28"/>
      <c r="H93" s="28"/>
      <c r="I93" s="28"/>
      <c r="J93" s="26"/>
      <c r="K93" s="27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s="8" customFormat="1" ht="18" customHeight="1" hidden="1">
      <c r="A94" s="44" t="s">
        <v>5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s="8" customFormat="1" ht="18" customHeight="1" hidden="1">
      <c r="A95" s="43" t="s">
        <v>47</v>
      </c>
      <c r="B95" s="45"/>
      <c r="C95" s="40"/>
      <c r="D95" s="40"/>
      <c r="E95" s="40"/>
      <c r="F95" s="40"/>
      <c r="G95" s="40"/>
      <c r="H95" s="40"/>
      <c r="I95" s="40"/>
      <c r="J95" s="40"/>
      <c r="K95" s="40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s="8" customFormat="1" ht="18" customHeight="1" hidden="1">
      <c r="A96" s="43" t="s">
        <v>48</v>
      </c>
      <c r="B96" s="45"/>
      <c r="C96" s="40"/>
      <c r="D96" s="40"/>
      <c r="E96" s="40"/>
      <c r="F96" s="40"/>
      <c r="G96" s="40"/>
      <c r="H96" s="40"/>
      <c r="I96" s="40"/>
      <c r="J96" s="40"/>
      <c r="K96" s="40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:26" s="8" customFormat="1" ht="18" customHeight="1" hidden="1">
      <c r="A97" s="31" t="s">
        <v>8</v>
      </c>
      <c r="B97" s="45"/>
      <c r="C97" s="40"/>
      <c r="D97" s="40"/>
      <c r="E97" s="40"/>
      <c r="F97" s="40"/>
      <c r="G97" s="40"/>
      <c r="H97" s="40"/>
      <c r="I97" s="40"/>
      <c r="J97" s="40"/>
      <c r="K97" s="40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26" s="8" customFormat="1" ht="18" customHeight="1" hidden="1">
      <c r="A98" s="30" t="s">
        <v>42</v>
      </c>
      <c r="B98" s="45"/>
      <c r="C98" s="35"/>
      <c r="D98" s="40"/>
      <c r="E98" s="40"/>
      <c r="F98" s="35"/>
      <c r="G98" s="40"/>
      <c r="H98" s="40"/>
      <c r="I98" s="35"/>
      <c r="J98" s="40"/>
      <c r="K98" s="40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:26" s="8" customFormat="1" ht="18" customHeight="1" hidden="1">
      <c r="A99" s="81" t="s">
        <v>7</v>
      </c>
      <c r="B99" s="45"/>
      <c r="C99" s="40"/>
      <c r="D99" s="40"/>
      <c r="E99" s="40"/>
      <c r="F99" s="40"/>
      <c r="G99" s="40"/>
      <c r="H99" s="40"/>
      <c r="I99" s="40"/>
      <c r="J99" s="40"/>
      <c r="K99" s="40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:26" s="8" customFormat="1" ht="34.5" customHeight="1" hidden="1">
      <c r="A100" s="83" t="s">
        <v>123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:26" s="8" customFormat="1" ht="18" customHeight="1">
      <c r="A101" s="242" t="s">
        <v>198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4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:26" s="8" customFormat="1" ht="18" customHeight="1">
      <c r="A102" s="233" t="s">
        <v>56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:26" s="8" customFormat="1" ht="36" customHeight="1">
      <c r="A103" s="205" t="s">
        <v>235</v>
      </c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:26" s="8" customFormat="1" ht="18" customHeight="1">
      <c r="A104" s="46" t="s">
        <v>75</v>
      </c>
      <c r="B104" s="227">
        <f>C104+F104+I104</f>
        <v>155185000</v>
      </c>
      <c r="C104" s="84">
        <f aca="true" t="shared" si="9" ref="C104:K104">SUM(C105:C107)</f>
        <v>48174600</v>
      </c>
      <c r="D104" s="84">
        <f t="shared" si="9"/>
        <v>48124600</v>
      </c>
      <c r="E104" s="84">
        <f t="shared" si="9"/>
        <v>50000</v>
      </c>
      <c r="F104" s="84">
        <f t="shared" si="9"/>
        <v>51902700</v>
      </c>
      <c r="G104" s="84">
        <f t="shared" si="9"/>
        <v>51852700</v>
      </c>
      <c r="H104" s="84">
        <f t="shared" si="9"/>
        <v>50000</v>
      </c>
      <c r="I104" s="84">
        <f t="shared" si="9"/>
        <v>55107700</v>
      </c>
      <c r="J104" s="84">
        <f t="shared" si="9"/>
        <v>55057700</v>
      </c>
      <c r="K104" s="84">
        <f t="shared" si="9"/>
        <v>50000</v>
      </c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:26" s="8" customFormat="1" ht="18" customHeight="1">
      <c r="A105" s="42" t="s">
        <v>33</v>
      </c>
      <c r="B105" s="25"/>
      <c r="C105" s="76">
        <f>D105+E105</f>
        <v>39831700</v>
      </c>
      <c r="D105" s="76">
        <f>17007000+11851500+1183400+9789800</f>
        <v>39831700</v>
      </c>
      <c r="E105" s="76"/>
      <c r="F105" s="76">
        <f>G105+H105</f>
        <v>43625400</v>
      </c>
      <c r="G105" s="76">
        <f>18627500+12982200+1295900+10719800</f>
        <v>43625400</v>
      </c>
      <c r="H105" s="76"/>
      <c r="I105" s="76">
        <f>J105+K105</f>
        <v>46601000</v>
      </c>
      <c r="J105" s="76">
        <f>19900200+13868100+1384000+11448700</f>
        <v>46601000</v>
      </c>
      <c r="K105" s="76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:26" s="8" customFormat="1" ht="18" customHeight="1">
      <c r="A106" s="42" t="s">
        <v>30</v>
      </c>
      <c r="B106" s="25"/>
      <c r="C106" s="76">
        <f>D106+E106</f>
        <v>2638200</v>
      </c>
      <c r="D106" s="76">
        <f>2216800+421400</f>
        <v>2638200</v>
      </c>
      <c r="E106" s="76"/>
      <c r="F106" s="76">
        <f>G106+H106</f>
        <v>2638200</v>
      </c>
      <c r="G106" s="76">
        <f>2216800+421400</f>
        <v>2638200</v>
      </c>
      <c r="H106" s="76"/>
      <c r="I106" s="76">
        <f>J106+K106</f>
        <v>2638200</v>
      </c>
      <c r="J106" s="76">
        <f>2216800+421400</f>
        <v>2638200</v>
      </c>
      <c r="K106" s="76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s="8" customFormat="1" ht="18" customHeight="1">
      <c r="A107" s="42" t="s">
        <v>31</v>
      </c>
      <c r="B107" s="96">
        <f>C107+F107+I107</f>
        <v>17212300</v>
      </c>
      <c r="C107" s="76">
        <f>D107+E107</f>
        <v>5704700</v>
      </c>
      <c r="D107" s="76">
        <f>2212300+100000+45000+1697400+1300000+200000+100000</f>
        <v>5654700</v>
      </c>
      <c r="E107" s="76">
        <v>50000</v>
      </c>
      <c r="F107" s="76">
        <f>G107+H107</f>
        <v>5639100</v>
      </c>
      <c r="G107" s="76">
        <f>2344500+100000+45000+1799600+1300000</f>
        <v>5589100</v>
      </c>
      <c r="H107" s="76">
        <v>50000</v>
      </c>
      <c r="I107" s="76">
        <f>J107+K107</f>
        <v>5868500</v>
      </c>
      <c r="J107" s="76">
        <f>2473900+100000+45000+1899600+1300000</f>
        <v>5818500</v>
      </c>
      <c r="K107" s="76">
        <v>50000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:26" s="8" customFormat="1" ht="18" customHeight="1">
      <c r="A108" s="43" t="s">
        <v>4</v>
      </c>
      <c r="B108" s="25"/>
      <c r="C108" s="26"/>
      <c r="D108" s="26"/>
      <c r="E108" s="26"/>
      <c r="F108" s="26"/>
      <c r="G108" s="26"/>
      <c r="H108" s="26"/>
      <c r="I108" s="26"/>
      <c r="J108" s="26"/>
      <c r="K108" s="27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:26" s="8" customFormat="1" ht="18" customHeight="1">
      <c r="A109" s="44" t="s">
        <v>19</v>
      </c>
      <c r="B109" s="25"/>
      <c r="C109" s="26"/>
      <c r="D109" s="26"/>
      <c r="E109" s="26"/>
      <c r="F109" s="26"/>
      <c r="G109" s="26"/>
      <c r="H109" s="26"/>
      <c r="I109" s="26"/>
      <c r="J109" s="26"/>
      <c r="K109" s="27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26" s="8" customFormat="1" ht="18" customHeight="1">
      <c r="A110" s="43" t="s">
        <v>58</v>
      </c>
      <c r="B110" s="25"/>
      <c r="C110" s="28">
        <v>3</v>
      </c>
      <c r="D110" s="28"/>
      <c r="E110" s="28"/>
      <c r="F110" s="28">
        <v>3</v>
      </c>
      <c r="G110" s="28"/>
      <c r="H110" s="28"/>
      <c r="I110" s="28">
        <v>3</v>
      </c>
      <c r="J110" s="26"/>
      <c r="K110" s="27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:26" s="8" customFormat="1" ht="18" customHeight="1">
      <c r="A111" s="51" t="s">
        <v>5</v>
      </c>
      <c r="B111" s="25"/>
      <c r="C111" s="26"/>
      <c r="D111" s="26"/>
      <c r="E111" s="26"/>
      <c r="F111" s="26"/>
      <c r="G111" s="26"/>
      <c r="H111" s="26"/>
      <c r="I111" s="26"/>
      <c r="J111" s="26"/>
      <c r="K111" s="27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s="8" customFormat="1" ht="18" customHeight="1">
      <c r="A112" s="43" t="s">
        <v>47</v>
      </c>
      <c r="B112" s="25"/>
      <c r="C112" s="28">
        <v>24</v>
      </c>
      <c r="D112" s="28"/>
      <c r="E112" s="28"/>
      <c r="F112" s="28">
        <v>24</v>
      </c>
      <c r="G112" s="28"/>
      <c r="H112" s="28"/>
      <c r="I112" s="28">
        <v>24</v>
      </c>
      <c r="J112" s="28"/>
      <c r="K112" s="28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:26" s="8" customFormat="1" ht="18" customHeight="1">
      <c r="A113" s="43" t="s">
        <v>48</v>
      </c>
      <c r="B113" s="25"/>
      <c r="C113" s="28">
        <v>261</v>
      </c>
      <c r="D113" s="28"/>
      <c r="E113" s="28"/>
      <c r="F113" s="28">
        <v>261</v>
      </c>
      <c r="G113" s="28"/>
      <c r="H113" s="28"/>
      <c r="I113" s="28">
        <v>261</v>
      </c>
      <c r="J113" s="28"/>
      <c r="K113" s="28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:26" s="8" customFormat="1" ht="18" customHeight="1">
      <c r="A114" s="43" t="s">
        <v>49</v>
      </c>
      <c r="B114" s="25"/>
      <c r="C114" s="105">
        <v>15</v>
      </c>
      <c r="D114" s="21"/>
      <c r="E114" s="21"/>
      <c r="F114" s="105">
        <v>15</v>
      </c>
      <c r="G114" s="21"/>
      <c r="H114" s="21"/>
      <c r="I114" s="105">
        <v>15</v>
      </c>
      <c r="J114" s="28"/>
      <c r="K114" s="28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:26" s="8" customFormat="1" ht="18" customHeight="1">
      <c r="A115" s="43" t="s">
        <v>50</v>
      </c>
      <c r="B115" s="25"/>
      <c r="C115" s="105">
        <v>165</v>
      </c>
      <c r="D115" s="21"/>
      <c r="E115" s="21"/>
      <c r="F115" s="105">
        <v>165</v>
      </c>
      <c r="G115" s="21"/>
      <c r="H115" s="21"/>
      <c r="I115" s="105">
        <v>165</v>
      </c>
      <c r="J115" s="28"/>
      <c r="K115" s="28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:26" s="8" customFormat="1" ht="18" customHeight="1">
      <c r="A116" s="31" t="s">
        <v>8</v>
      </c>
      <c r="B116" s="25"/>
      <c r="C116" s="26"/>
      <c r="D116" s="26"/>
      <c r="E116" s="26"/>
      <c r="F116" s="28"/>
      <c r="G116" s="26"/>
      <c r="H116" s="26"/>
      <c r="I116" s="28"/>
      <c r="J116" s="26"/>
      <c r="K116" s="27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:26" s="8" customFormat="1" ht="18" customHeight="1">
      <c r="A117" s="30" t="s">
        <v>107</v>
      </c>
      <c r="B117" s="25"/>
      <c r="C117" s="26">
        <f>C104/(C113+C115)</f>
        <v>113085.91549295775</v>
      </c>
      <c r="D117" s="26"/>
      <c r="E117" s="26"/>
      <c r="F117" s="26">
        <f>F104/(F113+F115)</f>
        <v>121837.32394366198</v>
      </c>
      <c r="G117" s="26"/>
      <c r="H117" s="26"/>
      <c r="I117" s="26">
        <f>I104/(I113+I115)</f>
        <v>129360.79812206572</v>
      </c>
      <c r="J117" s="26"/>
      <c r="K117" s="27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:26" s="8" customFormat="1" ht="18" customHeight="1" hidden="1">
      <c r="A118" s="81" t="s">
        <v>7</v>
      </c>
      <c r="B118" s="25"/>
      <c r="C118" s="26"/>
      <c r="D118" s="26"/>
      <c r="E118" s="26"/>
      <c r="F118" s="28"/>
      <c r="G118" s="26"/>
      <c r="H118" s="26"/>
      <c r="I118" s="28"/>
      <c r="J118" s="26"/>
      <c r="K118" s="27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:26" s="8" customFormat="1" ht="18" customHeight="1" hidden="1">
      <c r="A119" s="43"/>
      <c r="B119" s="20"/>
      <c r="C119" s="226"/>
      <c r="D119" s="226"/>
      <c r="E119" s="226"/>
      <c r="F119" s="226"/>
      <c r="G119" s="226"/>
      <c r="H119" s="226"/>
      <c r="I119" s="226"/>
      <c r="J119" s="20"/>
      <c r="K119" s="20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:26" s="8" customFormat="1" ht="18" customHeight="1" hidden="1">
      <c r="A120" s="43"/>
      <c r="B120" s="20"/>
      <c r="C120" s="226"/>
      <c r="D120" s="226"/>
      <c r="E120" s="226"/>
      <c r="F120" s="226"/>
      <c r="G120" s="226"/>
      <c r="H120" s="226"/>
      <c r="I120" s="226"/>
      <c r="J120" s="20"/>
      <c r="K120" s="20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:26" s="8" customFormat="1" ht="18" customHeight="1">
      <c r="A121" s="242" t="s">
        <v>199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4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:26" s="8" customFormat="1" ht="18" customHeight="1">
      <c r="A122" s="233" t="s">
        <v>59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:26" s="8" customFormat="1" ht="18" customHeight="1">
      <c r="A123" s="9" t="s">
        <v>200</v>
      </c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6" s="8" customFormat="1" ht="18" customHeight="1">
      <c r="A124" s="46" t="s">
        <v>75</v>
      </c>
      <c r="B124" s="227">
        <f>C124+F124+I124</f>
        <v>136408400</v>
      </c>
      <c r="C124" s="53">
        <f aca="true" t="shared" si="10" ref="C124:K124">SUM(C125:C128)</f>
        <v>43520000</v>
      </c>
      <c r="D124" s="53">
        <f t="shared" si="10"/>
        <v>43420000</v>
      </c>
      <c r="E124" s="53">
        <f t="shared" si="10"/>
        <v>100000</v>
      </c>
      <c r="F124" s="53">
        <f t="shared" si="10"/>
        <v>44998500</v>
      </c>
      <c r="G124" s="53">
        <f t="shared" si="10"/>
        <v>44898500</v>
      </c>
      <c r="H124" s="53">
        <f t="shared" si="10"/>
        <v>100000</v>
      </c>
      <c r="I124" s="53">
        <f t="shared" si="10"/>
        <v>47889900</v>
      </c>
      <c r="J124" s="53">
        <f t="shared" si="10"/>
        <v>47789900</v>
      </c>
      <c r="K124" s="53">
        <f t="shared" si="10"/>
        <v>100000</v>
      </c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:26" s="8" customFormat="1" ht="18" customHeight="1">
      <c r="A125" s="42" t="s">
        <v>33</v>
      </c>
      <c r="B125" s="25"/>
      <c r="C125" s="33">
        <f>D125+E125</f>
        <v>36600000</v>
      </c>
      <c r="D125" s="33">
        <f>35582300+1017700</f>
        <v>36600000</v>
      </c>
      <c r="E125" s="33"/>
      <c r="F125" s="33">
        <f>G125+H125</f>
        <v>38918200</v>
      </c>
      <c r="G125" s="33">
        <v>38918200</v>
      </c>
      <c r="H125" s="33"/>
      <c r="I125" s="33">
        <f>J125+K125</f>
        <v>41575100</v>
      </c>
      <c r="J125" s="33">
        <v>41575100</v>
      </c>
      <c r="K125" s="33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:26" s="8" customFormat="1" ht="18" customHeight="1">
      <c r="A126" s="42" t="s">
        <v>31</v>
      </c>
      <c r="B126" s="25"/>
      <c r="C126" s="33">
        <f>D126+E126</f>
        <v>6920000</v>
      </c>
      <c r="D126" s="33">
        <f>3940700+1800000+479300+600000</f>
        <v>6820000</v>
      </c>
      <c r="E126" s="33">
        <v>100000</v>
      </c>
      <c r="F126" s="33">
        <f>G126+H126</f>
        <v>6080300</v>
      </c>
      <c r="G126" s="33">
        <f>4180300+1800000</f>
        <v>5980300</v>
      </c>
      <c r="H126" s="33">
        <v>100000</v>
      </c>
      <c r="I126" s="33">
        <f>J126+K126</f>
        <v>6314800</v>
      </c>
      <c r="J126" s="33">
        <f>4414800+1800000</f>
        <v>6214800</v>
      </c>
      <c r="K126" s="33">
        <v>100000</v>
      </c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:26" s="8" customFormat="1" ht="18" customHeight="1">
      <c r="A127" s="42" t="s">
        <v>32</v>
      </c>
      <c r="B127" s="25"/>
      <c r="C127" s="33">
        <f>D127+E127</f>
        <v>0</v>
      </c>
      <c r="D127" s="26"/>
      <c r="E127" s="26"/>
      <c r="F127" s="26">
        <f>G127+H127</f>
        <v>0</v>
      </c>
      <c r="G127" s="26"/>
      <c r="H127" s="26"/>
      <c r="I127" s="26">
        <f>J127+K127</f>
        <v>0</v>
      </c>
      <c r="J127" s="26"/>
      <c r="K127" s="33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:26" s="8" customFormat="1" ht="18" customHeight="1">
      <c r="A128" s="42" t="s">
        <v>34</v>
      </c>
      <c r="B128" s="25"/>
      <c r="C128" s="33">
        <f>D128+E128</f>
        <v>0</v>
      </c>
      <c r="D128" s="33"/>
      <c r="E128" s="33"/>
      <c r="F128" s="33">
        <f>G128+H128</f>
        <v>0</v>
      </c>
      <c r="G128" s="33"/>
      <c r="H128" s="33"/>
      <c r="I128" s="33">
        <f>J128+K128</f>
        <v>0</v>
      </c>
      <c r="J128" s="33"/>
      <c r="K128" s="33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:26" s="8" customFormat="1" ht="18" customHeight="1">
      <c r="A129" s="43" t="s">
        <v>4</v>
      </c>
      <c r="B129" s="25"/>
      <c r="C129" s="26"/>
      <c r="D129" s="26"/>
      <c r="E129" s="26"/>
      <c r="F129" s="26"/>
      <c r="G129" s="26"/>
      <c r="H129" s="26"/>
      <c r="I129" s="26"/>
      <c r="J129" s="26"/>
      <c r="K129" s="27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:26" s="8" customFormat="1" ht="18" customHeight="1">
      <c r="A130" s="44" t="s">
        <v>19</v>
      </c>
      <c r="B130" s="25"/>
      <c r="C130" s="26"/>
      <c r="D130" s="26"/>
      <c r="E130" s="26"/>
      <c r="F130" s="26"/>
      <c r="G130" s="26"/>
      <c r="H130" s="26"/>
      <c r="I130" s="26"/>
      <c r="J130" s="26"/>
      <c r="K130" s="27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:26" s="8" customFormat="1" ht="18" customHeight="1">
      <c r="A131" s="43" t="s">
        <v>60</v>
      </c>
      <c r="B131" s="25"/>
      <c r="C131" s="28">
        <v>5</v>
      </c>
      <c r="D131" s="28"/>
      <c r="E131" s="28"/>
      <c r="F131" s="28">
        <v>5</v>
      </c>
      <c r="G131" s="28"/>
      <c r="H131" s="28"/>
      <c r="I131" s="28">
        <v>5</v>
      </c>
      <c r="J131" s="26"/>
      <c r="K131" s="27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:26" s="8" customFormat="1" ht="18" customHeight="1">
      <c r="A132" s="51" t="s">
        <v>5</v>
      </c>
      <c r="B132" s="25"/>
      <c r="C132" s="26"/>
      <c r="D132" s="26"/>
      <c r="E132" s="26"/>
      <c r="F132" s="26"/>
      <c r="G132" s="26"/>
      <c r="H132" s="26"/>
      <c r="I132" s="26"/>
      <c r="J132" s="26"/>
      <c r="K132" s="27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:26" s="8" customFormat="1" ht="18" customHeight="1">
      <c r="A133" s="43" t="s">
        <v>61</v>
      </c>
      <c r="B133" s="25"/>
      <c r="C133" s="28">
        <v>562</v>
      </c>
      <c r="D133" s="28"/>
      <c r="E133" s="28"/>
      <c r="F133" s="28">
        <v>562</v>
      </c>
      <c r="G133" s="28"/>
      <c r="H133" s="28"/>
      <c r="I133" s="28">
        <v>562</v>
      </c>
      <c r="J133" s="28"/>
      <c r="K133" s="28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:26" s="8" customFormat="1" ht="18" customHeight="1">
      <c r="A134" s="43" t="s">
        <v>62</v>
      </c>
      <c r="B134" s="25"/>
      <c r="C134" s="28">
        <v>11050</v>
      </c>
      <c r="D134" s="28"/>
      <c r="E134" s="28"/>
      <c r="F134" s="28">
        <v>11050</v>
      </c>
      <c r="G134" s="28"/>
      <c r="H134" s="28"/>
      <c r="I134" s="28">
        <v>11050</v>
      </c>
      <c r="J134" s="28"/>
      <c r="K134" s="28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:26" s="8" customFormat="1" ht="18" customHeight="1" hidden="1">
      <c r="A135" s="43" t="s">
        <v>142</v>
      </c>
      <c r="B135" s="25"/>
      <c r="C135" s="28"/>
      <c r="D135" s="28"/>
      <c r="E135" s="28"/>
      <c r="F135" s="28"/>
      <c r="G135" s="28"/>
      <c r="H135" s="28"/>
      <c r="I135" s="28"/>
      <c r="J135" s="28"/>
      <c r="K135" s="28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:26" s="8" customFormat="1" ht="18" customHeight="1" hidden="1">
      <c r="A136" s="43" t="s">
        <v>77</v>
      </c>
      <c r="B136" s="25"/>
      <c r="C136" s="28"/>
      <c r="D136" s="28"/>
      <c r="E136" s="28"/>
      <c r="F136" s="28"/>
      <c r="G136" s="28"/>
      <c r="H136" s="28"/>
      <c r="I136" s="28"/>
      <c r="J136" s="28"/>
      <c r="K136" s="28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:26" s="8" customFormat="1" ht="18" customHeight="1">
      <c r="A137" s="31" t="s">
        <v>8</v>
      </c>
      <c r="B137" s="25"/>
      <c r="C137" s="26"/>
      <c r="D137" s="26"/>
      <c r="E137" s="26"/>
      <c r="F137" s="28"/>
      <c r="G137" s="26"/>
      <c r="H137" s="26"/>
      <c r="I137" s="28"/>
      <c r="J137" s="26"/>
      <c r="K137" s="27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:26" s="8" customFormat="1" ht="18" customHeight="1">
      <c r="A138" s="30" t="s">
        <v>42</v>
      </c>
      <c r="B138" s="25"/>
      <c r="C138" s="26">
        <f>C124/C134</f>
        <v>3938.4615384615386</v>
      </c>
      <c r="D138" s="26"/>
      <c r="E138" s="26"/>
      <c r="F138" s="26">
        <f>F124/F134</f>
        <v>4072.262443438914</v>
      </c>
      <c r="G138" s="26"/>
      <c r="H138" s="26"/>
      <c r="I138" s="26">
        <f>I124/I134</f>
        <v>4333.9276018099545</v>
      </c>
      <c r="J138" s="26"/>
      <c r="K138" s="27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s="8" customFormat="1" ht="18" customHeight="1" hidden="1">
      <c r="A139" s="30" t="s">
        <v>78</v>
      </c>
      <c r="B139" s="25"/>
      <c r="C139" s="26" t="e">
        <f>E128/C135</f>
        <v>#DIV/0!</v>
      </c>
      <c r="D139" s="26"/>
      <c r="E139" s="26"/>
      <c r="F139" s="26" t="e">
        <f>H128/F135</f>
        <v>#DIV/0!</v>
      </c>
      <c r="G139" s="26"/>
      <c r="H139" s="26"/>
      <c r="I139" s="26" t="e">
        <f>K128/I135</f>
        <v>#DIV/0!</v>
      </c>
      <c r="J139" s="26"/>
      <c r="K139" s="27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:26" s="8" customFormat="1" ht="18" customHeight="1" hidden="1">
      <c r="A140" s="30" t="s">
        <v>79</v>
      </c>
      <c r="B140" s="25"/>
      <c r="C140" s="26" t="e">
        <f>#REF!/C136</f>
        <v>#REF!</v>
      </c>
      <c r="D140" s="26"/>
      <c r="E140" s="26"/>
      <c r="F140" s="26"/>
      <c r="G140" s="26"/>
      <c r="H140" s="26"/>
      <c r="I140" s="26"/>
      <c r="J140" s="26"/>
      <c r="K140" s="27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:26" s="8" customFormat="1" ht="18" customHeight="1">
      <c r="A141" s="81" t="s">
        <v>7</v>
      </c>
      <c r="B141" s="25"/>
      <c r="C141" s="26"/>
      <c r="D141" s="26"/>
      <c r="E141" s="26"/>
      <c r="F141" s="28"/>
      <c r="G141" s="26"/>
      <c r="H141" s="26"/>
      <c r="I141" s="28"/>
      <c r="J141" s="26"/>
      <c r="K141" s="27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:26" s="8" customFormat="1" ht="35.25" customHeight="1">
      <c r="A142" s="83" t="s">
        <v>125</v>
      </c>
      <c r="B142" s="45"/>
      <c r="C142" s="40">
        <v>100</v>
      </c>
      <c r="D142" s="40"/>
      <c r="E142" s="40"/>
      <c r="F142" s="40">
        <v>100</v>
      </c>
      <c r="G142" s="40"/>
      <c r="H142" s="40"/>
      <c r="I142" s="40">
        <v>100</v>
      </c>
      <c r="J142" s="40"/>
      <c r="K142" s="40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:26" s="8" customFormat="1" ht="18" customHeight="1">
      <c r="A143" s="242" t="s">
        <v>205</v>
      </c>
      <c r="B143" s="243"/>
      <c r="C143" s="243"/>
      <c r="D143" s="243"/>
      <c r="E143" s="243"/>
      <c r="F143" s="243"/>
      <c r="G143" s="243"/>
      <c r="H143" s="243"/>
      <c r="I143" s="243"/>
      <c r="J143" s="243"/>
      <c r="K143" s="244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s="8" customFormat="1" ht="18" customHeight="1">
      <c r="A144" s="233" t="s">
        <v>81</v>
      </c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s="8" customFormat="1" ht="18" customHeight="1">
      <c r="A145" s="9" t="s">
        <v>201</v>
      </c>
      <c r="B145" s="12"/>
      <c r="C145" s="33"/>
      <c r="D145" s="33"/>
      <c r="E145" s="33"/>
      <c r="F145" s="33"/>
      <c r="G145" s="33"/>
      <c r="H145" s="33"/>
      <c r="I145" s="33"/>
      <c r="J145" s="33"/>
      <c r="K145" s="33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s="8" customFormat="1" ht="18" customHeight="1">
      <c r="A146" s="46" t="s">
        <v>75</v>
      </c>
      <c r="B146" s="227">
        <f>C146+F146+I146</f>
        <v>15473600</v>
      </c>
      <c r="C146" s="47">
        <f aca="true" t="shared" si="11" ref="C146:K146">SUM(C147:C148)</f>
        <v>4754400</v>
      </c>
      <c r="D146" s="47">
        <f t="shared" si="11"/>
        <v>4704400</v>
      </c>
      <c r="E146" s="47">
        <f t="shared" si="11"/>
        <v>50000</v>
      </c>
      <c r="F146" s="47">
        <f t="shared" si="11"/>
        <v>5187700</v>
      </c>
      <c r="G146" s="47">
        <f t="shared" si="11"/>
        <v>5137700</v>
      </c>
      <c r="H146" s="47">
        <f t="shared" si="11"/>
        <v>50000</v>
      </c>
      <c r="I146" s="47">
        <f t="shared" si="11"/>
        <v>5531500</v>
      </c>
      <c r="J146" s="47">
        <f t="shared" si="11"/>
        <v>5481500</v>
      </c>
      <c r="K146" s="47">
        <f t="shared" si="11"/>
        <v>50000</v>
      </c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s="8" customFormat="1" ht="18" customHeight="1">
      <c r="A147" s="42" t="s">
        <v>64</v>
      </c>
      <c r="B147" s="25"/>
      <c r="C147" s="33">
        <f>D147+E147</f>
        <v>4704400</v>
      </c>
      <c r="D147" s="33">
        <v>4704400</v>
      </c>
      <c r="E147" s="33"/>
      <c r="F147" s="33">
        <f>G147+H147</f>
        <v>5137700</v>
      </c>
      <c r="G147" s="33">
        <v>5137700</v>
      </c>
      <c r="H147" s="33"/>
      <c r="I147" s="33">
        <f>J147+K147</f>
        <v>5481500</v>
      </c>
      <c r="J147" s="33">
        <v>5481500</v>
      </c>
      <c r="K147" s="7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s="8" customFormat="1" ht="18" customHeight="1">
      <c r="A148" s="42" t="s">
        <v>34</v>
      </c>
      <c r="B148" s="25"/>
      <c r="C148" s="33">
        <f>D148+E148</f>
        <v>50000</v>
      </c>
      <c r="D148" s="33"/>
      <c r="E148" s="33">
        <v>50000</v>
      </c>
      <c r="F148" s="33">
        <f>G148+H148</f>
        <v>50000</v>
      </c>
      <c r="G148" s="33"/>
      <c r="H148" s="33">
        <v>50000</v>
      </c>
      <c r="I148" s="33">
        <f>J148+K148</f>
        <v>50000</v>
      </c>
      <c r="J148" s="33"/>
      <c r="K148" s="33">
        <v>50000</v>
      </c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s="8" customFormat="1" ht="18" customHeight="1">
      <c r="A149" s="43" t="s">
        <v>4</v>
      </c>
      <c r="B149" s="25"/>
      <c r="C149" s="26"/>
      <c r="D149" s="26"/>
      <c r="E149" s="26"/>
      <c r="F149" s="26"/>
      <c r="G149" s="26"/>
      <c r="H149" s="26"/>
      <c r="I149" s="26"/>
      <c r="J149" s="26"/>
      <c r="K149" s="27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s="8" customFormat="1" ht="18" customHeight="1">
      <c r="A150" s="44" t="s">
        <v>19</v>
      </c>
      <c r="B150" s="25"/>
      <c r="C150" s="26"/>
      <c r="D150" s="26"/>
      <c r="E150" s="26"/>
      <c r="F150" s="26"/>
      <c r="G150" s="26"/>
      <c r="H150" s="26"/>
      <c r="I150" s="26"/>
      <c r="J150" s="26"/>
      <c r="K150" s="27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s="8" customFormat="1" ht="18" customHeight="1">
      <c r="A151" s="43" t="s">
        <v>63</v>
      </c>
      <c r="B151" s="25"/>
      <c r="C151" s="28">
        <v>1</v>
      </c>
      <c r="D151" s="28"/>
      <c r="E151" s="28"/>
      <c r="F151" s="28">
        <v>1</v>
      </c>
      <c r="G151" s="28"/>
      <c r="H151" s="28"/>
      <c r="I151" s="28">
        <v>1</v>
      </c>
      <c r="J151" s="26"/>
      <c r="K151" s="27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s="8" customFormat="1" ht="18" customHeight="1">
      <c r="A152" s="43" t="s">
        <v>150</v>
      </c>
      <c r="B152" s="25"/>
      <c r="C152" s="28">
        <v>22</v>
      </c>
      <c r="D152" s="28"/>
      <c r="E152" s="28"/>
      <c r="F152" s="28">
        <v>22</v>
      </c>
      <c r="G152" s="28"/>
      <c r="H152" s="28"/>
      <c r="I152" s="28">
        <v>22</v>
      </c>
      <c r="J152" s="26"/>
      <c r="K152" s="27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s="8" customFormat="1" ht="18" customHeight="1">
      <c r="A153" s="52" t="s">
        <v>5</v>
      </c>
      <c r="B153" s="25"/>
      <c r="C153" s="26"/>
      <c r="D153" s="26"/>
      <c r="E153" s="26"/>
      <c r="F153" s="26"/>
      <c r="G153" s="26"/>
      <c r="H153" s="26"/>
      <c r="I153" s="26"/>
      <c r="J153" s="26"/>
      <c r="K153" s="27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s="8" customFormat="1" ht="35.25" customHeight="1">
      <c r="A154" s="43" t="s">
        <v>82</v>
      </c>
      <c r="B154" s="25"/>
      <c r="C154" s="28">
        <v>22</v>
      </c>
      <c r="D154" s="28"/>
      <c r="E154" s="28"/>
      <c r="F154" s="28">
        <v>22</v>
      </c>
      <c r="G154" s="28"/>
      <c r="H154" s="28"/>
      <c r="I154" s="28">
        <v>22</v>
      </c>
      <c r="J154" s="28"/>
      <c r="K154" s="28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s="8" customFormat="1" ht="35.25" customHeight="1">
      <c r="A155" s="43" t="s">
        <v>118</v>
      </c>
      <c r="B155" s="25"/>
      <c r="C155" s="28">
        <v>66</v>
      </c>
      <c r="D155" s="28"/>
      <c r="E155" s="28"/>
      <c r="F155" s="28">
        <v>66</v>
      </c>
      <c r="G155" s="28"/>
      <c r="H155" s="28"/>
      <c r="I155" s="28">
        <v>66</v>
      </c>
      <c r="J155" s="28"/>
      <c r="K155" s="28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s="8" customFormat="1" ht="18" customHeight="1">
      <c r="A156" s="43" t="s">
        <v>83</v>
      </c>
      <c r="B156" s="25"/>
      <c r="C156" s="28">
        <v>344</v>
      </c>
      <c r="D156" s="28"/>
      <c r="E156" s="28"/>
      <c r="F156" s="28">
        <v>344</v>
      </c>
      <c r="G156" s="28"/>
      <c r="H156" s="28"/>
      <c r="I156" s="28">
        <v>344</v>
      </c>
      <c r="J156" s="28"/>
      <c r="K156" s="28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s="8" customFormat="1" ht="18" customHeight="1">
      <c r="A157" s="43" t="s">
        <v>84</v>
      </c>
      <c r="B157" s="25"/>
      <c r="C157" s="28">
        <v>104</v>
      </c>
      <c r="D157" s="28"/>
      <c r="E157" s="28"/>
      <c r="F157" s="28">
        <v>104</v>
      </c>
      <c r="G157" s="28"/>
      <c r="H157" s="28"/>
      <c r="I157" s="28">
        <v>104</v>
      </c>
      <c r="J157" s="28"/>
      <c r="K157" s="28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s="8" customFormat="1" ht="18" customHeight="1" hidden="1">
      <c r="A158" s="43" t="s">
        <v>142</v>
      </c>
      <c r="B158" s="25"/>
      <c r="C158" s="28">
        <v>2</v>
      </c>
      <c r="D158" s="28"/>
      <c r="E158" s="28"/>
      <c r="F158" s="28">
        <v>2</v>
      </c>
      <c r="G158" s="28"/>
      <c r="H158" s="28"/>
      <c r="I158" s="28">
        <v>2</v>
      </c>
      <c r="J158" s="28"/>
      <c r="K158" s="28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s="8" customFormat="1" ht="18" customHeight="1">
      <c r="A159" s="31" t="s">
        <v>8</v>
      </c>
      <c r="B159" s="25"/>
      <c r="C159" s="26"/>
      <c r="D159" s="26"/>
      <c r="E159" s="26"/>
      <c r="F159" s="28"/>
      <c r="G159" s="26"/>
      <c r="H159" s="26"/>
      <c r="I159" s="28"/>
      <c r="J159" s="26"/>
      <c r="K159" s="27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s="8" customFormat="1" ht="18" customHeight="1">
      <c r="A160" s="30" t="s">
        <v>85</v>
      </c>
      <c r="B160" s="25"/>
      <c r="C160" s="28">
        <f>C156/C152</f>
        <v>15.636363636363637</v>
      </c>
      <c r="D160" s="28"/>
      <c r="E160" s="28"/>
      <c r="F160" s="28">
        <f>F156/F152</f>
        <v>15.636363636363637</v>
      </c>
      <c r="G160" s="28"/>
      <c r="H160" s="28"/>
      <c r="I160" s="28">
        <f>I156/I152</f>
        <v>15.636363636363637</v>
      </c>
      <c r="J160" s="26"/>
      <c r="K160" s="27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s="8" customFormat="1" ht="18" customHeight="1">
      <c r="A161" s="30" t="s">
        <v>86</v>
      </c>
      <c r="B161" s="25"/>
      <c r="C161" s="28">
        <f>C157/C152</f>
        <v>4.7272727272727275</v>
      </c>
      <c r="D161" s="28"/>
      <c r="E161" s="28"/>
      <c r="F161" s="28">
        <f>F157/F152</f>
        <v>4.7272727272727275</v>
      </c>
      <c r="G161" s="28"/>
      <c r="H161" s="28"/>
      <c r="I161" s="28">
        <f>I157/I152</f>
        <v>4.7272727272727275</v>
      </c>
      <c r="J161" s="26"/>
      <c r="K161" s="27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s="8" customFormat="1" ht="18" customHeight="1" hidden="1">
      <c r="A162" s="30" t="s">
        <v>78</v>
      </c>
      <c r="B162" s="30"/>
      <c r="C162" s="17">
        <f>C148/C158</f>
        <v>25000</v>
      </c>
      <c r="D162" s="30"/>
      <c r="E162" s="30"/>
      <c r="F162" s="17">
        <f>F148/F158</f>
        <v>25000</v>
      </c>
      <c r="G162" s="30"/>
      <c r="H162" s="30"/>
      <c r="I162" s="17">
        <f>I148/I158</f>
        <v>25000</v>
      </c>
      <c r="J162" s="30"/>
      <c r="K162" s="30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s="8" customFormat="1" ht="18" customHeight="1">
      <c r="A163" s="242" t="s">
        <v>206</v>
      </c>
      <c r="B163" s="243"/>
      <c r="C163" s="243"/>
      <c r="D163" s="243"/>
      <c r="E163" s="243"/>
      <c r="F163" s="243"/>
      <c r="G163" s="243"/>
      <c r="H163" s="243"/>
      <c r="I163" s="243"/>
      <c r="J163" s="243"/>
      <c r="K163" s="244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s="8" customFormat="1" ht="18" customHeight="1">
      <c r="A164" s="233" t="s">
        <v>105</v>
      </c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s="8" customFormat="1" ht="18" customHeight="1">
      <c r="A165" s="9" t="s">
        <v>201</v>
      </c>
      <c r="B165" s="12"/>
      <c r="C165" s="33"/>
      <c r="D165" s="33"/>
      <c r="E165" s="33"/>
      <c r="F165" s="33"/>
      <c r="G165" s="33"/>
      <c r="H165" s="33"/>
      <c r="I165" s="33"/>
      <c r="J165" s="33"/>
      <c r="K165" s="33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s="8" customFormat="1" ht="18" customHeight="1">
      <c r="A166" s="46" t="s">
        <v>75</v>
      </c>
      <c r="B166" s="227">
        <f>C166+F166+I166</f>
        <v>2691200</v>
      </c>
      <c r="C166" s="47">
        <f>SUM(C167:C168)</f>
        <v>826000</v>
      </c>
      <c r="D166" s="47">
        <f aca="true" t="shared" si="12" ref="D166:K166">SUM(D167:D168)</f>
        <v>826000</v>
      </c>
      <c r="E166" s="47">
        <f t="shared" si="12"/>
        <v>0</v>
      </c>
      <c r="F166" s="47">
        <f t="shared" si="12"/>
        <v>902300</v>
      </c>
      <c r="G166" s="47">
        <f t="shared" si="12"/>
        <v>902300</v>
      </c>
      <c r="H166" s="47">
        <f t="shared" si="12"/>
        <v>0</v>
      </c>
      <c r="I166" s="47">
        <f t="shared" si="12"/>
        <v>962900</v>
      </c>
      <c r="J166" s="47">
        <f t="shared" si="12"/>
        <v>962900</v>
      </c>
      <c r="K166" s="47">
        <f t="shared" si="12"/>
        <v>0</v>
      </c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s="8" customFormat="1" ht="18" customHeight="1">
      <c r="A167" s="42" t="s">
        <v>64</v>
      </c>
      <c r="B167" s="25"/>
      <c r="C167" s="33">
        <f>D167+E167</f>
        <v>826000</v>
      </c>
      <c r="D167" s="33">
        <v>826000</v>
      </c>
      <c r="E167" s="33"/>
      <c r="F167" s="33">
        <f>G167+H167</f>
        <v>902300</v>
      </c>
      <c r="G167" s="33">
        <v>902300</v>
      </c>
      <c r="H167" s="33"/>
      <c r="I167" s="33">
        <f>J167+K167</f>
        <v>962900</v>
      </c>
      <c r="J167" s="33">
        <v>962900</v>
      </c>
      <c r="K167" s="33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s="8" customFormat="1" ht="18" customHeight="1" hidden="1">
      <c r="A168" s="42" t="s">
        <v>34</v>
      </c>
      <c r="B168" s="25"/>
      <c r="C168" s="33">
        <f>D168+E168</f>
        <v>0</v>
      </c>
      <c r="D168" s="33"/>
      <c r="E168" s="33"/>
      <c r="F168" s="33">
        <f>G168+H168</f>
        <v>0</v>
      </c>
      <c r="G168" s="33"/>
      <c r="H168" s="33"/>
      <c r="I168" s="33">
        <f>J168+K168</f>
        <v>0</v>
      </c>
      <c r="J168" s="33"/>
      <c r="K168" s="33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s="8" customFormat="1" ht="18" customHeight="1">
      <c r="A169" s="43" t="s">
        <v>4</v>
      </c>
      <c r="B169" s="25"/>
      <c r="C169" s="26"/>
      <c r="D169" s="26"/>
      <c r="E169" s="26"/>
      <c r="F169" s="26"/>
      <c r="G169" s="26"/>
      <c r="H169" s="26"/>
      <c r="I169" s="26"/>
      <c r="J169" s="26"/>
      <c r="K169" s="27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s="8" customFormat="1" ht="18" customHeight="1">
      <c r="A170" s="44" t="s">
        <v>19</v>
      </c>
      <c r="B170" s="25"/>
      <c r="C170" s="26"/>
      <c r="D170" s="26"/>
      <c r="E170" s="26"/>
      <c r="F170" s="26"/>
      <c r="G170" s="26"/>
      <c r="H170" s="26"/>
      <c r="I170" s="26"/>
      <c r="J170" s="26"/>
      <c r="K170" s="27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s="8" customFormat="1" ht="18" customHeight="1">
      <c r="A171" s="43" t="s">
        <v>63</v>
      </c>
      <c r="B171" s="25"/>
      <c r="C171" s="28">
        <v>1</v>
      </c>
      <c r="D171" s="28"/>
      <c r="E171" s="28"/>
      <c r="F171" s="28">
        <v>1</v>
      </c>
      <c r="G171" s="28"/>
      <c r="H171" s="28"/>
      <c r="I171" s="28">
        <v>1</v>
      </c>
      <c r="J171" s="26"/>
      <c r="K171" s="27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s="8" customFormat="1" ht="18" customHeight="1">
      <c r="A172" s="43" t="s">
        <v>65</v>
      </c>
      <c r="B172" s="25"/>
      <c r="C172" s="28">
        <v>4</v>
      </c>
      <c r="D172" s="28"/>
      <c r="E172" s="28"/>
      <c r="F172" s="28">
        <v>4</v>
      </c>
      <c r="G172" s="28"/>
      <c r="H172" s="28"/>
      <c r="I172" s="28">
        <v>4</v>
      </c>
      <c r="J172" s="26"/>
      <c r="K172" s="27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s="8" customFormat="1" ht="18" customHeight="1">
      <c r="A173" s="51" t="s">
        <v>5</v>
      </c>
      <c r="B173" s="25"/>
      <c r="C173" s="26"/>
      <c r="D173" s="26"/>
      <c r="E173" s="26"/>
      <c r="F173" s="26"/>
      <c r="G173" s="26"/>
      <c r="H173" s="26"/>
      <c r="I173" s="26"/>
      <c r="J173" s="26"/>
      <c r="K173" s="27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s="8" customFormat="1" ht="18" customHeight="1">
      <c r="A174" s="43" t="s">
        <v>87</v>
      </c>
      <c r="B174" s="25"/>
      <c r="C174" s="28">
        <v>86</v>
      </c>
      <c r="D174" s="28"/>
      <c r="E174" s="28"/>
      <c r="F174" s="28">
        <v>86</v>
      </c>
      <c r="G174" s="28"/>
      <c r="H174" s="28"/>
      <c r="I174" s="28">
        <v>86</v>
      </c>
      <c r="J174" s="28"/>
      <c r="K174" s="28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s="8" customFormat="1" ht="18" customHeight="1">
      <c r="A175" s="43" t="s">
        <v>83</v>
      </c>
      <c r="B175" s="25"/>
      <c r="C175" s="28">
        <v>92</v>
      </c>
      <c r="D175" s="28"/>
      <c r="E175" s="28"/>
      <c r="F175" s="28">
        <v>96</v>
      </c>
      <c r="G175" s="28"/>
      <c r="H175" s="28"/>
      <c r="I175" s="28">
        <v>100</v>
      </c>
      <c r="J175" s="28"/>
      <c r="K175" s="28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s="8" customFormat="1" ht="18" customHeight="1" hidden="1">
      <c r="A176" s="43" t="s">
        <v>142</v>
      </c>
      <c r="B176" s="25"/>
      <c r="C176" s="28">
        <v>2</v>
      </c>
      <c r="D176" s="28"/>
      <c r="E176" s="28"/>
      <c r="F176" s="28">
        <v>2</v>
      </c>
      <c r="G176" s="28"/>
      <c r="H176" s="28"/>
      <c r="I176" s="28">
        <v>2</v>
      </c>
      <c r="J176" s="28"/>
      <c r="K176" s="28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s="8" customFormat="1" ht="18" customHeight="1">
      <c r="A177" s="31" t="s">
        <v>8</v>
      </c>
      <c r="B177" s="25"/>
      <c r="C177" s="26"/>
      <c r="D177" s="26"/>
      <c r="E177" s="26"/>
      <c r="F177" s="28"/>
      <c r="G177" s="26"/>
      <c r="H177" s="26"/>
      <c r="I177" s="28"/>
      <c r="J177" s="26"/>
      <c r="K177" s="27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s="8" customFormat="1" ht="18" customHeight="1">
      <c r="A178" s="30" t="s">
        <v>85</v>
      </c>
      <c r="B178" s="25"/>
      <c r="C178" s="28">
        <f>C175/C172</f>
        <v>23</v>
      </c>
      <c r="D178" s="28"/>
      <c r="E178" s="28"/>
      <c r="F178" s="28">
        <f>F175/F172</f>
        <v>24</v>
      </c>
      <c r="G178" s="28"/>
      <c r="H178" s="28"/>
      <c r="I178" s="28">
        <f>I175/I172</f>
        <v>25</v>
      </c>
      <c r="J178" s="26"/>
      <c r="K178" s="27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26" s="8" customFormat="1" ht="18" customHeight="1" hidden="1">
      <c r="A179" s="30" t="s">
        <v>78</v>
      </c>
      <c r="B179" s="25"/>
      <c r="C179" s="26">
        <f>E168/C176</f>
        <v>0</v>
      </c>
      <c r="D179" s="26"/>
      <c r="E179" s="26"/>
      <c r="F179" s="26">
        <f>H168/F176</f>
        <v>0</v>
      </c>
      <c r="G179" s="26"/>
      <c r="H179" s="26"/>
      <c r="I179" s="26">
        <f>K168/I176</f>
        <v>0</v>
      </c>
      <c r="J179" s="26"/>
      <c r="K179" s="27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1:26" s="8" customFormat="1" ht="18" customHeight="1" hidden="1">
      <c r="A180" s="242" t="s">
        <v>134</v>
      </c>
      <c r="B180" s="243"/>
      <c r="C180" s="243"/>
      <c r="D180" s="243"/>
      <c r="E180" s="243"/>
      <c r="F180" s="243"/>
      <c r="G180" s="243"/>
      <c r="H180" s="243"/>
      <c r="I180" s="243"/>
      <c r="J180" s="243"/>
      <c r="K180" s="244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s="8" customFormat="1" ht="18" customHeight="1" hidden="1">
      <c r="A181" s="247" t="s">
        <v>106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1:26" s="8" customFormat="1" ht="18" customHeight="1" hidden="1">
      <c r="A182" s="72" t="s">
        <v>66</v>
      </c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1:26" s="8" customFormat="1" ht="18" customHeight="1" hidden="1">
      <c r="A183" s="46" t="s">
        <v>75</v>
      </c>
      <c r="B183" s="93">
        <f>C183+F183+I183</f>
        <v>0</v>
      </c>
      <c r="C183" s="47">
        <f aca="true" t="shared" si="13" ref="C183:K183">SUM(C184:C185)</f>
        <v>0</v>
      </c>
      <c r="D183" s="47">
        <f t="shared" si="13"/>
        <v>0</v>
      </c>
      <c r="E183" s="47">
        <f t="shared" si="13"/>
        <v>0</v>
      </c>
      <c r="F183" s="47">
        <f t="shared" si="13"/>
        <v>0</v>
      </c>
      <c r="G183" s="47">
        <f t="shared" si="13"/>
        <v>0</v>
      </c>
      <c r="H183" s="47">
        <f t="shared" si="13"/>
        <v>0</v>
      </c>
      <c r="I183" s="47">
        <f t="shared" si="13"/>
        <v>0</v>
      </c>
      <c r="J183" s="47">
        <f t="shared" si="13"/>
        <v>0</v>
      </c>
      <c r="K183" s="47">
        <f t="shared" si="13"/>
        <v>0</v>
      </c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1:26" s="8" customFormat="1" ht="18" customHeight="1" hidden="1">
      <c r="A184" s="42" t="s">
        <v>64</v>
      </c>
      <c r="B184" s="25"/>
      <c r="C184" s="33">
        <f>D184+E184</f>
        <v>0</v>
      </c>
      <c r="D184" s="33"/>
      <c r="E184" s="33"/>
      <c r="F184" s="33">
        <f>G184+H184</f>
        <v>0</v>
      </c>
      <c r="G184" s="33"/>
      <c r="H184" s="33"/>
      <c r="I184" s="33">
        <f>J184+K184</f>
        <v>0</v>
      </c>
      <c r="J184" s="33"/>
      <c r="K184" s="33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1:26" s="8" customFormat="1" ht="18" customHeight="1" hidden="1">
      <c r="A185" s="42" t="s">
        <v>34</v>
      </c>
      <c r="B185" s="25"/>
      <c r="C185" s="33">
        <f>D185+E185</f>
        <v>0</v>
      </c>
      <c r="D185" s="33"/>
      <c r="E185" s="33"/>
      <c r="F185" s="33">
        <f>G185+H185</f>
        <v>0</v>
      </c>
      <c r="G185" s="33"/>
      <c r="H185" s="33"/>
      <c r="I185" s="33">
        <f>J185+K185</f>
        <v>0</v>
      </c>
      <c r="J185" s="33"/>
      <c r="K185" s="33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1:26" s="8" customFormat="1" ht="18" customHeight="1" hidden="1">
      <c r="A186" s="43" t="s">
        <v>4</v>
      </c>
      <c r="B186" s="25"/>
      <c r="C186" s="26"/>
      <c r="D186" s="26"/>
      <c r="E186" s="26"/>
      <c r="F186" s="26"/>
      <c r="G186" s="26"/>
      <c r="H186" s="26"/>
      <c r="I186" s="26"/>
      <c r="J186" s="26"/>
      <c r="K186" s="27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1:26" s="8" customFormat="1" ht="18" customHeight="1" hidden="1">
      <c r="A187" s="44" t="s">
        <v>19</v>
      </c>
      <c r="B187" s="25"/>
      <c r="C187" s="26"/>
      <c r="D187" s="26"/>
      <c r="E187" s="26"/>
      <c r="F187" s="26"/>
      <c r="G187" s="26"/>
      <c r="H187" s="26"/>
      <c r="I187" s="26"/>
      <c r="J187" s="26"/>
      <c r="K187" s="27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1:26" s="8" customFormat="1" ht="18" customHeight="1" hidden="1">
      <c r="A188" s="43" t="s">
        <v>63</v>
      </c>
      <c r="B188" s="25"/>
      <c r="C188" s="28"/>
      <c r="D188" s="28"/>
      <c r="E188" s="28"/>
      <c r="F188" s="28"/>
      <c r="G188" s="28"/>
      <c r="H188" s="28"/>
      <c r="I188" s="28"/>
      <c r="J188" s="26"/>
      <c r="K188" s="27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1:26" s="8" customFormat="1" ht="18" customHeight="1" hidden="1">
      <c r="A189" s="43" t="s">
        <v>151</v>
      </c>
      <c r="B189" s="25"/>
      <c r="C189" s="26"/>
      <c r="D189" s="26"/>
      <c r="E189" s="26"/>
      <c r="F189" s="26"/>
      <c r="G189" s="26"/>
      <c r="H189" s="26"/>
      <c r="I189" s="26"/>
      <c r="J189" s="26"/>
      <c r="K189" s="27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1:26" s="8" customFormat="1" ht="18" customHeight="1" hidden="1">
      <c r="A190" s="87" t="s">
        <v>5</v>
      </c>
      <c r="B190" s="25"/>
      <c r="C190" s="26"/>
      <c r="D190" s="26"/>
      <c r="E190" s="26"/>
      <c r="F190" s="26"/>
      <c r="G190" s="26"/>
      <c r="H190" s="26"/>
      <c r="I190" s="26"/>
      <c r="J190" s="26"/>
      <c r="K190" s="27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1:26" s="8" customFormat="1" ht="35.25" customHeight="1" hidden="1">
      <c r="A191" s="43" t="s">
        <v>127</v>
      </c>
      <c r="B191" s="25"/>
      <c r="C191" s="28"/>
      <c r="D191" s="28"/>
      <c r="E191" s="28"/>
      <c r="F191" s="28"/>
      <c r="G191" s="28"/>
      <c r="H191" s="28"/>
      <c r="I191" s="28"/>
      <c r="J191" s="28"/>
      <c r="K191" s="28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1:26" s="8" customFormat="1" ht="20.25" customHeight="1" hidden="1">
      <c r="A192" s="43" t="s">
        <v>132</v>
      </c>
      <c r="B192" s="25"/>
      <c r="C192" s="28"/>
      <c r="D192" s="28"/>
      <c r="E192" s="28"/>
      <c r="F192" s="28"/>
      <c r="G192" s="28"/>
      <c r="H192" s="28"/>
      <c r="I192" s="28"/>
      <c r="J192" s="28"/>
      <c r="K192" s="28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1:26" s="8" customFormat="1" ht="18" customHeight="1" hidden="1">
      <c r="A193" s="43" t="s">
        <v>142</v>
      </c>
      <c r="B193" s="25"/>
      <c r="C193" s="28"/>
      <c r="D193" s="28"/>
      <c r="E193" s="28"/>
      <c r="F193" s="28"/>
      <c r="G193" s="28"/>
      <c r="H193" s="28"/>
      <c r="I193" s="28"/>
      <c r="J193" s="28"/>
      <c r="K193" s="28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1:26" s="8" customFormat="1" ht="18" customHeight="1" hidden="1">
      <c r="A194" s="31" t="s">
        <v>8</v>
      </c>
      <c r="B194" s="25"/>
      <c r="C194" s="26"/>
      <c r="D194" s="26"/>
      <c r="E194" s="26"/>
      <c r="F194" s="28"/>
      <c r="G194" s="26"/>
      <c r="H194" s="26"/>
      <c r="I194" s="28"/>
      <c r="J194" s="26"/>
      <c r="K194" s="27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1:26" s="8" customFormat="1" ht="35.25" customHeight="1" hidden="1">
      <c r="A195" s="70" t="s">
        <v>126</v>
      </c>
      <c r="B195" s="25"/>
      <c r="C195" s="28"/>
      <c r="D195" s="26"/>
      <c r="E195" s="26"/>
      <c r="F195" s="28"/>
      <c r="G195" s="26"/>
      <c r="H195" s="26"/>
      <c r="I195" s="28"/>
      <c r="J195" s="26"/>
      <c r="K195" s="27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1:26" s="8" customFormat="1" ht="37.5" customHeight="1" hidden="1">
      <c r="A196" s="70" t="s">
        <v>131</v>
      </c>
      <c r="B196" s="25"/>
      <c r="C196" s="28"/>
      <c r="D196" s="26"/>
      <c r="E196" s="26"/>
      <c r="F196" s="28"/>
      <c r="G196" s="26"/>
      <c r="H196" s="26"/>
      <c r="I196" s="28"/>
      <c r="J196" s="26"/>
      <c r="K196" s="27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1:26" s="8" customFormat="1" ht="18" customHeight="1" hidden="1">
      <c r="A197" s="30" t="s">
        <v>78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s="8" customFormat="1" ht="21" customHeight="1">
      <c r="A198" s="254" t="s">
        <v>204</v>
      </c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1:26" s="8" customFormat="1" ht="18" customHeight="1">
      <c r="A199" s="245" t="s">
        <v>13</v>
      </c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s="8" customFormat="1" ht="17.25" customHeight="1">
      <c r="A200" s="69" t="s">
        <v>202</v>
      </c>
      <c r="B200" s="34"/>
      <c r="C200" s="85"/>
      <c r="D200" s="85"/>
      <c r="E200" s="85"/>
      <c r="F200" s="85"/>
      <c r="G200" s="85"/>
      <c r="H200" s="85"/>
      <c r="I200" s="85"/>
      <c r="J200" s="85"/>
      <c r="K200" s="85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1:26" s="8" customFormat="1" ht="21" customHeight="1">
      <c r="A201" s="46" t="s">
        <v>75</v>
      </c>
      <c r="B201" s="227">
        <f>C201+F201+I201</f>
        <v>3406200</v>
      </c>
      <c r="C201" s="47">
        <f aca="true" t="shared" si="14" ref="C201:K201">SUM(C202:C204)</f>
        <v>1124100</v>
      </c>
      <c r="D201" s="47">
        <f t="shared" si="14"/>
        <v>1124100</v>
      </c>
      <c r="E201" s="47">
        <f t="shared" si="14"/>
        <v>0</v>
      </c>
      <c r="F201" s="47">
        <f t="shared" si="14"/>
        <v>1135400</v>
      </c>
      <c r="G201" s="47">
        <f t="shared" si="14"/>
        <v>1135400</v>
      </c>
      <c r="H201" s="47">
        <f t="shared" si="14"/>
        <v>0</v>
      </c>
      <c r="I201" s="47">
        <f t="shared" si="14"/>
        <v>1146700</v>
      </c>
      <c r="J201" s="47">
        <f>SUM(J202:J204)</f>
        <v>1146700</v>
      </c>
      <c r="K201" s="47">
        <f t="shared" si="14"/>
        <v>0</v>
      </c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s="8" customFormat="1" ht="21" customHeight="1">
      <c r="A202" s="42" t="s">
        <v>67</v>
      </c>
      <c r="B202" s="38"/>
      <c r="C202" s="33">
        <f>D202+E202</f>
        <v>100000</v>
      </c>
      <c r="D202" s="33">
        <v>100000</v>
      </c>
      <c r="E202" s="33"/>
      <c r="F202" s="33">
        <f>G202+H202</f>
        <v>110000</v>
      </c>
      <c r="G202" s="33">
        <v>110000</v>
      </c>
      <c r="H202" s="33"/>
      <c r="I202" s="33">
        <f>J202+K202</f>
        <v>120000</v>
      </c>
      <c r="J202" s="33">
        <v>120000</v>
      </c>
      <c r="K202" s="33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s="8" customFormat="1" ht="21" customHeight="1">
      <c r="A203" s="204" t="s">
        <v>68</v>
      </c>
      <c r="B203" s="38"/>
      <c r="C203" s="33">
        <f>D203+E203</f>
        <v>24100</v>
      </c>
      <c r="D203" s="33">
        <v>24100</v>
      </c>
      <c r="E203" s="33"/>
      <c r="F203" s="33">
        <f>G203+H203</f>
        <v>25400</v>
      </c>
      <c r="G203" s="33">
        <v>25400</v>
      </c>
      <c r="H203" s="33"/>
      <c r="I203" s="33">
        <f>J203+K203</f>
        <v>26700</v>
      </c>
      <c r="J203" s="33">
        <v>26700</v>
      </c>
      <c r="K203" s="33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s="8" customFormat="1" ht="21" customHeight="1">
      <c r="A204" s="42" t="s">
        <v>203</v>
      </c>
      <c r="B204" s="38"/>
      <c r="C204" s="33">
        <f>D204+E204</f>
        <v>1000000</v>
      </c>
      <c r="D204" s="33">
        <v>1000000</v>
      </c>
      <c r="E204" s="33"/>
      <c r="F204" s="33">
        <f>G204+H204</f>
        <v>1000000</v>
      </c>
      <c r="G204" s="33">
        <v>1000000</v>
      </c>
      <c r="H204" s="33"/>
      <c r="I204" s="33">
        <f>J204+K204</f>
        <v>1000000</v>
      </c>
      <c r="J204" s="33">
        <v>1000000</v>
      </c>
      <c r="K204" s="33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1:26" s="8" customFormat="1" ht="17.25" customHeight="1">
      <c r="A205" s="36" t="s">
        <v>4</v>
      </c>
      <c r="B205" s="39"/>
      <c r="C205" s="41"/>
      <c r="D205" s="40"/>
      <c r="E205" s="40"/>
      <c r="F205" s="40"/>
      <c r="G205" s="40"/>
      <c r="H205" s="40"/>
      <c r="I205" s="40"/>
      <c r="J205" s="40"/>
      <c r="K205" s="40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s="8" customFormat="1" ht="17.25" customHeight="1">
      <c r="A206" s="67" t="s">
        <v>20</v>
      </c>
      <c r="B206" s="39"/>
      <c r="C206" s="41"/>
      <c r="D206" s="40"/>
      <c r="E206" s="40"/>
      <c r="F206" s="40"/>
      <c r="G206" s="40"/>
      <c r="H206" s="40"/>
      <c r="I206" s="40"/>
      <c r="J206" s="40"/>
      <c r="K206" s="40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s="8" customFormat="1" ht="17.25" customHeight="1" hidden="1">
      <c r="A207" s="36" t="s">
        <v>12</v>
      </c>
      <c r="B207" s="39"/>
      <c r="C207" s="80">
        <v>2</v>
      </c>
      <c r="D207" s="80"/>
      <c r="E207" s="80"/>
      <c r="F207" s="80">
        <v>2</v>
      </c>
      <c r="G207" s="80"/>
      <c r="H207" s="80"/>
      <c r="I207" s="80">
        <v>2</v>
      </c>
      <c r="J207" s="80"/>
      <c r="K207" s="40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s="8" customFormat="1" ht="24" customHeight="1">
      <c r="A208" s="36" t="s">
        <v>10</v>
      </c>
      <c r="B208" s="39"/>
      <c r="C208" s="57">
        <v>20</v>
      </c>
      <c r="D208" s="57"/>
      <c r="E208" s="57"/>
      <c r="F208" s="57">
        <v>20</v>
      </c>
      <c r="G208" s="57"/>
      <c r="H208" s="57"/>
      <c r="I208" s="57">
        <v>20</v>
      </c>
      <c r="J208" s="57"/>
      <c r="K208" s="58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s="8" customFormat="1" ht="16.5" customHeight="1">
      <c r="A209" s="67" t="s">
        <v>11</v>
      </c>
      <c r="B209" s="39"/>
      <c r="C209" s="57"/>
      <c r="D209" s="57"/>
      <c r="E209" s="57"/>
      <c r="F209" s="57"/>
      <c r="G209" s="57"/>
      <c r="H209" s="57"/>
      <c r="I209" s="57"/>
      <c r="J209" s="57"/>
      <c r="K209" s="58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1:26" s="8" customFormat="1" ht="21" customHeight="1">
      <c r="A210" s="59" t="s">
        <v>14</v>
      </c>
      <c r="B210" s="60"/>
      <c r="C210" s="32">
        <v>10</v>
      </c>
      <c r="D210" s="32"/>
      <c r="E210" s="32"/>
      <c r="F210" s="32">
        <v>10</v>
      </c>
      <c r="G210" s="32"/>
      <c r="H210" s="32"/>
      <c r="I210" s="32">
        <v>10</v>
      </c>
      <c r="J210" s="32"/>
      <c r="K210" s="58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1:26" s="8" customFormat="1" ht="21.75" customHeight="1" hidden="1">
      <c r="A211" s="59" t="s">
        <v>15</v>
      </c>
      <c r="B211" s="60"/>
      <c r="C211" s="32">
        <v>170</v>
      </c>
      <c r="D211" s="32"/>
      <c r="E211" s="32"/>
      <c r="F211" s="32">
        <v>170</v>
      </c>
      <c r="G211" s="32"/>
      <c r="H211" s="32"/>
      <c r="I211" s="32">
        <v>170</v>
      </c>
      <c r="J211" s="32"/>
      <c r="K211" s="58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s="8" customFormat="1" ht="31.5" customHeight="1" hidden="1">
      <c r="A212" s="36" t="s">
        <v>129</v>
      </c>
      <c r="B212" s="60"/>
      <c r="C212" s="32">
        <v>1037</v>
      </c>
      <c r="D212" s="32"/>
      <c r="E212" s="32"/>
      <c r="F212" s="32">
        <v>1099</v>
      </c>
      <c r="G212" s="32"/>
      <c r="H212" s="32"/>
      <c r="I212" s="32">
        <v>1160</v>
      </c>
      <c r="J212" s="32"/>
      <c r="K212" s="58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1:26" s="8" customFormat="1" ht="18" customHeight="1">
      <c r="A213" s="67" t="s">
        <v>8</v>
      </c>
      <c r="B213" s="39"/>
      <c r="C213" s="41"/>
      <c r="D213" s="40"/>
      <c r="E213" s="40"/>
      <c r="F213" s="40"/>
      <c r="G213" s="40"/>
      <c r="H213" s="40"/>
      <c r="I213" s="40"/>
      <c r="J213" s="40"/>
      <c r="K213" s="40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s="8" customFormat="1" ht="18" customHeight="1">
      <c r="A214" s="36" t="s">
        <v>88</v>
      </c>
      <c r="B214" s="39"/>
      <c r="C214" s="37">
        <f>D202/C208/10</f>
        <v>500</v>
      </c>
      <c r="D214" s="37"/>
      <c r="E214" s="37"/>
      <c r="F214" s="37">
        <f>F202/F208/F210</f>
        <v>550</v>
      </c>
      <c r="G214" s="37"/>
      <c r="H214" s="61"/>
      <c r="I214" s="62">
        <f>I202/I208/I210</f>
        <v>600</v>
      </c>
      <c r="J214" s="62"/>
      <c r="K214" s="58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1:26" s="8" customFormat="1" ht="23.25" customHeight="1" hidden="1">
      <c r="A215" s="36" t="s">
        <v>89</v>
      </c>
      <c r="B215" s="39"/>
      <c r="C215" s="63">
        <f>C204/C211</f>
        <v>5882.35294117647</v>
      </c>
      <c r="D215" s="63"/>
      <c r="E215" s="64"/>
      <c r="F215" s="63">
        <f>F204/F211</f>
        <v>5882.35294117647</v>
      </c>
      <c r="G215" s="65"/>
      <c r="H215" s="64"/>
      <c r="I215" s="63">
        <f>I204/I211</f>
        <v>5882.35294117647</v>
      </c>
      <c r="J215" s="65"/>
      <c r="K215" s="66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1:26" s="8" customFormat="1" ht="51" customHeight="1" hidden="1">
      <c r="A216" s="36" t="s">
        <v>16</v>
      </c>
      <c r="B216" s="39"/>
      <c r="C216" s="40">
        <v>19</v>
      </c>
      <c r="D216" s="40"/>
      <c r="E216" s="40"/>
      <c r="F216" s="40">
        <v>19</v>
      </c>
      <c r="G216" s="40"/>
      <c r="H216" s="40"/>
      <c r="I216" s="40">
        <v>19</v>
      </c>
      <c r="J216" s="40"/>
      <c r="K216" s="40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s="8" customFormat="1" ht="18" customHeight="1" hidden="1">
      <c r="A217" s="67" t="s">
        <v>9</v>
      </c>
      <c r="B217" s="39"/>
      <c r="C217" s="41"/>
      <c r="D217" s="40"/>
      <c r="E217" s="40"/>
      <c r="F217" s="40"/>
      <c r="G217" s="40"/>
      <c r="H217" s="40"/>
      <c r="I217" s="40"/>
      <c r="J217" s="40"/>
      <c r="K217" s="40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1:26" s="8" customFormat="1" ht="39.75" customHeight="1" hidden="1">
      <c r="A218" s="36" t="s">
        <v>128</v>
      </c>
      <c r="B218" s="39"/>
      <c r="C218" s="89">
        <f>100</f>
        <v>100</v>
      </c>
      <c r="D218" s="89"/>
      <c r="E218" s="40"/>
      <c r="F218" s="89">
        <f>F212/C212*100</f>
        <v>105.9787849566056</v>
      </c>
      <c r="G218" s="89"/>
      <c r="H218" s="40"/>
      <c r="I218" s="89">
        <f>I212/F212*100</f>
        <v>105.55050045495906</v>
      </c>
      <c r="J218" s="89"/>
      <c r="K218" s="40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1:26" s="8" customFormat="1" ht="20.25" customHeight="1">
      <c r="A219" s="246" t="s">
        <v>208</v>
      </c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1:26" s="8" customFormat="1" ht="19.5" customHeight="1">
      <c r="A220" s="245" t="s">
        <v>139</v>
      </c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1:26" s="8" customFormat="1" ht="20.25" customHeight="1">
      <c r="A221" s="69" t="s">
        <v>207</v>
      </c>
      <c r="B221" s="34"/>
      <c r="C221" s="245"/>
      <c r="D221" s="248"/>
      <c r="E221" s="248"/>
      <c r="F221" s="248"/>
      <c r="G221" s="248"/>
      <c r="H221" s="248"/>
      <c r="I221" s="248"/>
      <c r="J221" s="248"/>
      <c r="K221" s="248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s="8" customFormat="1" ht="19.5" customHeight="1">
      <c r="A222" s="46" t="s">
        <v>69</v>
      </c>
      <c r="B222" s="94">
        <f>C222+F222+I222</f>
        <v>33469800</v>
      </c>
      <c r="C222" s="49">
        <f>SUM(C223:C230)</f>
        <v>10679700</v>
      </c>
      <c r="D222" s="49">
        <f>SUM(D223:D230)</f>
        <v>10549700</v>
      </c>
      <c r="E222" s="49">
        <f>SUM(E223:E230)</f>
        <v>130000</v>
      </c>
      <c r="F222" s="49">
        <f aca="true" t="shared" si="15" ref="F222:K222">SUM(F223:F230)</f>
        <v>11031600</v>
      </c>
      <c r="G222" s="49">
        <f t="shared" si="15"/>
        <v>10901600</v>
      </c>
      <c r="H222" s="49">
        <f t="shared" si="15"/>
        <v>130000</v>
      </c>
      <c r="I222" s="49">
        <f t="shared" si="15"/>
        <v>11758500</v>
      </c>
      <c r="J222" s="49">
        <f t="shared" si="15"/>
        <v>11628500</v>
      </c>
      <c r="K222" s="49">
        <f t="shared" si="15"/>
        <v>130000</v>
      </c>
      <c r="L222" s="109"/>
      <c r="M222" s="109"/>
      <c r="N222" s="109"/>
      <c r="O222" s="216">
        <f aca="true" t="shared" si="16" ref="O222:O229">D222+G222+J222</f>
        <v>33079800</v>
      </c>
      <c r="P222" s="216">
        <f aca="true" t="shared" si="17" ref="P222:P229">E222+H222+K222</f>
        <v>390000</v>
      </c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1:26" s="8" customFormat="1" ht="19.5" customHeight="1">
      <c r="A223" s="85" t="s">
        <v>90</v>
      </c>
      <c r="B223" s="212"/>
      <c r="C223" s="48">
        <f aca="true" t="shared" si="18" ref="C223:C230">D223+E223</f>
        <v>3998800</v>
      </c>
      <c r="D223" s="48">
        <f>6269700-2270900</f>
        <v>3998800</v>
      </c>
      <c r="E223" s="48"/>
      <c r="F223" s="48">
        <f aca="true" t="shared" si="19" ref="F223:F230">G223+H223</f>
        <v>4283500</v>
      </c>
      <c r="G223" s="48">
        <f>6867300-2583800</f>
        <v>4283500</v>
      </c>
      <c r="H223" s="48"/>
      <c r="I223" s="48">
        <f>J223+K223</f>
        <v>4575900</v>
      </c>
      <c r="J223" s="48">
        <f>7336200-2760300</f>
        <v>4575900</v>
      </c>
      <c r="K223" s="37"/>
      <c r="L223" s="109"/>
      <c r="M223" s="109"/>
      <c r="N223" s="109"/>
      <c r="O223" s="216">
        <f t="shared" si="16"/>
        <v>12858200</v>
      </c>
      <c r="P223" s="216">
        <f t="shared" si="17"/>
        <v>0</v>
      </c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1:26" s="8" customFormat="1" ht="19.5" customHeight="1">
      <c r="A224" s="85" t="s">
        <v>93</v>
      </c>
      <c r="B224" s="213"/>
      <c r="C224" s="48">
        <f t="shared" si="18"/>
        <v>1350000</v>
      </c>
      <c r="D224" s="48">
        <f>792900+457100</f>
        <v>1250000</v>
      </c>
      <c r="E224" s="48">
        <v>100000</v>
      </c>
      <c r="F224" s="48">
        <f t="shared" si="19"/>
        <v>939000</v>
      </c>
      <c r="G224" s="48">
        <v>839000</v>
      </c>
      <c r="H224" s="48">
        <v>100000</v>
      </c>
      <c r="I224" s="48">
        <f>J224+K224</f>
        <v>984100</v>
      </c>
      <c r="J224" s="48">
        <v>884100</v>
      </c>
      <c r="K224" s="37">
        <v>100000</v>
      </c>
      <c r="L224" s="109"/>
      <c r="M224" s="109"/>
      <c r="N224" s="109"/>
      <c r="O224" s="216">
        <f t="shared" si="16"/>
        <v>2973100</v>
      </c>
      <c r="P224" s="216">
        <f t="shared" si="17"/>
        <v>300000</v>
      </c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1:26" s="8" customFormat="1" ht="19.5" customHeight="1" hidden="1">
      <c r="A225" s="85" t="s">
        <v>96</v>
      </c>
      <c r="B225" s="213"/>
      <c r="C225" s="48">
        <f t="shared" si="18"/>
        <v>0</v>
      </c>
      <c r="D225" s="48"/>
      <c r="E225" s="48"/>
      <c r="F225" s="48">
        <f t="shared" si="19"/>
        <v>0</v>
      </c>
      <c r="G225" s="48"/>
      <c r="H225" s="48"/>
      <c r="I225" s="48">
        <f>J225+K225</f>
        <v>0</v>
      </c>
      <c r="J225" s="48"/>
      <c r="K225" s="37"/>
      <c r="L225" s="109"/>
      <c r="M225" s="109"/>
      <c r="N225" s="109"/>
      <c r="O225" s="216">
        <f t="shared" si="16"/>
        <v>0</v>
      </c>
      <c r="P225" s="216">
        <f t="shared" si="17"/>
        <v>0</v>
      </c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s="8" customFormat="1" ht="19.5" customHeight="1" hidden="1">
      <c r="A226" s="85" t="s">
        <v>94</v>
      </c>
      <c r="B226" s="213"/>
      <c r="C226" s="48">
        <f t="shared" si="18"/>
        <v>0</v>
      </c>
      <c r="D226" s="48"/>
      <c r="E226" s="48"/>
      <c r="F226" s="48">
        <f t="shared" si="19"/>
        <v>0</v>
      </c>
      <c r="G226" s="48"/>
      <c r="H226" s="48"/>
      <c r="I226" s="48">
        <f>J226+K226</f>
        <v>0</v>
      </c>
      <c r="J226" s="48"/>
      <c r="K226" s="48"/>
      <c r="L226" s="109"/>
      <c r="M226" s="109"/>
      <c r="N226" s="109"/>
      <c r="O226" s="216">
        <f t="shared" si="16"/>
        <v>0</v>
      </c>
      <c r="P226" s="216">
        <f t="shared" si="17"/>
        <v>0</v>
      </c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1:26" s="8" customFormat="1" ht="16.5" customHeight="1" hidden="1">
      <c r="A227" s="85" t="s">
        <v>35</v>
      </c>
      <c r="B227" s="213"/>
      <c r="C227" s="48">
        <f t="shared" si="18"/>
        <v>0</v>
      </c>
      <c r="D227" s="48"/>
      <c r="E227" s="48"/>
      <c r="F227" s="48">
        <f t="shared" si="19"/>
        <v>0</v>
      </c>
      <c r="G227" s="48"/>
      <c r="H227" s="48"/>
      <c r="I227" s="48">
        <f>J227+K227</f>
        <v>0</v>
      </c>
      <c r="J227" s="48"/>
      <c r="K227" s="48"/>
      <c r="L227" s="109"/>
      <c r="M227" s="109"/>
      <c r="N227" s="109"/>
      <c r="O227" s="216">
        <f t="shared" si="16"/>
        <v>0</v>
      </c>
      <c r="P227" s="216">
        <f t="shared" si="17"/>
        <v>0</v>
      </c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s="8" customFormat="1" ht="19.5" customHeight="1" hidden="1">
      <c r="A228" s="85" t="s">
        <v>101</v>
      </c>
      <c r="B228" s="213"/>
      <c r="C228" s="48">
        <f t="shared" si="18"/>
        <v>0</v>
      </c>
      <c r="D228" s="48"/>
      <c r="E228" s="48"/>
      <c r="F228" s="48">
        <f t="shared" si="19"/>
        <v>0</v>
      </c>
      <c r="G228" s="48"/>
      <c r="H228" s="48"/>
      <c r="I228" s="48"/>
      <c r="J228" s="48"/>
      <c r="K228" s="37"/>
      <c r="L228" s="109"/>
      <c r="M228" s="109"/>
      <c r="N228" s="109"/>
      <c r="O228" s="216">
        <f t="shared" si="16"/>
        <v>0</v>
      </c>
      <c r="P228" s="216">
        <f t="shared" si="17"/>
        <v>0</v>
      </c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26" s="8" customFormat="1" ht="19.5" customHeight="1">
      <c r="A229" s="85" t="s">
        <v>91</v>
      </c>
      <c r="B229" s="213"/>
      <c r="C229" s="48">
        <f t="shared" si="18"/>
        <v>2270900</v>
      </c>
      <c r="D229" s="48">
        <v>2270900</v>
      </c>
      <c r="E229" s="48"/>
      <c r="F229" s="48">
        <f t="shared" si="19"/>
        <v>2583800</v>
      </c>
      <c r="G229" s="48">
        <v>2583800</v>
      </c>
      <c r="H229" s="48"/>
      <c r="I229" s="48">
        <f>J229+K229</f>
        <v>2760300</v>
      </c>
      <c r="J229" s="48">
        <v>2760300</v>
      </c>
      <c r="K229" s="37"/>
      <c r="L229" s="109"/>
      <c r="M229" s="109"/>
      <c r="N229" s="109"/>
      <c r="O229" s="216">
        <f t="shared" si="16"/>
        <v>7615000</v>
      </c>
      <c r="P229" s="216">
        <f t="shared" si="17"/>
        <v>0</v>
      </c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spans="1:26" s="8" customFormat="1" ht="33" customHeight="1">
      <c r="A230" s="197" t="s">
        <v>180</v>
      </c>
      <c r="B230" s="212"/>
      <c r="C230" s="48">
        <f t="shared" si="18"/>
        <v>3060000</v>
      </c>
      <c r="D230" s="48">
        <f>2929500+100500</f>
        <v>3030000</v>
      </c>
      <c r="E230" s="48">
        <v>30000</v>
      </c>
      <c r="F230" s="48">
        <f t="shared" si="19"/>
        <v>3225300</v>
      </c>
      <c r="G230" s="48">
        <v>3195300</v>
      </c>
      <c r="H230" s="48">
        <v>30000</v>
      </c>
      <c r="I230" s="48">
        <f>J230+K230</f>
        <v>3438200</v>
      </c>
      <c r="J230" s="48">
        <v>3408200</v>
      </c>
      <c r="K230" s="37">
        <v>30000</v>
      </c>
      <c r="L230" s="109"/>
      <c r="M230" s="109"/>
      <c r="N230" s="109"/>
      <c r="O230" s="216">
        <f>D230+G230+J230</f>
        <v>9633500</v>
      </c>
      <c r="P230" s="216">
        <f>E230+H230+K230</f>
        <v>90000</v>
      </c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spans="1:26" s="8" customFormat="1" ht="20.25" customHeight="1">
      <c r="A231" s="86" t="s">
        <v>4</v>
      </c>
      <c r="B231" s="213"/>
      <c r="C231" s="48"/>
      <c r="D231" s="48"/>
      <c r="E231" s="48"/>
      <c r="F231" s="48"/>
      <c r="G231" s="48"/>
      <c r="H231" s="48"/>
      <c r="I231" s="48"/>
      <c r="J231" s="48"/>
      <c r="K231" s="37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spans="1:26" s="8" customFormat="1" ht="20.25" customHeight="1">
      <c r="A232" s="87" t="s">
        <v>19</v>
      </c>
      <c r="B232" s="25"/>
      <c r="C232" s="26"/>
      <c r="D232" s="26"/>
      <c r="E232" s="26"/>
      <c r="F232" s="26"/>
      <c r="G232" s="26"/>
      <c r="H232" s="26"/>
      <c r="I232" s="26"/>
      <c r="J232" s="26"/>
      <c r="K232" s="27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spans="1:26" s="8" customFormat="1" ht="20.25" customHeight="1">
      <c r="A233" s="43" t="s">
        <v>225</v>
      </c>
      <c r="B233" s="25"/>
      <c r="C233" s="28">
        <v>1</v>
      </c>
      <c r="D233" s="28"/>
      <c r="E233" s="28"/>
      <c r="F233" s="28">
        <v>1</v>
      </c>
      <c r="G233" s="28"/>
      <c r="H233" s="28"/>
      <c r="I233" s="28">
        <v>1</v>
      </c>
      <c r="J233" s="26"/>
      <c r="K233" s="27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spans="1:26" s="8" customFormat="1" ht="20.25" customHeight="1">
      <c r="A234" s="43" t="s">
        <v>98</v>
      </c>
      <c r="B234" s="25"/>
      <c r="C234" s="28">
        <v>12</v>
      </c>
      <c r="D234" s="28"/>
      <c r="E234" s="28"/>
      <c r="F234" s="28">
        <v>12</v>
      </c>
      <c r="G234" s="28"/>
      <c r="H234" s="28"/>
      <c r="I234" s="28">
        <v>12</v>
      </c>
      <c r="J234" s="26"/>
      <c r="K234" s="27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spans="1:26" s="8" customFormat="1" ht="20.25" customHeight="1">
      <c r="A235" s="87" t="s">
        <v>5</v>
      </c>
      <c r="B235" s="25"/>
      <c r="C235" s="26"/>
      <c r="D235" s="26"/>
      <c r="E235" s="26"/>
      <c r="F235" s="26"/>
      <c r="G235" s="26"/>
      <c r="H235" s="26"/>
      <c r="I235" s="26"/>
      <c r="J235" s="26"/>
      <c r="K235" s="27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spans="1:26" s="8" customFormat="1" ht="16.5" customHeight="1">
      <c r="A236" s="43" t="s">
        <v>108</v>
      </c>
      <c r="B236" s="25"/>
      <c r="C236" s="28">
        <v>805</v>
      </c>
      <c r="D236" s="28"/>
      <c r="E236" s="28"/>
      <c r="F236" s="28">
        <v>810</v>
      </c>
      <c r="G236" s="28"/>
      <c r="H236" s="28"/>
      <c r="I236" s="28">
        <v>815</v>
      </c>
      <c r="J236" s="28"/>
      <c r="K236" s="28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1:26" s="8" customFormat="1" ht="19.5" customHeight="1" hidden="1">
      <c r="A237" s="43" t="s">
        <v>130</v>
      </c>
      <c r="B237" s="25"/>
      <c r="C237" s="28"/>
      <c r="D237" s="28"/>
      <c r="E237" s="28"/>
      <c r="F237" s="28"/>
      <c r="G237" s="28"/>
      <c r="H237" s="28"/>
      <c r="I237" s="28"/>
      <c r="J237" s="28"/>
      <c r="K237" s="28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spans="1:26" s="8" customFormat="1" ht="19.5" customHeight="1">
      <c r="A238" s="31" t="s">
        <v>8</v>
      </c>
      <c r="B238" s="25"/>
      <c r="C238" s="26"/>
      <c r="D238" s="26"/>
      <c r="E238" s="26"/>
      <c r="F238" s="28"/>
      <c r="G238" s="26"/>
      <c r="H238" s="26"/>
      <c r="I238" s="28"/>
      <c r="J238" s="26"/>
      <c r="K238" s="27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spans="1:11" ht="15.75" customHeight="1">
      <c r="A239" s="70" t="s">
        <v>117</v>
      </c>
      <c r="B239" s="25"/>
      <c r="C239" s="26">
        <f>C229/C236</f>
        <v>2820.9937888198756</v>
      </c>
      <c r="D239" s="26"/>
      <c r="E239" s="26"/>
      <c r="F239" s="26">
        <f>F229/F236</f>
        <v>3189.8765432098767</v>
      </c>
      <c r="G239" s="26"/>
      <c r="H239" s="26"/>
      <c r="I239" s="26">
        <f>I229/I236</f>
        <v>3386.871165644172</v>
      </c>
      <c r="J239" s="26"/>
      <c r="K239" s="27"/>
    </row>
    <row r="240" spans="1:11" ht="15.75" customHeight="1" hidden="1">
      <c r="A240" s="30" t="s">
        <v>100</v>
      </c>
      <c r="B240" s="25"/>
      <c r="C240" s="26"/>
      <c r="D240" s="26"/>
      <c r="E240" s="26"/>
      <c r="F240" s="26"/>
      <c r="G240" s="26"/>
      <c r="H240" s="26"/>
      <c r="I240" s="26"/>
      <c r="J240" s="26"/>
      <c r="K240" s="27"/>
    </row>
    <row r="241" spans="1:11" ht="16.5">
      <c r="A241" s="69" t="s">
        <v>9</v>
      </c>
      <c r="B241" s="25"/>
      <c r="C241" s="26"/>
      <c r="D241" s="26"/>
      <c r="E241" s="26"/>
      <c r="F241" s="26"/>
      <c r="G241" s="26"/>
      <c r="H241" s="26"/>
      <c r="I241" s="26"/>
      <c r="J241" s="26"/>
      <c r="K241" s="27"/>
    </row>
    <row r="242" spans="1:11" ht="16.5">
      <c r="A242" s="30" t="s">
        <v>109</v>
      </c>
      <c r="B242" s="25"/>
      <c r="C242" s="71">
        <v>0.6</v>
      </c>
      <c r="D242" s="26"/>
      <c r="E242" s="26"/>
      <c r="F242" s="71">
        <v>0.65</v>
      </c>
      <c r="G242" s="26"/>
      <c r="H242" s="26"/>
      <c r="I242" s="71">
        <v>0.7</v>
      </c>
      <c r="J242" s="26"/>
      <c r="K242" s="27"/>
    </row>
    <row r="243" spans="1:11" ht="24" customHeight="1">
      <c r="A243" s="30" t="s">
        <v>110</v>
      </c>
      <c r="B243" s="25"/>
      <c r="C243" s="71">
        <v>0.95</v>
      </c>
      <c r="D243" s="26"/>
      <c r="E243" s="26"/>
      <c r="F243" s="71">
        <v>0.95</v>
      </c>
      <c r="G243" s="26"/>
      <c r="H243" s="26"/>
      <c r="I243" s="71">
        <v>0.95</v>
      </c>
      <c r="J243" s="26"/>
      <c r="K243" s="27"/>
    </row>
    <row r="244" spans="1:11" ht="19.5" customHeight="1">
      <c r="A244" s="249" t="s">
        <v>209</v>
      </c>
      <c r="B244" s="250"/>
      <c r="C244" s="250"/>
      <c r="D244" s="250"/>
      <c r="E244" s="250"/>
      <c r="F244" s="250"/>
      <c r="G244" s="250"/>
      <c r="H244" s="250"/>
      <c r="I244" s="250"/>
      <c r="J244" s="250"/>
      <c r="K244" s="251"/>
    </row>
    <row r="245" spans="1:11" ht="21.75" customHeight="1">
      <c r="A245" s="237" t="s">
        <v>22</v>
      </c>
      <c r="B245" s="238"/>
      <c r="C245" s="238"/>
      <c r="D245" s="238"/>
      <c r="E245" s="238"/>
      <c r="F245" s="238"/>
      <c r="G245" s="238"/>
      <c r="H245" s="238"/>
      <c r="I245" s="238"/>
      <c r="J245" s="238"/>
      <c r="K245" s="239"/>
    </row>
    <row r="246" spans="1:11" ht="15.75">
      <c r="A246" s="90" t="s">
        <v>6</v>
      </c>
      <c r="B246" s="53">
        <f>C246+F246+I246</f>
        <v>6957000</v>
      </c>
      <c r="C246" s="84">
        <f>C250</f>
        <v>1864800</v>
      </c>
      <c r="D246" s="84">
        <f>D250</f>
        <v>1864800</v>
      </c>
      <c r="E246" s="91">
        <v>0</v>
      </c>
      <c r="F246" s="84">
        <f>F250</f>
        <v>2546100</v>
      </c>
      <c r="G246" s="84">
        <f>G250</f>
        <v>2546100</v>
      </c>
      <c r="H246" s="84"/>
      <c r="I246" s="84">
        <f>I250</f>
        <v>2546100</v>
      </c>
      <c r="J246" s="84">
        <f>J250</f>
        <v>2546100</v>
      </c>
      <c r="K246" s="84"/>
    </row>
    <row r="247" spans="1:11" ht="15.75">
      <c r="A247" s="21" t="s">
        <v>70</v>
      </c>
      <c r="B247" s="23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15.75">
      <c r="A248" s="20" t="s">
        <v>4</v>
      </c>
      <c r="B248" s="17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15.75">
      <c r="A249" s="20" t="s">
        <v>19</v>
      </c>
      <c r="B249" s="17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61.5" customHeight="1">
      <c r="A250" s="21" t="s">
        <v>210</v>
      </c>
      <c r="B250" s="17"/>
      <c r="C250" s="18">
        <f>D250+E250</f>
        <v>1864800</v>
      </c>
      <c r="D250" s="18">
        <f>800400+1064400</f>
        <v>1864800</v>
      </c>
      <c r="E250" s="24">
        <v>0</v>
      </c>
      <c r="F250" s="18">
        <f>G250+H250</f>
        <v>2546100</v>
      </c>
      <c r="G250" s="18">
        <f>1085300+1460800</f>
        <v>2546100</v>
      </c>
      <c r="H250" s="18"/>
      <c r="I250" s="18">
        <f>J250+K250</f>
        <v>2546100</v>
      </c>
      <c r="J250" s="18">
        <f>1085300+1460800</f>
        <v>2546100</v>
      </c>
      <c r="K250" s="18"/>
    </row>
    <row r="251" spans="1:11" ht="15.75">
      <c r="A251" s="20" t="s">
        <v>5</v>
      </c>
      <c r="B251" s="17"/>
      <c r="C251" s="24"/>
      <c r="D251" s="24"/>
      <c r="E251" s="24"/>
      <c r="F251" s="18"/>
      <c r="G251" s="18"/>
      <c r="H251" s="18"/>
      <c r="I251" s="18"/>
      <c r="J251" s="18"/>
      <c r="K251" s="18"/>
    </row>
    <row r="252" spans="1:11" ht="47.25">
      <c r="A252" s="21" t="s">
        <v>170</v>
      </c>
      <c r="B252" s="17"/>
      <c r="C252" s="68">
        <f>D252</f>
        <v>31245</v>
      </c>
      <c r="D252" s="68">
        <v>31245</v>
      </c>
      <c r="E252" s="22"/>
      <c r="F252" s="68">
        <f>G252</f>
        <v>31245</v>
      </c>
      <c r="G252" s="68">
        <v>31245</v>
      </c>
      <c r="H252" s="68"/>
      <c r="I252" s="68">
        <f>J252</f>
        <v>31245</v>
      </c>
      <c r="J252" s="68">
        <v>31245</v>
      </c>
      <c r="K252" s="18"/>
    </row>
    <row r="253" spans="1:11" ht="31.5">
      <c r="A253" s="21" t="s">
        <v>146</v>
      </c>
      <c r="B253" s="17"/>
      <c r="C253" s="22">
        <f>D253</f>
        <v>14783.5</v>
      </c>
      <c r="D253" s="22">
        <f>D257/D254</f>
        <v>14783.5</v>
      </c>
      <c r="E253" s="22"/>
      <c r="F253" s="22">
        <f>G253</f>
        <v>20290</v>
      </c>
      <c r="G253" s="22">
        <f>G257/G254</f>
        <v>20290</v>
      </c>
      <c r="H253" s="22"/>
      <c r="I253" s="22">
        <f>J253</f>
        <v>20290</v>
      </c>
      <c r="J253" s="22">
        <f>J257/J254</f>
        <v>20290</v>
      </c>
      <c r="K253" s="68"/>
    </row>
    <row r="254" spans="1:11" ht="15.75">
      <c r="A254" s="21" t="s">
        <v>103</v>
      </c>
      <c r="B254" s="17"/>
      <c r="C254" s="22">
        <f aca="true" t="shared" si="20" ref="C254:C262">D254</f>
        <v>12</v>
      </c>
      <c r="D254" s="22">
        <v>12</v>
      </c>
      <c r="E254" s="22"/>
      <c r="F254" s="22">
        <f aca="true" t="shared" si="21" ref="F254:F262">G254</f>
        <v>12</v>
      </c>
      <c r="G254" s="22">
        <v>12</v>
      </c>
      <c r="H254" s="22"/>
      <c r="I254" s="22">
        <f aca="true" t="shared" si="22" ref="I254:I259">J254</f>
        <v>12</v>
      </c>
      <c r="J254" s="22">
        <v>12</v>
      </c>
      <c r="K254" s="68"/>
    </row>
    <row r="255" spans="1:11" ht="31.5">
      <c r="A255" s="21" t="s">
        <v>147</v>
      </c>
      <c r="B255" s="17"/>
      <c r="C255" s="22">
        <f>D255</f>
        <v>11117</v>
      </c>
      <c r="D255" s="22">
        <f>D258/D256</f>
        <v>11117</v>
      </c>
      <c r="E255" s="22"/>
      <c r="F255" s="22">
        <f t="shared" si="21"/>
        <v>15072</v>
      </c>
      <c r="G255" s="22">
        <f>G258/G256</f>
        <v>15072</v>
      </c>
      <c r="H255" s="22"/>
      <c r="I255" s="22">
        <f>J255</f>
        <v>15072</v>
      </c>
      <c r="J255" s="22">
        <f>J258/J256</f>
        <v>15072</v>
      </c>
      <c r="K255" s="68"/>
    </row>
    <row r="256" spans="1:11" ht="31.5">
      <c r="A256" s="21" t="s">
        <v>104</v>
      </c>
      <c r="B256" s="17"/>
      <c r="C256" s="22">
        <f t="shared" si="20"/>
        <v>12</v>
      </c>
      <c r="D256" s="22">
        <v>12</v>
      </c>
      <c r="E256" s="22"/>
      <c r="F256" s="22">
        <f t="shared" si="21"/>
        <v>12</v>
      </c>
      <c r="G256" s="22">
        <v>12</v>
      </c>
      <c r="H256" s="22"/>
      <c r="I256" s="22">
        <f t="shared" si="22"/>
        <v>12</v>
      </c>
      <c r="J256" s="22">
        <v>12</v>
      </c>
      <c r="K256" s="68"/>
    </row>
    <row r="257" spans="1:11" ht="15.75">
      <c r="A257" s="21" t="s">
        <v>230</v>
      </c>
      <c r="B257" s="17"/>
      <c r="C257" s="22">
        <f t="shared" si="20"/>
        <v>177402</v>
      </c>
      <c r="D257" s="22">
        <f>9277*6+20290*6</f>
        <v>177402</v>
      </c>
      <c r="E257" s="22"/>
      <c r="F257" s="22">
        <f t="shared" si="21"/>
        <v>243480</v>
      </c>
      <c r="G257" s="22">
        <f>20290*12</f>
        <v>243480</v>
      </c>
      <c r="H257" s="22"/>
      <c r="I257" s="22">
        <f t="shared" si="22"/>
        <v>243480</v>
      </c>
      <c r="J257" s="22">
        <f>20290*12</f>
        <v>243480</v>
      </c>
      <c r="K257" s="68"/>
    </row>
    <row r="258" spans="1:11" ht="30.75" customHeight="1">
      <c r="A258" s="21" t="s">
        <v>229</v>
      </c>
      <c r="B258" s="17"/>
      <c r="C258" s="22">
        <f t="shared" si="20"/>
        <v>133404</v>
      </c>
      <c r="D258" s="22">
        <f>7162*6+15072*6</f>
        <v>133404</v>
      </c>
      <c r="E258" s="22"/>
      <c r="F258" s="22">
        <f t="shared" si="21"/>
        <v>180864</v>
      </c>
      <c r="G258" s="22">
        <f>15072*12</f>
        <v>180864</v>
      </c>
      <c r="H258" s="22"/>
      <c r="I258" s="22">
        <f t="shared" si="22"/>
        <v>180864</v>
      </c>
      <c r="J258" s="22">
        <f>15072*12</f>
        <v>180864</v>
      </c>
      <c r="K258" s="68"/>
    </row>
    <row r="259" spans="1:11" ht="31.5">
      <c r="A259" s="21" t="s">
        <v>27</v>
      </c>
      <c r="B259" s="17"/>
      <c r="C259" s="22">
        <f t="shared" si="20"/>
        <v>1</v>
      </c>
      <c r="D259" s="22">
        <v>1</v>
      </c>
      <c r="E259" s="22"/>
      <c r="F259" s="22">
        <f t="shared" si="21"/>
        <v>1</v>
      </c>
      <c r="G259" s="22">
        <v>1</v>
      </c>
      <c r="H259" s="22"/>
      <c r="I259" s="22">
        <f t="shared" si="22"/>
        <v>1</v>
      </c>
      <c r="J259" s="22">
        <v>1</v>
      </c>
      <c r="K259" s="22"/>
    </row>
    <row r="260" spans="1:11" ht="15.75">
      <c r="A260" s="20" t="s">
        <v>23</v>
      </c>
      <c r="B260" s="17"/>
      <c r="C260" s="22"/>
      <c r="D260" s="22"/>
      <c r="E260" s="22"/>
      <c r="F260" s="22"/>
      <c r="G260" s="68"/>
      <c r="H260" s="68"/>
      <c r="I260" s="68"/>
      <c r="J260" s="68"/>
      <c r="K260" s="68"/>
    </row>
    <row r="261" spans="1:11" ht="31.5">
      <c r="A261" s="21" t="s">
        <v>24</v>
      </c>
      <c r="B261" s="17"/>
      <c r="C261" s="22">
        <f t="shared" si="20"/>
        <v>88701</v>
      </c>
      <c r="D261" s="22">
        <f>(333972/6+730440/6)/2</f>
        <v>88701</v>
      </c>
      <c r="E261" s="22"/>
      <c r="F261" s="22">
        <f t="shared" si="21"/>
        <v>121733.33333333333</v>
      </c>
      <c r="G261" s="22">
        <f>1460800/12</f>
        <v>121733.33333333333</v>
      </c>
      <c r="H261" s="68"/>
      <c r="I261" s="22">
        <f>J261</f>
        <v>121733.33333333333</v>
      </c>
      <c r="J261" s="22">
        <f>1460800/12</f>
        <v>121733.33333333333</v>
      </c>
      <c r="K261" s="68"/>
    </row>
    <row r="262" spans="1:11" ht="31.5">
      <c r="A262" s="21" t="s">
        <v>26</v>
      </c>
      <c r="B262" s="17"/>
      <c r="C262" s="22">
        <f t="shared" si="20"/>
        <v>66702</v>
      </c>
      <c r="D262" s="22">
        <f>(257832/6+542592/6)/2</f>
        <v>66702</v>
      </c>
      <c r="E262" s="22"/>
      <c r="F262" s="22">
        <f t="shared" si="21"/>
        <v>90432</v>
      </c>
      <c r="G262" s="22">
        <f>1085184/12</f>
        <v>90432</v>
      </c>
      <c r="H262" s="68"/>
      <c r="I262" s="22">
        <f>J262</f>
        <v>90432</v>
      </c>
      <c r="J262" s="22">
        <f>1085184/12</f>
        <v>90432</v>
      </c>
      <c r="K262" s="68"/>
    </row>
    <row r="263" spans="1:11" ht="15.75">
      <c r="A263" s="20" t="s">
        <v>9</v>
      </c>
      <c r="B263" s="17"/>
      <c r="C263" s="22"/>
      <c r="D263" s="22"/>
      <c r="E263" s="22"/>
      <c r="F263" s="68"/>
      <c r="G263" s="68"/>
      <c r="H263" s="68"/>
      <c r="I263" s="68"/>
      <c r="J263" s="68"/>
      <c r="K263" s="68"/>
    </row>
    <row r="264" spans="1:11" ht="15.75">
      <c r="A264" s="21" t="s">
        <v>25</v>
      </c>
      <c r="B264" s="17"/>
      <c r="C264" s="22">
        <v>100</v>
      </c>
      <c r="D264" s="22">
        <v>100</v>
      </c>
      <c r="E264" s="22"/>
      <c r="F264" s="22">
        <f>G264</f>
        <v>100</v>
      </c>
      <c r="G264" s="22">
        <v>100</v>
      </c>
      <c r="H264" s="22"/>
      <c r="I264" s="22">
        <f>J264</f>
        <v>100</v>
      </c>
      <c r="J264" s="22">
        <v>100</v>
      </c>
      <c r="K264" s="22"/>
    </row>
    <row r="265" spans="1:11" ht="18.75" customHeight="1">
      <c r="A265" s="246" t="s">
        <v>211</v>
      </c>
      <c r="B265" s="245"/>
      <c r="C265" s="245"/>
      <c r="D265" s="245"/>
      <c r="E265" s="245"/>
      <c r="F265" s="245"/>
      <c r="G265" s="245"/>
      <c r="H265" s="245"/>
      <c r="I265" s="245"/>
      <c r="J265" s="245"/>
      <c r="K265" s="245"/>
    </row>
    <row r="266" spans="1:11" ht="34.5" customHeight="1">
      <c r="A266" s="245" t="s">
        <v>133</v>
      </c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</row>
    <row r="267" spans="1:11" ht="25.5" customHeight="1">
      <c r="A267" s="69" t="s">
        <v>212</v>
      </c>
      <c r="B267" s="34"/>
      <c r="C267" s="245"/>
      <c r="D267" s="248"/>
      <c r="E267" s="248"/>
      <c r="F267" s="248"/>
      <c r="G267" s="248"/>
      <c r="H267" s="248"/>
      <c r="I267" s="248"/>
      <c r="J267" s="248"/>
      <c r="K267" s="248"/>
    </row>
    <row r="268" spans="1:11" ht="16.5">
      <c r="A268" s="46" t="s">
        <v>69</v>
      </c>
      <c r="B268" s="94">
        <f>C268+F268+I268</f>
        <v>7140100</v>
      </c>
      <c r="C268" s="49">
        <f>SUM(C269:C271)</f>
        <v>2221600</v>
      </c>
      <c r="D268" s="49">
        <f aca="true" t="shared" si="23" ref="D268:K268">SUM(D269:D271)</f>
        <v>2191600</v>
      </c>
      <c r="E268" s="49">
        <f t="shared" si="23"/>
        <v>30000</v>
      </c>
      <c r="F268" s="49">
        <f>SUM(F269:F271)</f>
        <v>2380300</v>
      </c>
      <c r="G268" s="49">
        <f>SUM(G269:G271)</f>
        <v>2350300</v>
      </c>
      <c r="H268" s="49">
        <f t="shared" si="23"/>
        <v>30000</v>
      </c>
      <c r="I268" s="49">
        <f t="shared" si="23"/>
        <v>2538200</v>
      </c>
      <c r="J268" s="49">
        <f t="shared" si="23"/>
        <v>2508200</v>
      </c>
      <c r="K268" s="49">
        <f t="shared" si="23"/>
        <v>30000</v>
      </c>
    </row>
    <row r="269" spans="1:26" s="8" customFormat="1" ht="19.5" customHeight="1">
      <c r="A269" s="98" t="s">
        <v>92</v>
      </c>
      <c r="B269" s="19"/>
      <c r="C269" s="48">
        <f>D269+E269</f>
        <v>2016600</v>
      </c>
      <c r="D269" s="48">
        <f>1635500+381100</f>
        <v>2016600</v>
      </c>
      <c r="E269" s="48"/>
      <c r="F269" s="48">
        <f>G269+H269</f>
        <v>2208500</v>
      </c>
      <c r="G269" s="48">
        <f>1790900+417600</f>
        <v>2208500</v>
      </c>
      <c r="H269" s="48"/>
      <c r="I269" s="48">
        <f>J269+K269</f>
        <v>2358600</v>
      </c>
      <c r="J269" s="48">
        <f>1912600+446000</f>
        <v>2358600</v>
      </c>
      <c r="K269" s="37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</row>
    <row r="270" spans="1:26" s="8" customFormat="1" ht="19.5" customHeight="1">
      <c r="A270" s="98" t="s">
        <v>97</v>
      </c>
      <c r="B270" s="19"/>
      <c r="C270" s="78">
        <f>D270+E270</f>
        <v>175000</v>
      </c>
      <c r="D270" s="78">
        <f>133900+41100</f>
        <v>175000</v>
      </c>
      <c r="E270" s="78"/>
      <c r="F270" s="78">
        <f>G270+H270</f>
        <v>141800</v>
      </c>
      <c r="G270" s="78">
        <v>141800</v>
      </c>
      <c r="H270" s="78"/>
      <c r="I270" s="78">
        <f>J270+K270</f>
        <v>149600</v>
      </c>
      <c r="J270" s="78">
        <v>149600</v>
      </c>
      <c r="K270" s="62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s="8" customFormat="1" ht="19.5" customHeight="1">
      <c r="A271" s="98" t="s">
        <v>95</v>
      </c>
      <c r="B271" s="19"/>
      <c r="C271" s="48">
        <f>D271+E271</f>
        <v>30000</v>
      </c>
      <c r="D271" s="48"/>
      <c r="E271" s="48">
        <v>30000</v>
      </c>
      <c r="F271" s="48">
        <f>G271+H271</f>
        <v>30000</v>
      </c>
      <c r="G271" s="48"/>
      <c r="H271" s="48">
        <v>30000</v>
      </c>
      <c r="I271" s="48">
        <f>J271+K271</f>
        <v>30000</v>
      </c>
      <c r="J271" s="48"/>
      <c r="K271" s="48">
        <v>30000</v>
      </c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s="8" customFormat="1" ht="20.25" customHeight="1">
      <c r="A272" s="97" t="s">
        <v>4</v>
      </c>
      <c r="B272" s="19"/>
      <c r="C272" s="48"/>
      <c r="D272" s="48"/>
      <c r="E272" s="48"/>
      <c r="F272" s="48"/>
      <c r="G272" s="48"/>
      <c r="H272" s="48"/>
      <c r="I272" s="48"/>
      <c r="J272" s="48"/>
      <c r="K272" s="37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</row>
    <row r="273" spans="1:26" s="8" customFormat="1" ht="20.25" customHeight="1">
      <c r="A273" s="99" t="s">
        <v>19</v>
      </c>
      <c r="B273" s="25"/>
      <c r="C273" s="26"/>
      <c r="D273" s="26"/>
      <c r="E273" s="26"/>
      <c r="F273" s="26"/>
      <c r="G273" s="26"/>
      <c r="H273" s="26"/>
      <c r="I273" s="26"/>
      <c r="J273" s="26"/>
      <c r="K273" s="27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s="8" customFormat="1" ht="20.25" customHeight="1">
      <c r="A274" s="43" t="s">
        <v>99</v>
      </c>
      <c r="B274" s="25"/>
      <c r="C274" s="28">
        <v>1</v>
      </c>
      <c r="D274" s="28"/>
      <c r="E274" s="28"/>
      <c r="F274" s="28">
        <v>1</v>
      </c>
      <c r="G274" s="28"/>
      <c r="H274" s="28"/>
      <c r="I274" s="28">
        <v>1</v>
      </c>
      <c r="J274" s="26"/>
      <c r="K274" s="27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spans="1:26" s="8" customFormat="1" ht="20.25" customHeight="1" hidden="1">
      <c r="A275" s="99" t="s">
        <v>5</v>
      </c>
      <c r="B275" s="25"/>
      <c r="C275" s="26"/>
      <c r="D275" s="26"/>
      <c r="E275" s="26"/>
      <c r="F275" s="26"/>
      <c r="G275" s="26"/>
      <c r="H275" s="26"/>
      <c r="I275" s="26"/>
      <c r="J275" s="26"/>
      <c r="K275" s="27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spans="1:26" s="8" customFormat="1" ht="19.5" customHeight="1" hidden="1">
      <c r="A276" s="43" t="s">
        <v>143</v>
      </c>
      <c r="B276" s="25"/>
      <c r="C276" s="28">
        <v>2</v>
      </c>
      <c r="D276" s="28"/>
      <c r="E276" s="28"/>
      <c r="F276" s="28">
        <v>2</v>
      </c>
      <c r="G276" s="28"/>
      <c r="H276" s="28"/>
      <c r="I276" s="28">
        <v>2</v>
      </c>
      <c r="J276" s="28"/>
      <c r="K276" s="28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spans="1:26" s="8" customFormat="1" ht="19.5" customHeight="1" hidden="1">
      <c r="A277" s="31" t="s">
        <v>8</v>
      </c>
      <c r="B277" s="25"/>
      <c r="C277" s="26"/>
      <c r="D277" s="26"/>
      <c r="E277" s="26"/>
      <c r="F277" s="28"/>
      <c r="G277" s="26"/>
      <c r="H277" s="26"/>
      <c r="I277" s="28"/>
      <c r="J277" s="26"/>
      <c r="K277" s="27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spans="1:11" ht="16.5" hidden="1">
      <c r="A278" s="30" t="s">
        <v>102</v>
      </c>
      <c r="B278" s="25"/>
      <c r="C278" s="26">
        <f>E271/C276</f>
        <v>15000</v>
      </c>
      <c r="D278" s="26"/>
      <c r="E278" s="26"/>
      <c r="F278" s="26">
        <f>H271/F276</f>
        <v>15000</v>
      </c>
      <c r="G278" s="26"/>
      <c r="H278" s="26"/>
      <c r="I278" s="26">
        <f>K271/I276</f>
        <v>15000</v>
      </c>
      <c r="J278" s="26"/>
      <c r="K278" s="27"/>
    </row>
    <row r="279" spans="1:11" ht="16.5" hidden="1">
      <c r="A279" s="69" t="s">
        <v>9</v>
      </c>
      <c r="B279" s="25"/>
      <c r="C279" s="26"/>
      <c r="D279" s="26"/>
      <c r="E279" s="26"/>
      <c r="F279" s="26"/>
      <c r="G279" s="26"/>
      <c r="H279" s="26"/>
      <c r="I279" s="26"/>
      <c r="J279" s="26"/>
      <c r="K279" s="27"/>
    </row>
    <row r="280" spans="1:11" ht="18.75" customHeight="1">
      <c r="A280" s="115" t="s">
        <v>213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7"/>
    </row>
    <row r="281" spans="1:11" ht="18.75" customHeight="1">
      <c r="A281" s="118" t="s">
        <v>149</v>
      </c>
      <c r="B281" s="259"/>
      <c r="C281" s="259"/>
      <c r="D281" s="259"/>
      <c r="E281" s="259"/>
      <c r="F281" s="259"/>
      <c r="G281" s="259"/>
      <c r="H281" s="259"/>
      <c r="I281" s="259"/>
      <c r="J281" s="259"/>
      <c r="K281" s="259"/>
    </row>
    <row r="282" spans="1:11" ht="16.5">
      <c r="A282" s="198" t="s">
        <v>186</v>
      </c>
      <c r="B282" s="199"/>
      <c r="C282" s="200"/>
      <c r="D282" s="200"/>
      <c r="E282" s="200"/>
      <c r="F282" s="200"/>
      <c r="G282" s="200"/>
      <c r="H282" s="200"/>
      <c r="I282" s="200"/>
      <c r="J282" s="200"/>
      <c r="K282" s="201"/>
    </row>
    <row r="283" spans="1:11" ht="18.75" customHeight="1">
      <c r="A283" s="119" t="s">
        <v>75</v>
      </c>
      <c r="B283" s="121">
        <f>C283+F283+I283</f>
        <v>60162900</v>
      </c>
      <c r="C283" s="122">
        <f aca="true" t="shared" si="24" ref="C283:C290">D283+E283</f>
        <v>20054300</v>
      </c>
      <c r="D283" s="121">
        <v>0</v>
      </c>
      <c r="E283" s="186">
        <f>E285+E286+E287+E288+E289+E290+E284</f>
        <v>20054300</v>
      </c>
      <c r="F283" s="186">
        <f aca="true" t="shared" si="25" ref="F283:F290">G283+H283</f>
        <v>20054300</v>
      </c>
      <c r="G283" s="187"/>
      <c r="H283" s="186">
        <f>H285+H286+H287+H288+H289+H290+H284</f>
        <v>20054300</v>
      </c>
      <c r="I283" s="186">
        <f aca="true" t="shared" si="26" ref="I283:I290">J283+K283</f>
        <v>20054300</v>
      </c>
      <c r="J283" s="187"/>
      <c r="K283" s="186">
        <f>K285+K286+K287+K288+K289+K290+K284</f>
        <v>20054300</v>
      </c>
    </row>
    <row r="284" spans="1:11" ht="22.5" customHeight="1">
      <c r="A284" s="209" t="s">
        <v>181</v>
      </c>
      <c r="B284" s="123"/>
      <c r="C284" s="48">
        <f t="shared" si="24"/>
        <v>5300000</v>
      </c>
      <c r="D284" s="124"/>
      <c r="E284" s="125">
        <v>5300000</v>
      </c>
      <c r="F284" s="48">
        <f t="shared" si="25"/>
        <v>5300000</v>
      </c>
      <c r="G284" s="124"/>
      <c r="H284" s="125">
        <v>5300000</v>
      </c>
      <c r="I284" s="48">
        <f t="shared" si="26"/>
        <v>5300000</v>
      </c>
      <c r="J284" s="124"/>
      <c r="K284" s="125">
        <v>5300000</v>
      </c>
    </row>
    <row r="285" spans="1:12" ht="22.5" customHeight="1">
      <c r="A285" s="209" t="s">
        <v>182</v>
      </c>
      <c r="B285" s="120"/>
      <c r="C285" s="48">
        <f t="shared" si="24"/>
        <v>1800000</v>
      </c>
      <c r="D285" s="193"/>
      <c r="E285" s="193">
        <v>1800000</v>
      </c>
      <c r="F285" s="48">
        <f t="shared" si="25"/>
        <v>1800000</v>
      </c>
      <c r="G285" s="193"/>
      <c r="H285" s="193">
        <v>1800000</v>
      </c>
      <c r="I285" s="48">
        <f t="shared" si="26"/>
        <v>1800000</v>
      </c>
      <c r="J285" s="193"/>
      <c r="K285" s="193">
        <v>1800000</v>
      </c>
      <c r="L285" s="179"/>
    </row>
    <row r="286" spans="1:12" ht="22.5" customHeight="1">
      <c r="A286" s="209" t="s">
        <v>183</v>
      </c>
      <c r="B286" s="120"/>
      <c r="C286" s="48">
        <f t="shared" si="24"/>
        <v>1500000</v>
      </c>
      <c r="D286" s="193"/>
      <c r="E286" s="193">
        <v>1500000</v>
      </c>
      <c r="F286" s="48">
        <f t="shared" si="25"/>
        <v>1500000</v>
      </c>
      <c r="G286" s="185"/>
      <c r="H286" s="193">
        <v>1500000</v>
      </c>
      <c r="I286" s="48">
        <f t="shared" si="26"/>
        <v>1500000</v>
      </c>
      <c r="J286" s="185"/>
      <c r="K286" s="193">
        <v>1500000</v>
      </c>
      <c r="L286" s="179"/>
    </row>
    <row r="287" spans="1:12" ht="22.5" customHeight="1">
      <c r="A287" s="214" t="s">
        <v>214</v>
      </c>
      <c r="B287" s="120"/>
      <c r="C287" s="48">
        <f t="shared" si="24"/>
        <v>2554300</v>
      </c>
      <c r="D287" s="193"/>
      <c r="E287" s="193">
        <v>2554300</v>
      </c>
      <c r="F287" s="48">
        <f t="shared" si="25"/>
        <v>2554300</v>
      </c>
      <c r="G287" s="185"/>
      <c r="H287" s="193">
        <v>2554300</v>
      </c>
      <c r="I287" s="48">
        <f t="shared" si="26"/>
        <v>2554300</v>
      </c>
      <c r="J287" s="185"/>
      <c r="K287" s="193">
        <v>2554300</v>
      </c>
      <c r="L287" s="179"/>
    </row>
    <row r="288" spans="1:12" ht="34.5" customHeight="1">
      <c r="A288" s="209" t="s">
        <v>184</v>
      </c>
      <c r="B288" s="120"/>
      <c r="C288" s="48">
        <f t="shared" si="24"/>
        <v>3100000</v>
      </c>
      <c r="D288" s="193"/>
      <c r="E288" s="193">
        <v>3100000</v>
      </c>
      <c r="F288" s="48">
        <f t="shared" si="25"/>
        <v>3100000</v>
      </c>
      <c r="G288" s="185"/>
      <c r="H288" s="193">
        <v>3100000</v>
      </c>
      <c r="I288" s="48">
        <f t="shared" si="26"/>
        <v>3100000</v>
      </c>
      <c r="J288" s="185"/>
      <c r="K288" s="193">
        <v>3100000</v>
      </c>
      <c r="L288" s="179"/>
    </row>
    <row r="289" spans="1:12" ht="37.5" customHeight="1">
      <c r="A289" s="209" t="s">
        <v>185</v>
      </c>
      <c r="B289" s="120"/>
      <c r="C289" s="48">
        <f t="shared" si="24"/>
        <v>600000</v>
      </c>
      <c r="D289" s="193"/>
      <c r="E289" s="193">
        <v>600000</v>
      </c>
      <c r="F289" s="48">
        <f t="shared" si="25"/>
        <v>600000</v>
      </c>
      <c r="G289" s="185"/>
      <c r="H289" s="193">
        <v>600000</v>
      </c>
      <c r="I289" s="48">
        <f t="shared" si="26"/>
        <v>600000</v>
      </c>
      <c r="J289" s="185"/>
      <c r="K289" s="193">
        <v>600000</v>
      </c>
      <c r="L289" s="179"/>
    </row>
    <row r="290" spans="1:12" ht="31.5" customHeight="1">
      <c r="A290" s="217" t="s">
        <v>221</v>
      </c>
      <c r="B290" s="120"/>
      <c r="C290" s="48">
        <f t="shared" si="24"/>
        <v>5200000</v>
      </c>
      <c r="D290" s="193"/>
      <c r="E290" s="193">
        <v>5200000</v>
      </c>
      <c r="F290" s="48">
        <f t="shared" si="25"/>
        <v>5200000</v>
      </c>
      <c r="G290" s="185"/>
      <c r="H290" s="193">
        <v>5200000</v>
      </c>
      <c r="I290" s="48">
        <f t="shared" si="26"/>
        <v>5200000</v>
      </c>
      <c r="J290" s="185"/>
      <c r="K290" s="193">
        <v>5200000</v>
      </c>
      <c r="L290" s="179"/>
    </row>
    <row r="291" spans="1:11" ht="18.75" customHeight="1" hidden="1">
      <c r="A291" s="43" t="s">
        <v>4</v>
      </c>
      <c r="B291" s="120"/>
      <c r="C291" s="120"/>
      <c r="D291" s="120"/>
      <c r="E291" s="120"/>
      <c r="F291" s="194"/>
      <c r="G291" s="194"/>
      <c r="H291" s="194"/>
      <c r="I291" s="194"/>
      <c r="J291" s="194"/>
      <c r="K291" s="194"/>
    </row>
    <row r="292" spans="1:11" ht="18.75" customHeight="1" hidden="1">
      <c r="A292" s="180" t="s">
        <v>19</v>
      </c>
      <c r="B292" s="120"/>
      <c r="C292" s="120"/>
      <c r="D292" s="120"/>
      <c r="E292" s="120"/>
      <c r="F292" s="194"/>
      <c r="G292" s="194"/>
      <c r="H292" s="194"/>
      <c r="I292" s="194"/>
      <c r="J292" s="194"/>
      <c r="K292" s="194"/>
    </row>
    <row r="293" spans="1:11" ht="18.75" customHeight="1" hidden="1">
      <c r="A293" s="43" t="s">
        <v>173</v>
      </c>
      <c r="B293" s="120"/>
      <c r="C293" s="120"/>
      <c r="D293" s="120"/>
      <c r="E293" s="120"/>
      <c r="F293" s="193">
        <f>H293</f>
        <v>80</v>
      </c>
      <c r="G293" s="193"/>
      <c r="H293" s="193">
        <v>80</v>
      </c>
      <c r="I293" s="193">
        <f>K293</f>
        <v>82</v>
      </c>
      <c r="J293" s="193"/>
      <c r="K293" s="193">
        <v>82</v>
      </c>
    </row>
    <row r="294" spans="1:11" ht="33" customHeight="1" hidden="1">
      <c r="A294" s="43" t="s">
        <v>175</v>
      </c>
      <c r="B294" s="120"/>
      <c r="C294" s="120"/>
      <c r="D294" s="120"/>
      <c r="E294" s="120"/>
      <c r="F294" s="193">
        <f>H294</f>
        <v>63</v>
      </c>
      <c r="G294" s="193"/>
      <c r="H294" s="193">
        <v>63</v>
      </c>
      <c r="I294" s="193">
        <f>K294</f>
        <v>82</v>
      </c>
      <c r="J294" s="194"/>
      <c r="K294" s="193">
        <v>82</v>
      </c>
    </row>
    <row r="295" spans="1:11" ht="30" customHeight="1" hidden="1">
      <c r="A295" s="43" t="s">
        <v>174</v>
      </c>
      <c r="B295" s="120"/>
      <c r="C295" s="120"/>
      <c r="D295" s="120"/>
      <c r="E295" s="120"/>
      <c r="F295" s="193">
        <f>H295</f>
        <v>73</v>
      </c>
      <c r="G295" s="194"/>
      <c r="H295" s="193">
        <v>73</v>
      </c>
      <c r="I295" s="193">
        <f>K295</f>
        <v>66</v>
      </c>
      <c r="J295" s="193"/>
      <c r="K295" s="193">
        <v>66</v>
      </c>
    </row>
    <row r="296" spans="1:11" ht="18.75" customHeight="1" hidden="1">
      <c r="A296" s="183" t="s">
        <v>5</v>
      </c>
      <c r="B296" s="120"/>
      <c r="C296" s="120"/>
      <c r="D296" s="120"/>
      <c r="E296" s="120"/>
      <c r="F296" s="194"/>
      <c r="G296" s="194"/>
      <c r="H296" s="194"/>
      <c r="I296" s="194"/>
      <c r="J296" s="194"/>
      <c r="K296" s="194"/>
    </row>
    <row r="297" spans="1:11" ht="18.75" customHeight="1" hidden="1">
      <c r="A297" s="43" t="s">
        <v>77</v>
      </c>
      <c r="B297" s="120"/>
      <c r="C297" s="120"/>
      <c r="D297" s="120"/>
      <c r="E297" s="120"/>
      <c r="F297" s="193">
        <f>H297</f>
        <v>63</v>
      </c>
      <c r="G297" s="194"/>
      <c r="H297" s="193">
        <v>63</v>
      </c>
      <c r="I297" s="193">
        <f>K297</f>
        <v>81</v>
      </c>
      <c r="J297" s="193"/>
      <c r="K297" s="193">
        <v>81</v>
      </c>
    </row>
    <row r="298" spans="1:11" ht="33.75" customHeight="1" hidden="1">
      <c r="A298" s="43" t="s">
        <v>176</v>
      </c>
      <c r="B298" s="120"/>
      <c r="C298" s="120"/>
      <c r="D298" s="120"/>
      <c r="E298" s="120"/>
      <c r="F298" s="193">
        <f>H298</f>
        <v>9</v>
      </c>
      <c r="G298" s="193"/>
      <c r="H298" s="193">
        <v>9</v>
      </c>
      <c r="I298" s="193">
        <f>K298</f>
        <v>7</v>
      </c>
      <c r="J298" s="193"/>
      <c r="K298" s="193">
        <v>7</v>
      </c>
    </row>
    <row r="299" spans="1:11" ht="18.75" customHeight="1" hidden="1">
      <c r="A299" s="31" t="s">
        <v>8</v>
      </c>
      <c r="B299" s="120"/>
      <c r="C299" s="120"/>
      <c r="D299" s="120"/>
      <c r="E299" s="120"/>
      <c r="F299" s="195"/>
      <c r="G299" s="184"/>
      <c r="H299" s="195"/>
      <c r="I299" s="120"/>
      <c r="J299" s="120"/>
      <c r="K299" s="120"/>
    </row>
    <row r="300" spans="1:11" ht="18.75" customHeight="1" hidden="1">
      <c r="A300" s="30" t="s">
        <v>145</v>
      </c>
      <c r="B300" s="120"/>
      <c r="C300" s="120"/>
      <c r="D300" s="120"/>
      <c r="E300" s="120"/>
      <c r="F300" s="195">
        <f>H300</f>
        <v>28571.428571428572</v>
      </c>
      <c r="G300" s="184"/>
      <c r="H300" s="195">
        <f>H285/H297</f>
        <v>28571.428571428572</v>
      </c>
      <c r="I300" s="195">
        <f>K300</f>
        <v>220493.82716049382</v>
      </c>
      <c r="J300" s="184"/>
      <c r="K300" s="195">
        <f>17860000/81</f>
        <v>220493.82716049382</v>
      </c>
    </row>
    <row r="301" spans="1:11" ht="35.25" customHeight="1" hidden="1">
      <c r="A301" s="30" t="s">
        <v>187</v>
      </c>
      <c r="B301" s="120"/>
      <c r="C301" s="120"/>
      <c r="D301" s="120"/>
      <c r="E301" s="120"/>
      <c r="F301" s="196">
        <f>H301</f>
        <v>166666.66666666666</v>
      </c>
      <c r="G301" s="193"/>
      <c r="H301" s="196">
        <f>H286/H298</f>
        <v>166666.66666666666</v>
      </c>
      <c r="I301" s="196">
        <f>K301</f>
        <v>742857.1428571428</v>
      </c>
      <c r="J301" s="193"/>
      <c r="K301" s="196">
        <f>K290/K298</f>
        <v>742857.1428571428</v>
      </c>
    </row>
    <row r="302" spans="1:11" ht="18.75" customHeight="1" hidden="1">
      <c r="A302" s="81" t="s">
        <v>7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1:11" ht="32.25" customHeight="1" hidden="1">
      <c r="A303" s="21" t="s">
        <v>178</v>
      </c>
      <c r="B303" s="120"/>
      <c r="C303" s="120"/>
      <c r="D303" s="120"/>
      <c r="E303" s="120"/>
      <c r="F303" s="196">
        <f>H303</f>
        <v>78.75</v>
      </c>
      <c r="G303" s="193"/>
      <c r="H303" s="196">
        <f>H297/H293*100</f>
        <v>78.75</v>
      </c>
      <c r="I303" s="196">
        <f>K303</f>
        <v>98.78048780487805</v>
      </c>
      <c r="J303" s="120"/>
      <c r="K303" s="196">
        <f>K297/K293*100</f>
        <v>98.78048780487805</v>
      </c>
    </row>
    <row r="304" spans="1:11" ht="32.25" customHeight="1" hidden="1">
      <c r="A304" s="43" t="s">
        <v>177</v>
      </c>
      <c r="B304" s="120"/>
      <c r="C304" s="120"/>
      <c r="D304" s="120"/>
      <c r="E304" s="120"/>
      <c r="F304" s="196">
        <f>H304</f>
        <v>12.32876712328767</v>
      </c>
      <c r="G304" s="193"/>
      <c r="H304" s="196">
        <f>H298/H295*100</f>
        <v>12.32876712328767</v>
      </c>
      <c r="I304" s="196">
        <f>K304</f>
        <v>10.606060606060606</v>
      </c>
      <c r="J304" s="120"/>
      <c r="K304" s="196">
        <f>K298/K295*100</f>
        <v>10.606060606060606</v>
      </c>
    </row>
    <row r="305" spans="1:11" ht="15.75">
      <c r="A305" s="115" t="s">
        <v>215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7"/>
    </row>
    <row r="306" spans="1:11" ht="15.75">
      <c r="A306" s="118" t="s">
        <v>216</v>
      </c>
      <c r="B306" s="259"/>
      <c r="C306" s="259"/>
      <c r="D306" s="259"/>
      <c r="E306" s="259"/>
      <c r="F306" s="259"/>
      <c r="G306" s="259"/>
      <c r="H306" s="259"/>
      <c r="I306" s="259"/>
      <c r="J306" s="259"/>
      <c r="K306" s="259"/>
    </row>
    <row r="307" spans="1:11" ht="15.75">
      <c r="A307" s="128" t="s">
        <v>192</v>
      </c>
      <c r="B307" s="127"/>
      <c r="C307" s="127"/>
      <c r="D307" s="127"/>
      <c r="E307" s="127"/>
      <c r="F307" s="126"/>
      <c r="G307" s="126"/>
      <c r="H307" s="126"/>
      <c r="I307" s="126"/>
      <c r="J307" s="126"/>
      <c r="K307" s="126"/>
    </row>
    <row r="308" spans="1:11" ht="15.75">
      <c r="A308" s="119" t="s">
        <v>75</v>
      </c>
      <c r="B308" s="121">
        <f>C308+F308+I308</f>
        <v>243800000</v>
      </c>
      <c r="C308" s="122">
        <f>D308+E308</f>
        <v>76000000</v>
      </c>
      <c r="D308" s="186">
        <f>D309+D310+D311+D312</f>
        <v>76000000</v>
      </c>
      <c r="E308" s="121">
        <f>E309</f>
        <v>0</v>
      </c>
      <c r="F308" s="122">
        <f>G308+H308</f>
        <v>81600000</v>
      </c>
      <c r="G308" s="186">
        <f>G309+G310+G311+G312</f>
        <v>81600000</v>
      </c>
      <c r="H308" s="187"/>
      <c r="I308" s="122">
        <f>J308+K308</f>
        <v>86200000</v>
      </c>
      <c r="J308" s="186">
        <f>J309+J310+J311+J312</f>
        <v>86200000</v>
      </c>
      <c r="K308" s="186">
        <f>K309+K310+K311+K312</f>
        <v>0</v>
      </c>
    </row>
    <row r="309" spans="1:11" ht="56.25" customHeight="1">
      <c r="A309" s="204" t="s">
        <v>179</v>
      </c>
      <c r="B309" s="123"/>
      <c r="C309" s="124"/>
      <c r="D309" s="125">
        <f>67000000+9000000</f>
        <v>76000000</v>
      </c>
      <c r="E309" s="125"/>
      <c r="F309" s="125"/>
      <c r="G309" s="125">
        <f>72600000+9000000</f>
        <v>81600000</v>
      </c>
      <c r="H309" s="125"/>
      <c r="I309" s="125">
        <f>J309+K309</f>
        <v>86200000</v>
      </c>
      <c r="J309" s="125">
        <f>77200000+9000000</f>
        <v>86200000</v>
      </c>
      <c r="K309" s="125"/>
    </row>
    <row r="310" spans="1:11" ht="71.25" customHeight="1" hidden="1">
      <c r="A310" s="202" t="s">
        <v>188</v>
      </c>
      <c r="B310" s="123"/>
      <c r="C310" s="124"/>
      <c r="D310" s="124"/>
      <c r="E310" s="125"/>
      <c r="F310" s="124"/>
      <c r="G310" s="124"/>
      <c r="H310" s="124"/>
      <c r="I310" s="125">
        <f>J310+K310</f>
        <v>0</v>
      </c>
      <c r="J310" s="125"/>
      <c r="K310" s="125"/>
    </row>
    <row r="311" spans="1:11" ht="54" customHeight="1" hidden="1">
      <c r="A311" s="202" t="s">
        <v>189</v>
      </c>
      <c r="B311" s="123"/>
      <c r="C311" s="124"/>
      <c r="D311" s="124"/>
      <c r="E311" s="125"/>
      <c r="F311" s="124"/>
      <c r="G311" s="124"/>
      <c r="H311" s="124"/>
      <c r="I311" s="125">
        <f>J311+K311</f>
        <v>0</v>
      </c>
      <c r="J311" s="125"/>
      <c r="K311" s="125"/>
    </row>
    <row r="312" spans="1:11" ht="63.75" customHeight="1" hidden="1">
      <c r="A312" s="202" t="s">
        <v>190</v>
      </c>
      <c r="B312" s="123"/>
      <c r="C312" s="124"/>
      <c r="D312" s="124"/>
      <c r="E312" s="125"/>
      <c r="F312" s="124"/>
      <c r="G312" s="124"/>
      <c r="H312" s="124"/>
      <c r="I312" s="125">
        <f>J312+K312</f>
        <v>0</v>
      </c>
      <c r="J312" s="125"/>
      <c r="K312" s="125"/>
    </row>
    <row r="313" spans="1:11" ht="19.5" customHeight="1">
      <c r="A313" s="234" t="s">
        <v>217</v>
      </c>
      <c r="B313" s="235"/>
      <c r="C313" s="235"/>
      <c r="D313" s="235"/>
      <c r="E313" s="235"/>
      <c r="F313" s="235"/>
      <c r="G313" s="235"/>
      <c r="H313" s="235"/>
      <c r="I313" s="235"/>
      <c r="J313" s="235"/>
      <c r="K313" s="236"/>
    </row>
    <row r="314" spans="1:11" ht="19.5" customHeight="1">
      <c r="A314" s="237" t="s">
        <v>135</v>
      </c>
      <c r="B314" s="238"/>
      <c r="C314" s="238"/>
      <c r="D314" s="238"/>
      <c r="E314" s="238"/>
      <c r="F314" s="238"/>
      <c r="G314" s="238"/>
      <c r="H314" s="238"/>
      <c r="I314" s="238"/>
      <c r="J314" s="238"/>
      <c r="K314" s="239"/>
    </row>
    <row r="315" spans="1:11" ht="18.75" customHeight="1">
      <c r="A315" s="81" t="s">
        <v>218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9.5" customHeight="1">
      <c r="A316" s="228" t="s">
        <v>6</v>
      </c>
      <c r="B316" s="229">
        <f>C316+F316+I316</f>
        <v>20100000</v>
      </c>
      <c r="C316" s="229">
        <f>D316+E316</f>
        <v>6700000</v>
      </c>
      <c r="D316" s="229"/>
      <c r="E316" s="229">
        <v>6700000</v>
      </c>
      <c r="F316" s="229">
        <f>G316+H316</f>
        <v>6700000</v>
      </c>
      <c r="G316" s="229"/>
      <c r="H316" s="229">
        <v>6700000</v>
      </c>
      <c r="I316" s="229">
        <f>J316+K316</f>
        <v>6700000</v>
      </c>
      <c r="J316" s="229"/>
      <c r="K316" s="229">
        <v>6700000</v>
      </c>
    </row>
    <row r="317" spans="1:11" ht="31.5">
      <c r="A317" s="218" t="s">
        <v>136</v>
      </c>
      <c r="B317" s="230"/>
      <c r="C317" s="230">
        <f>D317+E317</f>
        <v>6700000</v>
      </c>
      <c r="D317" s="230"/>
      <c r="E317" s="230">
        <v>6700000</v>
      </c>
      <c r="F317" s="230">
        <f>G317+H317</f>
        <v>6700000</v>
      </c>
      <c r="G317" s="231"/>
      <c r="H317" s="231">
        <v>6700000</v>
      </c>
      <c r="I317" s="230">
        <f>J317+K317</f>
        <v>6700000</v>
      </c>
      <c r="J317" s="230"/>
      <c r="K317" s="230">
        <v>6700000</v>
      </c>
    </row>
    <row r="318" spans="1:11" ht="15.75" hidden="1">
      <c r="A318" s="59" t="s">
        <v>4</v>
      </c>
      <c r="B318" s="100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5.75" hidden="1">
      <c r="A319" s="101" t="s">
        <v>19</v>
      </c>
      <c r="B319" s="100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5.75" hidden="1">
      <c r="A320" s="59" t="s">
        <v>137</v>
      </c>
      <c r="B320" s="100"/>
      <c r="C320" s="105"/>
      <c r="D320" s="21"/>
      <c r="E320" s="21"/>
      <c r="F320" s="21"/>
      <c r="G320" s="21"/>
      <c r="H320" s="21"/>
      <c r="I320" s="102"/>
      <c r="J320" s="21"/>
      <c r="K320" s="21"/>
    </row>
    <row r="321" spans="1:11" ht="31.5" hidden="1">
      <c r="A321" s="59" t="s">
        <v>138</v>
      </c>
      <c r="B321" s="100"/>
      <c r="C321" s="105"/>
      <c r="D321" s="21"/>
      <c r="E321" s="21"/>
      <c r="F321" s="21"/>
      <c r="G321" s="21"/>
      <c r="H321" s="105"/>
      <c r="I321" s="103"/>
      <c r="J321" s="105"/>
      <c r="K321" s="105"/>
    </row>
    <row r="322" spans="1:11" ht="15.75" hidden="1">
      <c r="A322" s="20" t="s">
        <v>5</v>
      </c>
      <c r="B322" s="100"/>
      <c r="C322" s="21"/>
      <c r="D322" s="21"/>
      <c r="E322" s="21"/>
      <c r="F322" s="21"/>
      <c r="G322" s="21"/>
      <c r="H322" s="21"/>
      <c r="I322" s="105"/>
      <c r="J322" s="105"/>
      <c r="K322" s="105"/>
    </row>
    <row r="323" spans="1:11" ht="15.75" hidden="1">
      <c r="A323" s="43" t="s">
        <v>142</v>
      </c>
      <c r="B323" s="21"/>
      <c r="C323" s="105"/>
      <c r="D323" s="21"/>
      <c r="E323" s="21"/>
      <c r="F323" s="21"/>
      <c r="G323" s="21"/>
      <c r="H323" s="21"/>
      <c r="I323" s="104"/>
      <c r="J323" s="105"/>
      <c r="K323" s="105"/>
    </row>
    <row r="324" spans="1:11" ht="15.75" hidden="1">
      <c r="A324" s="43" t="s">
        <v>77</v>
      </c>
      <c r="B324" s="21"/>
      <c r="C324" s="105"/>
      <c r="D324" s="21"/>
      <c r="E324" s="21"/>
      <c r="F324" s="21"/>
      <c r="G324" s="21"/>
      <c r="H324" s="105"/>
      <c r="I324" s="104"/>
      <c r="J324" s="105"/>
      <c r="K324" s="105"/>
    </row>
    <row r="325" spans="1:11" ht="15.75" hidden="1">
      <c r="A325" s="31" t="s">
        <v>8</v>
      </c>
      <c r="B325" s="21"/>
      <c r="C325" s="21"/>
      <c r="D325" s="21"/>
      <c r="E325" s="21"/>
      <c r="F325" s="21"/>
      <c r="G325" s="21"/>
      <c r="H325" s="21"/>
      <c r="I325" s="103"/>
      <c r="J325" s="105"/>
      <c r="K325" s="105"/>
    </row>
    <row r="326" spans="1:11" ht="18.75" customHeight="1" hidden="1">
      <c r="A326" s="30" t="s">
        <v>144</v>
      </c>
      <c r="B326" s="21"/>
      <c r="C326" s="105"/>
      <c r="D326" s="21"/>
      <c r="E326" s="21"/>
      <c r="F326" s="21"/>
      <c r="G326" s="21"/>
      <c r="H326" s="21"/>
      <c r="I326" s="103"/>
      <c r="J326" s="21"/>
      <c r="K326" s="21"/>
    </row>
    <row r="327" spans="1:11" ht="18.75" customHeight="1" hidden="1">
      <c r="A327" s="30" t="s">
        <v>145</v>
      </c>
      <c r="B327" s="21"/>
      <c r="C327" s="105"/>
      <c r="D327" s="21"/>
      <c r="E327" s="21"/>
      <c r="F327" s="21"/>
      <c r="G327" s="21"/>
      <c r="H327" s="102"/>
      <c r="I327" s="103"/>
      <c r="J327" s="21"/>
      <c r="K327" s="102"/>
    </row>
    <row r="328" spans="1:11" ht="19.5" customHeight="1">
      <c r="A328" s="234" t="s">
        <v>219</v>
      </c>
      <c r="B328" s="235"/>
      <c r="C328" s="235"/>
      <c r="D328" s="235"/>
      <c r="E328" s="235"/>
      <c r="F328" s="235"/>
      <c r="G328" s="235"/>
      <c r="H328" s="235"/>
      <c r="I328" s="235"/>
      <c r="J328" s="235"/>
      <c r="K328" s="236"/>
    </row>
    <row r="329" spans="1:11" ht="19.5" customHeight="1">
      <c r="A329" s="237" t="s">
        <v>226</v>
      </c>
      <c r="B329" s="238"/>
      <c r="C329" s="238"/>
      <c r="D329" s="238"/>
      <c r="E329" s="238"/>
      <c r="F329" s="238"/>
      <c r="G329" s="238"/>
      <c r="H329" s="238"/>
      <c r="I329" s="238"/>
      <c r="J329" s="238"/>
      <c r="K329" s="239"/>
    </row>
    <row r="330" spans="1:11" ht="18.75" customHeight="1">
      <c r="A330" s="81" t="s">
        <v>220</v>
      </c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9.5" customHeight="1">
      <c r="A331" s="228" t="s">
        <v>6</v>
      </c>
      <c r="B331" s="106">
        <f>C331+F331+I331</f>
        <v>1753000</v>
      </c>
      <c r="C331" s="106">
        <f>D331+E331</f>
        <v>1753000</v>
      </c>
      <c r="D331" s="106"/>
      <c r="E331" s="106">
        <v>1753000</v>
      </c>
      <c r="F331" s="106">
        <f>G331+H331</f>
        <v>0</v>
      </c>
      <c r="G331" s="106"/>
      <c r="H331" s="106">
        <v>0</v>
      </c>
      <c r="I331" s="106">
        <f>J331+K331</f>
        <v>0</v>
      </c>
      <c r="J331" s="106"/>
      <c r="K331" s="106">
        <v>0</v>
      </c>
    </row>
    <row r="332" spans="1:11" ht="15.75">
      <c r="A332" s="232" t="s">
        <v>136</v>
      </c>
      <c r="B332" s="230"/>
      <c r="C332" s="230">
        <f>D332+E332</f>
        <v>1753000</v>
      </c>
      <c r="D332" s="230"/>
      <c r="E332" s="230">
        <v>1753000</v>
      </c>
      <c r="F332" s="230">
        <f>G332+H332</f>
        <v>0</v>
      </c>
      <c r="G332" s="231"/>
      <c r="H332" s="231">
        <v>0</v>
      </c>
      <c r="I332" s="230">
        <f>J332+K332</f>
        <v>0</v>
      </c>
      <c r="J332" s="230"/>
      <c r="K332" s="230">
        <v>0</v>
      </c>
    </row>
    <row r="333" spans="1:11" ht="15.75" hidden="1">
      <c r="A333" s="59" t="s">
        <v>4</v>
      </c>
      <c r="B333" s="100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5.75" hidden="1">
      <c r="A334" s="101" t="s">
        <v>19</v>
      </c>
      <c r="B334" s="100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5.75" hidden="1">
      <c r="A335" s="59" t="s">
        <v>137</v>
      </c>
      <c r="B335" s="100"/>
      <c r="C335" s="105"/>
      <c r="D335" s="21"/>
      <c r="E335" s="21"/>
      <c r="F335" s="21"/>
      <c r="G335" s="21"/>
      <c r="H335" s="21"/>
      <c r="I335" s="102"/>
      <c r="J335" s="21"/>
      <c r="K335" s="21"/>
    </row>
    <row r="336" spans="1:11" ht="31.5" hidden="1">
      <c r="A336" s="59" t="s">
        <v>138</v>
      </c>
      <c r="B336" s="100"/>
      <c r="C336" s="105"/>
      <c r="D336" s="21"/>
      <c r="E336" s="21"/>
      <c r="F336" s="21"/>
      <c r="G336" s="21"/>
      <c r="H336" s="105"/>
      <c r="I336" s="103"/>
      <c r="J336" s="105"/>
      <c r="K336" s="105"/>
    </row>
    <row r="337" spans="1:11" ht="15.75" hidden="1">
      <c r="A337" s="20" t="s">
        <v>5</v>
      </c>
      <c r="B337" s="100"/>
      <c r="C337" s="21"/>
      <c r="D337" s="21"/>
      <c r="E337" s="21"/>
      <c r="F337" s="21"/>
      <c r="G337" s="21"/>
      <c r="H337" s="21"/>
      <c r="I337" s="105"/>
      <c r="J337" s="105"/>
      <c r="K337" s="105"/>
    </row>
    <row r="338" spans="1:11" ht="15.75" hidden="1">
      <c r="A338" s="43" t="s">
        <v>142</v>
      </c>
      <c r="B338" s="21"/>
      <c r="C338" s="105"/>
      <c r="D338" s="21"/>
      <c r="E338" s="21"/>
      <c r="F338" s="21"/>
      <c r="G338" s="21"/>
      <c r="H338" s="21"/>
      <c r="I338" s="104"/>
      <c r="J338" s="105"/>
      <c r="K338" s="105"/>
    </row>
    <row r="339" spans="1:11" ht="15.75" hidden="1">
      <c r="A339" s="43" t="s">
        <v>77</v>
      </c>
      <c r="B339" s="21"/>
      <c r="C339" s="105"/>
      <c r="D339" s="21"/>
      <c r="E339" s="21"/>
      <c r="F339" s="21"/>
      <c r="G339" s="21"/>
      <c r="H339" s="105"/>
      <c r="I339" s="104"/>
      <c r="J339" s="105"/>
      <c r="K339" s="105"/>
    </row>
    <row r="340" spans="1:11" ht="15.75" hidden="1">
      <c r="A340" s="31" t="s">
        <v>8</v>
      </c>
      <c r="B340" s="21"/>
      <c r="C340" s="21"/>
      <c r="D340" s="21"/>
      <c r="E340" s="21"/>
      <c r="F340" s="21"/>
      <c r="G340" s="21"/>
      <c r="H340" s="21"/>
      <c r="I340" s="103"/>
      <c r="J340" s="105"/>
      <c r="K340" s="105"/>
    </row>
    <row r="341" spans="1:11" ht="18.75" customHeight="1" hidden="1">
      <c r="A341" s="30" t="s">
        <v>144</v>
      </c>
      <c r="B341" s="21"/>
      <c r="C341" s="105"/>
      <c r="D341" s="21"/>
      <c r="E341" s="21"/>
      <c r="F341" s="21"/>
      <c r="G341" s="21"/>
      <c r="H341" s="21"/>
      <c r="I341" s="103"/>
      <c r="J341" s="21"/>
      <c r="K341" s="21"/>
    </row>
    <row r="342" spans="1:11" ht="18.75" customHeight="1" hidden="1">
      <c r="A342" s="30" t="s">
        <v>145</v>
      </c>
      <c r="B342" s="21"/>
      <c r="C342" s="105"/>
      <c r="D342" s="21"/>
      <c r="E342" s="21"/>
      <c r="F342" s="21"/>
      <c r="G342" s="21"/>
      <c r="H342" s="102"/>
      <c r="I342" s="103"/>
      <c r="J342" s="21"/>
      <c r="K342" s="102"/>
    </row>
    <row r="343" ht="12.75">
      <c r="D343" s="210"/>
    </row>
    <row r="344" ht="12.75">
      <c r="D344" s="210"/>
    </row>
    <row r="345" spans="1:6" ht="18.75">
      <c r="A345" s="189" t="s">
        <v>236</v>
      </c>
      <c r="B345" s="190"/>
      <c r="C345" s="190"/>
      <c r="D345" s="190"/>
      <c r="E345" s="191" t="s">
        <v>141</v>
      </c>
      <c r="F345" s="191" t="s">
        <v>237</v>
      </c>
    </row>
    <row r="346" spans="1:6" ht="18.75">
      <c r="A346" s="189"/>
      <c r="B346" s="190"/>
      <c r="C346" s="190"/>
      <c r="D346" s="190"/>
      <c r="E346" s="191"/>
      <c r="F346" s="191"/>
    </row>
    <row r="347" spans="1:2" ht="15.75">
      <c r="A347" s="112" t="s">
        <v>238</v>
      </c>
      <c r="B347"/>
    </row>
    <row r="348" spans="1:2" ht="15.75">
      <c r="A348" s="112" t="s">
        <v>231</v>
      </c>
      <c r="B348"/>
    </row>
    <row r="349" spans="1:2" ht="15.75" hidden="1">
      <c r="A349" s="112" t="s">
        <v>191</v>
      </c>
      <c r="B349"/>
    </row>
    <row r="350" spans="1:2" ht="15.75" hidden="1">
      <c r="A350" s="112" t="s">
        <v>193</v>
      </c>
      <c r="B350"/>
    </row>
    <row r="351" ht="12.75" hidden="1"/>
  </sheetData>
  <sheetProtection/>
  <mergeCells count="48">
    <mergeCell ref="H2:K2"/>
    <mergeCell ref="A313:K313"/>
    <mergeCell ref="A266:K266"/>
    <mergeCell ref="A7:A10"/>
    <mergeCell ref="A121:K121"/>
    <mergeCell ref="A19:K19"/>
    <mergeCell ref="A50:K50"/>
    <mergeCell ref="C9:C10"/>
    <mergeCell ref="A17:K17"/>
    <mergeCell ref="A101:K101"/>
    <mergeCell ref="A314:K314"/>
    <mergeCell ref="B306:K306"/>
    <mergeCell ref="B281:K281"/>
    <mergeCell ref="A265:K265"/>
    <mergeCell ref="C267:K267"/>
    <mergeCell ref="D9:E9"/>
    <mergeCell ref="J9:K9"/>
    <mergeCell ref="F9:F10"/>
    <mergeCell ref="I9:I10"/>
    <mergeCell ref="A122:K122"/>
    <mergeCell ref="N6:Q6"/>
    <mergeCell ref="C7:E8"/>
    <mergeCell ref="F7:H8"/>
    <mergeCell ref="A198:K198"/>
    <mergeCell ref="A18:K18"/>
    <mergeCell ref="H1:J1"/>
    <mergeCell ref="A5:K5"/>
    <mergeCell ref="G9:H9"/>
    <mergeCell ref="I7:K8"/>
    <mergeCell ref="B7:B10"/>
    <mergeCell ref="A102:K102"/>
    <mergeCell ref="A219:K219"/>
    <mergeCell ref="A181:K181"/>
    <mergeCell ref="A245:K245"/>
    <mergeCell ref="C221:K221"/>
    <mergeCell ref="A244:K244"/>
    <mergeCell ref="A164:K164"/>
    <mergeCell ref="A143:K143"/>
    <mergeCell ref="A51:K51"/>
    <mergeCell ref="A328:K328"/>
    <mergeCell ref="A329:K329"/>
    <mergeCell ref="A85:K85"/>
    <mergeCell ref="A86:K86"/>
    <mergeCell ref="A180:K180"/>
    <mergeCell ref="A220:K220"/>
    <mergeCell ref="A199:K199"/>
    <mergeCell ref="A163:K163"/>
    <mergeCell ref="A144:K144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118"/>
  <sheetViews>
    <sheetView zoomScalePageLayoutView="0" workbookViewId="0" topLeftCell="A127">
      <selection activeCell="E94" sqref="E94:H118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52" t="s">
        <v>153</v>
      </c>
      <c r="E1" s="153">
        <v>33</v>
      </c>
      <c r="F1" s="154">
        <v>33</v>
      </c>
    </row>
    <row r="2" spans="4:6" ht="48" customHeight="1" thickBot="1">
      <c r="D2" s="137" t="s">
        <v>154</v>
      </c>
      <c r="E2" s="133">
        <v>18</v>
      </c>
      <c r="F2" s="134">
        <v>18</v>
      </c>
    </row>
    <row r="3" spans="4:8" ht="13.5" thickBot="1">
      <c r="D3" s="129" t="s">
        <v>155</v>
      </c>
      <c r="E3" s="132">
        <v>994980.4</v>
      </c>
      <c r="F3" s="131">
        <v>293000</v>
      </c>
      <c r="G3" s="131">
        <v>338122.7</v>
      </c>
      <c r="H3" s="131">
        <v>363857.7</v>
      </c>
    </row>
    <row r="4" spans="4:8" ht="26.25" thickBot="1">
      <c r="D4" s="155" t="s">
        <v>156</v>
      </c>
      <c r="E4" s="156">
        <v>1204.4</v>
      </c>
      <c r="F4" s="157">
        <v>1204.4</v>
      </c>
      <c r="G4" s="157"/>
      <c r="H4" s="157"/>
    </row>
    <row r="5" spans="4:8" ht="39" thickBot="1">
      <c r="D5" s="155" t="s">
        <v>153</v>
      </c>
      <c r="E5" s="156">
        <v>4447</v>
      </c>
      <c r="F5" s="157">
        <v>860</v>
      </c>
      <c r="G5" s="157">
        <v>1747</v>
      </c>
      <c r="H5" s="157">
        <v>1840</v>
      </c>
    </row>
    <row r="6" spans="4:8" ht="24.75" customHeight="1">
      <c r="D6" s="266" t="s">
        <v>154</v>
      </c>
      <c r="E6" s="268">
        <v>374.8</v>
      </c>
      <c r="F6" s="266">
        <v>374.8</v>
      </c>
      <c r="G6" s="270"/>
      <c r="H6" s="270"/>
    </row>
    <row r="7" spans="4:8" ht="13.5" thickBot="1">
      <c r="D7" s="267"/>
      <c r="E7" s="269"/>
      <c r="F7" s="267"/>
      <c r="G7" s="271"/>
      <c r="H7" s="271"/>
    </row>
    <row r="8" spans="4:8" ht="26.25" thickBot="1">
      <c r="D8" s="158" t="s">
        <v>157</v>
      </c>
      <c r="E8" s="156">
        <v>16233</v>
      </c>
      <c r="F8" s="157">
        <v>4219</v>
      </c>
      <c r="G8" s="157">
        <v>5846</v>
      </c>
      <c r="H8" s="157">
        <v>6168</v>
      </c>
    </row>
    <row r="9" spans="4:8" ht="26.25" thickBot="1">
      <c r="D9" s="141" t="s">
        <v>158</v>
      </c>
      <c r="E9" s="142">
        <v>739</v>
      </c>
      <c r="F9" s="143">
        <v>739</v>
      </c>
      <c r="G9" s="144"/>
      <c r="H9" s="144"/>
    </row>
    <row r="10" spans="4:8" ht="39" thickBot="1">
      <c r="D10" s="155" t="s">
        <v>159</v>
      </c>
      <c r="E10" s="156">
        <v>2855.8</v>
      </c>
      <c r="F10" s="157">
        <v>2855.8</v>
      </c>
      <c r="G10" s="157"/>
      <c r="H10" s="157"/>
    </row>
    <row r="11" spans="4:8" ht="26.25" thickBot="1">
      <c r="D11" s="158" t="s">
        <v>160</v>
      </c>
      <c r="E11" s="156">
        <v>152.7</v>
      </c>
      <c r="F11" s="157">
        <v>152.7</v>
      </c>
      <c r="G11" s="157"/>
      <c r="H11" s="157"/>
    </row>
    <row r="12" spans="4:8" ht="39" thickBot="1">
      <c r="D12" s="155" t="s">
        <v>161</v>
      </c>
      <c r="E12" s="156">
        <v>42.6</v>
      </c>
      <c r="F12" s="157">
        <v>42.6</v>
      </c>
      <c r="G12" s="157"/>
      <c r="H12" s="157"/>
    </row>
    <row r="13" spans="4:8" ht="13.5" thickBot="1">
      <c r="D13" s="129" t="s">
        <v>155</v>
      </c>
      <c r="E13" s="130">
        <v>3101.4</v>
      </c>
      <c r="F13" s="131">
        <v>947.9</v>
      </c>
      <c r="G13" s="131">
        <v>1037.3</v>
      </c>
      <c r="H13" s="131">
        <v>1116.2</v>
      </c>
    </row>
    <row r="14" spans="4:8" ht="13.5" thickBot="1">
      <c r="D14" s="129" t="s">
        <v>155</v>
      </c>
      <c r="E14" s="130">
        <v>17279</v>
      </c>
      <c r="F14" s="131">
        <v>6060.4</v>
      </c>
      <c r="G14" s="131">
        <v>5404.5</v>
      </c>
      <c r="H14" s="131">
        <v>5814.1</v>
      </c>
    </row>
    <row r="15" spans="4:8" ht="13.5" thickBot="1">
      <c r="D15" s="159" t="s">
        <v>162</v>
      </c>
      <c r="E15" s="153">
        <v>32.3</v>
      </c>
      <c r="F15" s="154">
        <v>32.3</v>
      </c>
      <c r="G15" s="160"/>
      <c r="H15" s="160"/>
    </row>
    <row r="16" spans="4:8" ht="39" thickBot="1">
      <c r="D16" s="155" t="s">
        <v>161</v>
      </c>
      <c r="E16" s="156">
        <v>7.5</v>
      </c>
      <c r="F16" s="157">
        <v>7.5</v>
      </c>
      <c r="G16" s="160"/>
      <c r="H16" s="160"/>
    </row>
    <row r="17" spans="4:6" ht="13.5" thickBot="1">
      <c r="D17" s="140" t="s">
        <v>163</v>
      </c>
      <c r="E17" s="135">
        <v>11.4</v>
      </c>
      <c r="F17" s="136">
        <v>11.4</v>
      </c>
    </row>
    <row r="18" spans="4:8" ht="13.5" thickBot="1">
      <c r="D18" s="129" t="s">
        <v>155</v>
      </c>
      <c r="E18" s="130">
        <v>42700</v>
      </c>
      <c r="F18" s="131">
        <v>11500</v>
      </c>
      <c r="G18" s="131">
        <v>14000</v>
      </c>
      <c r="H18" s="131">
        <v>17200</v>
      </c>
    </row>
    <row r="19" spans="4:8" ht="26.25" thickBot="1">
      <c r="D19" s="159" t="s">
        <v>160</v>
      </c>
      <c r="E19" s="153">
        <v>2571.5</v>
      </c>
      <c r="F19" s="154">
        <v>2571.5</v>
      </c>
      <c r="G19" s="154"/>
      <c r="H19" s="154"/>
    </row>
    <row r="20" spans="4:8" ht="26.25" thickBot="1">
      <c r="D20" s="158" t="s">
        <v>164</v>
      </c>
      <c r="E20" s="156">
        <v>402</v>
      </c>
      <c r="F20" s="157">
        <v>402</v>
      </c>
      <c r="G20" s="157"/>
      <c r="H20" s="157"/>
    </row>
    <row r="21" spans="4:6" ht="26.25" thickBot="1">
      <c r="D21" s="145" t="s">
        <v>165</v>
      </c>
      <c r="E21" s="146">
        <v>498</v>
      </c>
      <c r="F21" s="147">
        <v>498</v>
      </c>
    </row>
    <row r="22" spans="4:6" ht="39" thickBot="1">
      <c r="D22" s="137" t="s">
        <v>154</v>
      </c>
      <c r="E22" s="138">
        <v>535.1</v>
      </c>
      <c r="F22" s="139">
        <v>535.1</v>
      </c>
    </row>
    <row r="23" spans="4:6" ht="39" thickBot="1">
      <c r="D23" s="141" t="s">
        <v>166</v>
      </c>
      <c r="E23" s="150">
        <v>495</v>
      </c>
      <c r="F23" s="151">
        <v>495</v>
      </c>
    </row>
    <row r="24" spans="4:8" ht="26.25" thickBot="1">
      <c r="D24" s="141" t="s">
        <v>165</v>
      </c>
      <c r="E24" s="142">
        <v>3318</v>
      </c>
      <c r="F24" s="143">
        <v>3318</v>
      </c>
      <c r="G24" s="148">
        <f>F21</f>
        <v>498</v>
      </c>
      <c r="H24" s="148">
        <f>F24+G24</f>
        <v>3816</v>
      </c>
    </row>
    <row r="25" spans="4:6" ht="25.5">
      <c r="D25" s="149" t="s">
        <v>167</v>
      </c>
      <c r="E25" s="272">
        <v>1857.6</v>
      </c>
      <c r="F25" s="274">
        <v>1857.6</v>
      </c>
    </row>
    <row r="26" spans="4:6" ht="13.5" thickBot="1">
      <c r="D26" s="141" t="s">
        <v>168</v>
      </c>
      <c r="E26" s="273"/>
      <c r="F26" s="275"/>
    </row>
    <row r="27" spans="4:6" ht="26.25" thickBot="1">
      <c r="D27" s="141" t="s">
        <v>169</v>
      </c>
      <c r="E27" s="142">
        <v>2934</v>
      </c>
      <c r="F27" s="143">
        <v>2934</v>
      </c>
    </row>
    <row r="28" spans="4:8" ht="13.5" thickBot="1">
      <c r="D28" s="129" t="s">
        <v>155</v>
      </c>
      <c r="E28" s="131">
        <v>4151.4</v>
      </c>
      <c r="F28" s="131">
        <v>1179</v>
      </c>
      <c r="G28" s="131">
        <v>1431.7</v>
      </c>
      <c r="H28" s="131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65">
        <v>3093847</v>
      </c>
      <c r="L36" s="132">
        <v>926708</v>
      </c>
      <c r="M36" s="132">
        <v>1066267.1</v>
      </c>
      <c r="N36" s="132">
        <v>1100871.9</v>
      </c>
      <c r="O36">
        <f>L36+M36+N36</f>
        <v>3093847</v>
      </c>
      <c r="P36">
        <f>K36-O36</f>
        <v>0</v>
      </c>
    </row>
    <row r="37" spans="11:15" ht="13.5" thickBot="1">
      <c r="K37" s="263"/>
      <c r="L37" s="264"/>
      <c r="M37" s="264"/>
      <c r="N37" s="264"/>
      <c r="O37" s="265"/>
    </row>
    <row r="38" spans="11:16" ht="13.5" thickBot="1">
      <c r="K38" s="166">
        <v>516548.7</v>
      </c>
      <c r="L38" s="167">
        <v>516548.7</v>
      </c>
      <c r="M38" s="167"/>
      <c r="N38" s="167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69">
        <f>72603.5+9</f>
        <v>72612.5</v>
      </c>
      <c r="L39" s="167">
        <f>72603.5+9</f>
        <v>72612.5</v>
      </c>
      <c r="M39" s="167"/>
      <c r="N39" s="167"/>
      <c r="O39">
        <f t="shared" si="0"/>
        <v>72612.5</v>
      </c>
      <c r="P39">
        <f t="shared" si="1"/>
        <v>0</v>
      </c>
    </row>
    <row r="40" spans="11:16" ht="13.5" thickBot="1">
      <c r="K40" s="166">
        <f>1223620.2-1116.2</f>
        <v>1222504</v>
      </c>
      <c r="L40" s="167"/>
      <c r="M40" s="167">
        <v>595940.9</v>
      </c>
      <c r="N40" s="167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69">
        <v>161873.5</v>
      </c>
      <c r="L41" s="167"/>
      <c r="M41" s="167">
        <v>85479</v>
      </c>
      <c r="N41" s="167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66">
        <v>1069448.6</v>
      </c>
      <c r="L42" s="170">
        <v>311508.3</v>
      </c>
      <c r="M42" s="170">
        <v>369952.3</v>
      </c>
      <c r="N42" s="170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64">
        <v>3956.1</v>
      </c>
      <c r="L43" s="168">
        <v>1179</v>
      </c>
      <c r="M43" s="168">
        <v>1236.4</v>
      </c>
      <c r="N43" s="168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1">
        <v>3271.4</v>
      </c>
      <c r="L44" s="168">
        <v>1204.4</v>
      </c>
      <c r="M44" s="168">
        <v>2067</v>
      </c>
      <c r="N44" s="168"/>
      <c r="O44">
        <f t="shared" si="0"/>
        <v>3271.4</v>
      </c>
      <c r="P44">
        <f t="shared" si="1"/>
        <v>0</v>
      </c>
    </row>
    <row r="45" spans="11:16" ht="13.5" thickBot="1">
      <c r="K45" s="171">
        <v>16233</v>
      </c>
      <c r="L45" s="168">
        <v>4219</v>
      </c>
      <c r="M45" s="168">
        <v>5846</v>
      </c>
      <c r="N45" s="168">
        <v>6168</v>
      </c>
      <c r="O45">
        <f t="shared" si="0"/>
        <v>16233</v>
      </c>
      <c r="P45">
        <f t="shared" si="1"/>
        <v>0</v>
      </c>
    </row>
    <row r="46" spans="11:16" ht="13.5" thickBot="1">
      <c r="K46" s="171">
        <v>739</v>
      </c>
      <c r="L46" s="168">
        <v>739</v>
      </c>
      <c r="M46" s="168"/>
      <c r="N46" s="168"/>
      <c r="O46">
        <f t="shared" si="0"/>
        <v>739</v>
      </c>
      <c r="P46">
        <f t="shared" si="1"/>
        <v>0</v>
      </c>
    </row>
    <row r="47" spans="11:16" ht="13.5" thickBot="1">
      <c r="K47" s="171">
        <v>5594.7</v>
      </c>
      <c r="L47" s="168">
        <v>2855.8</v>
      </c>
      <c r="M47" s="168">
        <v>2738.9</v>
      </c>
      <c r="N47" s="168"/>
      <c r="O47">
        <f t="shared" si="0"/>
        <v>5594.700000000001</v>
      </c>
      <c r="P47">
        <f t="shared" si="1"/>
        <v>0</v>
      </c>
    </row>
    <row r="48" spans="11:16" ht="13.5" thickBot="1">
      <c r="K48" s="171">
        <f>M48</f>
        <v>250.1</v>
      </c>
      <c r="L48" s="168"/>
      <c r="M48" s="168">
        <v>250.1</v>
      </c>
      <c r="N48" s="168"/>
      <c r="O48">
        <f t="shared" si="0"/>
        <v>250.1</v>
      </c>
      <c r="P48">
        <f t="shared" si="1"/>
        <v>0</v>
      </c>
    </row>
    <row r="49" spans="11:16" ht="13.5" thickBot="1">
      <c r="K49" s="171">
        <v>152.7</v>
      </c>
      <c r="L49" s="168">
        <v>152.7</v>
      </c>
      <c r="M49" s="168"/>
      <c r="N49" s="168"/>
      <c r="O49">
        <f t="shared" si="0"/>
        <v>152.7</v>
      </c>
      <c r="P49">
        <f t="shared" si="1"/>
        <v>0</v>
      </c>
    </row>
    <row r="50" spans="11:16" ht="13.5" thickBot="1">
      <c r="K50" s="171">
        <v>1857.6</v>
      </c>
      <c r="L50" s="168">
        <v>1857.6</v>
      </c>
      <c r="M50" s="168"/>
      <c r="N50" s="168"/>
      <c r="O50">
        <f t="shared" si="0"/>
        <v>1857.6</v>
      </c>
      <c r="P50">
        <f t="shared" si="1"/>
        <v>0</v>
      </c>
    </row>
    <row r="51" spans="11:16" ht="13.5" thickBot="1">
      <c r="K51" s="171">
        <v>2254</v>
      </c>
      <c r="L51" s="168">
        <v>2254</v>
      </c>
      <c r="M51" s="168"/>
      <c r="N51" s="168"/>
      <c r="O51">
        <f t="shared" si="0"/>
        <v>2254</v>
      </c>
      <c r="P51">
        <f t="shared" si="1"/>
        <v>0</v>
      </c>
    </row>
    <row r="52" spans="11:16" ht="13.5" thickBot="1">
      <c r="K52" s="169">
        <v>2599</v>
      </c>
      <c r="L52" s="172">
        <v>2599</v>
      </c>
      <c r="M52" s="168"/>
      <c r="N52" s="168"/>
      <c r="O52">
        <f t="shared" si="0"/>
        <v>2599</v>
      </c>
      <c r="P52">
        <f t="shared" si="1"/>
        <v>0</v>
      </c>
    </row>
    <row r="53" spans="11:16" ht="13.5" thickBot="1">
      <c r="K53" s="169">
        <v>3816</v>
      </c>
      <c r="L53" s="172">
        <v>3816</v>
      </c>
      <c r="M53" s="168"/>
      <c r="N53" s="168"/>
      <c r="O53">
        <f t="shared" si="0"/>
        <v>3816</v>
      </c>
      <c r="P53">
        <f t="shared" si="1"/>
        <v>0</v>
      </c>
    </row>
    <row r="54" spans="11:16" ht="13.5" thickBot="1">
      <c r="K54" s="171">
        <v>32.3</v>
      </c>
      <c r="L54" s="168">
        <v>32.3</v>
      </c>
      <c r="M54" s="170"/>
      <c r="N54" s="170"/>
      <c r="O54">
        <f t="shared" si="0"/>
        <v>32.3</v>
      </c>
      <c r="P54">
        <f t="shared" si="1"/>
        <v>0</v>
      </c>
    </row>
    <row r="55" spans="11:16" ht="13.5" thickBot="1">
      <c r="K55" s="171">
        <v>11.4</v>
      </c>
      <c r="L55" s="168">
        <v>11.4</v>
      </c>
      <c r="M55" s="170"/>
      <c r="N55" s="170"/>
      <c r="O55">
        <f t="shared" si="0"/>
        <v>11.4</v>
      </c>
      <c r="P55">
        <f t="shared" si="1"/>
        <v>0</v>
      </c>
    </row>
    <row r="56" spans="11:16" ht="13.5" thickBot="1">
      <c r="K56" s="171">
        <v>437.4</v>
      </c>
      <c r="L56" s="168">
        <v>437.4</v>
      </c>
      <c r="M56" s="170"/>
      <c r="N56" s="170"/>
      <c r="O56">
        <f t="shared" si="0"/>
        <v>437.4</v>
      </c>
      <c r="P56">
        <f t="shared" si="1"/>
        <v>0</v>
      </c>
    </row>
    <row r="57" spans="11:16" ht="13.5" thickBot="1">
      <c r="K57" s="166">
        <v>459.6</v>
      </c>
      <c r="L57" s="170">
        <v>459.6</v>
      </c>
      <c r="M57" s="170"/>
      <c r="N57" s="170"/>
      <c r="O57">
        <f t="shared" si="0"/>
        <v>459.6</v>
      </c>
      <c r="P57">
        <f t="shared" si="1"/>
        <v>0</v>
      </c>
    </row>
    <row r="58" spans="5:16" ht="16.5" thickBot="1">
      <c r="E58" s="175">
        <v>926708</v>
      </c>
      <c r="F58" s="176">
        <v>1066267.1</v>
      </c>
      <c r="G58" s="176">
        <v>1100871.9</v>
      </c>
      <c r="H58" s="176">
        <v>3098847</v>
      </c>
      <c r="I58">
        <f>E58+F58+G58</f>
        <v>3093847</v>
      </c>
      <c r="K58" s="166">
        <v>4309.7</v>
      </c>
      <c r="L58" s="170">
        <v>897</v>
      </c>
      <c r="M58" s="170">
        <v>1572.7</v>
      </c>
      <c r="N58" s="170">
        <v>1840</v>
      </c>
      <c r="O58">
        <f t="shared" si="0"/>
        <v>4309.7</v>
      </c>
      <c r="P58">
        <f t="shared" si="1"/>
        <v>0</v>
      </c>
    </row>
    <row r="59" spans="5:16" ht="16.5" thickBot="1">
      <c r="E59" s="177">
        <v>843766</v>
      </c>
      <c r="F59" s="178">
        <v>979626.9</v>
      </c>
      <c r="G59" s="178">
        <v>1024387.4</v>
      </c>
      <c r="H59" s="178">
        <v>2847780.3</v>
      </c>
      <c r="I59">
        <f>E59+F59+G59</f>
        <v>2847780.3</v>
      </c>
      <c r="K59" s="171">
        <v>1756</v>
      </c>
      <c r="L59" s="168">
        <v>927.9</v>
      </c>
      <c r="M59" s="168">
        <v>828.1</v>
      </c>
      <c r="N59" s="168"/>
      <c r="O59">
        <f t="shared" si="0"/>
        <v>1756</v>
      </c>
      <c r="P59">
        <f t="shared" si="1"/>
        <v>0</v>
      </c>
    </row>
    <row r="60" spans="5:16" ht="16.5" thickBot="1">
      <c r="E60" s="177">
        <v>82942</v>
      </c>
      <c r="F60" s="178">
        <v>86640.2</v>
      </c>
      <c r="G60" s="178">
        <v>76484.5</v>
      </c>
      <c r="H60" s="178">
        <v>246066.7</v>
      </c>
      <c r="I60">
        <f>E60+F60+G60</f>
        <v>246066.7</v>
      </c>
      <c r="K60" s="171">
        <f>341.8+0.6</f>
        <v>342.40000000000003</v>
      </c>
      <c r="L60" s="168">
        <f>341.8+0.6</f>
        <v>342.40000000000003</v>
      </c>
      <c r="M60" s="168"/>
      <c r="N60" s="168"/>
      <c r="O60">
        <f t="shared" si="0"/>
        <v>342.40000000000003</v>
      </c>
      <c r="P60">
        <f t="shared" si="1"/>
        <v>0</v>
      </c>
    </row>
    <row r="61" spans="5:16" ht="16.5" thickBot="1">
      <c r="E61" s="177">
        <v>39926.5</v>
      </c>
      <c r="F61" s="178">
        <v>33091.5</v>
      </c>
      <c r="G61" s="178">
        <v>28104</v>
      </c>
      <c r="H61" s="178">
        <v>101122</v>
      </c>
      <c r="I61">
        <f>E61+F61+G61</f>
        <v>101122</v>
      </c>
      <c r="K61" s="166">
        <v>2350.3</v>
      </c>
      <c r="L61" s="170">
        <v>1790</v>
      </c>
      <c r="M61" s="170">
        <v>272.7</v>
      </c>
      <c r="N61" s="170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77">
        <v>335492.8</v>
      </c>
      <c r="F62" s="178">
        <v>385727.9</v>
      </c>
      <c r="G62" s="178">
        <v>397536.7</v>
      </c>
      <c r="H62" s="178"/>
      <c r="I62">
        <f>SUM(E62:H62)</f>
        <v>1118757.4</v>
      </c>
      <c r="K62" s="166">
        <v>437</v>
      </c>
      <c r="L62" s="170">
        <v>264</v>
      </c>
      <c r="M62" s="170">
        <v>83</v>
      </c>
      <c r="N62" s="170">
        <v>90</v>
      </c>
      <c r="O62">
        <f t="shared" si="0"/>
        <v>437</v>
      </c>
      <c r="P62">
        <f t="shared" si="1"/>
        <v>0</v>
      </c>
    </row>
    <row r="63" spans="5:16" ht="16.5" thickBot="1">
      <c r="E63" s="177">
        <v>2054</v>
      </c>
      <c r="F63" s="178">
        <v>355.7</v>
      </c>
      <c r="G63" s="178">
        <v>377.6</v>
      </c>
      <c r="H63" s="178"/>
      <c r="I63">
        <f>SUM(E63:H63)</f>
        <v>2787.2999999999997</v>
      </c>
      <c r="K63" s="166">
        <v>26204.6</v>
      </c>
      <c r="L63" s="170">
        <v>15437.7</v>
      </c>
      <c r="M63" s="170">
        <v>5173.8</v>
      </c>
      <c r="N63" s="170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77">
        <v>589161.2</v>
      </c>
      <c r="F64" s="178"/>
      <c r="G64" s="178"/>
      <c r="H64" s="178">
        <v>589161.2</v>
      </c>
      <c r="I64">
        <f>E64+F64+G64</f>
        <v>589161.2</v>
      </c>
      <c r="K64" s="166">
        <v>3120051.6</v>
      </c>
      <c r="L64" s="173">
        <v>942145.7</v>
      </c>
      <c r="M64" s="173">
        <v>1071440.9</v>
      </c>
      <c r="N64" s="173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77"/>
      <c r="F65" s="178">
        <v>680183.5</v>
      </c>
      <c r="G65" s="178">
        <v>702957.6</v>
      </c>
      <c r="H65" s="178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74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74">
        <f>L46+L50+L51+L53+L55+L57+L59</f>
        <v>10065.5</v>
      </c>
      <c r="M68">
        <f>K68-L68</f>
        <v>0</v>
      </c>
    </row>
    <row r="76" ht="13.5" thickBot="1"/>
    <row r="77" spans="5:8" ht="13.5" thickBot="1">
      <c r="E77" s="165">
        <v>4397290.9</v>
      </c>
      <c r="F77" s="132">
        <v>1353788.3</v>
      </c>
      <c r="G77" s="215">
        <v>1470371.2</v>
      </c>
      <c r="H77" s="132">
        <v>1562281.9</v>
      </c>
    </row>
    <row r="78" spans="5:9" ht="13.5" thickBot="1">
      <c r="E78" s="263"/>
      <c r="F78" s="264"/>
      <c r="G78" s="264"/>
      <c r="H78" s="264"/>
      <c r="I78" s="265"/>
    </row>
    <row r="79" spans="5:8" ht="13.5" thickBot="1">
      <c r="E79" s="166">
        <v>2327316.1</v>
      </c>
      <c r="F79" s="170">
        <v>716947.6</v>
      </c>
      <c r="G79" s="170">
        <v>780905.5</v>
      </c>
      <c r="H79" s="170">
        <v>829463</v>
      </c>
    </row>
    <row r="80" spans="5:8" ht="13.5" thickBot="1">
      <c r="E80" s="166">
        <f>F80+G80+H80</f>
        <v>294986.9</v>
      </c>
      <c r="F80" s="170">
        <v>95699</v>
      </c>
      <c r="G80" s="170">
        <v>97793.7</v>
      </c>
      <c r="H80" s="170">
        <v>101494.2</v>
      </c>
    </row>
    <row r="81" spans="5:8" ht="13.5" thickBot="1">
      <c r="E81" s="166">
        <v>1719238</v>
      </c>
      <c r="F81" s="170">
        <v>526529.2</v>
      </c>
      <c r="G81" s="170">
        <v>576678.3</v>
      </c>
      <c r="H81" s="170">
        <v>616030.5</v>
      </c>
    </row>
    <row r="82" spans="5:8" ht="13.5" thickBot="1">
      <c r="E82" s="169">
        <v>12744.9</v>
      </c>
      <c r="F82" s="172">
        <v>3904.1</v>
      </c>
      <c r="G82" s="172">
        <v>4275.1</v>
      </c>
      <c r="H82" s="168">
        <v>4565.7</v>
      </c>
    </row>
    <row r="83" spans="5:8" ht="13.5" thickBot="1">
      <c r="E83" s="171">
        <v>16800</v>
      </c>
      <c r="F83" s="168">
        <v>5600</v>
      </c>
      <c r="G83" s="168">
        <v>5600</v>
      </c>
      <c r="H83" s="168">
        <v>5600</v>
      </c>
    </row>
    <row r="84" spans="5:8" ht="13.5" thickBot="1">
      <c r="E84" s="171">
        <v>9135</v>
      </c>
      <c r="F84" s="168">
        <v>3045</v>
      </c>
      <c r="G84" s="168">
        <v>3045</v>
      </c>
      <c r="H84" s="168">
        <v>3045</v>
      </c>
    </row>
    <row r="85" spans="5:8" ht="13.5" thickBot="1">
      <c r="E85" s="171">
        <v>14100</v>
      </c>
      <c r="F85" s="168">
        <v>4700</v>
      </c>
      <c r="G85" s="168">
        <v>4700</v>
      </c>
      <c r="H85" s="168">
        <v>4700</v>
      </c>
    </row>
    <row r="86" spans="5:8" ht="12.75">
      <c r="E86">
        <v>4397290.9</v>
      </c>
      <c r="F86">
        <v>1359394.9</v>
      </c>
      <c r="G86">
        <v>1472997.6</v>
      </c>
      <c r="H86">
        <v>1564898.4</v>
      </c>
    </row>
    <row r="87" spans="5:9" ht="12.75">
      <c r="E87">
        <f>E86-E88</f>
        <v>2625273.0000000005</v>
      </c>
      <c r="F87">
        <f>F86-F88</f>
        <v>815616.6</v>
      </c>
      <c r="G87">
        <f>G86-G88</f>
        <v>878699.2000000001</v>
      </c>
      <c r="H87">
        <f>H86-H88</f>
        <v>930957.2</v>
      </c>
      <c r="I87" s="107" t="s">
        <v>222</v>
      </c>
    </row>
    <row r="88" spans="5:9" ht="12.75">
      <c r="E88">
        <f>E81+E82+E83+E84+E85</f>
        <v>1772017.9</v>
      </c>
      <c r="F88">
        <f>F81+F82+F83+F84+F85</f>
        <v>543778.2999999999</v>
      </c>
      <c r="G88">
        <f>G81+G82+G83+G84+G85</f>
        <v>594298.4</v>
      </c>
      <c r="H88">
        <f>H81+H82+H83+H84+H85</f>
        <v>633941.2</v>
      </c>
      <c r="I88" s="107" t="s">
        <v>223</v>
      </c>
    </row>
    <row r="89" spans="5:9" ht="12.75">
      <c r="E89">
        <f>F89+G89+H89</f>
        <v>2330286.1</v>
      </c>
      <c r="F89">
        <f>F87-F80</f>
        <v>719917.6</v>
      </c>
      <c r="G89">
        <f>G87-G80</f>
        <v>780905.5000000001</v>
      </c>
      <c r="H89">
        <f>H87-H80</f>
        <v>829463</v>
      </c>
      <c r="I89" s="107" t="s">
        <v>224</v>
      </c>
    </row>
    <row r="90" spans="5:8" ht="12.75">
      <c r="E90">
        <f>E79-E89</f>
        <v>-2970</v>
      </c>
      <c r="F90">
        <f>F79-F89</f>
        <v>-2970</v>
      </c>
      <c r="G90">
        <f>G79-G89</f>
        <v>0</v>
      </c>
      <c r="H90">
        <f>H79-H89</f>
        <v>0</v>
      </c>
    </row>
    <row r="93" ht="13.5" thickBot="1"/>
    <row r="94" spans="5:10" ht="13.5" thickBot="1">
      <c r="E94" s="165">
        <v>4542850.9</v>
      </c>
      <c r="F94" s="132">
        <v>1407914.9</v>
      </c>
      <c r="G94" s="215">
        <v>1521517.6</v>
      </c>
      <c r="H94" s="132">
        <v>1613418.4</v>
      </c>
      <c r="I94">
        <f>F94+G94+H94</f>
        <v>4542850.9</v>
      </c>
      <c r="J94">
        <f>I94-E94</f>
        <v>0</v>
      </c>
    </row>
    <row r="95" spans="5:9" ht="13.5" thickBot="1">
      <c r="E95" s="223"/>
      <c r="F95" s="224"/>
      <c r="G95" s="224"/>
      <c r="H95" s="224"/>
      <c r="I95" s="225"/>
    </row>
    <row r="96" spans="5:10" ht="13.5" thickBot="1">
      <c r="E96" s="166">
        <v>2462586.1</v>
      </c>
      <c r="F96" s="170">
        <v>764017.6</v>
      </c>
      <c r="G96" s="170">
        <v>825005.5</v>
      </c>
      <c r="H96" s="170">
        <v>873563</v>
      </c>
      <c r="I96">
        <f>F96+G96+H96</f>
        <v>2462586.1</v>
      </c>
      <c r="J96">
        <f>I96-E96</f>
        <v>0</v>
      </c>
    </row>
    <row r="97" spans="5:10" ht="13.5" thickBot="1">
      <c r="E97" s="166">
        <v>294986.9</v>
      </c>
      <c r="F97" s="170">
        <v>95699</v>
      </c>
      <c r="G97" s="170">
        <v>97793.7</v>
      </c>
      <c r="H97" s="170">
        <v>101494.2</v>
      </c>
      <c r="I97">
        <f>F97+G97+H97</f>
        <v>294986.9</v>
      </c>
      <c r="J97">
        <f>I97-E97</f>
        <v>0</v>
      </c>
    </row>
    <row r="98" spans="5:10" ht="13.5" thickBot="1">
      <c r="E98" s="166">
        <v>1719238</v>
      </c>
      <c r="F98" s="170">
        <v>526529.2</v>
      </c>
      <c r="G98" s="170">
        <v>576678.3</v>
      </c>
      <c r="H98" s="170">
        <v>616030.5</v>
      </c>
      <c r="I98">
        <f>F98+G98+H98</f>
        <v>1719238</v>
      </c>
      <c r="J98">
        <f>I98-E98</f>
        <v>0</v>
      </c>
    </row>
    <row r="99" spans="5:8" ht="12.75">
      <c r="E99" s="219"/>
      <c r="F99" s="220"/>
      <c r="G99" s="220"/>
      <c r="H99" s="221"/>
    </row>
    <row r="100" spans="5:8" ht="12.75">
      <c r="E100" s="219"/>
      <c r="F100" s="220"/>
      <c r="G100" s="220"/>
      <c r="H100" s="222"/>
    </row>
    <row r="101" spans="5:8" ht="12.75">
      <c r="E101" s="219"/>
      <c r="F101" s="220"/>
      <c r="G101" s="220"/>
      <c r="H101" s="222"/>
    </row>
    <row r="102" spans="5:8" ht="13.5" thickBot="1">
      <c r="E102" s="219"/>
      <c r="F102" s="220"/>
      <c r="G102" s="220"/>
      <c r="H102" s="222"/>
    </row>
    <row r="103" spans="5:10" ht="13.5" thickBot="1">
      <c r="E103" s="169">
        <v>12744.9</v>
      </c>
      <c r="F103" s="172">
        <v>3904.1</v>
      </c>
      <c r="G103" s="172">
        <v>4275.1</v>
      </c>
      <c r="H103" s="221">
        <v>4565.7</v>
      </c>
      <c r="I103">
        <f>F103+G103+H103</f>
        <v>12744.900000000001</v>
      </c>
      <c r="J103">
        <f>I103-E103</f>
        <v>0</v>
      </c>
    </row>
    <row r="104" spans="5:10" ht="13.5" thickBot="1">
      <c r="E104" s="171">
        <v>16800</v>
      </c>
      <c r="F104" s="168">
        <v>5600</v>
      </c>
      <c r="G104" s="168">
        <v>5600</v>
      </c>
      <c r="H104" s="168">
        <v>5600</v>
      </c>
      <c r="I104">
        <f>F104+G104+H104</f>
        <v>16800</v>
      </c>
      <c r="J104">
        <f>I104-E104</f>
        <v>0</v>
      </c>
    </row>
    <row r="105" spans="5:10" ht="12.75">
      <c r="E105" s="278">
        <v>9135</v>
      </c>
      <c r="F105" s="270">
        <v>3045</v>
      </c>
      <c r="G105" s="270">
        <v>3045</v>
      </c>
      <c r="H105" s="270">
        <v>3045</v>
      </c>
      <c r="I105" s="281">
        <f>F105+G105+H105</f>
        <v>9135</v>
      </c>
      <c r="J105" s="276">
        <f>E105-I105</f>
        <v>0</v>
      </c>
    </row>
    <row r="106" spans="5:10" ht="12.75">
      <c r="E106" s="279"/>
      <c r="F106" s="277"/>
      <c r="G106" s="277"/>
      <c r="H106" s="277"/>
      <c r="I106" s="281"/>
      <c r="J106" s="276"/>
    </row>
    <row r="107" spans="5:10" ht="12.75">
      <c r="E107" s="279"/>
      <c r="F107" s="277"/>
      <c r="G107" s="277"/>
      <c r="H107" s="277"/>
      <c r="I107" s="281"/>
      <c r="J107" s="276"/>
    </row>
    <row r="108" spans="5:10" ht="12.75">
      <c r="E108" s="279"/>
      <c r="F108" s="277"/>
      <c r="G108" s="277"/>
      <c r="H108" s="277"/>
      <c r="I108" s="281"/>
      <c r="J108" s="276"/>
    </row>
    <row r="109" spans="5:10" ht="12.75">
      <c r="E109" s="279"/>
      <c r="F109" s="277"/>
      <c r="G109" s="277"/>
      <c r="H109" s="277"/>
      <c r="I109" s="281"/>
      <c r="J109" s="276"/>
    </row>
    <row r="110" spans="5:10" ht="12.75">
      <c r="E110" s="279"/>
      <c r="F110" s="277"/>
      <c r="G110" s="277"/>
      <c r="H110" s="277"/>
      <c r="I110" s="281"/>
      <c r="J110" s="276"/>
    </row>
    <row r="111" spans="5:10" ht="12.75">
      <c r="E111" s="279"/>
      <c r="F111" s="277"/>
      <c r="G111" s="277"/>
      <c r="H111" s="277"/>
      <c r="I111" s="281"/>
      <c r="J111" s="276"/>
    </row>
    <row r="112" spans="5:10" ht="13.5" thickBot="1">
      <c r="E112" s="280"/>
      <c r="F112" s="271"/>
      <c r="G112" s="271"/>
      <c r="H112" s="271"/>
      <c r="I112" s="281"/>
      <c r="J112" s="276"/>
    </row>
    <row r="113" spans="5:10" ht="13.5" thickBot="1">
      <c r="E113" s="171">
        <v>14100</v>
      </c>
      <c r="F113" s="168">
        <v>4700</v>
      </c>
      <c r="G113" s="168">
        <v>4700</v>
      </c>
      <c r="H113" s="168">
        <v>4700</v>
      </c>
      <c r="I113">
        <f>F113+G113+H113</f>
        <v>14100</v>
      </c>
      <c r="J113">
        <f>I113-E113</f>
        <v>0</v>
      </c>
    </row>
    <row r="114" spans="5:10" ht="13.5" thickBot="1">
      <c r="E114" s="166">
        <v>13260</v>
      </c>
      <c r="F114" s="170">
        <v>4420</v>
      </c>
      <c r="G114" s="170">
        <v>4420</v>
      </c>
      <c r="H114" s="170">
        <v>4420</v>
      </c>
      <c r="I114">
        <f>F114+G114+H114</f>
        <v>13260</v>
      </c>
      <c r="J114">
        <f>I114-E114</f>
        <v>0</v>
      </c>
    </row>
    <row r="115" spans="5:10" ht="12.75">
      <c r="E115">
        <f>E96+E97</f>
        <v>2757573</v>
      </c>
      <c r="F115">
        <f>F96+F97</f>
        <v>859716.6</v>
      </c>
      <c r="G115">
        <f>G96+G97</f>
        <v>922799.2</v>
      </c>
      <c r="H115">
        <f>H96+H97</f>
        <v>975057.2</v>
      </c>
      <c r="I115">
        <f>F115+G115+H115</f>
        <v>2757573</v>
      </c>
      <c r="J115">
        <f>I115-E115</f>
        <v>0</v>
      </c>
    </row>
    <row r="116" spans="5:10" ht="12.75">
      <c r="E116">
        <f>E98+E103+E104+E105+E113+E114</f>
        <v>1785277.9</v>
      </c>
      <c r="F116">
        <f>F98+F103+F104+F105+F113+F114</f>
        <v>548198.2999999999</v>
      </c>
      <c r="G116">
        <f>G98+G103+G104+G105+G113+G114</f>
        <v>598718.4</v>
      </c>
      <c r="H116">
        <f>H98+H103+H104+H105+H113+H114</f>
        <v>638361.2</v>
      </c>
      <c r="I116">
        <f>F116+G116+H116</f>
        <v>1785277.9</v>
      </c>
      <c r="J116">
        <f>I116-E116</f>
        <v>0</v>
      </c>
    </row>
    <row r="117" spans="5:10" ht="12.75">
      <c r="E117">
        <f>E115+E116</f>
        <v>4542850.9</v>
      </c>
      <c r="F117">
        <f>F115+F116</f>
        <v>1407914.9</v>
      </c>
      <c r="G117">
        <f>G115+G116</f>
        <v>1521517.6</v>
      </c>
      <c r="H117">
        <f>H115+H116</f>
        <v>1613418.4</v>
      </c>
      <c r="I117">
        <f>F117+G117+H117</f>
        <v>4542850.9</v>
      </c>
      <c r="J117">
        <f>I117-E117</f>
        <v>0</v>
      </c>
    </row>
    <row r="118" spans="5:8" ht="12.75">
      <c r="E118">
        <f>E117-E94</f>
        <v>0</v>
      </c>
      <c r="F118">
        <f>F117-F94</f>
        <v>0</v>
      </c>
      <c r="G118">
        <f>G117-G94</f>
        <v>0</v>
      </c>
      <c r="H118">
        <f>H117-H94</f>
        <v>0</v>
      </c>
    </row>
  </sheetData>
  <sheetProtection/>
  <mergeCells count="15">
    <mergeCell ref="J105:J112"/>
    <mergeCell ref="G105:G112"/>
    <mergeCell ref="H105:H112"/>
    <mergeCell ref="F105:F112"/>
    <mergeCell ref="E105:E112"/>
    <mergeCell ref="I105:I112"/>
    <mergeCell ref="E78:I78"/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65">
        <v>516548.7</v>
      </c>
      <c r="D6" s="181">
        <v>516548.7</v>
      </c>
      <c r="E6" s="181"/>
      <c r="F6" s="181"/>
    </row>
    <row r="7" spans="3:6" ht="13.5" thickBot="1">
      <c r="C7" s="169">
        <f>72603.5+9</f>
        <v>72612.5</v>
      </c>
      <c r="D7" s="167">
        <f>72603.5+9</f>
        <v>72612.5</v>
      </c>
      <c r="E7" s="167"/>
      <c r="F7" s="167"/>
    </row>
    <row r="8" spans="3:6" ht="13.5" thickBot="1">
      <c r="C8" s="166">
        <v>1222504</v>
      </c>
      <c r="D8" s="167"/>
      <c r="E8" s="167">
        <v>595940.9</v>
      </c>
      <c r="F8" s="167">
        <v>626563.1</v>
      </c>
    </row>
    <row r="9" spans="3:6" ht="13.5" thickBot="1">
      <c r="C9" s="169">
        <v>161963.5</v>
      </c>
      <c r="D9" s="167"/>
      <c r="E9" s="167">
        <v>85569</v>
      </c>
      <c r="F9" s="167">
        <v>76394.5</v>
      </c>
    </row>
    <row r="10" spans="3:6" ht="13.5" thickBot="1">
      <c r="C10" s="166">
        <v>1069448.6</v>
      </c>
      <c r="D10" s="170">
        <v>311508.3</v>
      </c>
      <c r="E10" s="170">
        <v>369952.3</v>
      </c>
      <c r="F10" s="170">
        <v>387988</v>
      </c>
    </row>
    <row r="11" spans="3:6" ht="13.5" thickBot="1">
      <c r="C11" s="164">
        <v>3956.1</v>
      </c>
      <c r="D11" s="168">
        <v>1179</v>
      </c>
      <c r="E11" s="168">
        <v>1236.4</v>
      </c>
      <c r="F11" s="168">
        <v>1540.7</v>
      </c>
    </row>
    <row r="12" spans="3:6" ht="13.5" thickBot="1">
      <c r="C12" s="171">
        <v>3271.4</v>
      </c>
      <c r="D12" s="168">
        <v>1204.4</v>
      </c>
      <c r="E12" s="168">
        <v>2067</v>
      </c>
      <c r="F12" s="168"/>
    </row>
    <row r="13" spans="3:6" ht="13.5" thickBot="1">
      <c r="C13" s="171">
        <v>16233</v>
      </c>
      <c r="D13" s="168">
        <v>4219</v>
      </c>
      <c r="E13" s="168">
        <v>5846</v>
      </c>
      <c r="F13" s="168">
        <v>6168</v>
      </c>
    </row>
    <row r="14" spans="3:6" ht="13.5" thickBot="1">
      <c r="C14" s="171">
        <v>739</v>
      </c>
      <c r="D14" s="168">
        <v>739</v>
      </c>
      <c r="E14" s="168"/>
      <c r="F14" s="168"/>
    </row>
    <row r="15" spans="3:6" ht="13.5" thickBot="1">
      <c r="C15" s="171">
        <v>5594.7</v>
      </c>
      <c r="D15" s="168">
        <v>2855.8</v>
      </c>
      <c r="E15" s="168">
        <v>2738.9</v>
      </c>
      <c r="F15" s="168"/>
    </row>
    <row r="16" spans="3:6" ht="13.5" thickBot="1">
      <c r="C16" s="171">
        <v>152.7</v>
      </c>
      <c r="D16" s="168">
        <v>152.7</v>
      </c>
      <c r="E16" s="168"/>
      <c r="F16" s="168"/>
    </row>
    <row r="17" spans="3:6" ht="13.5" thickBot="1">
      <c r="C17" s="171">
        <v>1857.6</v>
      </c>
      <c r="D17" s="168">
        <v>1857.6</v>
      </c>
      <c r="E17" s="168"/>
      <c r="F17" s="168"/>
    </row>
    <row r="18" spans="3:6" ht="12.75">
      <c r="C18" s="278">
        <v>250.1</v>
      </c>
      <c r="D18" s="270"/>
      <c r="E18" s="270">
        <v>250.1</v>
      </c>
      <c r="F18" s="270"/>
    </row>
    <row r="19" spans="3:6" ht="13.5" thickBot="1">
      <c r="C19" s="280"/>
      <c r="D19" s="271"/>
      <c r="E19" s="271"/>
      <c r="F19" s="271"/>
    </row>
    <row r="20" spans="3:6" ht="13.5" thickBot="1">
      <c r="C20" s="171">
        <v>2254</v>
      </c>
      <c r="D20" s="168">
        <v>2254</v>
      </c>
      <c r="E20" s="168"/>
      <c r="F20" s="168"/>
    </row>
    <row r="21" spans="3:6" ht="13.5" thickBot="1">
      <c r="C21" s="169">
        <v>2599</v>
      </c>
      <c r="D21" s="172">
        <v>2599</v>
      </c>
      <c r="E21" s="168"/>
      <c r="F21" s="168"/>
    </row>
    <row r="22" spans="3:6" ht="13.5" thickBot="1">
      <c r="C22" s="169">
        <v>3816</v>
      </c>
      <c r="D22" s="172">
        <v>3816</v>
      </c>
      <c r="E22" s="168"/>
      <c r="F22" s="168"/>
    </row>
    <row r="23" spans="3:6" ht="13.5" thickBot="1">
      <c r="C23" s="171">
        <v>32.3</v>
      </c>
      <c r="D23" s="168">
        <v>32.3</v>
      </c>
      <c r="E23" s="170"/>
      <c r="F23" s="170"/>
    </row>
    <row r="24" spans="3:6" ht="13.5" thickBot="1">
      <c r="C24" s="171">
        <v>11.4</v>
      </c>
      <c r="D24" s="168">
        <v>11.4</v>
      </c>
      <c r="E24" s="170"/>
      <c r="F24" s="170"/>
    </row>
    <row r="25" spans="3:6" ht="13.5" thickBot="1">
      <c r="C25" s="171">
        <v>437.4</v>
      </c>
      <c r="D25" s="168">
        <v>437.4</v>
      </c>
      <c r="E25" s="170"/>
      <c r="F25" s="170"/>
    </row>
    <row r="26" spans="3:6" ht="13.5" thickBot="1">
      <c r="C26" s="166">
        <v>459.6</v>
      </c>
      <c r="D26" s="170">
        <v>459.6</v>
      </c>
      <c r="E26" s="170"/>
      <c r="F26" s="170"/>
    </row>
    <row r="27" spans="3:6" ht="13.5" thickBot="1">
      <c r="C27" s="166">
        <v>4309.7</v>
      </c>
      <c r="D27" s="170">
        <v>897</v>
      </c>
      <c r="E27" s="170">
        <v>1572.7</v>
      </c>
      <c r="F27" s="170">
        <v>1840</v>
      </c>
    </row>
    <row r="28" spans="3:6" ht="13.5" thickBot="1">
      <c r="C28" s="171">
        <v>1756</v>
      </c>
      <c r="D28" s="168">
        <v>927.9</v>
      </c>
      <c r="E28" s="168">
        <v>828.1</v>
      </c>
      <c r="F28" s="168"/>
    </row>
    <row r="29" spans="3:6" ht="13.5" thickBot="1">
      <c r="C29" s="171">
        <v>342.4</v>
      </c>
      <c r="D29" s="168">
        <v>342.4</v>
      </c>
      <c r="E29" s="168"/>
      <c r="F29" s="168"/>
    </row>
    <row r="30" spans="3:6" ht="13.5" thickBot="1">
      <c r="C30" s="166">
        <v>2350.3</v>
      </c>
      <c r="D30" s="170">
        <v>1790</v>
      </c>
      <c r="E30" s="170">
        <v>272.7</v>
      </c>
      <c r="F30" s="170">
        <v>287.6</v>
      </c>
    </row>
    <row r="31" spans="3:6" ht="13.5" thickBot="1">
      <c r="C31" s="166">
        <v>437</v>
      </c>
      <c r="D31" s="170">
        <v>264</v>
      </c>
      <c r="E31" s="170">
        <v>83</v>
      </c>
      <c r="F31" s="170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Стеценко Світлана Миколаївна</cp:lastModifiedBy>
  <cp:lastPrinted>2021-11-05T08:12:57Z</cp:lastPrinted>
  <dcterms:created xsi:type="dcterms:W3CDTF">1996-10-08T23:32:33Z</dcterms:created>
  <dcterms:modified xsi:type="dcterms:W3CDTF">2021-11-05T09:34:02Z</dcterms:modified>
  <cp:category/>
  <cp:version/>
  <cp:contentType/>
  <cp:contentStatus/>
</cp:coreProperties>
</file>