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20" windowWidth="9300" windowHeight="4335" tabRatio="0" activeTab="1"/>
  </bookViews>
  <sheets>
    <sheet name="Диаграмма1" sheetId="1" r:id="rId1"/>
    <sheet name="Sheet1" sheetId="2" r:id="rId2"/>
  </sheets>
  <definedNames>
    <definedName name="_xlnm.Print_Area" localSheetId="1">'Sheet1'!$A$1:$Q$708</definedName>
  </definedNames>
  <calcPr fullCalcOnLoad="1"/>
</workbook>
</file>

<file path=xl/sharedStrings.xml><?xml version="1.0" encoding="utf-8"?>
<sst xmlns="http://schemas.openxmlformats.org/spreadsheetml/2006/main" count="653" uniqueCount="402">
  <si>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</si>
  <si>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</si>
  <si>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</si>
  <si>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</si>
  <si>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</si>
  <si>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</si>
  <si>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</si>
  <si>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</si>
  <si>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</si>
  <si>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</si>
  <si>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</si>
  <si>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</si>
  <si>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</si>
  <si>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</si>
  <si>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</si>
  <si>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</si>
  <si>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</si>
  <si>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</si>
  <si>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</si>
  <si>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</si>
  <si>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</si>
  <si>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</si>
  <si>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</si>
  <si>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</si>
  <si>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</si>
  <si>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</si>
  <si>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</si>
  <si>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</si>
  <si>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кількість спецслужб, од.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</si>
  <si>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</si>
  <si>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</si>
  <si>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</si>
  <si>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</si>
  <si>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</si>
  <si>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довжина відновленого водопроводу на кладовищі, пог. м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</si>
  <si>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</si>
  <si>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</si>
  <si>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</si>
  <si>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</si>
  <si>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</si>
  <si>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</si>
  <si>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</si>
  <si>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</si>
  <si>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</si>
  <si>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</si>
  <si>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</si>
  <si>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</si>
  <si>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</si>
  <si>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</si>
  <si>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</si>
  <si>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</si>
  <si>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</si>
  <si>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</si>
  <si>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</si>
  <si>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</si>
  <si>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середня вартість вивезення 1 куб. м ТПВ з озера Чеха, грн.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</si>
  <si>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</si>
  <si>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</si>
  <si>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</si>
  <si>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</si>
  <si>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</si>
  <si>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</si>
  <si>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</si>
  <si>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</si>
  <si>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</si>
  <si>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</si>
  <si>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</si>
  <si>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</si>
  <si>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</si>
  <si>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</si>
  <si>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</si>
  <si>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</si>
  <si>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</si>
  <si>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</si>
  <si>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</si>
  <si>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</si>
  <si>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</si>
  <si>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>Департамент містобудування та земельних відносин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</si>
  <si>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</si>
  <si>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</si>
  <si>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</si>
  <si>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</si>
  <si>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</si>
  <si>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</si>
  <si>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</si>
  <si>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</si>
  <si>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</si>
  <si>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</si>
  <si>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>ДМтаЗВ СМР</t>
  </si>
  <si>
    <t>240900 ДМтаЗВ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</si>
  <si>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</si>
  <si>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</si>
  <si>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</si>
  <si>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</si>
  <si>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</si>
  <si>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</si>
  <si>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Завдання: 3.  Забезпечення проведення утримання вулично-дорожньої мережі та штучних споруд</t>
  </si>
  <si>
    <t xml:space="preserve">  Завдання: 4. Забезпечення проведення поточного ремонту проїздів, тротуарів, внутрішньоквартальних проїзних доріг</t>
  </si>
  <si>
    <t xml:space="preserve">  Завдання: 5. Забезпечення проведення капітального ремонту проїздів, тротуарів, внутрішньоквартальних проїзних доріг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</si>
  <si>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</si>
  <si>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</si>
  <si>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</si>
  <si>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</si>
  <si>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</si>
  <si>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</si>
  <si>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</si>
  <si>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</si>
  <si>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</si>
  <si>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</si>
  <si>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</si>
  <si>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</si>
  <si>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</si>
  <si>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</si>
  <si>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</si>
  <si>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</si>
  <si>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</si>
  <si>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</si>
  <si>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</si>
  <si>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</si>
  <si>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</si>
  <si>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</si>
  <si>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</si>
  <si>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</si>
  <si>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</si>
  <si>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</si>
  <si>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</si>
  <si>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</si>
  <si>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</si>
  <si>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</si>
  <si>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</si>
  <si>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</si>
  <si>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</si>
  <si>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</si>
  <si>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</si>
  <si>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</si>
  <si>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</si>
  <si>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</si>
  <si>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</si>
  <si>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</si>
  <si>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</si>
  <si>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</si>
  <si>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</si>
  <si>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</si>
  <si>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</si>
  <si>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</si>
  <si>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</si>
  <si>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</si>
  <si>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</si>
  <si>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</si>
  <si>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</si>
  <si>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</si>
  <si>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</si>
  <si>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</si>
  <si>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</si>
  <si>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</si>
  <si>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</si>
  <si>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</si>
  <si>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</si>
  <si>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</si>
  <si>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</si>
  <si>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</si>
  <si>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</si>
  <si>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</si>
  <si>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</si>
  <si>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</si>
  <si>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</si>
  <si>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</si>
  <si>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</si>
  <si>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</si>
  <si>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</si>
  <si>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</si>
  <si>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</si>
  <si>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</si>
  <si>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</si>
  <si>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</si>
  <si>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</si>
  <si>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</si>
  <si>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</si>
  <si>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</si>
  <si>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</si>
  <si>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</si>
  <si>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</si>
  <si>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</si>
  <si>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</si>
  <si>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</si>
  <si>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</si>
  <si>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що планується заміни,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</si>
  <si>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</si>
  <si>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</si>
  <si>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</si>
  <si>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</si>
  <si>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</si>
  <si>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</si>
  <si>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</si>
  <si>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</si>
  <si>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</si>
  <si>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</si>
  <si>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</si>
  <si>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</si>
  <si>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</si>
  <si>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</si>
  <si>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</si>
  <si>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</si>
  <si>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</si>
  <si>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</si>
  <si>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</si>
  <si>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</si>
  <si>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</si>
  <si>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</si>
  <si>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</si>
  <si>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</si>
  <si>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</si>
  <si>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</si>
  <si>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</si>
  <si>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</si>
  <si>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</si>
  <si>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</si>
  <si>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</si>
  <si>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</si>
  <si>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</si>
  <si>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</si>
  <si>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</si>
  <si>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</si>
  <si>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</si>
  <si>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</si>
  <si>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</si>
  <si>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</si>
  <si>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</si>
  <si>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>КТКВК 100203, 170703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</si>
  <si>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</si>
  <si>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</si>
  <si>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</si>
  <si>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</si>
  <si>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</si>
  <si>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</si>
  <si>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</si>
  <si>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</si>
  <si>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</si>
  <si>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</si>
  <si>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</si>
  <si>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</si>
  <si>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</si>
  <si>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</si>
  <si>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</si>
  <si>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</si>
  <si>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</si>
  <si>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</si>
  <si>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</si>
  <si>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</si>
  <si>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</si>
  <si>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</si>
  <si>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</si>
  <si>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</si>
  <si>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</si>
  <si>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</si>
  <si>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</si>
  <si>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</si>
  <si>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</si>
  <si>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</si>
  <si>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</si>
  <si>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</si>
  <si>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Завдання: 6. Забезпечення проведення обстеження об'єктів транспортної інфраструктури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</si>
  <si>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</si>
  <si>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</si>
  <si>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</si>
  <si>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Завдання: 7. Будівництво об'єктів транспортної інфраструктури</t>
  </si>
  <si>
    <t xml:space="preserve">  Завдання: 9. Забезпечення функціонування мереж зовнішнього освітлення </t>
  </si>
  <si>
    <t xml:space="preserve">  Завдання:10. Збереження та утримання на належному рівні зеленої зони міста Суми та поліпшення його екологічних умов </t>
  </si>
  <si>
    <t xml:space="preserve">  Завдання: 11. Забезпечення благоустрою кладовищ, діяльності спецслужби, поховання безрідних та функціонування громадських вбиралень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</si>
  <si>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</si>
  <si>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</si>
  <si>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</si>
  <si>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</si>
  <si>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</si>
  <si>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</si>
  <si>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</si>
  <si>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</si>
  <si>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</si>
  <si>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</si>
  <si>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</si>
  <si>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</si>
  <si>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</si>
  <si>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</si>
  <si>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</si>
  <si>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</si>
  <si>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</si>
  <si>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</si>
  <si>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</si>
  <si>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</si>
  <si>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</si>
  <si>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</si>
  <si>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</si>
  <si>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</si>
  <si>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</si>
  <si>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</si>
  <si>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</si>
  <si>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</si>
  <si>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</si>
  <si>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</si>
  <si>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</si>
  <si>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</si>
  <si>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</si>
  <si>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</si>
  <si>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</si>
  <si>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</si>
  <si>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</si>
  <si>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</si>
  <si>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</si>
  <si>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</si>
  <si>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</si>
  <si>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</si>
  <si>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</si>
  <si>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</si>
  <si>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</si>
  <si>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</si>
  <si>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</si>
  <si>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</si>
  <si>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</si>
  <si>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</si>
  <si>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</si>
  <si>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</si>
  <si>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</si>
  <si>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</si>
  <si>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</si>
  <si>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</si>
  <si>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</si>
  <si>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</si>
  <si>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</si>
  <si>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</si>
  <si>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</si>
  <si>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</si>
  <si>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</si>
  <si>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</si>
  <si>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</si>
  <si>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</si>
  <si>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</si>
  <si>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</si>
  <si>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</si>
  <si>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планується відремонтувати, грн.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</si>
  <si>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</si>
  <si>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</si>
  <si>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</si>
  <si>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 xml:space="preserve">Показник: кількість комплексних схем і зонування розміщення рекламних засобів на території 
м. Суми
</t>
  </si>
  <si>
    <t>власні кошти підприємства</t>
  </si>
  <si>
    <t xml:space="preserve">  Завдання: 12. Забезпечення санітарної очистки території</t>
  </si>
  <si>
    <t xml:space="preserve">  Завдання: 13. Поточний ремонт та утримання в належному стані об'єктів благоустрою</t>
  </si>
  <si>
    <t xml:space="preserve">  Завдання: 14. Забезпечення сприятливих умов для співіснування людей та тварин</t>
  </si>
  <si>
    <t xml:space="preserve">  Завдання: 15. Капітальний ремонт та утримання в належному стані об'єктів благоустрою </t>
  </si>
  <si>
    <t xml:space="preserve">  Завдання: 16. 1 Проведення капітального ремонту житлових будинків</t>
  </si>
  <si>
    <t xml:space="preserve">  Завдання: 16.2. Проведення капітального ремонту покрівель житлових будинків</t>
  </si>
  <si>
    <t xml:space="preserve">  Завдання: 16.3.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</si>
  <si>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16.4. Встановлення індивідуального опалення в квартирах житлового будинку №110 по вул.Роменській</t>
  </si>
  <si>
    <t xml:space="preserve">  Завдання: 16.5. Проведення капітального ремонту житлових будинків об'єднань співвласників багатоквартирних будинків</t>
  </si>
  <si>
    <t xml:space="preserve">  Завдання: 17. Забезпечення святкового оформлення міста</t>
  </si>
  <si>
    <t xml:space="preserve">  Завдання: 18. Придбання та монтаж покажчиків вулиць</t>
  </si>
  <si>
    <t xml:space="preserve">  Завдання: 19. Виготовлення та розміщення рекламних матеріалів до святкових та урочистих подій </t>
  </si>
  <si>
    <t xml:space="preserve">  Завдання: 20. Демонтаж  рекламних засобів, розміщених самовільно та з порушенням порядку розміщення зовнішньої реклами</t>
  </si>
  <si>
    <t xml:space="preserve">  Завдання: 21. Забезпечення постачання природного газу монументу "Вічна Слава"</t>
  </si>
  <si>
    <t xml:space="preserve">  Завдання: 22. Орендна плата за землю по вул.Боженко (майданчик для складування рослинних відходів, деревини та опалого листя)</t>
  </si>
  <si>
    <t xml:space="preserve">  Завдання: 23. Оплата податку на земельну ділянку за адресою: м.Суми, вул.Привокзальна, 4/13 (каналізаційно-насосна станція)</t>
  </si>
  <si>
    <t xml:space="preserve">  Завдання: 24. Демонтаж незаконно встановлених тимчасових споруд</t>
  </si>
  <si>
    <t xml:space="preserve">  Завдання: 25. Зберігання демонтованих тимчасових споруд та рекламних засобів</t>
  </si>
  <si>
    <t xml:space="preserve">  Завдання:26. Виготовлення та розміщення рекламних матеріалів до святкових та урочистих подій </t>
  </si>
  <si>
    <t xml:space="preserve">  Завдання: 27. Розроблення  Комплексної схеми і зонування розміщення рекламних засобів на території м. Суми </t>
  </si>
  <si>
    <t>Завдання: 28. Розроблення  Комплексної схеми розміщення тимчасових споруд для провадження підприємницької діяльності у місті Суми</t>
  </si>
  <si>
    <t xml:space="preserve">  Завдання: 29. Забезпечення функціонування об'єктів комунального господарства</t>
  </si>
  <si>
    <t xml:space="preserve">  Завдання: 30. Запобігання знищення чи пошкодження Алеї Почесних громадян на Центральному кладовищі</t>
  </si>
  <si>
    <t xml:space="preserve">  Завдання: 31. Забезпечення функціонування водопровідно-каналізаційного господарства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</si>
  <si>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</si>
  <si>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</si>
  <si>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Забезпечення належного облуговування каналізаційно-насосної станції за адресою: м. Суми, вул. Привокзальна,4/13</t>
  </si>
  <si>
    <t>Завдання: 35. Придбання водопровідних та каналізаційних люків</t>
  </si>
  <si>
    <t>Завдання: 36. Розрахунок допустимих  концентрацій (ДК) забруднюючих речовин в скидах стічних вод споживачів у каналізаційну мережу м.Суми</t>
  </si>
  <si>
    <t>Завдання: 37. Коригування Правил приймання стічних вод в систему каналізації м.Суми</t>
  </si>
  <si>
    <t>Завдання: 38. Проведення капітального ремонту колекторів та каналізаційних мереж"</t>
  </si>
  <si>
    <t xml:space="preserve">  Завдання: 39. Заходи із землеутрою міста Суми</t>
  </si>
  <si>
    <t xml:space="preserve">  Завдання: 40.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</si>
  <si>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 xml:space="preserve">  Завдання: 41. Впровадження енергозберігаючих заходів</t>
  </si>
  <si>
    <t xml:space="preserve">  Завдання: 42.  Встановлення лічильників теплової енергії</t>
  </si>
  <si>
    <t xml:space="preserve">  Завдання: 43. Розробка схем та проектних рішень масового застосування міста Суми</t>
  </si>
  <si>
    <t xml:space="preserve">  Завдання: 8.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</si>
  <si>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управління "Інспекція з благоустрою міста Суми" СМР, м3</t>
  </si>
  <si>
    <t xml:space="preserve">    Показник: середні витрати на прибирання, ліквідацію 1 м3 сміття на об'єктах благоустрою загального користування управлінням "Інспекція з благоустрою міста Суми" СМР,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</si>
  <si>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 управлінням "Інспекція з благоустрою міста Суми" СМР, %</t>
  </si>
  <si>
    <t>управління "Інспекція з благоустрою міста Суми" СМР</t>
  </si>
  <si>
    <t xml:space="preserve">  Завдання: 44. Розробка єдиної дислокації технічних засобів регулювання дорожнього руху</t>
  </si>
  <si>
    <t xml:space="preserve">    Показник:кількість науково-технічної продукції, од.</t>
  </si>
  <si>
    <t xml:space="preserve">    Показник: середня вартість одиниці науково-технічної продукції,  грн.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</si>
  <si>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</si>
  <si>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</si>
  <si>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 Завдання: 47. Забезпечення надійного та безперебійного функціонування житлово-експлуатаційного господарства</t>
  </si>
  <si>
    <t xml:space="preserve">  Завдання: 48. Організація та проведення громадських робіт</t>
  </si>
  <si>
    <t xml:space="preserve">    Мета: Розробка проектно-кошторисної документації</t>
  </si>
  <si>
    <t xml:space="preserve">    Показник:кількість об'єктів, шт.</t>
  </si>
  <si>
    <t xml:space="preserve">    Показник: середня вартість розробки проектно-кошторисної документації для одного об'єкта,  грн.</t>
  </si>
  <si>
    <t xml:space="preserve">  Завдання: 49. Розробка проектно-кошторисної документації по реконструкції колекторів міста Суми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</si>
  <si>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ДІМ, м3</t>
  </si>
  <si>
    <t xml:space="preserve">    Показник: середні витрати на прибирання, ліквідацію             1 м3 сміття на об'єктах благоустрою загального користування ДІМ, грн.</t>
  </si>
  <si>
    <t xml:space="preserve">  Завдання: 50. Реконструкція полігону для складування ТПВ на території В.Бобрицької сільської ради Краснопільського району</t>
  </si>
  <si>
    <t xml:space="preserve">    Показник: середня вартість реконструкції для одного об'єкта,  грн.</t>
  </si>
  <si>
    <t xml:space="preserve">                     Додаток 10</t>
  </si>
  <si>
    <t xml:space="preserve">від 27.07.2016 року № 1023-МР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</si>
</sst>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1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5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198" fontId="8" fillId="34" borderId="11" xfId="0" applyNumberFormat="1" applyFont="1" applyFill="1" applyBorder="1" applyAlignment="1">
      <alignment horizontal="center" vertical="center"/>
    </xf>
    <xf numFmtId="198" fontId="5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2" fontId="1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180" fontId="3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84" fontId="1" fillId="37" borderId="10" xfId="0" applyNumberFormat="1" applyFont="1" applyFill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01" fontId="1" fillId="37" borderId="10" xfId="0" applyNumberFormat="1" applyFont="1" applyFill="1" applyBorder="1" applyAlignment="1">
      <alignment horizontal="center" vertical="center" wrapText="1"/>
    </xf>
    <xf numFmtId="201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2" fontId="8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8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84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3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4" fillId="38" borderId="10" xfId="0" applyNumberFormat="1" applyFont="1" applyFill="1" applyBorder="1" applyAlignment="1">
      <alignment horizontal="center" vertical="center" wrapText="1"/>
    </xf>
    <xf numFmtId="180" fontId="4" fillId="38" borderId="10" xfId="0" applyNumberFormat="1" applyFont="1" applyFill="1" applyBorder="1" applyAlignment="1">
      <alignment horizontal="center" vertical="center" wrapText="1"/>
    </xf>
    <xf numFmtId="180" fontId="5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wrapText="1"/>
    </xf>
    <xf numFmtId="2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2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left" wrapText="1"/>
    </xf>
    <xf numFmtId="2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wrapText="1"/>
    </xf>
    <xf numFmtId="4" fontId="5" fillId="40" borderId="11" xfId="0" applyNumberFormat="1" applyFont="1" applyFill="1" applyBorder="1" applyAlignment="1">
      <alignment horizontal="center" vertical="center"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/>
    </xf>
    <xf numFmtId="1" fontId="5" fillId="38" borderId="10" xfId="0" applyNumberFormat="1" applyFont="1" applyFill="1" applyBorder="1" applyAlignment="1">
      <alignment horizontal="center" vertical="center" wrapText="1"/>
    </xf>
    <xf numFmtId="2" fontId="5" fillId="39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0" borderId="10" xfId="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2" fontId="5" fillId="38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2" fontId="1" fillId="41" borderId="10" xfId="0" applyNumberFormat="1" applyFont="1" applyFill="1" applyBorder="1" applyAlignment="1">
      <alignment horizontal="center" vertical="center" wrapText="1"/>
    </xf>
    <xf numFmtId="4" fontId="3" fillId="41" borderId="10" xfId="0" applyNumberFormat="1" applyFont="1" applyFill="1" applyBorder="1" applyAlignment="1">
      <alignment horizontal="center" vertical="center" wrapText="1"/>
    </xf>
    <xf numFmtId="180" fontId="3" fillId="41" borderId="10" xfId="0" applyNumberFormat="1" applyFont="1" applyFill="1" applyBorder="1" applyAlignment="1">
      <alignment horizontal="center" vertical="center" wrapText="1"/>
    </xf>
    <xf numFmtId="0" fontId="1" fillId="41" borderId="0" xfId="0" applyFont="1" applyFill="1" applyAlignment="1">
      <alignment/>
    </xf>
    <xf numFmtId="0" fontId="0" fillId="41" borderId="0" xfId="0" applyFill="1" applyAlignment="1">
      <alignment/>
    </xf>
    <xf numFmtId="183" fontId="1" fillId="41" borderId="10" xfId="0" applyNumberFormat="1" applyFont="1" applyFill="1" applyBorder="1" applyAlignment="1">
      <alignment horizontal="center" vertical="center" wrapText="1"/>
    </xf>
    <xf numFmtId="1" fontId="1" fillId="41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4" fontId="1" fillId="41" borderId="10" xfId="0" applyNumberFormat="1" applyFont="1" applyFill="1" applyBorder="1" applyAlignment="1">
      <alignment horizontal="center" vertical="center" wrapText="1"/>
    </xf>
    <xf numFmtId="190" fontId="1" fillId="37" borderId="10" xfId="0" applyNumberFormat="1" applyFont="1" applyFill="1" applyBorder="1" applyAlignment="1">
      <alignment horizontal="center" vertical="center" wrapText="1"/>
    </xf>
    <xf numFmtId="4" fontId="5" fillId="4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41" borderId="0" xfId="0" applyFont="1" applyFill="1" applyBorder="1" applyAlignment="1">
      <alignment/>
    </xf>
    <xf numFmtId="0" fontId="60" fillId="41" borderId="0" xfId="0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2" fontId="1" fillId="41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3" fillId="38" borderId="10" xfId="0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2" fontId="1" fillId="37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2" fontId="11" fillId="38" borderId="10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wrapText="1"/>
    </xf>
    <xf numFmtId="4" fontId="11" fillId="40" borderId="11" xfId="0" applyNumberFormat="1" applyFont="1" applyFill="1" applyBorder="1" applyAlignment="1">
      <alignment horizontal="center" vertical="center"/>
    </xf>
    <xf numFmtId="2" fontId="1" fillId="40" borderId="11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180" fontId="4" fillId="40" borderId="11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05"/>
  <sheetViews>
    <sheetView tabSelected="1" view="pageBreakPreview" zoomScale="115" zoomScaleNormal="85" zoomScaleSheetLayoutView="115" workbookViewId="0" topLeftCell="A669">
      <selection activeCell="F628" sqref="F628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1" customWidth="1"/>
    <col min="5" max="5" width="16.66015625" style="1" customWidth="1"/>
    <col min="6" max="6" width="17.66015625" style="1" customWidth="1"/>
    <col min="7" max="7" width="17.5" style="1" customWidth="1"/>
    <col min="8" max="9" width="16.16015625" style="1" customWidth="1"/>
    <col min="10" max="10" width="17.16015625" style="1" customWidth="1"/>
    <col min="11" max="13" width="16" style="1" hidden="1" customWidth="1"/>
    <col min="14" max="14" width="15.83203125" style="1" customWidth="1"/>
    <col min="15" max="15" width="17.5" style="1" customWidth="1"/>
    <col min="16" max="16" width="16.16015625" style="1" customWidth="1"/>
    <col min="17" max="17" width="0.328125" style="1" customWidth="1"/>
    <col min="18" max="235" width="10.33203125" style="1" customWidth="1"/>
  </cols>
  <sheetData>
    <row r="1" spans="14:16" ht="12.75">
      <c r="N1" s="237" t="s">
        <v>400</v>
      </c>
      <c r="O1" s="237"/>
      <c r="P1" s="237"/>
    </row>
    <row r="2" spans="1:16" ht="12.75">
      <c r="A2" s="225"/>
      <c r="B2" s="225"/>
      <c r="C2" s="225"/>
      <c r="D2" s="225"/>
      <c r="E2" s="225"/>
      <c r="F2" s="225"/>
      <c r="G2" s="225"/>
      <c r="H2" s="225"/>
      <c r="I2" s="225"/>
      <c r="N2" s="237" t="s">
        <v>83</v>
      </c>
      <c r="O2" s="237"/>
      <c r="P2" s="237"/>
    </row>
    <row r="3" spans="1:16" ht="12.75">
      <c r="A3" s="225"/>
      <c r="B3" s="225"/>
      <c r="C3" s="225"/>
      <c r="D3" s="226"/>
      <c r="E3" s="226"/>
      <c r="F3" s="226"/>
      <c r="G3" s="226"/>
      <c r="H3" s="226"/>
      <c r="I3" s="225"/>
      <c r="N3" s="237" t="s">
        <v>253</v>
      </c>
      <c r="O3" s="237"/>
      <c r="P3" s="237"/>
    </row>
    <row r="4" spans="1:16" ht="12.75">
      <c r="A4" s="225"/>
      <c r="B4" s="225"/>
      <c r="C4" s="225"/>
      <c r="D4" s="226"/>
      <c r="E4" s="227"/>
      <c r="F4" s="226"/>
      <c r="G4" s="226"/>
      <c r="H4" s="228"/>
      <c r="I4" s="225"/>
      <c r="N4" s="237" t="s">
        <v>62</v>
      </c>
      <c r="O4" s="237"/>
      <c r="P4" s="237"/>
    </row>
    <row r="5" spans="1:16" ht="12.75">
      <c r="A5" s="225"/>
      <c r="B5" s="225"/>
      <c r="C5" s="225"/>
      <c r="D5" s="226"/>
      <c r="E5" s="227"/>
      <c r="F5" s="226"/>
      <c r="G5" s="226"/>
      <c r="H5" s="226"/>
      <c r="I5" s="225"/>
      <c r="N5" s="237" t="s">
        <v>90</v>
      </c>
      <c r="O5" s="237"/>
      <c r="P5" s="237"/>
    </row>
    <row r="6" spans="1:16" ht="12.75">
      <c r="A6" s="225"/>
      <c r="B6" s="225"/>
      <c r="C6" s="225"/>
      <c r="D6" s="226"/>
      <c r="E6" s="226"/>
      <c r="F6" s="226"/>
      <c r="G6" s="226"/>
      <c r="H6" s="226"/>
      <c r="I6" s="225"/>
      <c r="N6" s="237" t="s">
        <v>260</v>
      </c>
      <c r="O6" s="237"/>
      <c r="P6" s="237"/>
    </row>
    <row r="7" spans="1:17" ht="15.75">
      <c r="A7" s="225"/>
      <c r="B7" s="225"/>
      <c r="C7" s="225"/>
      <c r="D7" s="226"/>
      <c r="E7" s="226"/>
      <c r="F7" s="226"/>
      <c r="G7" s="226"/>
      <c r="H7" s="229"/>
      <c r="I7" s="230"/>
      <c r="N7" s="237" t="s">
        <v>401</v>
      </c>
      <c r="O7" s="237"/>
      <c r="P7" s="237"/>
      <c r="Q7" s="41"/>
    </row>
    <row r="8" spans="1:17" ht="15.75">
      <c r="A8" s="225"/>
      <c r="B8" s="225"/>
      <c r="C8" s="225"/>
      <c r="D8" s="226"/>
      <c r="E8" s="226"/>
      <c r="F8" s="226"/>
      <c r="G8" s="226"/>
      <c r="H8" s="228"/>
      <c r="I8" s="231"/>
      <c r="N8" s="137"/>
      <c r="O8" s="137"/>
      <c r="P8" s="137"/>
      <c r="Q8" s="41"/>
    </row>
    <row r="9" spans="1:9" ht="11.25">
      <c r="A9" s="225"/>
      <c r="B9" s="225"/>
      <c r="C9" s="225"/>
      <c r="D9" s="226"/>
      <c r="E9" s="226"/>
      <c r="F9" s="226"/>
      <c r="G9" s="226"/>
      <c r="H9" s="226"/>
      <c r="I9" s="225"/>
    </row>
    <row r="10" spans="1:16" ht="31.5" customHeight="1">
      <c r="A10" s="238" t="s">
        <v>91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 ht="16.5" customHeight="1">
      <c r="A11" s="4"/>
      <c r="B11" s="4"/>
      <c r="C11" s="4"/>
      <c r="D11" s="4"/>
      <c r="E11" s="4"/>
      <c r="F11" s="149"/>
      <c r="G11" s="149"/>
      <c r="H11" s="149"/>
      <c r="I11" s="149"/>
      <c r="J11" s="72"/>
      <c r="K11" s="4"/>
      <c r="N11" s="72"/>
      <c r="P11" s="4" t="s">
        <v>59</v>
      </c>
    </row>
    <row r="12" spans="1:241" ht="11.25" customHeight="1">
      <c r="A12" s="248"/>
      <c r="B12" s="251" t="s">
        <v>52</v>
      </c>
      <c r="C12" s="251" t="s">
        <v>53</v>
      </c>
      <c r="D12" s="240" t="s">
        <v>92</v>
      </c>
      <c r="E12" s="241"/>
      <c r="F12" s="242"/>
      <c r="G12" s="247" t="s">
        <v>93</v>
      </c>
      <c r="H12" s="247"/>
      <c r="I12" s="247"/>
      <c r="J12" s="247"/>
      <c r="K12" s="3"/>
      <c r="L12" s="3"/>
      <c r="M12" s="3"/>
      <c r="N12" s="240" t="s">
        <v>94</v>
      </c>
      <c r="O12" s="241"/>
      <c r="P12" s="242"/>
      <c r="IB12" s="1"/>
      <c r="IC12" s="1"/>
      <c r="ID12" s="1"/>
      <c r="IE12" s="1"/>
      <c r="IF12" s="1"/>
      <c r="IG12" s="1"/>
    </row>
    <row r="13" spans="1:241" ht="12" customHeight="1">
      <c r="A13" s="249"/>
      <c r="B13" s="252"/>
      <c r="C13" s="252"/>
      <c r="D13" s="243" t="s">
        <v>54</v>
      </c>
      <c r="E13" s="244"/>
      <c r="F13" s="245" t="s">
        <v>41</v>
      </c>
      <c r="G13" s="256" t="s">
        <v>54</v>
      </c>
      <c r="H13" s="256"/>
      <c r="I13" s="256"/>
      <c r="J13" s="247" t="s">
        <v>41</v>
      </c>
      <c r="K13" s="240" t="s">
        <v>40</v>
      </c>
      <c r="L13" s="241"/>
      <c r="M13" s="242"/>
      <c r="N13" s="243" t="s">
        <v>54</v>
      </c>
      <c r="O13" s="244"/>
      <c r="P13" s="245" t="s">
        <v>41</v>
      </c>
      <c r="IB13" s="1"/>
      <c r="IC13" s="1"/>
      <c r="ID13" s="1"/>
      <c r="IE13" s="1"/>
      <c r="IF13" s="1"/>
      <c r="IG13" s="1"/>
    </row>
    <row r="14" spans="1:241" ht="24.75" customHeight="1">
      <c r="A14" s="250"/>
      <c r="B14" s="253"/>
      <c r="C14" s="253"/>
      <c r="D14" s="3" t="s">
        <v>0</v>
      </c>
      <c r="E14" s="3" t="s">
        <v>1</v>
      </c>
      <c r="F14" s="246"/>
      <c r="G14" s="3" t="s">
        <v>0</v>
      </c>
      <c r="H14" s="3" t="s">
        <v>1</v>
      </c>
      <c r="I14" s="3" t="s">
        <v>343</v>
      </c>
      <c r="J14" s="247"/>
      <c r="K14" s="3" t="s">
        <v>0</v>
      </c>
      <c r="L14" s="3" t="s">
        <v>1</v>
      </c>
      <c r="M14" s="3" t="s">
        <v>41</v>
      </c>
      <c r="N14" s="3" t="s">
        <v>0</v>
      </c>
      <c r="O14" s="3" t="s">
        <v>1</v>
      </c>
      <c r="P14" s="246"/>
      <c r="IB14" s="1"/>
      <c r="IC14" s="1"/>
      <c r="ID14" s="1"/>
      <c r="IE14" s="1"/>
      <c r="IF14" s="1"/>
      <c r="IG14" s="1"/>
    </row>
    <row r="15" spans="1:241" ht="11.25">
      <c r="A15" s="3">
        <v>1</v>
      </c>
      <c r="B15" s="3"/>
      <c r="C15" s="3"/>
      <c r="D15" s="3" t="s">
        <v>2</v>
      </c>
      <c r="E15" s="3" t="s">
        <v>3</v>
      </c>
      <c r="F15" s="3">
        <v>7</v>
      </c>
      <c r="G15" s="3">
        <v>8</v>
      </c>
      <c r="H15" s="3">
        <v>9</v>
      </c>
      <c r="I15" s="3">
        <v>10</v>
      </c>
      <c r="J15" s="3">
        <v>11</v>
      </c>
      <c r="K15" s="3">
        <v>12</v>
      </c>
      <c r="L15" s="3">
        <v>13</v>
      </c>
      <c r="M15" s="3">
        <v>14</v>
      </c>
      <c r="N15" s="3">
        <v>12</v>
      </c>
      <c r="O15" s="3">
        <v>13</v>
      </c>
      <c r="P15" s="3">
        <v>14</v>
      </c>
      <c r="IB15" s="1"/>
      <c r="IC15" s="1"/>
      <c r="ID15" s="1"/>
      <c r="IE15" s="1"/>
      <c r="IF15" s="1"/>
      <c r="IG15" s="1"/>
    </row>
    <row r="16" spans="1:16" s="1" customFormat="1" ht="28.5" customHeight="1">
      <c r="A16" s="94" t="s">
        <v>76</v>
      </c>
      <c r="B16" s="94"/>
      <c r="C16" s="94"/>
      <c r="D16" s="95">
        <f>D24+D285+D363+D455+D471+D531+D545+D557+D572</f>
        <v>42115300.002</v>
      </c>
      <c r="E16" s="95">
        <f>E24+E285+E363+E455+E471+E531+E575</f>
        <v>42792920</v>
      </c>
      <c r="F16" s="95">
        <f>F24+F285+F363+F455+F471+F531+F545+F557+F575</f>
        <v>84908220.002</v>
      </c>
      <c r="G16" s="95">
        <f>G24+G285+G363+G455+G471+G557+G584+G627+G531+G636+G654+G572+G611+G662</f>
        <v>68668454.99583</v>
      </c>
      <c r="H16" s="95">
        <f>H24+H285+H363+H455+H471+H557+H584+H627+H531+H636+H654+H572+H611-12000000+H665</f>
        <v>196383365.00435</v>
      </c>
      <c r="I16" s="95">
        <f>I24+I285+I363+I455+I471+I572+I611+I627</f>
        <v>47000</v>
      </c>
      <c r="J16" s="95">
        <f>G16+H16+I16</f>
        <v>265098820.00018</v>
      </c>
      <c r="K16" s="95" t="e">
        <f>K24+K285+K363+K455+K471</f>
        <v>#REF!</v>
      </c>
      <c r="L16" s="95" t="e">
        <f>L24+L285+L363+L455+L471</f>
        <v>#REF!</v>
      </c>
      <c r="M16" s="95" t="e">
        <f>M24+M285+M363+M455+M471</f>
        <v>#REF!</v>
      </c>
      <c r="N16" s="95">
        <f>N24+N285+N363+N455+N471+N557+N531</f>
        <v>54506000</v>
      </c>
      <c r="O16" s="95">
        <f>O24+O285+O363+O455+O471</f>
        <v>43812500</v>
      </c>
      <c r="P16" s="95">
        <f>N16+O16</f>
        <v>98318500</v>
      </c>
    </row>
    <row r="17" spans="1:16" s="1" customFormat="1" ht="41.25" customHeight="1">
      <c r="A17" s="94" t="s">
        <v>61</v>
      </c>
      <c r="B17" s="94"/>
      <c r="C17" s="94"/>
      <c r="D17" s="95">
        <f>D25</f>
        <v>50736000</v>
      </c>
      <c r="E17" s="95">
        <f>E25</f>
        <v>58817800</v>
      </c>
      <c r="F17" s="95">
        <f>D17+E17</f>
        <v>109553800</v>
      </c>
      <c r="G17" s="95">
        <f>G25+G545</f>
        <v>71963199.9979428</v>
      </c>
      <c r="H17" s="95">
        <f>H25+12000000</f>
        <v>130625000</v>
      </c>
      <c r="I17" s="95">
        <f>I25</f>
        <v>0</v>
      </c>
      <c r="J17" s="95">
        <f>G17+H17</f>
        <v>202588199.9979428</v>
      </c>
      <c r="K17" s="95">
        <f>K25</f>
        <v>0</v>
      </c>
      <c r="L17" s="95">
        <f>L25</f>
        <v>0</v>
      </c>
      <c r="M17" s="95">
        <f>M25</f>
        <v>0</v>
      </c>
      <c r="N17" s="95">
        <f>N25</f>
        <v>73060000</v>
      </c>
      <c r="O17" s="95">
        <f>O25</f>
        <v>78512500</v>
      </c>
      <c r="P17" s="95">
        <f>N17+O17</f>
        <v>151572500</v>
      </c>
    </row>
    <row r="18" spans="1:17" ht="41.25" customHeight="1">
      <c r="A18" s="94" t="s">
        <v>77</v>
      </c>
      <c r="B18" s="94"/>
      <c r="C18" s="94"/>
      <c r="D18" s="95">
        <f>D364+D419</f>
        <v>353680</v>
      </c>
      <c r="E18" s="95">
        <f>E364+E419</f>
        <v>534080</v>
      </c>
      <c r="F18" s="95">
        <f>D18+E18</f>
        <v>887760</v>
      </c>
      <c r="G18" s="95">
        <f>G364+G419</f>
        <v>220000</v>
      </c>
      <c r="H18" s="95">
        <f>H364+H419</f>
        <v>1183080</v>
      </c>
      <c r="I18" s="95">
        <f>I364+I419</f>
        <v>0</v>
      </c>
      <c r="J18" s="95">
        <f>G18+H18</f>
        <v>1403080</v>
      </c>
      <c r="K18" s="95">
        <f>K364+K419</f>
        <v>0</v>
      </c>
      <c r="L18" s="95">
        <f>L364+L419</f>
        <v>0</v>
      </c>
      <c r="M18" s="95">
        <f>M364+M419</f>
        <v>0</v>
      </c>
      <c r="N18" s="95">
        <f>N364+N419</f>
        <v>413680</v>
      </c>
      <c r="O18" s="95">
        <f>O364+O419</f>
        <v>474080</v>
      </c>
      <c r="P18" s="95">
        <f>N18+O18</f>
        <v>887760</v>
      </c>
      <c r="Q18" s="72"/>
    </row>
    <row r="19" spans="1:17" ht="29.25" customHeight="1">
      <c r="A19" s="94" t="s">
        <v>75</v>
      </c>
      <c r="B19" s="94"/>
      <c r="C19" s="94"/>
      <c r="D19" s="95">
        <f>D27</f>
        <v>132300</v>
      </c>
      <c r="E19" s="95">
        <f>E27</f>
        <v>0</v>
      </c>
      <c r="F19" s="95">
        <f>D19+E19</f>
        <v>132300</v>
      </c>
      <c r="G19" s="95">
        <f>G27</f>
        <v>172439.79</v>
      </c>
      <c r="H19" s="95">
        <f>H27</f>
        <v>0</v>
      </c>
      <c r="I19" s="95">
        <f>I27</f>
        <v>0</v>
      </c>
      <c r="J19" s="95">
        <f>G19+H19</f>
        <v>172439.79</v>
      </c>
      <c r="K19" s="95">
        <f>K27</f>
        <v>0</v>
      </c>
      <c r="L19" s="95">
        <f>L27</f>
        <v>0</v>
      </c>
      <c r="M19" s="95">
        <f>M27</f>
        <v>0</v>
      </c>
      <c r="N19" s="95">
        <f>N27</f>
        <v>165000</v>
      </c>
      <c r="O19" s="95">
        <f>O27</f>
        <v>0</v>
      </c>
      <c r="P19" s="95">
        <f>N19+O19</f>
        <v>165000</v>
      </c>
      <c r="Q19" s="72"/>
    </row>
    <row r="20" spans="1:17" ht="29.25" customHeight="1">
      <c r="A20" s="24" t="s">
        <v>384</v>
      </c>
      <c r="B20" s="94"/>
      <c r="C20" s="94"/>
      <c r="D20" s="95"/>
      <c r="E20" s="95"/>
      <c r="F20" s="95"/>
      <c r="G20" s="95">
        <f>G28</f>
        <v>365080.002</v>
      </c>
      <c r="H20" s="95"/>
      <c r="I20" s="95"/>
      <c r="J20" s="95">
        <f>G20+H20</f>
        <v>365080.002</v>
      </c>
      <c r="K20" s="95"/>
      <c r="L20" s="95"/>
      <c r="M20" s="95"/>
      <c r="N20" s="95"/>
      <c r="O20" s="95"/>
      <c r="P20" s="95"/>
      <c r="Q20" s="72"/>
    </row>
    <row r="21" spans="1:17" ht="20.25" customHeight="1">
      <c r="A21" s="94" t="s">
        <v>229</v>
      </c>
      <c r="B21" s="94"/>
      <c r="C21" s="94"/>
      <c r="D21" s="95">
        <f>D16+D17+D18+D19</f>
        <v>93337280.002</v>
      </c>
      <c r="E21" s="95">
        <f>E16+E17+E18+E19</f>
        <v>102144800</v>
      </c>
      <c r="F21" s="95">
        <f>F16+F17+F18+F19</f>
        <v>195482080.002</v>
      </c>
      <c r="G21" s="95">
        <f>G16+G17+G18+G19+G20</f>
        <v>141389174.7857728</v>
      </c>
      <c r="H21" s="95">
        <f>H16+H17+H18+H19+H20</f>
        <v>328191445.00435</v>
      </c>
      <c r="I21" s="95">
        <f>I16+I17+I18+I19+I20</f>
        <v>47000</v>
      </c>
      <c r="J21" s="95">
        <f>J16+J17+J18+J19+J20</f>
        <v>469627619.7901228</v>
      </c>
      <c r="K21" s="95" t="e">
        <f aca="true" t="shared" si="0" ref="K21:P21">K16+K17+K18+K19</f>
        <v>#REF!</v>
      </c>
      <c r="L21" s="95" t="e">
        <f t="shared" si="0"/>
        <v>#REF!</v>
      </c>
      <c r="M21" s="95" t="e">
        <f t="shared" si="0"/>
        <v>#REF!</v>
      </c>
      <c r="N21" s="95">
        <f t="shared" si="0"/>
        <v>128144680</v>
      </c>
      <c r="O21" s="95">
        <f t="shared" si="0"/>
        <v>122799080</v>
      </c>
      <c r="P21" s="95">
        <f t="shared" si="0"/>
        <v>250943760</v>
      </c>
      <c r="Q21" s="72"/>
    </row>
    <row r="22" spans="1:235" s="172" customFormat="1" ht="18.75" customHeight="1">
      <c r="A22" s="232" t="s">
        <v>228</v>
      </c>
      <c r="B22" s="176"/>
      <c r="C22" s="176"/>
      <c r="D22" s="233">
        <f>D24+D25+D27</f>
        <v>85352300</v>
      </c>
      <c r="E22" s="233">
        <f aca="true" t="shared" si="1" ref="E22:P22">E24+E25+E27</f>
        <v>73485300</v>
      </c>
      <c r="F22" s="233">
        <f>F24+F25+F27</f>
        <v>158837600</v>
      </c>
      <c r="G22" s="233">
        <f>G24+G25+G27</f>
        <v>114394394.7856428</v>
      </c>
      <c r="H22" s="233">
        <f>H24+H25+H27</f>
        <v>148476300</v>
      </c>
      <c r="I22" s="233">
        <f>I24+I25+I27</f>
        <v>0</v>
      </c>
      <c r="J22" s="233">
        <f t="shared" si="1"/>
        <v>262870694.7856428</v>
      </c>
      <c r="K22" s="233">
        <f t="shared" si="1"/>
        <v>-1039.33</v>
      </c>
      <c r="L22" s="233">
        <f t="shared" si="1"/>
        <v>-1039.33</v>
      </c>
      <c r="M22" s="233">
        <f t="shared" si="1"/>
        <v>-1039.33</v>
      </c>
      <c r="N22" s="233">
        <f t="shared" si="1"/>
        <v>124841000</v>
      </c>
      <c r="O22" s="233">
        <f t="shared" si="1"/>
        <v>96595000</v>
      </c>
      <c r="P22" s="233">
        <f t="shared" si="1"/>
        <v>221436000</v>
      </c>
      <c r="Q22" s="257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</row>
    <row r="23" spans="1:17" ht="27" customHeight="1">
      <c r="A23" s="29" t="s">
        <v>230</v>
      </c>
      <c r="B23" s="9"/>
      <c r="C23" s="9"/>
      <c r="D23" s="13"/>
      <c r="E23" s="12"/>
      <c r="F23" s="13"/>
      <c r="G23" s="13"/>
      <c r="H23" s="13"/>
      <c r="I23" s="13"/>
      <c r="J23" s="13"/>
      <c r="K23" s="14"/>
      <c r="L23" s="14"/>
      <c r="M23" s="15"/>
      <c r="N23" s="13"/>
      <c r="O23" s="12"/>
      <c r="P23" s="13"/>
      <c r="Q23" s="72"/>
    </row>
    <row r="24" spans="1:16" ht="15" customHeight="1">
      <c r="A24" s="210" t="s">
        <v>103</v>
      </c>
      <c r="B24" s="210"/>
      <c r="C24" s="210"/>
      <c r="D24" s="233">
        <f>D66+(D81*D84)+D130+D158+D195+D231+D246+D266+D276+D88</f>
        <v>34484000</v>
      </c>
      <c r="E24" s="233">
        <f>E66+(E81*E84)+E130+E158+E195+E231+E246+E266+E276</f>
        <v>14667500</v>
      </c>
      <c r="F24" s="233">
        <f>D24+E24</f>
        <v>49151500</v>
      </c>
      <c r="G24" s="233">
        <f>G66+(G81*G84)+G130+G158+G195+G231+G246+G266+G276+G88-49950+124950-G28</f>
        <v>50338754.9977</v>
      </c>
      <c r="H24" s="233">
        <f>H66+(H81*H84)+H130+H158+H195+H231+H246+H266+H276-300-H282+3000000+500000</f>
        <v>29851300</v>
      </c>
      <c r="I24" s="233">
        <f>I66+(I81*I84)+I130+I158+I195+I231+I246+I266+I276-I282</f>
        <v>0</v>
      </c>
      <c r="J24" s="233">
        <f>G24+H24</f>
        <v>80190054.9977</v>
      </c>
      <c r="K24" s="92">
        <f>K66+(K81*K84)+K130+K158+K195+K231+K246+K266+K276</f>
        <v>-1039.33</v>
      </c>
      <c r="L24" s="92">
        <f>L66+(L81*L84)+L130+L158+L195+L231+L246+L266+L276</f>
        <v>-1039.33</v>
      </c>
      <c r="M24" s="92">
        <f>M66+(M81*M84)+M130+M158+M195+M231+M246+M266+M276</f>
        <v>-1039.33</v>
      </c>
      <c r="N24" s="92">
        <f>N66+(N81*N84)+N130+N158+N195+N231+N246+N266+N276</f>
        <v>51616000</v>
      </c>
      <c r="O24" s="92">
        <f>O66+(O81*O84)+O130+O158+O195+O231+O246+O266+O276</f>
        <v>18082500</v>
      </c>
      <c r="P24" s="92">
        <f>N24+O24</f>
        <v>69698500</v>
      </c>
    </row>
    <row r="25" spans="1:16" ht="13.5" customHeight="1">
      <c r="A25" s="210" t="s">
        <v>104</v>
      </c>
      <c r="B25" s="210"/>
      <c r="C25" s="210"/>
      <c r="D25" s="233">
        <f>D29+D39+D48+D95+D102-D27</f>
        <v>50736000</v>
      </c>
      <c r="E25" s="233">
        <f>E29+E39+E48+E95+E102-E27+(E80*E83)</f>
        <v>58817800</v>
      </c>
      <c r="F25" s="233">
        <f>D25+E25</f>
        <v>109553800</v>
      </c>
      <c r="G25" s="233">
        <f>G29+G39+G48+G95+G102-G27</f>
        <v>63883199.9979428</v>
      </c>
      <c r="H25" s="233">
        <f>H29+H39+H48+H95+H102-H27+(J80*J83)+150+H282-2925000</f>
        <v>118625000</v>
      </c>
      <c r="I25" s="233">
        <f>I29+I39+I48+I95+I102-I27+(K80*K83)+I282</f>
        <v>0</v>
      </c>
      <c r="J25" s="233">
        <f>G25+H25</f>
        <v>182508199.9979428</v>
      </c>
      <c r="K25" s="92">
        <f>K29+K39+K48+K95+K102-K27+(L80*L83)</f>
        <v>0</v>
      </c>
      <c r="L25" s="92">
        <f>L29+L39+L48+L95+L102-L27+(M80*M83)</f>
        <v>0</v>
      </c>
      <c r="M25" s="92">
        <f>M29+M39+M48+M95+M102-M27+(N80*N83)</f>
        <v>0</v>
      </c>
      <c r="N25" s="92">
        <f>N29+N39+N48+N95+N102-N27</f>
        <v>73060000</v>
      </c>
      <c r="O25" s="92">
        <f>O29+O39+O48+O95+O102-O27+(P80*P83)-737500</f>
        <v>78512500</v>
      </c>
      <c r="P25" s="92">
        <f>N25+O25</f>
        <v>151572500</v>
      </c>
    </row>
    <row r="26" spans="1:16" ht="30.75" customHeight="1" hidden="1">
      <c r="A26" s="24"/>
      <c r="B26" s="16"/>
      <c r="C26" s="16"/>
      <c r="D26" s="92">
        <f>D29+D39+D66+D48+D102</f>
        <v>57221000</v>
      </c>
      <c r="E26" s="92">
        <f>E29+E39+E66+E48+E102</f>
        <v>25700000</v>
      </c>
      <c r="F26" s="92">
        <f>D26+E26</f>
        <v>82921000</v>
      </c>
      <c r="G26" s="92">
        <f>G29+G39+G66+G48+G102</f>
        <v>73655639.78644279</v>
      </c>
      <c r="H26" s="92">
        <f>H29+H39+H66+H48+H102</f>
        <v>72700000</v>
      </c>
      <c r="I26" s="92"/>
      <c r="J26" s="92">
        <f>G26+H26</f>
        <v>146355639.7864428</v>
      </c>
      <c r="K26" s="92">
        <f>K29+K39+K66+K48+K102</f>
        <v>0</v>
      </c>
      <c r="L26" s="92">
        <f>L29+L39+L66+L48+L102</f>
        <v>0</v>
      </c>
      <c r="M26" s="92">
        <f>M29+M39+M66+M48+M102</f>
        <v>0</v>
      </c>
      <c r="N26" s="92">
        <f>N29+N39+N66+N48+N102</f>
        <v>84725000</v>
      </c>
      <c r="O26" s="92" t="e">
        <f>O30+O40+#REF!+#REF!</f>
        <v>#REF!</v>
      </c>
      <c r="P26" s="92" t="e">
        <f>N26+O26</f>
        <v>#REF!</v>
      </c>
    </row>
    <row r="27" spans="1:16" ht="13.5" customHeight="1">
      <c r="A27" s="24" t="s">
        <v>227</v>
      </c>
      <c r="B27" s="16"/>
      <c r="C27" s="16"/>
      <c r="D27" s="92">
        <v>132300</v>
      </c>
      <c r="E27" s="92"/>
      <c r="F27" s="92">
        <f>D27+E27</f>
        <v>132300</v>
      </c>
      <c r="G27" s="92">
        <f>135000+37439.79</f>
        <v>172439.79</v>
      </c>
      <c r="H27" s="92"/>
      <c r="I27" s="92"/>
      <c r="J27" s="92">
        <f>G27+H27</f>
        <v>172439.79</v>
      </c>
      <c r="K27" s="92"/>
      <c r="L27" s="92"/>
      <c r="M27" s="92"/>
      <c r="N27" s="92">
        <v>165000</v>
      </c>
      <c r="O27" s="92"/>
      <c r="P27" s="92">
        <f>N27+O27</f>
        <v>165000</v>
      </c>
    </row>
    <row r="28" spans="1:16" ht="24">
      <c r="A28" s="24" t="s">
        <v>384</v>
      </c>
      <c r="B28" s="16"/>
      <c r="C28" s="16"/>
      <c r="D28" s="92"/>
      <c r="E28" s="92"/>
      <c r="F28" s="92"/>
      <c r="G28" s="92">
        <f>G236*G241</f>
        <v>365080.002</v>
      </c>
      <c r="H28" s="92"/>
      <c r="I28" s="92"/>
      <c r="J28" s="92">
        <f>G28+H28</f>
        <v>365080.002</v>
      </c>
      <c r="K28" s="92"/>
      <c r="L28" s="92"/>
      <c r="M28" s="92"/>
      <c r="N28" s="92"/>
      <c r="O28" s="92"/>
      <c r="P28" s="92"/>
    </row>
    <row r="29" spans="1:235" s="199" customFormat="1" ht="33.75">
      <c r="A29" s="167" t="s">
        <v>44</v>
      </c>
      <c r="B29" s="176"/>
      <c r="C29" s="176"/>
      <c r="D29" s="177"/>
      <c r="E29" s="177">
        <f>E35*E33</f>
        <v>22500000</v>
      </c>
      <c r="F29" s="177">
        <f>F35*F33</f>
        <v>22500000</v>
      </c>
      <c r="G29" s="177"/>
      <c r="H29" s="177">
        <v>71500000</v>
      </c>
      <c r="I29" s="177"/>
      <c r="J29" s="177">
        <f>H29</f>
        <v>71500000</v>
      </c>
      <c r="K29" s="184"/>
      <c r="L29" s="184"/>
      <c r="M29" s="185"/>
      <c r="N29" s="177"/>
      <c r="O29" s="177">
        <f>(O35*O33)</f>
        <v>32400000</v>
      </c>
      <c r="P29" s="177">
        <f>(P35*P33)</f>
        <v>32400000</v>
      </c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</row>
    <row r="30" spans="1:235" s="81" customFormat="1" ht="12">
      <c r="A30" s="89" t="s">
        <v>4</v>
      </c>
      <c r="B30" s="102"/>
      <c r="C30" s="102"/>
      <c r="D30" s="116"/>
      <c r="E30" s="100"/>
      <c r="F30" s="116"/>
      <c r="G30" s="116"/>
      <c r="H30" s="100"/>
      <c r="I30" s="100"/>
      <c r="J30" s="116"/>
      <c r="K30" s="105"/>
      <c r="L30" s="105"/>
      <c r="M30" s="106"/>
      <c r="N30" s="116"/>
      <c r="O30" s="100"/>
      <c r="P30" s="116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</row>
    <row r="31" spans="1:235" s="81" customFormat="1" ht="27" customHeight="1">
      <c r="A31" s="90" t="s">
        <v>9</v>
      </c>
      <c r="B31" s="96"/>
      <c r="C31" s="96"/>
      <c r="D31" s="96"/>
      <c r="E31" s="104">
        <v>270000</v>
      </c>
      <c r="F31" s="104">
        <f>E31</f>
        <v>270000</v>
      </c>
      <c r="G31" s="96"/>
      <c r="H31" s="104">
        <v>270000</v>
      </c>
      <c r="I31" s="104"/>
      <c r="J31" s="104">
        <f>H31</f>
        <v>270000</v>
      </c>
      <c r="K31" s="105"/>
      <c r="L31" s="105"/>
      <c r="M31" s="106"/>
      <c r="N31" s="96"/>
      <c r="O31" s="104">
        <v>300000</v>
      </c>
      <c r="P31" s="104">
        <f>O31</f>
        <v>300000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</row>
    <row r="32" spans="1:235" s="81" customFormat="1" ht="12">
      <c r="A32" s="89" t="s">
        <v>5</v>
      </c>
      <c r="B32" s="102"/>
      <c r="C32" s="102"/>
      <c r="D32" s="96"/>
      <c r="E32" s="116"/>
      <c r="F32" s="116"/>
      <c r="G32" s="96"/>
      <c r="H32" s="116"/>
      <c r="I32" s="116"/>
      <c r="J32" s="116"/>
      <c r="K32" s="105"/>
      <c r="L32" s="105"/>
      <c r="M32" s="106"/>
      <c r="N32" s="96"/>
      <c r="O32" s="116"/>
      <c r="P32" s="116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</row>
    <row r="33" spans="1:235" s="81" customFormat="1" ht="22.5">
      <c r="A33" s="90" t="s">
        <v>12</v>
      </c>
      <c r="B33" s="96"/>
      <c r="C33" s="96"/>
      <c r="D33" s="96"/>
      <c r="E33" s="104">
        <f>50000+25000</f>
        <v>75000</v>
      </c>
      <c r="F33" s="104">
        <f>E33</f>
        <v>75000</v>
      </c>
      <c r="G33" s="96"/>
      <c r="H33" s="99">
        <f>50000+25000+103750</f>
        <v>178750</v>
      </c>
      <c r="I33" s="99"/>
      <c r="J33" s="104">
        <f>H33</f>
        <v>178750</v>
      </c>
      <c r="K33" s="105"/>
      <c r="L33" s="105"/>
      <c r="M33" s="106"/>
      <c r="N33" s="96"/>
      <c r="O33" s="104">
        <f>54000+27000</f>
        <v>81000</v>
      </c>
      <c r="P33" s="104">
        <f>O33</f>
        <v>81000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</row>
    <row r="34" spans="1:235" s="81" customFormat="1" ht="12">
      <c r="A34" s="89" t="s">
        <v>7</v>
      </c>
      <c r="B34" s="102"/>
      <c r="C34" s="102"/>
      <c r="D34" s="96"/>
      <c r="E34" s="116"/>
      <c r="F34" s="116"/>
      <c r="G34" s="96"/>
      <c r="H34" s="101"/>
      <c r="I34" s="101"/>
      <c r="J34" s="116"/>
      <c r="K34" s="105"/>
      <c r="L34" s="105"/>
      <c r="M34" s="106"/>
      <c r="N34" s="96"/>
      <c r="O34" s="116"/>
      <c r="P34" s="116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</row>
    <row r="35" spans="1:235" s="81" customFormat="1" ht="22.5">
      <c r="A35" s="90" t="s">
        <v>17</v>
      </c>
      <c r="B35" s="96"/>
      <c r="C35" s="96"/>
      <c r="D35" s="96"/>
      <c r="E35" s="99">
        <v>300</v>
      </c>
      <c r="F35" s="99">
        <f>E35</f>
        <v>300</v>
      </c>
      <c r="G35" s="96"/>
      <c r="H35" s="99">
        <v>400</v>
      </c>
      <c r="I35" s="99"/>
      <c r="J35" s="99">
        <f>H35</f>
        <v>400</v>
      </c>
      <c r="K35" s="105"/>
      <c r="L35" s="105"/>
      <c r="M35" s="106"/>
      <c r="N35" s="96"/>
      <c r="O35" s="99">
        <v>400</v>
      </c>
      <c r="P35" s="99">
        <f>O35</f>
        <v>400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</row>
    <row r="36" spans="1:235" s="81" customFormat="1" ht="12">
      <c r="A36" s="89" t="s">
        <v>6</v>
      </c>
      <c r="B36" s="102"/>
      <c r="C36" s="102"/>
      <c r="D36" s="96"/>
      <c r="E36" s="116"/>
      <c r="F36" s="116"/>
      <c r="G36" s="96"/>
      <c r="H36" s="101"/>
      <c r="I36" s="101"/>
      <c r="J36" s="116"/>
      <c r="K36" s="105"/>
      <c r="L36" s="105"/>
      <c r="M36" s="106"/>
      <c r="N36" s="96"/>
      <c r="O36" s="116"/>
      <c r="P36" s="116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</row>
    <row r="37" spans="1:235" s="81" customFormat="1" ht="22.5">
      <c r="A37" s="90" t="s">
        <v>23</v>
      </c>
      <c r="B37" s="96"/>
      <c r="C37" s="96"/>
      <c r="D37" s="96"/>
      <c r="E37" s="99">
        <f>E33/E31*100</f>
        <v>27.77777777777778</v>
      </c>
      <c r="F37" s="99">
        <f>F33/F31*100</f>
        <v>27.77777777777778</v>
      </c>
      <c r="G37" s="96"/>
      <c r="H37" s="99">
        <f>H33/H31*100</f>
        <v>66.20370370370371</v>
      </c>
      <c r="I37" s="99"/>
      <c r="J37" s="99">
        <f>J33/J31*100</f>
        <v>66.20370370370371</v>
      </c>
      <c r="K37" s="105"/>
      <c r="L37" s="105"/>
      <c r="M37" s="106"/>
      <c r="N37" s="96"/>
      <c r="O37" s="99">
        <f>O33/O31*100</f>
        <v>27</v>
      </c>
      <c r="P37" s="99">
        <f>P33/P31*100</f>
        <v>27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</row>
    <row r="38" spans="1:235" s="81" customFormat="1" ht="15.75" customHeight="1">
      <c r="A38" s="24" t="s">
        <v>228</v>
      </c>
      <c r="B38" s="40"/>
      <c r="C38" s="40"/>
      <c r="D38" s="40"/>
      <c r="E38" s="85"/>
      <c r="F38" s="85"/>
      <c r="G38" s="40"/>
      <c r="H38" s="85"/>
      <c r="I38" s="85"/>
      <c r="J38" s="85"/>
      <c r="K38" s="38"/>
      <c r="L38" s="38"/>
      <c r="M38" s="39"/>
      <c r="N38" s="40"/>
      <c r="O38" s="85"/>
      <c r="P38" s="85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</row>
    <row r="39" spans="1:235" s="199" customFormat="1" ht="35.25" customHeight="1">
      <c r="A39" s="167" t="s">
        <v>95</v>
      </c>
      <c r="B39" s="176"/>
      <c r="C39" s="176"/>
      <c r="D39" s="178">
        <f>D45*D43+100</f>
        <v>29500000</v>
      </c>
      <c r="E39" s="178"/>
      <c r="F39" s="178">
        <f>F45*F43+100</f>
        <v>29500000</v>
      </c>
      <c r="G39" s="178">
        <f>G43*G45</f>
        <v>38399999.9985</v>
      </c>
      <c r="H39" s="178"/>
      <c r="I39" s="178"/>
      <c r="J39" s="178">
        <f>G39</f>
        <v>38399999.9985</v>
      </c>
      <c r="K39" s="184"/>
      <c r="L39" s="184"/>
      <c r="M39" s="185"/>
      <c r="N39" s="178">
        <f>N43*N45</f>
        <v>42480000</v>
      </c>
      <c r="O39" s="178"/>
      <c r="P39" s="178">
        <f>N39</f>
        <v>42480000</v>
      </c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</row>
    <row r="40" spans="1:235" s="81" customFormat="1" ht="12">
      <c r="A40" s="89" t="s">
        <v>4</v>
      </c>
      <c r="B40" s="102"/>
      <c r="C40" s="102"/>
      <c r="D40" s="99"/>
      <c r="E40" s="96"/>
      <c r="F40" s="99"/>
      <c r="G40" s="99"/>
      <c r="H40" s="96"/>
      <c r="I40" s="96"/>
      <c r="J40" s="99"/>
      <c r="K40" s="105"/>
      <c r="L40" s="105"/>
      <c r="M40" s="106"/>
      <c r="N40" s="99"/>
      <c r="O40" s="96"/>
      <c r="P40" s="99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</row>
    <row r="41" spans="1:235" s="81" customFormat="1" ht="22.5">
      <c r="A41" s="90" t="s">
        <v>10</v>
      </c>
      <c r="B41" s="96"/>
      <c r="C41" s="96"/>
      <c r="D41" s="104">
        <v>292000</v>
      </c>
      <c r="E41" s="96"/>
      <c r="F41" s="104">
        <f>D41</f>
        <v>292000</v>
      </c>
      <c r="G41" s="104">
        <v>292000</v>
      </c>
      <c r="H41" s="96"/>
      <c r="I41" s="96"/>
      <c r="J41" s="104">
        <f>G41</f>
        <v>292000</v>
      </c>
      <c r="K41" s="105"/>
      <c r="L41" s="105"/>
      <c r="M41" s="106"/>
      <c r="N41" s="104">
        <v>300000</v>
      </c>
      <c r="O41" s="96"/>
      <c r="P41" s="104">
        <f>N41</f>
        <v>300000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</row>
    <row r="42" spans="1:235" s="81" customFormat="1" ht="12">
      <c r="A42" s="89" t="s">
        <v>5</v>
      </c>
      <c r="B42" s="102"/>
      <c r="C42" s="102"/>
      <c r="D42" s="99"/>
      <c r="E42" s="96"/>
      <c r="F42" s="99"/>
      <c r="G42" s="99"/>
      <c r="H42" s="96"/>
      <c r="I42" s="96"/>
      <c r="J42" s="99"/>
      <c r="K42" s="105"/>
      <c r="L42" s="105"/>
      <c r="M42" s="106"/>
      <c r="N42" s="99"/>
      <c r="O42" s="96"/>
      <c r="P42" s="99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</row>
    <row r="43" spans="1:235" s="81" customFormat="1" ht="22.5">
      <c r="A43" s="90" t="s">
        <v>11</v>
      </c>
      <c r="B43" s="96"/>
      <c r="C43" s="96"/>
      <c r="D43" s="104">
        <f>73333+25000</f>
        <v>98333</v>
      </c>
      <c r="E43" s="96"/>
      <c r="F43" s="104">
        <f>D43</f>
        <v>98333</v>
      </c>
      <c r="G43" s="223">
        <f>73333+25000+8333</f>
        <v>106666</v>
      </c>
      <c r="H43" s="96"/>
      <c r="I43" s="96"/>
      <c r="J43" s="104">
        <f>G43</f>
        <v>106666</v>
      </c>
      <c r="K43" s="105"/>
      <c r="L43" s="105"/>
      <c r="M43" s="106"/>
      <c r="N43" s="104">
        <f>79200+27000</f>
        <v>106200</v>
      </c>
      <c r="O43" s="96"/>
      <c r="P43" s="104">
        <f>N43</f>
        <v>106200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</row>
    <row r="44" spans="1:235" s="81" customFormat="1" ht="12">
      <c r="A44" s="89" t="s">
        <v>7</v>
      </c>
      <c r="B44" s="102"/>
      <c r="C44" s="102"/>
      <c r="D44" s="99"/>
      <c r="E44" s="96"/>
      <c r="F44" s="99"/>
      <c r="G44" s="99"/>
      <c r="H44" s="96"/>
      <c r="I44" s="96"/>
      <c r="J44" s="99"/>
      <c r="K44" s="105"/>
      <c r="L44" s="105"/>
      <c r="M44" s="106"/>
      <c r="N44" s="99"/>
      <c r="O44" s="96"/>
      <c r="P44" s="99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</row>
    <row r="45" spans="1:235" s="81" customFormat="1" ht="24" customHeight="1">
      <c r="A45" s="90" t="s">
        <v>20</v>
      </c>
      <c r="B45" s="96"/>
      <c r="C45" s="96"/>
      <c r="D45" s="99">
        <v>300</v>
      </c>
      <c r="E45" s="96"/>
      <c r="F45" s="99">
        <f>D45</f>
        <v>300</v>
      </c>
      <c r="G45" s="99">
        <v>360.00225</v>
      </c>
      <c r="H45" s="96"/>
      <c r="I45" s="96"/>
      <c r="J45" s="99">
        <f>G45</f>
        <v>360.00225</v>
      </c>
      <c r="K45" s="105"/>
      <c r="L45" s="105"/>
      <c r="M45" s="106"/>
      <c r="N45" s="99">
        <v>400</v>
      </c>
      <c r="O45" s="96"/>
      <c r="P45" s="99">
        <f>N45</f>
        <v>400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</row>
    <row r="46" spans="1:235" s="81" customFormat="1" ht="12">
      <c r="A46" s="89" t="s">
        <v>6</v>
      </c>
      <c r="B46" s="102"/>
      <c r="C46" s="102"/>
      <c r="D46" s="99"/>
      <c r="E46" s="96"/>
      <c r="F46" s="99"/>
      <c r="G46" s="99"/>
      <c r="H46" s="96"/>
      <c r="I46" s="96"/>
      <c r="J46" s="99"/>
      <c r="K46" s="105"/>
      <c r="L46" s="105"/>
      <c r="M46" s="106"/>
      <c r="N46" s="99"/>
      <c r="O46" s="96"/>
      <c r="P46" s="99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</row>
    <row r="47" spans="1:235" s="81" customFormat="1" ht="21.75" customHeight="1">
      <c r="A47" s="90" t="s">
        <v>22</v>
      </c>
      <c r="B47" s="96"/>
      <c r="C47" s="96"/>
      <c r="D47" s="99">
        <f aca="true" t="shared" si="2" ref="D47:J47">D43/D41*100</f>
        <v>33.67568493150685</v>
      </c>
      <c r="E47" s="99"/>
      <c r="F47" s="99">
        <f t="shared" si="2"/>
        <v>33.67568493150685</v>
      </c>
      <c r="G47" s="99">
        <f t="shared" si="2"/>
        <v>36.52945205479452</v>
      </c>
      <c r="H47" s="99"/>
      <c r="I47" s="99"/>
      <c r="J47" s="99">
        <f t="shared" si="2"/>
        <v>36.52945205479452</v>
      </c>
      <c r="K47" s="105"/>
      <c r="L47" s="105"/>
      <c r="M47" s="106"/>
      <c r="N47" s="99">
        <f>N43/N41*100</f>
        <v>35.4</v>
      </c>
      <c r="O47" s="99"/>
      <c r="P47" s="99">
        <f>P43/P41*100</f>
        <v>35.4</v>
      </c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</row>
    <row r="48" spans="1:235" s="199" customFormat="1" ht="28.5" customHeight="1">
      <c r="A48" s="167" t="s">
        <v>96</v>
      </c>
      <c r="B48" s="176"/>
      <c r="C48" s="176"/>
      <c r="D48" s="178">
        <f>(D52*D54)+0.4</f>
        <v>19000000</v>
      </c>
      <c r="E48" s="178"/>
      <c r="F48" s="178">
        <f>(F52*F54)+0.4</f>
        <v>19000000</v>
      </c>
      <c r="G48" s="178">
        <f>G52*G54+0.48</f>
        <v>22800000</v>
      </c>
      <c r="H48" s="178"/>
      <c r="I48" s="178"/>
      <c r="J48" s="178">
        <f>G48</f>
        <v>22800000</v>
      </c>
      <c r="K48" s="184"/>
      <c r="L48" s="184"/>
      <c r="M48" s="185"/>
      <c r="N48" s="178">
        <f>N52*N54</f>
        <v>27360000</v>
      </c>
      <c r="O48" s="178"/>
      <c r="P48" s="178">
        <f>N48</f>
        <v>27360000</v>
      </c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  <c r="HP48" s="198"/>
      <c r="HQ48" s="198"/>
      <c r="HR48" s="198"/>
      <c r="HS48" s="198"/>
      <c r="HT48" s="198"/>
      <c r="HU48" s="198"/>
      <c r="HV48" s="198"/>
      <c r="HW48" s="198"/>
      <c r="HX48" s="198"/>
      <c r="HY48" s="198"/>
      <c r="HZ48" s="198"/>
      <c r="IA48" s="198"/>
    </row>
    <row r="49" spans="1:235" s="81" customFormat="1" ht="12">
      <c r="A49" s="89" t="s">
        <v>4</v>
      </c>
      <c r="B49" s="102"/>
      <c r="C49" s="102"/>
      <c r="D49" s="99"/>
      <c r="E49" s="96"/>
      <c r="F49" s="99"/>
      <c r="G49" s="99"/>
      <c r="H49" s="96"/>
      <c r="I49" s="96"/>
      <c r="J49" s="99"/>
      <c r="K49" s="105"/>
      <c r="L49" s="105"/>
      <c r="M49" s="106"/>
      <c r="N49" s="99"/>
      <c r="O49" s="96"/>
      <c r="P49" s="99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</row>
    <row r="50" spans="1:235" s="81" customFormat="1" ht="22.5">
      <c r="A50" s="90" t="s">
        <v>84</v>
      </c>
      <c r="B50" s="96"/>
      <c r="C50" s="96"/>
      <c r="D50" s="104">
        <v>3372600</v>
      </c>
      <c r="E50" s="96"/>
      <c r="F50" s="104">
        <f>D50</f>
        <v>3372600</v>
      </c>
      <c r="G50" s="104">
        <v>3372600</v>
      </c>
      <c r="H50" s="96"/>
      <c r="I50" s="96"/>
      <c r="J50" s="104">
        <f>G50</f>
        <v>3372600</v>
      </c>
      <c r="K50" s="105"/>
      <c r="L50" s="105"/>
      <c r="M50" s="106"/>
      <c r="N50" s="104">
        <v>3372600</v>
      </c>
      <c r="O50" s="96"/>
      <c r="P50" s="104">
        <f>N50</f>
        <v>3372600</v>
      </c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</row>
    <row r="51" spans="1:235" s="81" customFormat="1" ht="12">
      <c r="A51" s="89" t="s">
        <v>5</v>
      </c>
      <c r="B51" s="102"/>
      <c r="C51" s="102"/>
      <c r="D51" s="99"/>
      <c r="E51" s="96"/>
      <c r="F51" s="99"/>
      <c r="G51" s="99"/>
      <c r="H51" s="96"/>
      <c r="I51" s="96"/>
      <c r="J51" s="99"/>
      <c r="K51" s="105"/>
      <c r="L51" s="105"/>
      <c r="M51" s="106"/>
      <c r="N51" s="99"/>
      <c r="O51" s="96"/>
      <c r="P51" s="99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</row>
    <row r="52" spans="1:235" s="81" customFormat="1" ht="21.75" customHeight="1">
      <c r="A52" s="90" t="s">
        <v>85</v>
      </c>
      <c r="B52" s="96"/>
      <c r="C52" s="96"/>
      <c r="D52" s="104">
        <v>1310344.8</v>
      </c>
      <c r="E52" s="96"/>
      <c r="F52" s="104">
        <f>D52</f>
        <v>1310344.8</v>
      </c>
      <c r="G52" s="104">
        <v>1310344.8</v>
      </c>
      <c r="H52" s="96"/>
      <c r="I52" s="96"/>
      <c r="J52" s="104">
        <f>G52</f>
        <v>1310344.8</v>
      </c>
      <c r="K52" s="105"/>
      <c r="L52" s="105"/>
      <c r="M52" s="106"/>
      <c r="N52" s="104">
        <v>1425000</v>
      </c>
      <c r="O52" s="96"/>
      <c r="P52" s="104">
        <f>N52</f>
        <v>1425000</v>
      </c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</row>
    <row r="53" spans="1:235" s="81" customFormat="1" ht="12">
      <c r="A53" s="89" t="s">
        <v>7</v>
      </c>
      <c r="B53" s="102"/>
      <c r="C53" s="102"/>
      <c r="D53" s="99"/>
      <c r="E53" s="96"/>
      <c r="F53" s="99"/>
      <c r="G53" s="99"/>
      <c r="H53" s="96"/>
      <c r="I53" s="96"/>
      <c r="J53" s="99"/>
      <c r="K53" s="105"/>
      <c r="L53" s="105"/>
      <c r="M53" s="106"/>
      <c r="N53" s="99"/>
      <c r="O53" s="96"/>
      <c r="P53" s="9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</row>
    <row r="54" spans="1:235" s="81" customFormat="1" ht="21.75" customHeight="1">
      <c r="A54" s="90" t="s">
        <v>18</v>
      </c>
      <c r="B54" s="96"/>
      <c r="C54" s="96"/>
      <c r="D54" s="99">
        <v>14.5</v>
      </c>
      <c r="E54" s="96"/>
      <c r="F54" s="99">
        <f>D54</f>
        <v>14.5</v>
      </c>
      <c r="G54" s="99">
        <v>17.4</v>
      </c>
      <c r="H54" s="96"/>
      <c r="I54" s="96"/>
      <c r="J54" s="99">
        <f>G54</f>
        <v>17.4</v>
      </c>
      <c r="K54" s="105"/>
      <c r="L54" s="105"/>
      <c r="M54" s="106"/>
      <c r="N54" s="99">
        <v>19.2</v>
      </c>
      <c r="O54" s="96"/>
      <c r="P54" s="99">
        <f>N54</f>
        <v>19.2</v>
      </c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</row>
    <row r="55" spans="1:235" s="81" customFormat="1" ht="12">
      <c r="A55" s="89" t="s">
        <v>6</v>
      </c>
      <c r="B55" s="102"/>
      <c r="C55" s="102"/>
      <c r="D55" s="99"/>
      <c r="E55" s="96"/>
      <c r="F55" s="99"/>
      <c r="G55" s="99"/>
      <c r="H55" s="96"/>
      <c r="I55" s="96"/>
      <c r="J55" s="99"/>
      <c r="K55" s="105"/>
      <c r="L55" s="105"/>
      <c r="M55" s="106"/>
      <c r="N55" s="99"/>
      <c r="O55" s="96"/>
      <c r="P55" s="99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</row>
    <row r="56" spans="1:235" s="81" customFormat="1" ht="26.25" customHeight="1">
      <c r="A56" s="90" t="s">
        <v>86</v>
      </c>
      <c r="B56" s="96"/>
      <c r="C56" s="96"/>
      <c r="D56" s="99">
        <f>D52/D50*100</f>
        <v>38.852659669098024</v>
      </c>
      <c r="E56" s="99"/>
      <c r="F56" s="99">
        <f>F52/F50*100</f>
        <v>38.852659669098024</v>
      </c>
      <c r="G56" s="99">
        <f>G52/G50*100</f>
        <v>38.852659669098024</v>
      </c>
      <c r="H56" s="99"/>
      <c r="I56" s="99"/>
      <c r="J56" s="99">
        <f>J52/J50*100</f>
        <v>38.852659669098024</v>
      </c>
      <c r="K56" s="105"/>
      <c r="L56" s="105"/>
      <c r="M56" s="106"/>
      <c r="N56" s="99">
        <f>N52/N50*100</f>
        <v>42.252268279665536</v>
      </c>
      <c r="O56" s="99"/>
      <c r="P56" s="99">
        <f>P52/P50*100</f>
        <v>42.252268279665536</v>
      </c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</row>
    <row r="57" spans="1:235" s="81" customFormat="1" ht="0.75" customHeight="1" hidden="1">
      <c r="A57" s="90"/>
      <c r="B57" s="96"/>
      <c r="C57" s="96"/>
      <c r="D57" s="99"/>
      <c r="E57" s="99"/>
      <c r="F57" s="99"/>
      <c r="G57" s="99"/>
      <c r="H57" s="99"/>
      <c r="I57" s="99"/>
      <c r="J57" s="99"/>
      <c r="K57" s="105"/>
      <c r="L57" s="105"/>
      <c r="M57" s="106"/>
      <c r="N57" s="99"/>
      <c r="O57" s="99"/>
      <c r="P57" s="99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</row>
    <row r="58" spans="1:235" s="81" customFormat="1" ht="21.75" customHeight="1" hidden="1">
      <c r="A58" s="90"/>
      <c r="B58" s="96"/>
      <c r="C58" s="96"/>
      <c r="D58" s="99"/>
      <c r="E58" s="99"/>
      <c r="F58" s="99"/>
      <c r="G58" s="99"/>
      <c r="H58" s="99"/>
      <c r="I58" s="99"/>
      <c r="J58" s="99"/>
      <c r="K58" s="105"/>
      <c r="L58" s="105"/>
      <c r="M58" s="106"/>
      <c r="N58" s="99"/>
      <c r="O58" s="99"/>
      <c r="P58" s="99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</row>
    <row r="59" spans="1:235" s="81" customFormat="1" ht="21.75" customHeight="1" hidden="1">
      <c r="A59" s="90"/>
      <c r="B59" s="96"/>
      <c r="C59" s="96"/>
      <c r="D59" s="99"/>
      <c r="E59" s="99"/>
      <c r="F59" s="99"/>
      <c r="G59" s="99"/>
      <c r="H59" s="99"/>
      <c r="I59" s="99"/>
      <c r="J59" s="99"/>
      <c r="K59" s="105"/>
      <c r="L59" s="105"/>
      <c r="M59" s="106"/>
      <c r="N59" s="99"/>
      <c r="O59" s="99"/>
      <c r="P59" s="99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</row>
    <row r="60" spans="1:235" s="81" customFormat="1" ht="1.5" customHeight="1" hidden="1">
      <c r="A60" s="90"/>
      <c r="B60" s="96"/>
      <c r="C60" s="96"/>
      <c r="D60" s="99"/>
      <c r="E60" s="99"/>
      <c r="F60" s="99"/>
      <c r="G60" s="99"/>
      <c r="H60" s="99"/>
      <c r="I60" s="99"/>
      <c r="J60" s="99"/>
      <c r="K60" s="105"/>
      <c r="L60" s="105"/>
      <c r="M60" s="106"/>
      <c r="N60" s="99"/>
      <c r="O60" s="99"/>
      <c r="P60" s="99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</row>
    <row r="61" spans="1:235" s="81" customFormat="1" ht="21.75" customHeight="1" hidden="1">
      <c r="A61" s="90"/>
      <c r="B61" s="96"/>
      <c r="C61" s="96"/>
      <c r="D61" s="99"/>
      <c r="E61" s="99"/>
      <c r="F61" s="99"/>
      <c r="G61" s="99"/>
      <c r="H61" s="99"/>
      <c r="I61" s="99"/>
      <c r="J61" s="99"/>
      <c r="K61" s="105"/>
      <c r="L61" s="105"/>
      <c r="M61" s="106"/>
      <c r="N61" s="99"/>
      <c r="O61" s="99"/>
      <c r="P61" s="99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</row>
    <row r="62" spans="1:235" s="81" customFormat="1" ht="21.75" customHeight="1" hidden="1">
      <c r="A62" s="90"/>
      <c r="B62" s="96"/>
      <c r="C62" s="96"/>
      <c r="D62" s="99"/>
      <c r="E62" s="99"/>
      <c r="F62" s="99"/>
      <c r="G62" s="99"/>
      <c r="H62" s="99"/>
      <c r="I62" s="99"/>
      <c r="J62" s="99"/>
      <c r="K62" s="105"/>
      <c r="L62" s="105"/>
      <c r="M62" s="106"/>
      <c r="N62" s="99"/>
      <c r="O62" s="99"/>
      <c r="P62" s="99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</row>
    <row r="63" spans="1:235" s="81" customFormat="1" ht="21.75" customHeight="1" hidden="1">
      <c r="A63" s="90"/>
      <c r="B63" s="96"/>
      <c r="C63" s="96"/>
      <c r="D63" s="99"/>
      <c r="E63" s="99"/>
      <c r="F63" s="99"/>
      <c r="G63" s="99"/>
      <c r="H63" s="99"/>
      <c r="I63" s="99"/>
      <c r="J63" s="99"/>
      <c r="K63" s="105"/>
      <c r="L63" s="105"/>
      <c r="M63" s="106"/>
      <c r="N63" s="99"/>
      <c r="O63" s="99"/>
      <c r="P63" s="99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</row>
    <row r="64" spans="1:235" s="81" customFormat="1" ht="21.75" customHeight="1" hidden="1">
      <c r="A64" s="90"/>
      <c r="B64" s="96"/>
      <c r="C64" s="96"/>
      <c r="D64" s="99"/>
      <c r="E64" s="99"/>
      <c r="F64" s="99"/>
      <c r="G64" s="99"/>
      <c r="H64" s="99"/>
      <c r="I64" s="99"/>
      <c r="J64" s="99"/>
      <c r="K64" s="105"/>
      <c r="L64" s="105"/>
      <c r="M64" s="106"/>
      <c r="N64" s="99"/>
      <c r="O64" s="99"/>
      <c r="P64" s="99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</row>
    <row r="65" spans="1:235" s="81" customFormat="1" ht="0.75" customHeight="1" hidden="1">
      <c r="A65" s="90"/>
      <c r="B65" s="96"/>
      <c r="C65" s="96"/>
      <c r="D65" s="99"/>
      <c r="E65" s="99"/>
      <c r="F65" s="99"/>
      <c r="G65" s="99"/>
      <c r="H65" s="99"/>
      <c r="I65" s="99"/>
      <c r="J65" s="99"/>
      <c r="K65" s="105"/>
      <c r="L65" s="105"/>
      <c r="M65" s="106"/>
      <c r="N65" s="99"/>
      <c r="O65" s="99"/>
      <c r="P65" s="99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</row>
    <row r="66" spans="1:235" s="180" customFormat="1" ht="38.25" customHeight="1">
      <c r="A66" s="167" t="s">
        <v>97</v>
      </c>
      <c r="B66" s="176"/>
      <c r="C66" s="176"/>
      <c r="D66" s="178">
        <f>(D70*D72)</f>
        <v>6352700</v>
      </c>
      <c r="E66" s="178"/>
      <c r="F66" s="178">
        <f>(F72*F70)</f>
        <v>6352700</v>
      </c>
      <c r="G66" s="178">
        <f>(G72*G70)</f>
        <v>9599999.9985</v>
      </c>
      <c r="H66" s="178"/>
      <c r="I66" s="178"/>
      <c r="J66" s="178">
        <f>G66+H66</f>
        <v>9599999.9985</v>
      </c>
      <c r="K66" s="184"/>
      <c r="L66" s="184"/>
      <c r="M66" s="185"/>
      <c r="N66" s="178">
        <f>(N70*N72)</f>
        <v>11500000</v>
      </c>
      <c r="O66" s="178"/>
      <c r="P66" s="178">
        <f>(P70*P72)</f>
        <v>11500000</v>
      </c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</row>
    <row r="67" spans="1:16" ht="12">
      <c r="A67" s="89" t="s">
        <v>4</v>
      </c>
      <c r="B67" s="102"/>
      <c r="C67" s="102"/>
      <c r="D67" s="99"/>
      <c r="E67" s="96"/>
      <c r="F67" s="99"/>
      <c r="G67" s="99"/>
      <c r="H67" s="96"/>
      <c r="I67" s="96"/>
      <c r="J67" s="99"/>
      <c r="K67" s="105"/>
      <c r="L67" s="105"/>
      <c r="M67" s="106"/>
      <c r="N67" s="99"/>
      <c r="O67" s="96"/>
      <c r="P67" s="99"/>
    </row>
    <row r="68" spans="1:16" ht="33" customHeight="1">
      <c r="A68" s="90" t="s">
        <v>99</v>
      </c>
      <c r="B68" s="96"/>
      <c r="C68" s="96"/>
      <c r="D68" s="104">
        <v>500000</v>
      </c>
      <c r="E68" s="96"/>
      <c r="F68" s="104">
        <f>D68</f>
        <v>500000</v>
      </c>
      <c r="G68" s="104">
        <f>D68</f>
        <v>500000</v>
      </c>
      <c r="H68" s="96"/>
      <c r="I68" s="96"/>
      <c r="J68" s="104">
        <f>G68</f>
        <v>500000</v>
      </c>
      <c r="K68" s="105"/>
      <c r="L68" s="105"/>
      <c r="M68" s="106"/>
      <c r="N68" s="104">
        <f>D68</f>
        <v>500000</v>
      </c>
      <c r="O68" s="96"/>
      <c r="P68" s="104">
        <f>N68</f>
        <v>500000</v>
      </c>
    </row>
    <row r="69" spans="1:16" ht="12">
      <c r="A69" s="89" t="s">
        <v>5</v>
      </c>
      <c r="B69" s="102"/>
      <c r="C69" s="102"/>
      <c r="D69" s="99"/>
      <c r="E69" s="96"/>
      <c r="F69" s="99"/>
      <c r="G69" s="99"/>
      <c r="H69" s="96"/>
      <c r="I69" s="96"/>
      <c r="J69" s="99"/>
      <c r="K69" s="105"/>
      <c r="L69" s="105"/>
      <c r="M69" s="106"/>
      <c r="N69" s="99"/>
      <c r="O69" s="96"/>
      <c r="P69" s="99"/>
    </row>
    <row r="70" spans="1:16" ht="34.5" customHeight="1">
      <c r="A70" s="90" t="s">
        <v>100</v>
      </c>
      <c r="B70" s="96"/>
      <c r="C70" s="96"/>
      <c r="D70" s="19">
        <v>15881.75</v>
      </c>
      <c r="E70" s="96"/>
      <c r="F70" s="104">
        <f>D70</f>
        <v>15881.75</v>
      </c>
      <c r="G70" s="111">
        <v>21333.33333</v>
      </c>
      <c r="H70" s="96"/>
      <c r="I70" s="96"/>
      <c r="J70" s="104">
        <f>G70</f>
        <v>21333.33333</v>
      </c>
      <c r="K70" s="105"/>
      <c r="L70" s="105"/>
      <c r="M70" s="106"/>
      <c r="N70" s="104">
        <v>23000</v>
      </c>
      <c r="O70" s="96"/>
      <c r="P70" s="104">
        <f>N70</f>
        <v>23000</v>
      </c>
    </row>
    <row r="71" spans="1:16" ht="12">
      <c r="A71" s="89" t="s">
        <v>7</v>
      </c>
      <c r="B71" s="102"/>
      <c r="C71" s="102"/>
      <c r="D71" s="99"/>
      <c r="E71" s="96"/>
      <c r="F71" s="99"/>
      <c r="G71" s="99"/>
      <c r="H71" s="96"/>
      <c r="I71" s="96"/>
      <c r="J71" s="99"/>
      <c r="K71" s="105"/>
      <c r="L71" s="105"/>
      <c r="M71" s="106"/>
      <c r="N71" s="99"/>
      <c r="O71" s="96"/>
      <c r="P71" s="99"/>
    </row>
    <row r="72" spans="1:16" ht="33.75">
      <c r="A72" s="90" t="s">
        <v>101</v>
      </c>
      <c r="B72" s="96"/>
      <c r="C72" s="96"/>
      <c r="D72" s="99">
        <v>400</v>
      </c>
      <c r="E72" s="96"/>
      <c r="F72" s="99">
        <f>D72</f>
        <v>400</v>
      </c>
      <c r="G72" s="99">
        <v>450</v>
      </c>
      <c r="H72" s="96"/>
      <c r="I72" s="96"/>
      <c r="J72" s="99">
        <f>G72</f>
        <v>450</v>
      </c>
      <c r="K72" s="105"/>
      <c r="L72" s="105"/>
      <c r="M72" s="106"/>
      <c r="N72" s="99">
        <v>500</v>
      </c>
      <c r="O72" s="96"/>
      <c r="P72" s="99">
        <f>N72</f>
        <v>500</v>
      </c>
    </row>
    <row r="73" spans="1:16" ht="12">
      <c r="A73" s="89" t="s">
        <v>6</v>
      </c>
      <c r="B73" s="102"/>
      <c r="C73" s="102"/>
      <c r="D73" s="99"/>
      <c r="E73" s="96"/>
      <c r="F73" s="99"/>
      <c r="G73" s="99"/>
      <c r="H73" s="96"/>
      <c r="I73" s="96"/>
      <c r="J73" s="99"/>
      <c r="K73" s="105"/>
      <c r="L73" s="105"/>
      <c r="M73" s="106"/>
      <c r="N73" s="99"/>
      <c r="O73" s="96"/>
      <c r="P73" s="99"/>
    </row>
    <row r="74" spans="1:16" ht="45">
      <c r="A74" s="90" t="s">
        <v>102</v>
      </c>
      <c r="B74" s="96"/>
      <c r="C74" s="96"/>
      <c r="D74" s="99">
        <f>D70/D68*100</f>
        <v>3.1763500000000002</v>
      </c>
      <c r="E74" s="99"/>
      <c r="F74" s="99">
        <f>F70/F68*100</f>
        <v>3.1763500000000002</v>
      </c>
      <c r="G74" s="99">
        <f>G70/G68*100</f>
        <v>4.266666666000001</v>
      </c>
      <c r="H74" s="99"/>
      <c r="I74" s="99"/>
      <c r="J74" s="99">
        <f>J70/J68*100</f>
        <v>4.266666666000001</v>
      </c>
      <c r="K74" s="105"/>
      <c r="L74" s="105"/>
      <c r="M74" s="106"/>
      <c r="N74" s="99">
        <f>N70/N68*100</f>
        <v>4.6</v>
      </c>
      <c r="O74" s="99"/>
      <c r="P74" s="99">
        <f>P70/P68*100</f>
        <v>4.6</v>
      </c>
    </row>
    <row r="75" spans="1:235" s="180" customFormat="1" ht="39" customHeight="1">
      <c r="A75" s="167" t="s">
        <v>98</v>
      </c>
      <c r="B75" s="176"/>
      <c r="C75" s="176"/>
      <c r="D75" s="178"/>
      <c r="E75" s="178">
        <f>(E80*E83)+(E81*E84)</f>
        <v>32417800</v>
      </c>
      <c r="F75" s="178">
        <f>E75</f>
        <v>32417800</v>
      </c>
      <c r="G75" s="178"/>
      <c r="H75" s="178">
        <f>(H80*H83)+(H81*H84)-150+150000</f>
        <v>43200000</v>
      </c>
      <c r="I75" s="178"/>
      <c r="J75" s="178">
        <f>H75</f>
        <v>43200000</v>
      </c>
      <c r="K75" s="178">
        <f aca="true" t="shared" si="3" ref="K75:P75">(K80*K83)+(K81*K84)</f>
        <v>0</v>
      </c>
      <c r="L75" s="178">
        <f t="shared" si="3"/>
        <v>0</v>
      </c>
      <c r="M75" s="178">
        <f t="shared" si="3"/>
        <v>0</v>
      </c>
      <c r="N75" s="178"/>
      <c r="O75" s="178">
        <f>(O80*O83)+(O81*O84)</f>
        <v>44600000</v>
      </c>
      <c r="P75" s="178">
        <f t="shared" si="3"/>
        <v>44600000</v>
      </c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79"/>
      <c r="HJ75" s="179"/>
      <c r="HK75" s="179"/>
      <c r="HL75" s="179"/>
      <c r="HM75" s="179"/>
      <c r="HN75" s="179"/>
      <c r="HO75" s="179"/>
      <c r="HP75" s="179"/>
      <c r="HQ75" s="179"/>
      <c r="HR75" s="179"/>
      <c r="HS75" s="179"/>
      <c r="HT75" s="179"/>
      <c r="HU75" s="179"/>
      <c r="HV75" s="179"/>
      <c r="HW75" s="179"/>
      <c r="HX75" s="179"/>
      <c r="HY75" s="179"/>
      <c r="HZ75" s="179"/>
      <c r="IA75" s="179"/>
    </row>
    <row r="76" spans="1:16" ht="12">
      <c r="A76" s="89" t="s">
        <v>4</v>
      </c>
      <c r="B76" s="96"/>
      <c r="C76" s="96"/>
      <c r="D76" s="99"/>
      <c r="E76" s="99"/>
      <c r="F76" s="99"/>
      <c r="G76" s="99"/>
      <c r="H76" s="99"/>
      <c r="I76" s="99"/>
      <c r="J76" s="101"/>
      <c r="K76" s="105"/>
      <c r="L76" s="105"/>
      <c r="M76" s="106"/>
      <c r="N76" s="99"/>
      <c r="O76" s="99"/>
      <c r="P76" s="99"/>
    </row>
    <row r="77" spans="1:16" ht="33.75">
      <c r="A77" s="90" t="s">
        <v>231</v>
      </c>
      <c r="B77" s="96"/>
      <c r="C77" s="96"/>
      <c r="D77" s="99"/>
      <c r="E77" s="99">
        <v>380000</v>
      </c>
      <c r="F77" s="99">
        <f>E77</f>
        <v>380000</v>
      </c>
      <c r="G77" s="99"/>
      <c r="H77" s="99">
        <f>E77</f>
        <v>380000</v>
      </c>
      <c r="I77" s="99"/>
      <c r="J77" s="101">
        <f aca="true" t="shared" si="4" ref="J77:J83">H77</f>
        <v>380000</v>
      </c>
      <c r="K77" s="105"/>
      <c r="L77" s="105"/>
      <c r="M77" s="106"/>
      <c r="N77" s="99"/>
      <c r="O77" s="99">
        <f>H77</f>
        <v>380000</v>
      </c>
      <c r="P77" s="101">
        <f>O77</f>
        <v>380000</v>
      </c>
    </row>
    <row r="78" spans="1:16" ht="29.25" customHeight="1">
      <c r="A78" s="90" t="s">
        <v>232</v>
      </c>
      <c r="B78" s="96"/>
      <c r="C78" s="96"/>
      <c r="D78" s="99"/>
      <c r="E78" s="99">
        <v>76000</v>
      </c>
      <c r="F78" s="99">
        <f>E78</f>
        <v>76000</v>
      </c>
      <c r="G78" s="99"/>
      <c r="H78" s="99">
        <f>E78</f>
        <v>76000</v>
      </c>
      <c r="I78" s="99"/>
      <c r="J78" s="101">
        <f>H78</f>
        <v>76000</v>
      </c>
      <c r="K78" s="105"/>
      <c r="L78" s="105"/>
      <c r="M78" s="106"/>
      <c r="N78" s="99"/>
      <c r="O78" s="99">
        <f>H78</f>
        <v>76000</v>
      </c>
      <c r="P78" s="101">
        <f>O78</f>
        <v>76000</v>
      </c>
    </row>
    <row r="79" spans="1:16" ht="12">
      <c r="A79" s="89" t="s">
        <v>5</v>
      </c>
      <c r="B79" s="96"/>
      <c r="C79" s="96"/>
      <c r="D79" s="99"/>
      <c r="E79" s="99"/>
      <c r="F79" s="99"/>
      <c r="G79" s="99"/>
      <c r="H79" s="99"/>
      <c r="I79" s="99"/>
      <c r="J79" s="101"/>
      <c r="K79" s="105"/>
      <c r="L79" s="105"/>
      <c r="M79" s="106"/>
      <c r="N79" s="99"/>
      <c r="O79" s="99"/>
      <c r="P79" s="99"/>
    </row>
    <row r="80" spans="1:16" ht="34.5" customHeight="1">
      <c r="A80" s="90" t="s">
        <v>233</v>
      </c>
      <c r="B80" s="96"/>
      <c r="C80" s="96"/>
      <c r="D80" s="99"/>
      <c r="E80" s="99">
        <f>65000+5294.5</f>
        <v>70294.5</v>
      </c>
      <c r="F80" s="99">
        <f>E80</f>
        <v>70294.5</v>
      </c>
      <c r="G80" s="99"/>
      <c r="H80" s="99">
        <v>80333</v>
      </c>
      <c r="I80" s="99"/>
      <c r="J80" s="101">
        <f t="shared" si="4"/>
        <v>80333</v>
      </c>
      <c r="K80" s="105"/>
      <c r="L80" s="105"/>
      <c r="M80" s="106"/>
      <c r="N80" s="99"/>
      <c r="O80" s="99">
        <v>74800</v>
      </c>
      <c r="P80" s="101">
        <f>O80</f>
        <v>74800</v>
      </c>
    </row>
    <row r="81" spans="1:16" ht="26.25" customHeight="1">
      <c r="A81" s="90" t="s">
        <v>234</v>
      </c>
      <c r="B81" s="96"/>
      <c r="C81" s="96"/>
      <c r="D81" s="99"/>
      <c r="E81" s="7">
        <v>10750</v>
      </c>
      <c r="F81" s="99">
        <f>E81</f>
        <v>10750</v>
      </c>
      <c r="G81" s="99"/>
      <c r="H81" s="99">
        <v>15334</v>
      </c>
      <c r="I81" s="99"/>
      <c r="J81" s="101">
        <f>H81</f>
        <v>15334</v>
      </c>
      <c r="K81" s="105"/>
      <c r="L81" s="105"/>
      <c r="M81" s="106"/>
      <c r="N81" s="99"/>
      <c r="O81" s="99">
        <v>14400</v>
      </c>
      <c r="P81" s="101">
        <f>O81</f>
        <v>14400</v>
      </c>
    </row>
    <row r="82" spans="1:16" ht="12">
      <c r="A82" s="89" t="s">
        <v>7</v>
      </c>
      <c r="B82" s="96"/>
      <c r="C82" s="96"/>
      <c r="D82" s="99"/>
      <c r="E82" s="99"/>
      <c r="F82" s="99"/>
      <c r="G82" s="99"/>
      <c r="H82" s="99"/>
      <c r="I82" s="99"/>
      <c r="J82" s="101"/>
      <c r="K82" s="105"/>
      <c r="L82" s="105"/>
      <c r="M82" s="106"/>
      <c r="N82" s="99"/>
      <c r="O82" s="99"/>
      <c r="P82" s="99"/>
    </row>
    <row r="83" spans="1:16" ht="22.5" customHeight="1">
      <c r="A83" s="90" t="s">
        <v>237</v>
      </c>
      <c r="B83" s="96"/>
      <c r="C83" s="96"/>
      <c r="D83" s="99"/>
      <c r="E83" s="99">
        <v>400</v>
      </c>
      <c r="F83" s="99">
        <f>E83</f>
        <v>400</v>
      </c>
      <c r="G83" s="99"/>
      <c r="H83" s="99">
        <v>450</v>
      </c>
      <c r="I83" s="99"/>
      <c r="J83" s="101">
        <f t="shared" si="4"/>
        <v>450</v>
      </c>
      <c r="K83" s="105"/>
      <c r="L83" s="105"/>
      <c r="M83" s="106"/>
      <c r="N83" s="99"/>
      <c r="O83" s="99">
        <v>500</v>
      </c>
      <c r="P83" s="101">
        <v>500</v>
      </c>
    </row>
    <row r="84" spans="1:16" ht="22.5" customHeight="1">
      <c r="A84" s="90" t="s">
        <v>238</v>
      </c>
      <c r="B84" s="96"/>
      <c r="C84" s="96"/>
      <c r="D84" s="99"/>
      <c r="E84" s="99">
        <v>400</v>
      </c>
      <c r="F84" s="99">
        <f>E84</f>
        <v>400</v>
      </c>
      <c r="G84" s="99"/>
      <c r="H84" s="99">
        <v>450</v>
      </c>
      <c r="I84" s="99"/>
      <c r="J84" s="101">
        <f>H84</f>
        <v>450</v>
      </c>
      <c r="K84" s="105"/>
      <c r="L84" s="105"/>
      <c r="M84" s="106"/>
      <c r="N84" s="99"/>
      <c r="O84" s="99">
        <v>500</v>
      </c>
      <c r="P84" s="101">
        <f>O84</f>
        <v>500</v>
      </c>
    </row>
    <row r="85" spans="1:16" ht="12">
      <c r="A85" s="89" t="s">
        <v>6</v>
      </c>
      <c r="B85" s="96"/>
      <c r="C85" s="96"/>
      <c r="D85" s="99"/>
      <c r="E85" s="99"/>
      <c r="F85" s="99"/>
      <c r="G85" s="99"/>
      <c r="H85" s="99"/>
      <c r="I85" s="99"/>
      <c r="J85" s="101"/>
      <c r="K85" s="105"/>
      <c r="L85" s="105"/>
      <c r="M85" s="106"/>
      <c r="N85" s="99"/>
      <c r="O85" s="99"/>
      <c r="P85" s="99"/>
    </row>
    <row r="86" spans="1:16" ht="38.25" customHeight="1">
      <c r="A86" s="90" t="s">
        <v>235</v>
      </c>
      <c r="B86" s="96"/>
      <c r="C86" s="96"/>
      <c r="D86" s="99"/>
      <c r="E86" s="97">
        <f>E80/E77*100</f>
        <v>18.498552631578946</v>
      </c>
      <c r="F86" s="97">
        <f aca="true" t="shared" si="5" ref="F86:P86">F80/F77*100</f>
        <v>18.498552631578946</v>
      </c>
      <c r="G86" s="97"/>
      <c r="H86" s="97">
        <f t="shared" si="5"/>
        <v>21.140263157894736</v>
      </c>
      <c r="I86" s="97"/>
      <c r="J86" s="97">
        <f t="shared" si="5"/>
        <v>21.140263157894736</v>
      </c>
      <c r="K86" s="97" t="e">
        <f t="shared" si="5"/>
        <v>#DIV/0!</v>
      </c>
      <c r="L86" s="97" t="e">
        <f t="shared" si="5"/>
        <v>#DIV/0!</v>
      </c>
      <c r="M86" s="97" t="e">
        <f t="shared" si="5"/>
        <v>#DIV/0!</v>
      </c>
      <c r="N86" s="97"/>
      <c r="O86" s="97">
        <f t="shared" si="5"/>
        <v>19.68421052631579</v>
      </c>
      <c r="P86" s="97">
        <f t="shared" si="5"/>
        <v>19.68421052631579</v>
      </c>
    </row>
    <row r="87" spans="1:16" ht="38.25" customHeight="1">
      <c r="A87" s="90" t="s">
        <v>236</v>
      </c>
      <c r="B87" s="96"/>
      <c r="C87" s="96"/>
      <c r="D87" s="99"/>
      <c r="E87" s="97">
        <f>E81/E78*100</f>
        <v>14.144736842105262</v>
      </c>
      <c r="F87" s="97">
        <f aca="true" t="shared" si="6" ref="F87:P87">F81/F78*100</f>
        <v>14.144736842105262</v>
      </c>
      <c r="G87" s="97"/>
      <c r="H87" s="97">
        <f t="shared" si="6"/>
        <v>20.176315789473684</v>
      </c>
      <c r="I87" s="97"/>
      <c r="J87" s="97">
        <f t="shared" si="6"/>
        <v>20.176315789473684</v>
      </c>
      <c r="K87" s="97" t="e">
        <f t="shared" si="6"/>
        <v>#DIV/0!</v>
      </c>
      <c r="L87" s="97" t="e">
        <f t="shared" si="6"/>
        <v>#DIV/0!</v>
      </c>
      <c r="M87" s="97" t="e">
        <f t="shared" si="6"/>
        <v>#DIV/0!</v>
      </c>
      <c r="N87" s="97"/>
      <c r="O87" s="97">
        <f t="shared" si="6"/>
        <v>18.947368421052634</v>
      </c>
      <c r="P87" s="97">
        <f t="shared" si="6"/>
        <v>18.947368421052634</v>
      </c>
    </row>
    <row r="88" spans="1:235" s="180" customFormat="1" ht="33.75">
      <c r="A88" s="167" t="s">
        <v>261</v>
      </c>
      <c r="B88" s="176"/>
      <c r="C88" s="176"/>
      <c r="D88" s="178">
        <f>D90</f>
        <v>37000</v>
      </c>
      <c r="E88" s="200"/>
      <c r="F88" s="178">
        <f>D88</f>
        <v>37000</v>
      </c>
      <c r="G88" s="178">
        <f>G90</f>
        <v>200000</v>
      </c>
      <c r="H88" s="200"/>
      <c r="I88" s="200"/>
      <c r="J88" s="178">
        <f>G88</f>
        <v>200000</v>
      </c>
      <c r="K88" s="200"/>
      <c r="L88" s="200"/>
      <c r="M88" s="200"/>
      <c r="N88" s="200"/>
      <c r="O88" s="200"/>
      <c r="P88" s="200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9"/>
      <c r="GL88" s="179"/>
      <c r="GM88" s="179"/>
      <c r="GN88" s="179"/>
      <c r="GO88" s="179"/>
      <c r="GP88" s="179"/>
      <c r="GQ88" s="179"/>
      <c r="GR88" s="179"/>
      <c r="GS88" s="179"/>
      <c r="GT88" s="179"/>
      <c r="GU88" s="179"/>
      <c r="GV88" s="179"/>
      <c r="GW88" s="179"/>
      <c r="GX88" s="179"/>
      <c r="GY88" s="179"/>
      <c r="GZ88" s="179"/>
      <c r="HA88" s="179"/>
      <c r="HB88" s="179"/>
      <c r="HC88" s="179"/>
      <c r="HD88" s="179"/>
      <c r="HE88" s="179"/>
      <c r="HF88" s="179"/>
      <c r="HG88" s="179"/>
      <c r="HH88" s="179"/>
      <c r="HI88" s="179"/>
      <c r="HJ88" s="179"/>
      <c r="HK88" s="179"/>
      <c r="HL88" s="179"/>
      <c r="HM88" s="179"/>
      <c r="HN88" s="179"/>
      <c r="HO88" s="179"/>
      <c r="HP88" s="179"/>
      <c r="HQ88" s="179"/>
      <c r="HR88" s="179"/>
      <c r="HS88" s="179"/>
      <c r="HT88" s="179"/>
      <c r="HU88" s="179"/>
      <c r="HV88" s="179"/>
      <c r="HW88" s="179"/>
      <c r="HX88" s="179"/>
      <c r="HY88" s="179"/>
      <c r="HZ88" s="179"/>
      <c r="IA88" s="179"/>
    </row>
    <row r="89" spans="1:16" ht="11.25">
      <c r="A89" s="89" t="s">
        <v>4</v>
      </c>
      <c r="B89" s="96"/>
      <c r="C89" s="96"/>
      <c r="D89" s="99"/>
      <c r="E89" s="97"/>
      <c r="F89" s="99"/>
      <c r="G89" s="99"/>
      <c r="H89" s="97"/>
      <c r="I89" s="97"/>
      <c r="J89" s="99"/>
      <c r="K89" s="97"/>
      <c r="L89" s="97"/>
      <c r="M89" s="97"/>
      <c r="N89" s="97"/>
      <c r="O89" s="97"/>
      <c r="P89" s="97"/>
    </row>
    <row r="90" spans="1:16" ht="27" customHeight="1">
      <c r="A90" s="90" t="s">
        <v>262</v>
      </c>
      <c r="B90" s="96"/>
      <c r="C90" s="96"/>
      <c r="D90" s="7">
        <v>37000</v>
      </c>
      <c r="E90" s="97"/>
      <c r="F90" s="99">
        <f>D90</f>
        <v>37000</v>
      </c>
      <c r="G90" s="7">
        <v>200000</v>
      </c>
      <c r="H90" s="97"/>
      <c r="I90" s="97"/>
      <c r="J90" s="99">
        <f>G90</f>
        <v>200000</v>
      </c>
      <c r="K90" s="97"/>
      <c r="L90" s="97"/>
      <c r="M90" s="97"/>
      <c r="N90" s="97"/>
      <c r="O90" s="97"/>
      <c r="P90" s="97"/>
    </row>
    <row r="91" spans="1:16" ht="11.25">
      <c r="A91" s="89" t="s">
        <v>5</v>
      </c>
      <c r="B91" s="96"/>
      <c r="C91" s="96"/>
      <c r="D91" s="99"/>
      <c r="E91" s="97"/>
      <c r="F91" s="99"/>
      <c r="G91" s="99"/>
      <c r="H91" s="97"/>
      <c r="I91" s="97"/>
      <c r="J91" s="99"/>
      <c r="K91" s="97"/>
      <c r="L91" s="97"/>
      <c r="M91" s="97"/>
      <c r="N91" s="97"/>
      <c r="O91" s="97"/>
      <c r="P91" s="97"/>
    </row>
    <row r="92" spans="1:16" ht="25.5" customHeight="1">
      <c r="A92" s="90" t="s">
        <v>263</v>
      </c>
      <c r="B92" s="96"/>
      <c r="C92" s="96"/>
      <c r="D92" s="99">
        <v>1</v>
      </c>
      <c r="E92" s="97"/>
      <c r="F92" s="99">
        <f>D92</f>
        <v>1</v>
      </c>
      <c r="G92" s="99">
        <v>3</v>
      </c>
      <c r="H92" s="97"/>
      <c r="I92" s="97"/>
      <c r="J92" s="99">
        <f>G92</f>
        <v>3</v>
      </c>
      <c r="K92" s="97"/>
      <c r="L92" s="97"/>
      <c r="M92" s="97"/>
      <c r="N92" s="97"/>
      <c r="O92" s="97"/>
      <c r="P92" s="97"/>
    </row>
    <row r="93" spans="1:16" ht="11.25">
      <c r="A93" s="89" t="s">
        <v>7</v>
      </c>
      <c r="B93" s="96"/>
      <c r="C93" s="96"/>
      <c r="D93" s="99"/>
      <c r="E93" s="97"/>
      <c r="F93" s="99"/>
      <c r="G93" s="99"/>
      <c r="H93" s="97"/>
      <c r="I93" s="97"/>
      <c r="J93" s="99"/>
      <c r="K93" s="97"/>
      <c r="L93" s="97"/>
      <c r="M93" s="97"/>
      <c r="N93" s="97"/>
      <c r="O93" s="97"/>
      <c r="P93" s="97"/>
    </row>
    <row r="94" spans="1:16" ht="23.25" customHeight="1">
      <c r="A94" s="90" t="s">
        <v>264</v>
      </c>
      <c r="B94" s="96"/>
      <c r="C94" s="96"/>
      <c r="D94" s="99">
        <f>D90/D92</f>
        <v>37000</v>
      </c>
      <c r="E94" s="97"/>
      <c r="F94" s="99">
        <f>D94</f>
        <v>37000</v>
      </c>
      <c r="G94" s="99">
        <f>G90/G92</f>
        <v>66666.66666666667</v>
      </c>
      <c r="H94" s="97"/>
      <c r="I94" s="97"/>
      <c r="J94" s="99">
        <f>G94</f>
        <v>66666.66666666667</v>
      </c>
      <c r="K94" s="97"/>
      <c r="L94" s="97"/>
      <c r="M94" s="97"/>
      <c r="N94" s="97"/>
      <c r="O94" s="97"/>
      <c r="P94" s="97"/>
    </row>
    <row r="95" spans="1:235" s="180" customFormat="1" ht="31.5" customHeight="1">
      <c r="A95" s="167" t="s">
        <v>265</v>
      </c>
      <c r="B95" s="176"/>
      <c r="C95" s="176"/>
      <c r="D95" s="178"/>
      <c r="E95" s="178">
        <f>E99*E101</f>
        <v>5000000</v>
      </c>
      <c r="F95" s="178">
        <f>E95</f>
        <v>5000000</v>
      </c>
      <c r="G95" s="178"/>
      <c r="H95" s="178">
        <f>H99*H101</f>
        <v>10000000</v>
      </c>
      <c r="I95" s="178"/>
      <c r="J95" s="178">
        <f>H95</f>
        <v>10000000</v>
      </c>
      <c r="K95" s="184"/>
      <c r="L95" s="184"/>
      <c r="M95" s="185"/>
      <c r="N95" s="178"/>
      <c r="O95" s="178">
        <f>O99*O101</f>
        <v>7200000</v>
      </c>
      <c r="P95" s="178">
        <f>O95</f>
        <v>7200000</v>
      </c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9"/>
      <c r="GL95" s="179"/>
      <c r="GM95" s="179"/>
      <c r="GN95" s="179"/>
      <c r="GO95" s="179"/>
      <c r="GP95" s="179"/>
      <c r="GQ95" s="179"/>
      <c r="GR95" s="179"/>
      <c r="GS95" s="179"/>
      <c r="GT95" s="179"/>
      <c r="GU95" s="179"/>
      <c r="GV95" s="179"/>
      <c r="GW95" s="179"/>
      <c r="GX95" s="179"/>
      <c r="GY95" s="179"/>
      <c r="GZ95" s="179"/>
      <c r="HA95" s="179"/>
      <c r="HB95" s="179"/>
      <c r="HC95" s="179"/>
      <c r="HD95" s="179"/>
      <c r="HE95" s="179"/>
      <c r="HF95" s="179"/>
      <c r="HG95" s="179"/>
      <c r="HH95" s="179"/>
      <c r="HI95" s="179"/>
      <c r="HJ95" s="179"/>
      <c r="HK95" s="179"/>
      <c r="HL95" s="179"/>
      <c r="HM95" s="179"/>
      <c r="HN95" s="179"/>
      <c r="HO95" s="179"/>
      <c r="HP95" s="179"/>
      <c r="HQ95" s="179"/>
      <c r="HR95" s="179"/>
      <c r="HS95" s="179"/>
      <c r="HT95" s="179"/>
      <c r="HU95" s="179"/>
      <c r="HV95" s="179"/>
      <c r="HW95" s="179"/>
      <c r="HX95" s="179"/>
      <c r="HY95" s="179"/>
      <c r="HZ95" s="179"/>
      <c r="IA95" s="179"/>
    </row>
    <row r="96" spans="1:16" ht="12">
      <c r="A96" s="89" t="s">
        <v>4</v>
      </c>
      <c r="B96" s="96"/>
      <c r="C96" s="96"/>
      <c r="D96" s="99"/>
      <c r="E96" s="99"/>
      <c r="F96" s="99"/>
      <c r="G96" s="99"/>
      <c r="H96" s="99"/>
      <c r="I96" s="99"/>
      <c r="J96" s="101"/>
      <c r="K96" s="105"/>
      <c r="L96" s="105"/>
      <c r="M96" s="106"/>
      <c r="N96" s="99"/>
      <c r="O96" s="99"/>
      <c r="P96" s="99"/>
    </row>
    <row r="97" spans="1:16" ht="20.25" customHeight="1">
      <c r="A97" s="90" t="s">
        <v>105</v>
      </c>
      <c r="B97" s="96"/>
      <c r="C97" s="96"/>
      <c r="D97" s="99"/>
      <c r="E97" s="99">
        <v>5000000</v>
      </c>
      <c r="F97" s="101">
        <f>E97</f>
        <v>5000000</v>
      </c>
      <c r="G97" s="99"/>
      <c r="H97" s="99">
        <v>10000000</v>
      </c>
      <c r="I97" s="99"/>
      <c r="J97" s="101">
        <f>H97</f>
        <v>10000000</v>
      </c>
      <c r="K97" s="105"/>
      <c r="L97" s="105"/>
      <c r="M97" s="106"/>
      <c r="N97" s="99"/>
      <c r="O97" s="99">
        <v>7200000</v>
      </c>
      <c r="P97" s="101">
        <f>O97</f>
        <v>7200000</v>
      </c>
    </row>
    <row r="98" spans="1:16" ht="12">
      <c r="A98" s="89" t="s">
        <v>5</v>
      </c>
      <c r="B98" s="96"/>
      <c r="C98" s="96"/>
      <c r="D98" s="99"/>
      <c r="E98" s="99"/>
      <c r="F98" s="101"/>
      <c r="G98" s="99"/>
      <c r="H98" s="99"/>
      <c r="I98" s="99"/>
      <c r="J98" s="101"/>
      <c r="K98" s="105"/>
      <c r="L98" s="105"/>
      <c r="M98" s="106"/>
      <c r="N98" s="99"/>
      <c r="O98" s="99"/>
      <c r="P98" s="101"/>
    </row>
    <row r="99" spans="1:16" ht="21" customHeight="1">
      <c r="A99" s="90" t="s">
        <v>106</v>
      </c>
      <c r="B99" s="96"/>
      <c r="C99" s="96"/>
      <c r="D99" s="99"/>
      <c r="E99" s="97">
        <v>1</v>
      </c>
      <c r="F99" s="103">
        <f>E99</f>
        <v>1</v>
      </c>
      <c r="G99" s="99"/>
      <c r="H99" s="97">
        <v>2</v>
      </c>
      <c r="I99" s="97"/>
      <c r="J99" s="103">
        <v>2</v>
      </c>
      <c r="K99" s="105"/>
      <c r="L99" s="105"/>
      <c r="M99" s="106"/>
      <c r="N99" s="99"/>
      <c r="O99" s="97">
        <v>1</v>
      </c>
      <c r="P99" s="103">
        <f>O99</f>
        <v>1</v>
      </c>
    </row>
    <row r="100" spans="1:16" ht="12">
      <c r="A100" s="89" t="s">
        <v>7</v>
      </c>
      <c r="B100" s="96"/>
      <c r="C100" s="96"/>
      <c r="D100" s="99"/>
      <c r="E100" s="99"/>
      <c r="F100" s="101"/>
      <c r="G100" s="99"/>
      <c r="H100" s="99"/>
      <c r="I100" s="99"/>
      <c r="J100" s="101"/>
      <c r="K100" s="105"/>
      <c r="L100" s="105"/>
      <c r="M100" s="106"/>
      <c r="N100" s="99"/>
      <c r="O100" s="99"/>
      <c r="P100" s="101"/>
    </row>
    <row r="101" spans="1:16" ht="27" customHeight="1">
      <c r="A101" s="90" t="s">
        <v>107</v>
      </c>
      <c r="B101" s="96"/>
      <c r="C101" s="96"/>
      <c r="D101" s="99"/>
      <c r="E101" s="99">
        <f>E97/E99</f>
        <v>5000000</v>
      </c>
      <c r="F101" s="101">
        <f>E101</f>
        <v>5000000</v>
      </c>
      <c r="G101" s="99"/>
      <c r="H101" s="99">
        <f>H97/H99</f>
        <v>5000000</v>
      </c>
      <c r="I101" s="99"/>
      <c r="J101" s="101">
        <f>H101</f>
        <v>5000000</v>
      </c>
      <c r="K101" s="105"/>
      <c r="L101" s="105"/>
      <c r="M101" s="106"/>
      <c r="N101" s="99"/>
      <c r="O101" s="99">
        <f>O97/O99</f>
        <v>7200000</v>
      </c>
      <c r="P101" s="101">
        <f>P97/P99</f>
        <v>7200000</v>
      </c>
    </row>
    <row r="102" spans="1:235" s="180" customFormat="1" ht="48" customHeight="1">
      <c r="A102" s="167" t="s">
        <v>380</v>
      </c>
      <c r="B102" s="176"/>
      <c r="C102" s="176"/>
      <c r="D102" s="178">
        <f>(D110*D117)+(D111*D118)+(D112*D119)+(D113*D120)+(D114*D121)+(D122*D111*D123)</f>
        <v>2368300</v>
      </c>
      <c r="E102" s="178">
        <f aca="true" t="shared" si="7" ref="E102:O102">(E110*E117)+(E111*E118)+(E112*E119)+(E113*E120)+(E114*E121)+(E122*E111*E123)</f>
        <v>3200000</v>
      </c>
      <c r="F102" s="178">
        <f>D102+E102</f>
        <v>5568300</v>
      </c>
      <c r="G102" s="178">
        <f>(G110*G117)+(G111*G118)+(G112*G119)+(G113*G120)+(G114*G121)+(G122*G111*G123)</f>
        <v>2855639.7894428</v>
      </c>
      <c r="H102" s="178">
        <f t="shared" si="7"/>
        <v>1200000</v>
      </c>
      <c r="I102" s="178"/>
      <c r="J102" s="178">
        <f>G102+H102</f>
        <v>4055639.7894428</v>
      </c>
      <c r="K102" s="178">
        <f t="shared" si="7"/>
        <v>0</v>
      </c>
      <c r="L102" s="178">
        <f t="shared" si="7"/>
        <v>0</v>
      </c>
      <c r="M102" s="178">
        <f t="shared" si="7"/>
        <v>0</v>
      </c>
      <c r="N102" s="178">
        <f>(N110*N117)+(N111*N118)+(N112*N119)+(N113*N120)+(N114*N121)+(N122*N111*N123)+452.4-0.02</f>
        <v>3385000</v>
      </c>
      <c r="O102" s="178">
        <f t="shared" si="7"/>
        <v>2250000</v>
      </c>
      <c r="P102" s="178">
        <f>N102+O102</f>
        <v>5635000</v>
      </c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179"/>
      <c r="EL102" s="179"/>
      <c r="EM102" s="179"/>
      <c r="EN102" s="179"/>
      <c r="EO102" s="179"/>
      <c r="EP102" s="179"/>
      <c r="EQ102" s="179"/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9"/>
      <c r="FI102" s="179"/>
      <c r="FJ102" s="179"/>
      <c r="FK102" s="179"/>
      <c r="FL102" s="179"/>
      <c r="FM102" s="179"/>
      <c r="FN102" s="179"/>
      <c r="FO102" s="179"/>
      <c r="FP102" s="179"/>
      <c r="FQ102" s="179"/>
      <c r="FR102" s="179"/>
      <c r="FS102" s="179"/>
      <c r="FT102" s="179"/>
      <c r="FU102" s="179"/>
      <c r="FV102" s="179"/>
      <c r="FW102" s="179"/>
      <c r="FX102" s="179"/>
      <c r="FY102" s="179"/>
      <c r="FZ102" s="179"/>
      <c r="GA102" s="179"/>
      <c r="GB102" s="179"/>
      <c r="GC102" s="179"/>
      <c r="GD102" s="179"/>
      <c r="GE102" s="179"/>
      <c r="GF102" s="179"/>
      <c r="GG102" s="179"/>
      <c r="GH102" s="179"/>
      <c r="GI102" s="179"/>
      <c r="GJ102" s="179"/>
      <c r="GK102" s="179"/>
      <c r="GL102" s="179"/>
      <c r="GM102" s="179"/>
      <c r="GN102" s="179"/>
      <c r="GO102" s="179"/>
      <c r="GP102" s="179"/>
      <c r="GQ102" s="179"/>
      <c r="GR102" s="179"/>
      <c r="GS102" s="179"/>
      <c r="GT102" s="179"/>
      <c r="GU102" s="179"/>
      <c r="GV102" s="179"/>
      <c r="GW102" s="179"/>
      <c r="GX102" s="179"/>
      <c r="GY102" s="179"/>
      <c r="GZ102" s="179"/>
      <c r="HA102" s="179"/>
      <c r="HB102" s="179"/>
      <c r="HC102" s="179"/>
      <c r="HD102" s="179"/>
      <c r="HE102" s="179"/>
      <c r="HF102" s="179"/>
      <c r="HG102" s="179"/>
      <c r="HH102" s="179"/>
      <c r="HI102" s="179"/>
      <c r="HJ102" s="179"/>
      <c r="HK102" s="179"/>
      <c r="HL102" s="179"/>
      <c r="HM102" s="179"/>
      <c r="HN102" s="179"/>
      <c r="HO102" s="179"/>
      <c r="HP102" s="179"/>
      <c r="HQ102" s="179"/>
      <c r="HR102" s="179"/>
      <c r="HS102" s="179"/>
      <c r="HT102" s="179"/>
      <c r="HU102" s="179"/>
      <c r="HV102" s="179"/>
      <c r="HW102" s="179"/>
      <c r="HX102" s="179"/>
      <c r="HY102" s="179"/>
      <c r="HZ102" s="179"/>
      <c r="IA102" s="179"/>
    </row>
    <row r="103" spans="1:235" s="81" customFormat="1" ht="12">
      <c r="A103" s="89" t="s">
        <v>4</v>
      </c>
      <c r="B103" s="102"/>
      <c r="C103" s="102"/>
      <c r="D103" s="99"/>
      <c r="E103" s="96"/>
      <c r="F103" s="99"/>
      <c r="G103" s="99"/>
      <c r="H103" s="96"/>
      <c r="I103" s="96"/>
      <c r="J103" s="99"/>
      <c r="K103" s="105"/>
      <c r="L103" s="105"/>
      <c r="M103" s="106"/>
      <c r="N103" s="99"/>
      <c r="O103" s="96"/>
      <c r="P103" s="99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  <c r="HR103" s="80"/>
      <c r="HS103" s="80"/>
      <c r="HT103" s="80"/>
      <c r="HU103" s="80"/>
      <c r="HV103" s="80"/>
      <c r="HW103" s="80"/>
      <c r="HX103" s="80"/>
      <c r="HY103" s="80"/>
      <c r="HZ103" s="80"/>
      <c r="IA103" s="80"/>
    </row>
    <row r="104" spans="1:235" s="81" customFormat="1" ht="12">
      <c r="A104" s="90" t="s">
        <v>108</v>
      </c>
      <c r="B104" s="96"/>
      <c r="C104" s="96"/>
      <c r="D104" s="97">
        <v>56</v>
      </c>
      <c r="E104" s="97"/>
      <c r="F104" s="97">
        <f>D104</f>
        <v>56</v>
      </c>
      <c r="G104" s="97">
        <v>42</v>
      </c>
      <c r="H104" s="97"/>
      <c r="I104" s="97"/>
      <c r="J104" s="97">
        <f>G104</f>
        <v>42</v>
      </c>
      <c r="K104" s="107"/>
      <c r="L104" s="107"/>
      <c r="M104" s="107"/>
      <c r="N104" s="97">
        <v>67</v>
      </c>
      <c r="O104" s="97"/>
      <c r="P104" s="97">
        <f>N104</f>
        <v>67</v>
      </c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  <c r="HM104" s="80"/>
      <c r="HN104" s="80"/>
      <c r="HO104" s="80"/>
      <c r="HP104" s="80"/>
      <c r="HQ104" s="80"/>
      <c r="HR104" s="80"/>
      <c r="HS104" s="80"/>
      <c r="HT104" s="80"/>
      <c r="HU104" s="80"/>
      <c r="HV104" s="80"/>
      <c r="HW104" s="80"/>
      <c r="HX104" s="80"/>
      <c r="HY104" s="80"/>
      <c r="HZ104" s="80"/>
      <c r="IA104" s="80"/>
    </row>
    <row r="105" spans="1:235" s="81" customFormat="1" ht="12">
      <c r="A105" s="90" t="s">
        <v>8</v>
      </c>
      <c r="B105" s="96"/>
      <c r="C105" s="96"/>
      <c r="D105" s="104">
        <v>37000</v>
      </c>
      <c r="E105" s="96"/>
      <c r="F105" s="104">
        <f>D105</f>
        <v>37000</v>
      </c>
      <c r="G105" s="104">
        <v>37400</v>
      </c>
      <c r="H105" s="96"/>
      <c r="I105" s="96"/>
      <c r="J105" s="104">
        <f>G105</f>
        <v>37400</v>
      </c>
      <c r="K105" s="105"/>
      <c r="L105" s="105"/>
      <c r="M105" s="106"/>
      <c r="N105" s="104">
        <v>37400</v>
      </c>
      <c r="O105" s="96"/>
      <c r="P105" s="104">
        <f>N105</f>
        <v>37400</v>
      </c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  <c r="HM105" s="80"/>
      <c r="HN105" s="80"/>
      <c r="HO105" s="80"/>
      <c r="HP105" s="80"/>
      <c r="HQ105" s="80"/>
      <c r="HR105" s="80"/>
      <c r="HS105" s="80"/>
      <c r="HT105" s="80"/>
      <c r="HU105" s="80"/>
      <c r="HV105" s="80"/>
      <c r="HW105" s="80"/>
      <c r="HX105" s="80"/>
      <c r="HY105" s="80"/>
      <c r="HZ105" s="80"/>
      <c r="IA105" s="80"/>
    </row>
    <row r="106" spans="1:235" s="81" customFormat="1" ht="33.75">
      <c r="A106" s="90" t="s">
        <v>114</v>
      </c>
      <c r="B106" s="96"/>
      <c r="C106" s="96"/>
      <c r="D106" s="104">
        <v>37400</v>
      </c>
      <c r="E106" s="96"/>
      <c r="F106" s="104">
        <v>37400</v>
      </c>
      <c r="G106" s="104">
        <v>37400</v>
      </c>
      <c r="H106" s="96"/>
      <c r="I106" s="96"/>
      <c r="J106" s="104">
        <v>37400</v>
      </c>
      <c r="K106" s="105"/>
      <c r="L106" s="105"/>
      <c r="M106" s="106"/>
      <c r="N106" s="104">
        <v>37400</v>
      </c>
      <c r="O106" s="96"/>
      <c r="P106" s="104">
        <v>37400</v>
      </c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  <c r="GA106" s="80"/>
      <c r="GB106" s="80"/>
      <c r="GC106" s="80"/>
      <c r="GD106" s="80"/>
      <c r="GE106" s="80"/>
      <c r="GF106" s="80"/>
      <c r="GG106" s="80"/>
      <c r="GH106" s="80"/>
      <c r="GI106" s="80"/>
      <c r="GJ106" s="80"/>
      <c r="GK106" s="80"/>
      <c r="GL106" s="80"/>
      <c r="GM106" s="80"/>
      <c r="GN106" s="80"/>
      <c r="GO106" s="80"/>
      <c r="GP106" s="80"/>
      <c r="GQ106" s="80"/>
      <c r="GR106" s="80"/>
      <c r="GS106" s="80"/>
      <c r="GT106" s="80"/>
      <c r="GU106" s="80"/>
      <c r="GV106" s="80"/>
      <c r="GW106" s="80"/>
      <c r="GX106" s="80"/>
      <c r="GY106" s="80"/>
      <c r="GZ106" s="80"/>
      <c r="HA106" s="80"/>
      <c r="HB106" s="80"/>
      <c r="HC106" s="80"/>
      <c r="HD106" s="80"/>
      <c r="HE106" s="80"/>
      <c r="HF106" s="80"/>
      <c r="HG106" s="80"/>
      <c r="HH106" s="80"/>
      <c r="HI106" s="80"/>
      <c r="HJ106" s="80"/>
      <c r="HK106" s="80"/>
      <c r="HL106" s="80"/>
      <c r="HM106" s="80"/>
      <c r="HN106" s="80"/>
      <c r="HO106" s="80"/>
      <c r="HP106" s="80"/>
      <c r="HQ106" s="80"/>
      <c r="HR106" s="80"/>
      <c r="HS106" s="80"/>
      <c r="HT106" s="80"/>
      <c r="HU106" s="80"/>
      <c r="HV106" s="80"/>
      <c r="HW106" s="80"/>
      <c r="HX106" s="80"/>
      <c r="HY106" s="80"/>
      <c r="HZ106" s="80"/>
      <c r="IA106" s="80"/>
    </row>
    <row r="107" spans="1:235" s="83" customFormat="1" ht="22.5">
      <c r="A107" s="32" t="s">
        <v>72</v>
      </c>
      <c r="B107" s="8"/>
      <c r="C107" s="8"/>
      <c r="D107" s="10">
        <v>73500</v>
      </c>
      <c r="E107" s="10"/>
      <c r="F107" s="10">
        <f>D107</f>
        <v>73500</v>
      </c>
      <c r="G107" s="10">
        <v>81756</v>
      </c>
      <c r="H107" s="10"/>
      <c r="I107" s="10"/>
      <c r="J107" s="10">
        <f>G107</f>
        <v>81756</v>
      </c>
      <c r="K107" s="122"/>
      <c r="L107" s="122"/>
      <c r="M107" s="122"/>
      <c r="N107" s="10">
        <v>89932</v>
      </c>
      <c r="O107" s="10"/>
      <c r="P107" s="10">
        <f>N107</f>
        <v>89932</v>
      </c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</row>
    <row r="108" spans="1:241" s="80" customFormat="1" ht="12" customHeight="1">
      <c r="A108" s="89" t="s">
        <v>5</v>
      </c>
      <c r="B108" s="102"/>
      <c r="C108" s="102"/>
      <c r="D108" s="96"/>
      <c r="E108" s="96"/>
      <c r="F108" s="96"/>
      <c r="G108" s="96"/>
      <c r="H108" s="96"/>
      <c r="I108" s="96"/>
      <c r="J108" s="96"/>
      <c r="K108" s="105"/>
      <c r="L108" s="105"/>
      <c r="M108" s="106"/>
      <c r="N108" s="96"/>
      <c r="O108" s="96"/>
      <c r="P108" s="96"/>
      <c r="IB108" s="81"/>
      <c r="IC108" s="81"/>
      <c r="ID108" s="81"/>
      <c r="IE108" s="81"/>
      <c r="IF108" s="81"/>
      <c r="IG108" s="81"/>
    </row>
    <row r="109" spans="1:241" s="80" customFormat="1" ht="22.5">
      <c r="A109" s="90" t="s">
        <v>14</v>
      </c>
      <c r="B109" s="96"/>
      <c r="C109" s="96"/>
      <c r="D109" s="99"/>
      <c r="E109" s="96"/>
      <c r="F109" s="104">
        <f>D109</f>
        <v>0</v>
      </c>
      <c r="G109" s="99"/>
      <c r="H109" s="96"/>
      <c r="I109" s="96"/>
      <c r="J109" s="104">
        <f>G109</f>
        <v>0</v>
      </c>
      <c r="K109" s="105"/>
      <c r="L109" s="105"/>
      <c r="M109" s="106"/>
      <c r="N109" s="99"/>
      <c r="O109" s="96"/>
      <c r="P109" s="104">
        <f>N109</f>
        <v>0</v>
      </c>
      <c r="IB109" s="81"/>
      <c r="IC109" s="81"/>
      <c r="ID109" s="81"/>
      <c r="IE109" s="81"/>
      <c r="IF109" s="81"/>
      <c r="IG109" s="81"/>
    </row>
    <row r="110" spans="1:241" s="80" customFormat="1" ht="27.75" customHeight="1">
      <c r="A110" s="90" t="s">
        <v>109</v>
      </c>
      <c r="B110" s="96"/>
      <c r="C110" s="102"/>
      <c r="D110" s="99"/>
      <c r="E110" s="96">
        <v>8</v>
      </c>
      <c r="F110" s="111">
        <f>E110</f>
        <v>8</v>
      </c>
      <c r="G110" s="96"/>
      <c r="H110" s="97">
        <v>3</v>
      </c>
      <c r="I110" s="97"/>
      <c r="J110" s="97">
        <v>3</v>
      </c>
      <c r="K110" s="105"/>
      <c r="L110" s="105"/>
      <c r="M110" s="106"/>
      <c r="N110" s="96"/>
      <c r="O110" s="97">
        <v>5</v>
      </c>
      <c r="P110" s="97">
        <f>O110</f>
        <v>5</v>
      </c>
      <c r="IB110" s="81"/>
      <c r="IC110" s="81"/>
      <c r="ID110" s="81"/>
      <c r="IE110" s="81"/>
      <c r="IF110" s="81"/>
      <c r="IG110" s="81"/>
    </row>
    <row r="111" spans="1:241" s="80" customFormat="1" ht="27" customHeight="1">
      <c r="A111" s="90" t="s">
        <v>110</v>
      </c>
      <c r="B111" s="96"/>
      <c r="C111" s="102"/>
      <c r="D111" s="97">
        <v>56</v>
      </c>
      <c r="E111" s="97"/>
      <c r="F111" s="97">
        <f>D111</f>
        <v>56</v>
      </c>
      <c r="G111" s="97">
        <v>42</v>
      </c>
      <c r="H111" s="97"/>
      <c r="I111" s="97"/>
      <c r="J111" s="97">
        <f>G111</f>
        <v>42</v>
      </c>
      <c r="K111" s="107"/>
      <c r="L111" s="107"/>
      <c r="M111" s="107"/>
      <c r="N111" s="97">
        <v>67</v>
      </c>
      <c r="O111" s="97"/>
      <c r="P111" s="97">
        <f>N111</f>
        <v>67</v>
      </c>
      <c r="IB111" s="81"/>
      <c r="IC111" s="81"/>
      <c r="ID111" s="81"/>
      <c r="IE111" s="81"/>
      <c r="IF111" s="81"/>
      <c r="IG111" s="81"/>
    </row>
    <row r="112" spans="1:241" s="80" customFormat="1" ht="22.5">
      <c r="A112" s="90" t="s">
        <v>42</v>
      </c>
      <c r="B112" s="96"/>
      <c r="C112" s="102"/>
      <c r="D112" s="96">
        <v>300</v>
      </c>
      <c r="E112" s="97"/>
      <c r="F112" s="104">
        <f>D112</f>
        <v>300</v>
      </c>
      <c r="G112" s="96">
        <v>300</v>
      </c>
      <c r="H112" s="97"/>
      <c r="I112" s="97"/>
      <c r="J112" s="104">
        <f>G112</f>
        <v>300</v>
      </c>
      <c r="K112" s="105"/>
      <c r="L112" s="105"/>
      <c r="M112" s="106"/>
      <c r="N112" s="96">
        <v>300</v>
      </c>
      <c r="O112" s="97"/>
      <c r="P112" s="104">
        <v>300</v>
      </c>
      <c r="IB112" s="81"/>
      <c r="IC112" s="81"/>
      <c r="ID112" s="81"/>
      <c r="IE112" s="81"/>
      <c r="IF112" s="81"/>
      <c r="IG112" s="81"/>
    </row>
    <row r="113" spans="1:241" s="80" customFormat="1" ht="22.5">
      <c r="A113" s="90" t="s">
        <v>46</v>
      </c>
      <c r="B113" s="96"/>
      <c r="C113" s="102"/>
      <c r="D113" s="97">
        <v>300</v>
      </c>
      <c r="E113" s="97"/>
      <c r="F113" s="97">
        <f>D113</f>
        <v>300</v>
      </c>
      <c r="G113" s="97">
        <v>300</v>
      </c>
      <c r="H113" s="97"/>
      <c r="I113" s="97"/>
      <c r="J113" s="97">
        <v>300</v>
      </c>
      <c r="K113" s="107"/>
      <c r="L113" s="107"/>
      <c r="M113" s="107"/>
      <c r="N113" s="97">
        <v>300</v>
      </c>
      <c r="O113" s="97"/>
      <c r="P113" s="97">
        <f>N113</f>
        <v>300</v>
      </c>
      <c r="IB113" s="81"/>
      <c r="IC113" s="81"/>
      <c r="ID113" s="81"/>
      <c r="IE113" s="81"/>
      <c r="IF113" s="81"/>
      <c r="IG113" s="81"/>
    </row>
    <row r="114" spans="1:241" s="80" customFormat="1" ht="22.5">
      <c r="A114" s="90" t="s">
        <v>13</v>
      </c>
      <c r="B114" s="96"/>
      <c r="C114" s="102"/>
      <c r="D114" s="104">
        <v>37400</v>
      </c>
      <c r="E114" s="96"/>
      <c r="F114" s="104">
        <f aca="true" t="shared" si="8" ref="F114:F129">D114</f>
        <v>37400</v>
      </c>
      <c r="G114" s="104">
        <v>37400</v>
      </c>
      <c r="H114" s="96"/>
      <c r="I114" s="96"/>
      <c r="J114" s="104">
        <f>G114</f>
        <v>37400</v>
      </c>
      <c r="K114" s="105"/>
      <c r="L114" s="105"/>
      <c r="M114" s="106"/>
      <c r="N114" s="104">
        <v>37400</v>
      </c>
      <c r="O114" s="96"/>
      <c r="P114" s="104">
        <f>N114</f>
        <v>37400</v>
      </c>
      <c r="IB114" s="81"/>
      <c r="IC114" s="81"/>
      <c r="ID114" s="81"/>
      <c r="IE114" s="81"/>
      <c r="IF114" s="81"/>
      <c r="IG114" s="81"/>
    </row>
    <row r="115" spans="1:241" s="80" customFormat="1" ht="12">
      <c r="A115" s="89" t="s">
        <v>7</v>
      </c>
      <c r="B115" s="102"/>
      <c r="C115" s="102"/>
      <c r="D115" s="99"/>
      <c r="E115" s="96"/>
      <c r="F115" s="104">
        <f t="shared" si="8"/>
        <v>0</v>
      </c>
      <c r="G115" s="99"/>
      <c r="H115" s="96"/>
      <c r="I115" s="96"/>
      <c r="J115" s="104"/>
      <c r="K115" s="105"/>
      <c r="L115" s="105"/>
      <c r="M115" s="106"/>
      <c r="N115" s="99"/>
      <c r="O115" s="96"/>
      <c r="P115" s="104"/>
      <c r="IB115" s="81"/>
      <c r="IC115" s="81"/>
      <c r="ID115" s="81"/>
      <c r="IE115" s="81"/>
      <c r="IF115" s="81"/>
      <c r="IG115" s="81"/>
    </row>
    <row r="116" spans="1:241" s="80" customFormat="1" ht="22.5" customHeight="1">
      <c r="A116" s="90" t="s">
        <v>16</v>
      </c>
      <c r="B116" s="96"/>
      <c r="C116" s="96"/>
      <c r="D116" s="104"/>
      <c r="E116" s="96"/>
      <c r="F116" s="104">
        <f t="shared" si="8"/>
        <v>0</v>
      </c>
      <c r="G116" s="104"/>
      <c r="H116" s="96"/>
      <c r="I116" s="96"/>
      <c r="J116" s="99">
        <f>G116</f>
        <v>0</v>
      </c>
      <c r="K116" s="105"/>
      <c r="L116" s="105"/>
      <c r="M116" s="106"/>
      <c r="N116" s="104"/>
      <c r="O116" s="96"/>
      <c r="P116" s="99">
        <f>N116</f>
        <v>0</v>
      </c>
      <c r="IB116" s="81"/>
      <c r="IC116" s="81"/>
      <c r="ID116" s="81"/>
      <c r="IE116" s="81"/>
      <c r="IF116" s="81"/>
      <c r="IG116" s="81"/>
    </row>
    <row r="117" spans="1:241" s="80" customFormat="1" ht="27" customHeight="1">
      <c r="A117" s="32" t="s">
        <v>111</v>
      </c>
      <c r="B117" s="8"/>
      <c r="C117" s="8"/>
      <c r="D117" s="8"/>
      <c r="E117" s="19">
        <v>400000</v>
      </c>
      <c r="F117" s="19">
        <f>E117</f>
        <v>400000</v>
      </c>
      <c r="G117" s="8"/>
      <c r="H117" s="19">
        <v>400000</v>
      </c>
      <c r="I117" s="19"/>
      <c r="J117" s="7">
        <f>H117</f>
        <v>400000</v>
      </c>
      <c r="K117" s="21"/>
      <c r="L117" s="21"/>
      <c r="M117" s="22"/>
      <c r="N117" s="19"/>
      <c r="O117" s="19">
        <v>450000</v>
      </c>
      <c r="P117" s="7">
        <f>O117</f>
        <v>450000</v>
      </c>
      <c r="IB117" s="81"/>
      <c r="IC117" s="81"/>
      <c r="ID117" s="81"/>
      <c r="IE117" s="81"/>
      <c r="IF117" s="81"/>
      <c r="IG117" s="81"/>
    </row>
    <row r="118" spans="1:241" s="80" customFormat="1" ht="22.5">
      <c r="A118" s="90" t="s">
        <v>112</v>
      </c>
      <c r="B118" s="96"/>
      <c r="C118" s="96"/>
      <c r="D118" s="99">
        <v>10000</v>
      </c>
      <c r="E118" s="96"/>
      <c r="F118" s="104">
        <f t="shared" si="8"/>
        <v>10000</v>
      </c>
      <c r="G118" s="104">
        <v>23980.9523809</v>
      </c>
      <c r="H118" s="96"/>
      <c r="I118" s="96"/>
      <c r="J118" s="99">
        <f aca="true" t="shared" si="9" ref="J118:J123">G118</f>
        <v>23980.9523809</v>
      </c>
      <c r="K118" s="105"/>
      <c r="L118" s="105"/>
      <c r="M118" s="106"/>
      <c r="N118" s="104">
        <v>17015</v>
      </c>
      <c r="O118" s="96"/>
      <c r="P118" s="99">
        <f aca="true" t="shared" si="10" ref="P118:P123">N118</f>
        <v>17015</v>
      </c>
      <c r="IB118" s="81"/>
      <c r="IC118" s="81"/>
      <c r="ID118" s="81"/>
      <c r="IE118" s="81"/>
      <c r="IF118" s="81"/>
      <c r="IG118" s="81"/>
    </row>
    <row r="119" spans="1:241" s="80" customFormat="1" ht="27" customHeight="1">
      <c r="A119" s="90" t="s">
        <v>43</v>
      </c>
      <c r="B119" s="96"/>
      <c r="C119" s="96"/>
      <c r="D119" s="99">
        <v>300</v>
      </c>
      <c r="E119" s="99"/>
      <c r="F119" s="99">
        <f>D119</f>
        <v>300</v>
      </c>
      <c r="G119" s="99">
        <v>300</v>
      </c>
      <c r="H119" s="99"/>
      <c r="I119" s="99"/>
      <c r="J119" s="99">
        <f t="shared" si="9"/>
        <v>300</v>
      </c>
      <c r="K119" s="105"/>
      <c r="L119" s="105"/>
      <c r="M119" s="106"/>
      <c r="N119" s="99">
        <v>350</v>
      </c>
      <c r="O119" s="99"/>
      <c r="P119" s="99">
        <f t="shared" si="10"/>
        <v>350</v>
      </c>
      <c r="IB119" s="81"/>
      <c r="IC119" s="81"/>
      <c r="ID119" s="81"/>
      <c r="IE119" s="81"/>
      <c r="IF119" s="81"/>
      <c r="IG119" s="81"/>
    </row>
    <row r="120" spans="1:241" s="80" customFormat="1" ht="27" customHeight="1">
      <c r="A120" s="90" t="s">
        <v>19</v>
      </c>
      <c r="B120" s="96"/>
      <c r="C120" s="96"/>
      <c r="D120" s="99">
        <v>300</v>
      </c>
      <c r="E120" s="96"/>
      <c r="F120" s="104">
        <f t="shared" si="8"/>
        <v>300</v>
      </c>
      <c r="G120" s="99">
        <v>300</v>
      </c>
      <c r="H120" s="96"/>
      <c r="I120" s="96"/>
      <c r="J120" s="99">
        <f t="shared" si="9"/>
        <v>300</v>
      </c>
      <c r="K120" s="105"/>
      <c r="L120" s="105"/>
      <c r="M120" s="106"/>
      <c r="N120" s="99">
        <v>350</v>
      </c>
      <c r="O120" s="96"/>
      <c r="P120" s="99">
        <f t="shared" si="10"/>
        <v>350</v>
      </c>
      <c r="IB120" s="81"/>
      <c r="IC120" s="81"/>
      <c r="ID120" s="81"/>
      <c r="IE120" s="81"/>
      <c r="IF120" s="81"/>
      <c r="IG120" s="81"/>
    </row>
    <row r="121" spans="1:241" s="80" customFormat="1" ht="22.5">
      <c r="A121" s="90" t="s">
        <v>15</v>
      </c>
      <c r="B121" s="96"/>
      <c r="C121" s="96"/>
      <c r="D121" s="99">
        <v>40</v>
      </c>
      <c r="E121" s="96"/>
      <c r="F121" s="104">
        <f t="shared" si="8"/>
        <v>40</v>
      </c>
      <c r="G121" s="99">
        <v>40</v>
      </c>
      <c r="H121" s="96"/>
      <c r="I121" s="96"/>
      <c r="J121" s="99">
        <f t="shared" si="9"/>
        <v>40</v>
      </c>
      <c r="K121" s="105"/>
      <c r="L121" s="105"/>
      <c r="M121" s="106"/>
      <c r="N121" s="99">
        <v>50</v>
      </c>
      <c r="O121" s="96"/>
      <c r="P121" s="99">
        <f t="shared" si="10"/>
        <v>50</v>
      </c>
      <c r="S121" s="80">
        <f>1277*64*1.65</f>
        <v>134851.19999999998</v>
      </c>
      <c r="IB121" s="81"/>
      <c r="IC121" s="81"/>
      <c r="ID121" s="81"/>
      <c r="IE121" s="81"/>
      <c r="IF121" s="81"/>
      <c r="IG121" s="81"/>
    </row>
    <row r="122" spans="1:241" s="80" customFormat="1" ht="22.5">
      <c r="A122" s="90" t="s">
        <v>73</v>
      </c>
      <c r="B122" s="96"/>
      <c r="C122" s="96"/>
      <c r="D122" s="97">
        <v>1312.5</v>
      </c>
      <c r="E122" s="97"/>
      <c r="F122" s="97">
        <f>D122</f>
        <v>1312.5</v>
      </c>
      <c r="G122" s="97">
        <v>2488.30865</v>
      </c>
      <c r="H122" s="97"/>
      <c r="I122" s="97"/>
      <c r="J122" s="97">
        <f t="shared" si="9"/>
        <v>2488.30865</v>
      </c>
      <c r="K122" s="107"/>
      <c r="L122" s="107"/>
      <c r="M122" s="107"/>
      <c r="N122" s="97">
        <v>1342</v>
      </c>
      <c r="O122" s="97"/>
      <c r="P122" s="97">
        <f t="shared" si="10"/>
        <v>1342</v>
      </c>
      <c r="S122" s="80">
        <f>21572/4</f>
        <v>5393</v>
      </c>
      <c r="IB122" s="81"/>
      <c r="IC122" s="81"/>
      <c r="ID122" s="81"/>
      <c r="IE122" s="81"/>
      <c r="IF122" s="81"/>
      <c r="IG122" s="81"/>
    </row>
    <row r="123" spans="1:241" s="80" customFormat="1" ht="22.5">
      <c r="A123" s="32" t="s">
        <v>74</v>
      </c>
      <c r="B123" s="8"/>
      <c r="C123" s="8"/>
      <c r="D123" s="7">
        <v>1.8</v>
      </c>
      <c r="E123" s="7"/>
      <c r="F123" s="7">
        <f>D123</f>
        <v>1.8</v>
      </c>
      <c r="G123" s="7">
        <v>1.65</v>
      </c>
      <c r="H123" s="7"/>
      <c r="I123" s="7"/>
      <c r="J123" s="7">
        <f t="shared" si="9"/>
        <v>1.65</v>
      </c>
      <c r="K123" s="123"/>
      <c r="L123" s="123"/>
      <c r="M123" s="123"/>
      <c r="N123" s="7">
        <v>1.83</v>
      </c>
      <c r="O123" s="7"/>
      <c r="P123" s="7">
        <f t="shared" si="10"/>
        <v>1.83</v>
      </c>
      <c r="IB123" s="81"/>
      <c r="IC123" s="81"/>
      <c r="ID123" s="81"/>
      <c r="IE123" s="81"/>
      <c r="IF123" s="81"/>
      <c r="IG123" s="81"/>
    </row>
    <row r="124" spans="1:241" s="80" customFormat="1" ht="12">
      <c r="A124" s="89" t="s">
        <v>6</v>
      </c>
      <c r="B124" s="102"/>
      <c r="C124" s="102"/>
      <c r="D124" s="99"/>
      <c r="E124" s="96"/>
      <c r="F124" s="104"/>
      <c r="G124" s="99"/>
      <c r="H124" s="96"/>
      <c r="I124" s="96"/>
      <c r="J124" s="99"/>
      <c r="K124" s="105"/>
      <c r="L124" s="105"/>
      <c r="M124" s="106"/>
      <c r="N124" s="99"/>
      <c r="O124" s="96"/>
      <c r="P124" s="99"/>
      <c r="IB124" s="81"/>
      <c r="IC124" s="81"/>
      <c r="ID124" s="81"/>
      <c r="IE124" s="81"/>
      <c r="IF124" s="81"/>
      <c r="IG124" s="81"/>
    </row>
    <row r="125" spans="1:241" s="80" customFormat="1" ht="22.5" customHeight="1">
      <c r="A125" s="90" t="s">
        <v>45</v>
      </c>
      <c r="B125" s="96"/>
      <c r="C125" s="96"/>
      <c r="D125" s="99"/>
      <c r="E125" s="96"/>
      <c r="F125" s="104">
        <f t="shared" si="8"/>
        <v>0</v>
      </c>
      <c r="G125" s="99"/>
      <c r="H125" s="96"/>
      <c r="I125" s="96"/>
      <c r="J125" s="99"/>
      <c r="K125" s="105"/>
      <c r="L125" s="105"/>
      <c r="M125" s="106"/>
      <c r="N125" s="99"/>
      <c r="O125" s="96"/>
      <c r="P125" s="99"/>
      <c r="IB125" s="81"/>
      <c r="IC125" s="81"/>
      <c r="ID125" s="81"/>
      <c r="IE125" s="81"/>
      <c r="IF125" s="81"/>
      <c r="IG125" s="81"/>
    </row>
    <row r="126" spans="1:241" s="80" customFormat="1" ht="30.75" customHeight="1">
      <c r="A126" s="90" t="s">
        <v>113</v>
      </c>
      <c r="B126" s="96"/>
      <c r="C126" s="96"/>
      <c r="D126" s="97">
        <v>100</v>
      </c>
      <c r="E126" s="97"/>
      <c r="F126" s="97">
        <f t="shared" si="8"/>
        <v>100</v>
      </c>
      <c r="G126" s="97">
        <v>100</v>
      </c>
      <c r="H126" s="97"/>
      <c r="I126" s="97"/>
      <c r="J126" s="97">
        <v>100</v>
      </c>
      <c r="K126" s="107"/>
      <c r="L126" s="107"/>
      <c r="M126" s="107"/>
      <c r="N126" s="97">
        <v>100</v>
      </c>
      <c r="O126" s="97"/>
      <c r="P126" s="97">
        <v>100</v>
      </c>
      <c r="IB126" s="81"/>
      <c r="IC126" s="81"/>
      <c r="ID126" s="81"/>
      <c r="IE126" s="81"/>
      <c r="IF126" s="81"/>
      <c r="IG126" s="81"/>
    </row>
    <row r="127" spans="1:241" s="80" customFormat="1" ht="22.5" customHeight="1">
      <c r="A127" s="90" t="s">
        <v>47</v>
      </c>
      <c r="B127" s="96"/>
      <c r="C127" s="96"/>
      <c r="D127" s="97"/>
      <c r="E127" s="97"/>
      <c r="F127" s="97">
        <f t="shared" si="8"/>
        <v>0</v>
      </c>
      <c r="G127" s="97"/>
      <c r="H127" s="97"/>
      <c r="I127" s="97"/>
      <c r="J127" s="97"/>
      <c r="K127" s="107"/>
      <c r="L127" s="107"/>
      <c r="M127" s="107"/>
      <c r="N127" s="97"/>
      <c r="O127" s="97"/>
      <c r="P127" s="97"/>
      <c r="IB127" s="81"/>
      <c r="IC127" s="81"/>
      <c r="ID127" s="81"/>
      <c r="IE127" s="81"/>
      <c r="IF127" s="81"/>
      <c r="IG127" s="81"/>
    </row>
    <row r="128" spans="1:241" s="80" customFormat="1" ht="23.25" customHeight="1">
      <c r="A128" s="90" t="s">
        <v>21</v>
      </c>
      <c r="B128" s="96"/>
      <c r="C128" s="96"/>
      <c r="D128" s="97">
        <v>100</v>
      </c>
      <c r="E128" s="97"/>
      <c r="F128" s="97">
        <f t="shared" si="8"/>
        <v>100</v>
      </c>
      <c r="G128" s="97">
        <v>100</v>
      </c>
      <c r="H128" s="97"/>
      <c r="I128" s="97"/>
      <c r="J128" s="97">
        <v>100</v>
      </c>
      <c r="K128" s="107"/>
      <c r="L128" s="107"/>
      <c r="M128" s="107"/>
      <c r="N128" s="97">
        <v>100</v>
      </c>
      <c r="O128" s="97"/>
      <c r="P128" s="97">
        <v>100</v>
      </c>
      <c r="IB128" s="81"/>
      <c r="IC128" s="81"/>
      <c r="ID128" s="81"/>
      <c r="IE128" s="81"/>
      <c r="IF128" s="81"/>
      <c r="IG128" s="81"/>
    </row>
    <row r="129" spans="1:241" s="80" customFormat="1" ht="30" customHeight="1">
      <c r="A129" s="90" t="s">
        <v>57</v>
      </c>
      <c r="B129" s="96"/>
      <c r="C129" s="96"/>
      <c r="D129" s="97">
        <v>100</v>
      </c>
      <c r="E129" s="97"/>
      <c r="F129" s="97">
        <f t="shared" si="8"/>
        <v>100</v>
      </c>
      <c r="G129" s="97">
        <f>G114/G106*100</f>
        <v>100</v>
      </c>
      <c r="H129" s="97"/>
      <c r="I129" s="97"/>
      <c r="J129" s="97">
        <f>J114/J106*100</f>
        <v>100</v>
      </c>
      <c r="K129" s="107"/>
      <c r="L129" s="107"/>
      <c r="M129" s="107"/>
      <c r="N129" s="97">
        <f>N114/N106*100</f>
        <v>100</v>
      </c>
      <c r="O129" s="97"/>
      <c r="P129" s="97">
        <f>P114/P106*100</f>
        <v>100</v>
      </c>
      <c r="IB129" s="81"/>
      <c r="IC129" s="81"/>
      <c r="ID129" s="81"/>
      <c r="IE129" s="81"/>
      <c r="IF129" s="81"/>
      <c r="IG129" s="81"/>
    </row>
    <row r="130" spans="1:241" s="179" customFormat="1" ht="24" customHeight="1">
      <c r="A130" s="167" t="s">
        <v>266</v>
      </c>
      <c r="B130" s="176"/>
      <c r="C130" s="176"/>
      <c r="D130" s="178">
        <f>(D141*D147)+(D142*D148)+(D144*D150)+(D143*D149)+(D145*D152)+100</f>
        <v>10575000</v>
      </c>
      <c r="E130" s="178">
        <f>(E141*E147)+(E142*E148)+(E144*E150)+(E143*E149)+(E145*E152)+4.4</f>
        <v>6200000.000000001</v>
      </c>
      <c r="F130" s="178">
        <f>D130+E130</f>
        <v>16775000</v>
      </c>
      <c r="G130" s="178">
        <f>(G141*G147)+(G142*G148)+(G144*G150)+(G143*G149)+(G145*G152)-364.8+3000000</f>
        <v>15600000</v>
      </c>
      <c r="H130" s="178">
        <f>(H141*H147)+(H142*H148)+(H144*H150)+(H143*H149)+(H145*H152)+6.2-774.52+1800</f>
        <v>10001800</v>
      </c>
      <c r="I130" s="178"/>
      <c r="J130" s="178">
        <f>G130+H130</f>
        <v>25601800</v>
      </c>
      <c r="K130" s="178">
        <f>(K141*K147)+(K142*K148)+(K144*K150)+(K143*K149)+(K145*K152)+100</f>
        <v>100</v>
      </c>
      <c r="L130" s="178">
        <f>(L141*L147)+(L142*L148)+(L144*L150)+(L143*L149)+(L145*L152)+100</f>
        <v>100</v>
      </c>
      <c r="M130" s="178">
        <f>(M141*M147)+(M142*M148)+(M144*M150)+(M143*M149)+(M145*M152)+100</f>
        <v>100</v>
      </c>
      <c r="N130" s="178">
        <f>(N141*N147)+(N142*N148)+(N144*N150)+(N143*N149)+(N145*N152)-189</f>
        <v>15100000</v>
      </c>
      <c r="O130" s="178">
        <f>(O141*O147)+(O142*O148)+(O144*O150)+(O143*O149)+(O145*O152)-26</f>
        <v>8800000</v>
      </c>
      <c r="P130" s="178">
        <f>N130+O130</f>
        <v>23900000</v>
      </c>
      <c r="IB130" s="180"/>
      <c r="IC130" s="180"/>
      <c r="ID130" s="180"/>
      <c r="IE130" s="180"/>
      <c r="IF130" s="180"/>
      <c r="IG130" s="180"/>
    </row>
    <row r="131" spans="1:241" s="1" customFormat="1" ht="0.75" customHeight="1">
      <c r="A131" s="34" t="s">
        <v>48</v>
      </c>
      <c r="B131" s="20"/>
      <c r="C131" s="20"/>
      <c r="D131" s="8" t="e">
        <f>#REF!*D147+D144*D149+D143*D150</f>
        <v>#REF!</v>
      </c>
      <c r="E131" s="8" t="e">
        <f>#REF!*E147+E144*E149+E143*E150</f>
        <v>#REF!</v>
      </c>
      <c r="F131" s="8" t="e">
        <f>#REF!*F147+F144*F149+F143*F150</f>
        <v>#REF!</v>
      </c>
      <c r="G131" s="8" t="e">
        <f>#REF!*G147+G144*G149+G143*G150</f>
        <v>#REF!</v>
      </c>
      <c r="H131" s="8"/>
      <c r="I131" s="8"/>
      <c r="J131" s="8" t="e">
        <f>#REF!*J147+J144*J149+J143*J150</f>
        <v>#REF!</v>
      </c>
      <c r="K131" s="14"/>
      <c r="L131" s="14"/>
      <c r="M131" s="15"/>
      <c r="N131" s="8" t="e">
        <f>#REF!*N147+N144*N149+N143*N150</f>
        <v>#REF!</v>
      </c>
      <c r="O131" s="8"/>
      <c r="P131" s="8" t="e">
        <f>#REF!*P147+P144*P149+P143*P150</f>
        <v>#REF!</v>
      </c>
      <c r="IB131"/>
      <c r="IC131"/>
      <c r="ID131"/>
      <c r="IE131"/>
      <c r="IF131"/>
      <c r="IG131"/>
    </row>
    <row r="132" spans="1:241" s="1" customFormat="1" ht="12">
      <c r="A132" s="89" t="s">
        <v>4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5"/>
      <c r="L132" s="105"/>
      <c r="M132" s="106"/>
      <c r="N132" s="102"/>
      <c r="O132" s="102"/>
      <c r="P132" s="102"/>
      <c r="IB132"/>
      <c r="IC132"/>
      <c r="ID132"/>
      <c r="IE132"/>
      <c r="IF132"/>
      <c r="IG132"/>
    </row>
    <row r="133" spans="1:241" s="1" customFormat="1" ht="21" customHeight="1">
      <c r="A133" s="90" t="s">
        <v>115</v>
      </c>
      <c r="B133" s="96"/>
      <c r="C133" s="96"/>
      <c r="D133" s="114">
        <v>600.663</v>
      </c>
      <c r="E133" s="114"/>
      <c r="F133" s="114">
        <f>D133</f>
        <v>600.663</v>
      </c>
      <c r="G133" s="114">
        <f>D133</f>
        <v>600.663</v>
      </c>
      <c r="H133" s="114"/>
      <c r="I133" s="114"/>
      <c r="J133" s="114">
        <f>G133</f>
        <v>600.663</v>
      </c>
      <c r="K133" s="115"/>
      <c r="L133" s="115"/>
      <c r="M133" s="115"/>
      <c r="N133" s="114">
        <f>J133</f>
        <v>600.663</v>
      </c>
      <c r="O133" s="114"/>
      <c r="P133" s="114">
        <f>N133</f>
        <v>600.663</v>
      </c>
      <c r="IB133"/>
      <c r="IC133"/>
      <c r="ID133"/>
      <c r="IE133"/>
      <c r="IF133"/>
      <c r="IG133"/>
    </row>
    <row r="134" spans="1:241" s="1" customFormat="1" ht="27" customHeight="1">
      <c r="A134" s="90" t="s">
        <v>116</v>
      </c>
      <c r="B134" s="96"/>
      <c r="C134" s="96"/>
      <c r="D134" s="96"/>
      <c r="E134" s="99">
        <v>427.5</v>
      </c>
      <c r="F134" s="99">
        <f>E134</f>
        <v>427.5</v>
      </c>
      <c r="G134" s="96"/>
      <c r="H134" s="99">
        <v>427.5</v>
      </c>
      <c r="I134" s="99"/>
      <c r="J134" s="99">
        <f>H134</f>
        <v>427.5</v>
      </c>
      <c r="K134" s="105"/>
      <c r="L134" s="105"/>
      <c r="M134" s="106"/>
      <c r="N134" s="96"/>
      <c r="O134" s="99">
        <v>427.5</v>
      </c>
      <c r="P134" s="99">
        <f>O134</f>
        <v>427.5</v>
      </c>
      <c r="IB134"/>
      <c r="IC134"/>
      <c r="ID134"/>
      <c r="IE134"/>
      <c r="IF134"/>
      <c r="IG134"/>
    </row>
    <row r="135" spans="1:241" s="1" customFormat="1" ht="30.75" customHeight="1">
      <c r="A135" s="90" t="s">
        <v>117</v>
      </c>
      <c r="B135" s="96"/>
      <c r="C135" s="96"/>
      <c r="D135" s="99">
        <v>97.9</v>
      </c>
      <c r="E135" s="96"/>
      <c r="F135" s="99">
        <f>D135</f>
        <v>97.9</v>
      </c>
      <c r="G135" s="99">
        <v>97.9</v>
      </c>
      <c r="H135" s="96"/>
      <c r="I135" s="96"/>
      <c r="J135" s="99">
        <f>G135</f>
        <v>97.9</v>
      </c>
      <c r="K135" s="105"/>
      <c r="L135" s="105"/>
      <c r="M135" s="106"/>
      <c r="N135" s="99">
        <v>97.9</v>
      </c>
      <c r="O135" s="96"/>
      <c r="P135" s="99">
        <f>N135</f>
        <v>97.9</v>
      </c>
      <c r="IB135"/>
      <c r="IC135"/>
      <c r="ID135"/>
      <c r="IE135"/>
      <c r="IF135"/>
      <c r="IG135"/>
    </row>
    <row r="136" spans="1:241" s="1" customFormat="1" ht="25.5" customHeight="1">
      <c r="A136" s="90" t="s">
        <v>118</v>
      </c>
      <c r="B136" s="96"/>
      <c r="C136" s="96"/>
      <c r="D136" s="104">
        <v>15870</v>
      </c>
      <c r="E136" s="96"/>
      <c r="F136" s="99">
        <f>D136</f>
        <v>15870</v>
      </c>
      <c r="G136" s="104">
        <v>15920</v>
      </c>
      <c r="H136" s="96"/>
      <c r="I136" s="96"/>
      <c r="J136" s="99">
        <f aca="true" t="shared" si="11" ref="J136:J154">G136</f>
        <v>15920</v>
      </c>
      <c r="K136" s="105"/>
      <c r="L136" s="105"/>
      <c r="M136" s="106"/>
      <c r="N136" s="104">
        <v>15970</v>
      </c>
      <c r="O136" s="96"/>
      <c r="P136" s="99">
        <f aca="true" t="shared" si="12" ref="P136:P154">N136</f>
        <v>15970</v>
      </c>
      <c r="IB136"/>
      <c r="IC136"/>
      <c r="ID136"/>
      <c r="IE136"/>
      <c r="IF136"/>
      <c r="IG136"/>
    </row>
    <row r="137" spans="1:241" s="1" customFormat="1" ht="22.5">
      <c r="A137" s="90" t="s">
        <v>119</v>
      </c>
      <c r="B137" s="96"/>
      <c r="C137" s="96"/>
      <c r="D137" s="104">
        <v>8286</v>
      </c>
      <c r="E137" s="96"/>
      <c r="F137" s="99">
        <f>D137</f>
        <v>8286</v>
      </c>
      <c r="G137" s="104">
        <f>F137</f>
        <v>8286</v>
      </c>
      <c r="H137" s="96"/>
      <c r="I137" s="96"/>
      <c r="J137" s="99">
        <f t="shared" si="11"/>
        <v>8286</v>
      </c>
      <c r="K137" s="105"/>
      <c r="L137" s="105"/>
      <c r="M137" s="106"/>
      <c r="N137" s="104">
        <f>G137</f>
        <v>8286</v>
      </c>
      <c r="O137" s="96"/>
      <c r="P137" s="99">
        <f t="shared" si="12"/>
        <v>8286</v>
      </c>
      <c r="IB137"/>
      <c r="IC137"/>
      <c r="ID137"/>
      <c r="IE137"/>
      <c r="IF137"/>
      <c r="IG137"/>
    </row>
    <row r="138" spans="1:241" s="1" customFormat="1" ht="29.25" customHeight="1">
      <c r="A138" s="90" t="s">
        <v>120</v>
      </c>
      <c r="B138" s="96"/>
      <c r="C138" s="96"/>
      <c r="D138" s="104">
        <v>7800</v>
      </c>
      <c r="E138" s="96"/>
      <c r="F138" s="99">
        <f>D138</f>
        <v>7800</v>
      </c>
      <c r="G138" s="104">
        <f>F138</f>
        <v>7800</v>
      </c>
      <c r="H138" s="96"/>
      <c r="I138" s="96"/>
      <c r="J138" s="99">
        <f>G138</f>
        <v>7800</v>
      </c>
      <c r="K138" s="105"/>
      <c r="L138" s="105"/>
      <c r="M138" s="106"/>
      <c r="N138" s="104">
        <f>J138</f>
        <v>7800</v>
      </c>
      <c r="O138" s="96"/>
      <c r="P138" s="99">
        <f>N138</f>
        <v>7800</v>
      </c>
      <c r="IB138"/>
      <c r="IC138"/>
      <c r="ID138"/>
      <c r="IE138"/>
      <c r="IF138"/>
      <c r="IG138"/>
    </row>
    <row r="139" spans="1:241" s="1" customFormat="1" ht="12">
      <c r="A139" s="89" t="s">
        <v>5</v>
      </c>
      <c r="B139" s="102"/>
      <c r="C139" s="102"/>
      <c r="D139" s="102"/>
      <c r="E139" s="102"/>
      <c r="F139" s="99"/>
      <c r="G139" s="102"/>
      <c r="H139" s="102"/>
      <c r="I139" s="102"/>
      <c r="J139" s="99">
        <f t="shared" si="11"/>
        <v>0</v>
      </c>
      <c r="K139" s="105"/>
      <c r="L139" s="105"/>
      <c r="M139" s="106"/>
      <c r="N139" s="102"/>
      <c r="O139" s="102"/>
      <c r="P139" s="99">
        <f t="shared" si="12"/>
        <v>0</v>
      </c>
      <c r="IB139"/>
      <c r="IC139"/>
      <c r="ID139"/>
      <c r="IE139"/>
      <c r="IF139"/>
      <c r="IG139"/>
    </row>
    <row r="140" spans="1:241" s="1" customFormat="1" ht="22.5" customHeight="1">
      <c r="A140" s="90" t="s">
        <v>24</v>
      </c>
      <c r="B140" s="96"/>
      <c r="C140" s="96"/>
      <c r="D140" s="99"/>
      <c r="E140" s="96"/>
      <c r="F140" s="99"/>
      <c r="G140" s="99"/>
      <c r="H140" s="96"/>
      <c r="I140" s="96"/>
      <c r="J140" s="99">
        <f t="shared" si="11"/>
        <v>0</v>
      </c>
      <c r="K140" s="105"/>
      <c r="L140" s="105"/>
      <c r="M140" s="106"/>
      <c r="N140" s="99"/>
      <c r="O140" s="96"/>
      <c r="P140" s="99">
        <f t="shared" si="12"/>
        <v>0</v>
      </c>
      <c r="IB140"/>
      <c r="IC140"/>
      <c r="ID140"/>
      <c r="IE140"/>
      <c r="IF140"/>
      <c r="IG140"/>
    </row>
    <row r="141" spans="1:241" s="1" customFormat="1" ht="29.25" customHeight="1">
      <c r="A141" s="90" t="s">
        <v>121</v>
      </c>
      <c r="B141" s="96"/>
      <c r="C141" s="96"/>
      <c r="D141" s="97">
        <v>3</v>
      </c>
      <c r="E141" s="97"/>
      <c r="F141" s="97">
        <f>D141</f>
        <v>3</v>
      </c>
      <c r="G141" s="97">
        <v>4</v>
      </c>
      <c r="H141" s="97"/>
      <c r="I141" s="97"/>
      <c r="J141" s="97">
        <f>G141</f>
        <v>4</v>
      </c>
      <c r="K141" s="107"/>
      <c r="L141" s="107"/>
      <c r="M141" s="107"/>
      <c r="N141" s="109">
        <v>5</v>
      </c>
      <c r="O141" s="109"/>
      <c r="P141" s="109">
        <f>N141</f>
        <v>5</v>
      </c>
      <c r="IB141"/>
      <c r="IC141"/>
      <c r="ID141"/>
      <c r="IE141"/>
      <c r="IF141"/>
      <c r="IG141"/>
    </row>
    <row r="142" spans="1:241" s="1" customFormat="1" ht="30" customHeight="1">
      <c r="A142" s="90" t="s">
        <v>122</v>
      </c>
      <c r="B142" s="96"/>
      <c r="C142" s="96"/>
      <c r="D142" s="96"/>
      <c r="E142" s="99">
        <v>18.8</v>
      </c>
      <c r="F142" s="99">
        <f>E142</f>
        <v>18.8</v>
      </c>
      <c r="G142" s="96"/>
      <c r="H142" s="99">
        <v>27.84</v>
      </c>
      <c r="I142" s="99"/>
      <c r="J142" s="99">
        <f>H142</f>
        <v>27.84</v>
      </c>
      <c r="K142" s="105"/>
      <c r="L142" s="105"/>
      <c r="M142" s="106"/>
      <c r="N142" s="96"/>
      <c r="O142" s="99">
        <v>22.3</v>
      </c>
      <c r="P142" s="99">
        <f>O142</f>
        <v>22.3</v>
      </c>
      <c r="IB142"/>
      <c r="IC142"/>
      <c r="ID142"/>
      <c r="IE142"/>
      <c r="IF142"/>
      <c r="IG142"/>
    </row>
    <row r="143" spans="1:241" s="1" customFormat="1" ht="26.25" customHeight="1">
      <c r="A143" s="90" t="s">
        <v>163</v>
      </c>
      <c r="B143" s="96"/>
      <c r="C143" s="96"/>
      <c r="D143" s="99">
        <v>15870</v>
      </c>
      <c r="E143" s="96"/>
      <c r="F143" s="99">
        <f>D143</f>
        <v>15870</v>
      </c>
      <c r="G143" s="99">
        <f>G136</f>
        <v>15920</v>
      </c>
      <c r="H143" s="96"/>
      <c r="I143" s="96"/>
      <c r="J143" s="99">
        <f>G143</f>
        <v>15920</v>
      </c>
      <c r="K143" s="105"/>
      <c r="L143" s="105"/>
      <c r="M143" s="106"/>
      <c r="N143" s="99">
        <f>N136</f>
        <v>15970</v>
      </c>
      <c r="O143" s="96"/>
      <c r="P143" s="99">
        <f>N143</f>
        <v>15970</v>
      </c>
      <c r="IB143"/>
      <c r="IC143"/>
      <c r="ID143"/>
      <c r="IE143"/>
      <c r="IF143"/>
      <c r="IG143"/>
    </row>
    <row r="144" spans="1:241" s="1" customFormat="1" ht="24.75" customHeight="1">
      <c r="A144" s="90" t="s">
        <v>123</v>
      </c>
      <c r="B144" s="96"/>
      <c r="C144" s="96"/>
      <c r="D144" s="99">
        <v>800</v>
      </c>
      <c r="E144" s="96"/>
      <c r="F144" s="99">
        <f aca="true" t="shared" si="13" ref="F144:F154">D144</f>
        <v>800</v>
      </c>
      <c r="G144" s="99">
        <v>900</v>
      </c>
      <c r="H144" s="96"/>
      <c r="I144" s="96"/>
      <c r="J144" s="99">
        <f t="shared" si="11"/>
        <v>900</v>
      </c>
      <c r="K144" s="105"/>
      <c r="L144" s="105"/>
      <c r="M144" s="106"/>
      <c r="N144" s="99">
        <v>1000</v>
      </c>
      <c r="O144" s="96"/>
      <c r="P144" s="99">
        <f t="shared" si="12"/>
        <v>1000</v>
      </c>
      <c r="IB144"/>
      <c r="IC144"/>
      <c r="ID144"/>
      <c r="IE144"/>
      <c r="IF144"/>
      <c r="IG144"/>
    </row>
    <row r="145" spans="1:241" s="1" customFormat="1" ht="24.75" customHeight="1">
      <c r="A145" s="90" t="s">
        <v>124</v>
      </c>
      <c r="B145" s="96"/>
      <c r="C145" s="96"/>
      <c r="D145" s="104">
        <v>7800000</v>
      </c>
      <c r="E145" s="96"/>
      <c r="F145" s="99">
        <f>D145</f>
        <v>7800000</v>
      </c>
      <c r="G145" s="99">
        <v>7816720</v>
      </c>
      <c r="H145" s="96"/>
      <c r="I145" s="96"/>
      <c r="J145" s="99">
        <f>G145</f>
        <v>7816720</v>
      </c>
      <c r="K145" s="105"/>
      <c r="L145" s="105"/>
      <c r="M145" s="106"/>
      <c r="N145" s="104">
        <v>7841270</v>
      </c>
      <c r="O145" s="96"/>
      <c r="P145" s="99">
        <f>N145</f>
        <v>7841270</v>
      </c>
      <c r="IB145"/>
      <c r="IC145"/>
      <c r="ID145"/>
      <c r="IE145"/>
      <c r="IF145"/>
      <c r="IG145"/>
    </row>
    <row r="146" spans="1:241" s="1" customFormat="1" ht="12">
      <c r="A146" s="89" t="s">
        <v>7</v>
      </c>
      <c r="B146" s="102"/>
      <c r="C146" s="102"/>
      <c r="D146" s="102"/>
      <c r="E146" s="102"/>
      <c r="F146" s="99">
        <f t="shared" si="13"/>
        <v>0</v>
      </c>
      <c r="G146" s="102"/>
      <c r="H146" s="102"/>
      <c r="I146" s="102"/>
      <c r="J146" s="99">
        <f t="shared" si="11"/>
        <v>0</v>
      </c>
      <c r="K146" s="105"/>
      <c r="L146" s="105"/>
      <c r="M146" s="106"/>
      <c r="N146" s="102"/>
      <c r="O146" s="102"/>
      <c r="P146" s="99">
        <f t="shared" si="12"/>
        <v>0</v>
      </c>
      <c r="IB146"/>
      <c r="IC146"/>
      <c r="ID146"/>
      <c r="IE146"/>
      <c r="IF146"/>
      <c r="IG146"/>
    </row>
    <row r="147" spans="1:241" s="1" customFormat="1" ht="33.75">
      <c r="A147" s="90" t="s">
        <v>125</v>
      </c>
      <c r="B147" s="96"/>
      <c r="C147" s="96"/>
      <c r="D147" s="104">
        <v>74500</v>
      </c>
      <c r="E147" s="96"/>
      <c r="F147" s="99">
        <f>D147</f>
        <v>74500</v>
      </c>
      <c r="G147" s="104">
        <v>83000</v>
      </c>
      <c r="H147" s="96"/>
      <c r="I147" s="96"/>
      <c r="J147" s="99">
        <f>G147</f>
        <v>83000</v>
      </c>
      <c r="K147" s="105"/>
      <c r="L147" s="105"/>
      <c r="M147" s="106"/>
      <c r="N147" s="104">
        <v>96000</v>
      </c>
      <c r="O147" s="96"/>
      <c r="P147" s="99">
        <f>N147</f>
        <v>96000</v>
      </c>
      <c r="IB147"/>
      <c r="IC147"/>
      <c r="ID147"/>
      <c r="IE147"/>
      <c r="IF147"/>
      <c r="IG147"/>
    </row>
    <row r="148" spans="1:241" s="1" customFormat="1" ht="33.75">
      <c r="A148" s="90" t="s">
        <v>126</v>
      </c>
      <c r="B148" s="96"/>
      <c r="C148" s="96"/>
      <c r="D148" s="96"/>
      <c r="E148" s="104">
        <v>329787</v>
      </c>
      <c r="F148" s="99">
        <f>E148</f>
        <v>329787</v>
      </c>
      <c r="G148" s="96"/>
      <c r="H148" s="104">
        <v>359223</v>
      </c>
      <c r="I148" s="104"/>
      <c r="J148" s="99">
        <f>H148</f>
        <v>359223</v>
      </c>
      <c r="K148" s="105"/>
      <c r="L148" s="105"/>
      <c r="M148" s="106"/>
      <c r="N148" s="96"/>
      <c r="O148" s="104">
        <v>394620</v>
      </c>
      <c r="P148" s="99">
        <f>O148</f>
        <v>394620</v>
      </c>
      <c r="IB148"/>
      <c r="IC148"/>
      <c r="ID148"/>
      <c r="IE148"/>
      <c r="IF148"/>
      <c r="IG148"/>
    </row>
    <row r="149" spans="1:241" s="1" customFormat="1" ht="23.25" customHeight="1">
      <c r="A149" s="90" t="s">
        <v>127</v>
      </c>
      <c r="B149" s="96"/>
      <c r="C149" s="96"/>
      <c r="D149" s="104">
        <v>220</v>
      </c>
      <c r="E149" s="96"/>
      <c r="F149" s="99">
        <f>D149</f>
        <v>220</v>
      </c>
      <c r="G149" s="104">
        <v>250</v>
      </c>
      <c r="H149" s="96"/>
      <c r="I149" s="96"/>
      <c r="J149" s="99">
        <f>G149</f>
        <v>250</v>
      </c>
      <c r="K149" s="105"/>
      <c r="L149" s="105"/>
      <c r="M149" s="106"/>
      <c r="N149" s="104">
        <v>290</v>
      </c>
      <c r="O149" s="96"/>
      <c r="P149" s="99">
        <f>N149</f>
        <v>290</v>
      </c>
      <c r="IB149"/>
      <c r="IC149"/>
      <c r="ID149"/>
      <c r="IE149"/>
      <c r="IF149"/>
      <c r="IG149"/>
    </row>
    <row r="150" spans="1:241" s="1" customFormat="1" ht="22.5">
      <c r="A150" s="90" t="s">
        <v>128</v>
      </c>
      <c r="B150" s="96"/>
      <c r="C150" s="96"/>
      <c r="D150" s="104">
        <v>3700</v>
      </c>
      <c r="E150" s="96"/>
      <c r="F150" s="99">
        <f t="shared" si="13"/>
        <v>3700</v>
      </c>
      <c r="G150" s="104">
        <v>4085</v>
      </c>
      <c r="H150" s="96"/>
      <c r="I150" s="96"/>
      <c r="J150" s="99">
        <f t="shared" si="11"/>
        <v>4085</v>
      </c>
      <c r="K150" s="105"/>
      <c r="L150" s="105"/>
      <c r="M150" s="106"/>
      <c r="N150" s="104">
        <v>4500</v>
      </c>
      <c r="O150" s="96"/>
      <c r="P150" s="99">
        <f t="shared" si="12"/>
        <v>4500</v>
      </c>
      <c r="IB150"/>
      <c r="IC150"/>
      <c r="ID150"/>
      <c r="IE150"/>
      <c r="IF150"/>
      <c r="IG150"/>
    </row>
    <row r="151" spans="1:241" s="1" customFormat="1" ht="22.5">
      <c r="A151" s="90" t="s">
        <v>71</v>
      </c>
      <c r="B151" s="96"/>
      <c r="C151" s="96"/>
      <c r="D151" s="104">
        <f>D145/D143-0.49</f>
        <v>491.0033837429111</v>
      </c>
      <c r="E151" s="96"/>
      <c r="F151" s="99">
        <f>D151</f>
        <v>491.0033837429111</v>
      </c>
      <c r="G151" s="104">
        <f>G145/G143</f>
        <v>491</v>
      </c>
      <c r="H151" s="96"/>
      <c r="I151" s="96"/>
      <c r="J151" s="99">
        <f>G151</f>
        <v>491</v>
      </c>
      <c r="K151" s="105"/>
      <c r="L151" s="105"/>
      <c r="M151" s="106"/>
      <c r="N151" s="104">
        <f>N145/N143</f>
        <v>491</v>
      </c>
      <c r="O151" s="96"/>
      <c r="P151" s="99">
        <f>N151</f>
        <v>491</v>
      </c>
      <c r="IB151"/>
      <c r="IC151"/>
      <c r="ID151"/>
      <c r="IE151"/>
      <c r="IF151"/>
      <c r="IG151"/>
    </row>
    <row r="152" spans="1:241" s="1" customFormat="1" ht="33.75">
      <c r="A152" s="90" t="s">
        <v>129</v>
      </c>
      <c r="B152" s="96"/>
      <c r="C152" s="96"/>
      <c r="D152" s="104">
        <v>0.5</v>
      </c>
      <c r="E152" s="96"/>
      <c r="F152" s="99">
        <f>D152</f>
        <v>0.5</v>
      </c>
      <c r="G152" s="104">
        <v>0.59</v>
      </c>
      <c r="H152" s="96"/>
      <c r="I152" s="96"/>
      <c r="J152" s="99">
        <f>G152</f>
        <v>0.59</v>
      </c>
      <c r="K152" s="105"/>
      <c r="L152" s="105"/>
      <c r="M152" s="106"/>
      <c r="N152" s="104">
        <v>0.7</v>
      </c>
      <c r="O152" s="96"/>
      <c r="P152" s="99">
        <f>N152</f>
        <v>0.7</v>
      </c>
      <c r="IB152"/>
      <c r="IC152"/>
      <c r="ID152"/>
      <c r="IE152"/>
      <c r="IF152"/>
      <c r="IG152"/>
    </row>
    <row r="153" spans="1:241" s="1" customFormat="1" ht="12">
      <c r="A153" s="89" t="s">
        <v>6</v>
      </c>
      <c r="B153" s="102"/>
      <c r="C153" s="102"/>
      <c r="D153" s="102"/>
      <c r="E153" s="102"/>
      <c r="F153" s="99">
        <f t="shared" si="13"/>
        <v>0</v>
      </c>
      <c r="G153" s="102"/>
      <c r="H153" s="102"/>
      <c r="I153" s="102"/>
      <c r="J153" s="99">
        <f t="shared" si="11"/>
        <v>0</v>
      </c>
      <c r="K153" s="105"/>
      <c r="L153" s="105"/>
      <c r="M153" s="106"/>
      <c r="N153" s="102"/>
      <c r="O153" s="102"/>
      <c r="P153" s="99">
        <f t="shared" si="12"/>
        <v>0</v>
      </c>
      <c r="IB153"/>
      <c r="IC153"/>
      <c r="ID153"/>
      <c r="IE153"/>
      <c r="IF153"/>
      <c r="IG153"/>
    </row>
    <row r="154" spans="1:241" s="1" customFormat="1" ht="33.75" customHeight="1">
      <c r="A154" s="90" t="s">
        <v>25</v>
      </c>
      <c r="B154" s="96"/>
      <c r="C154" s="96"/>
      <c r="D154" s="99"/>
      <c r="E154" s="96"/>
      <c r="F154" s="99">
        <f t="shared" si="13"/>
        <v>0</v>
      </c>
      <c r="G154" s="99"/>
      <c r="H154" s="96"/>
      <c r="I154" s="96"/>
      <c r="J154" s="99">
        <f t="shared" si="11"/>
        <v>0</v>
      </c>
      <c r="K154" s="105"/>
      <c r="L154" s="105"/>
      <c r="M154" s="106"/>
      <c r="N154" s="99"/>
      <c r="O154" s="96"/>
      <c r="P154" s="99">
        <f t="shared" si="12"/>
        <v>0</v>
      </c>
      <c r="IB154"/>
      <c r="IC154"/>
      <c r="ID154"/>
      <c r="IE154"/>
      <c r="IF154"/>
      <c r="IG154"/>
    </row>
    <row r="155" spans="1:241" s="1" customFormat="1" ht="33.75">
      <c r="A155" s="90" t="s">
        <v>131</v>
      </c>
      <c r="B155" s="96"/>
      <c r="C155" s="96"/>
      <c r="D155" s="109"/>
      <c r="E155" s="109">
        <f>E142/E134*100</f>
        <v>4.39766081871345</v>
      </c>
      <c r="F155" s="109">
        <f>E155</f>
        <v>4.39766081871345</v>
      </c>
      <c r="G155" s="109"/>
      <c r="H155" s="109">
        <f>H142/H134*100</f>
        <v>6.512280701754386</v>
      </c>
      <c r="I155" s="109"/>
      <c r="J155" s="109">
        <f>H155</f>
        <v>6.512280701754386</v>
      </c>
      <c r="K155" s="110"/>
      <c r="L155" s="110"/>
      <c r="M155" s="110"/>
      <c r="N155" s="109"/>
      <c r="O155" s="109">
        <f>O142/O134*100</f>
        <v>5.216374269005848</v>
      </c>
      <c r="P155" s="109">
        <f>O155</f>
        <v>5.216374269005848</v>
      </c>
      <c r="IB155"/>
      <c r="IC155"/>
      <c r="ID155"/>
      <c r="IE155"/>
      <c r="IF155"/>
      <c r="IG155"/>
    </row>
    <row r="156" spans="1:241" s="1" customFormat="1" ht="36" customHeight="1">
      <c r="A156" s="90" t="s">
        <v>130</v>
      </c>
      <c r="B156" s="96"/>
      <c r="C156" s="96"/>
      <c r="D156" s="109">
        <f>D141/D135*100</f>
        <v>3.0643513789581203</v>
      </c>
      <c r="E156" s="109"/>
      <c r="F156" s="109">
        <f>D156</f>
        <v>3.0643513789581203</v>
      </c>
      <c r="G156" s="109">
        <f>G141/G135*100</f>
        <v>4.085801838610827</v>
      </c>
      <c r="H156" s="109"/>
      <c r="I156" s="109"/>
      <c r="J156" s="109">
        <f>G156</f>
        <v>4.085801838610827</v>
      </c>
      <c r="K156" s="110"/>
      <c r="L156" s="110"/>
      <c r="M156" s="110"/>
      <c r="N156" s="109">
        <f>N141/N135*100</f>
        <v>5.107252298263534</v>
      </c>
      <c r="O156" s="109"/>
      <c r="P156" s="109">
        <f>N156</f>
        <v>5.107252298263534</v>
      </c>
      <c r="IB156"/>
      <c r="IC156"/>
      <c r="ID156"/>
      <c r="IE156"/>
      <c r="IF156"/>
      <c r="IG156"/>
    </row>
    <row r="157" spans="1:241" s="1" customFormat="1" ht="24" customHeight="1">
      <c r="A157" s="90" t="s">
        <v>132</v>
      </c>
      <c r="B157" s="96"/>
      <c r="C157" s="96"/>
      <c r="D157" s="109">
        <f>D144/D137*100</f>
        <v>9.654839488293506</v>
      </c>
      <c r="E157" s="109"/>
      <c r="F157" s="109">
        <f>D157</f>
        <v>9.654839488293506</v>
      </c>
      <c r="G157" s="109">
        <f>G144/G137*100</f>
        <v>10.861694424330196</v>
      </c>
      <c r="H157" s="109"/>
      <c r="I157" s="109"/>
      <c r="J157" s="109">
        <f>G157</f>
        <v>10.861694424330196</v>
      </c>
      <c r="K157" s="110"/>
      <c r="L157" s="110"/>
      <c r="M157" s="110"/>
      <c r="N157" s="109">
        <f>N144/N137*100</f>
        <v>12.068549360366884</v>
      </c>
      <c r="O157" s="109"/>
      <c r="P157" s="109">
        <f>N157</f>
        <v>12.068549360366884</v>
      </c>
      <c r="IB157"/>
      <c r="IC157"/>
      <c r="ID157"/>
      <c r="IE157"/>
      <c r="IF157"/>
      <c r="IG157"/>
    </row>
    <row r="158" spans="1:241" s="179" customFormat="1" ht="38.25" customHeight="1">
      <c r="A158" s="167" t="s">
        <v>267</v>
      </c>
      <c r="B158" s="176"/>
      <c r="C158" s="176"/>
      <c r="D158" s="177">
        <f>(D170*D181)+(D171*D182)+(D172*D183)+(D174*D185)+(D175*D186)+(D187*D176)+(D178*D189)+1079.17+(D177*D188)+(D179*D190)+396.52</f>
        <v>7377800</v>
      </c>
      <c r="E158" s="177">
        <f>E173*E184+200</f>
        <v>102500</v>
      </c>
      <c r="F158" s="177">
        <f>D158+E158</f>
        <v>7480300</v>
      </c>
      <c r="G158" s="177">
        <f>(G170*G181)+(G171*G182)+(G172*G183)+(G174*G185)+(G175*G186)+(G187*G176)+(G178*G189)+(G179*G190)-1036.73+300+1174300-300000+300.03</f>
        <v>9360699.9992</v>
      </c>
      <c r="H158" s="177">
        <f>H173*H184+H171*H182</f>
        <v>82500</v>
      </c>
      <c r="I158" s="177"/>
      <c r="J158" s="177">
        <f>G158+H158</f>
        <v>9443199.9992</v>
      </c>
      <c r="K158" s="177">
        <f>(K170*K181)+(K171*K182)+(K172*K183)+(K174*K185)+(K175*K186)+(K187*K176)+(K178*K189)-1036.73</f>
        <v>-1036.73</v>
      </c>
      <c r="L158" s="177">
        <f>(L170*L181)+(L171*L182)+(L172*L183)+(L174*L185)+(L175*L186)+(L187*L176)+(L178*L189)-1036.73</f>
        <v>-1036.73</v>
      </c>
      <c r="M158" s="177">
        <f>(M170*M181)+(M171*M182)+(M172*M183)+(M174*M185)+(M175*M186)+(M187*M176)+(M178*M189)-1036.73</f>
        <v>-1036.73</v>
      </c>
      <c r="N158" s="177">
        <f>(N170*N181)+(N171*N182)+(N172*N183)+(N174*N185)+(N175*N186)+(N187*N176)+(N178*N189)+1714.29-600</f>
        <v>10023500</v>
      </c>
      <c r="O158" s="177">
        <f>O173*O184</f>
        <v>82500</v>
      </c>
      <c r="P158" s="177">
        <f>N158+O158</f>
        <v>10106000</v>
      </c>
      <c r="IB158" s="180"/>
      <c r="IC158" s="180"/>
      <c r="ID158" s="180"/>
      <c r="IE158" s="180"/>
      <c r="IF158" s="180"/>
      <c r="IG158" s="180"/>
    </row>
    <row r="159" spans="1:241" s="1" customFormat="1" ht="30.75" customHeight="1" hidden="1">
      <c r="A159" s="33" t="s">
        <v>49</v>
      </c>
      <c r="B159" s="17"/>
      <c r="C159" s="17"/>
      <c r="D159" s="17" t="e">
        <f>D170*D183+E171*#REF!+D174*#REF!+#REF!*#REF!+#REF!*E185+#REF!*D187+#REF!*D182+E175*E186</f>
        <v>#REF!</v>
      </c>
      <c r="E159" s="17" t="e">
        <f>E170*E183+#REF!*#REF!+E174*#REF!+#REF!*#REF!+#REF!*#REF!+#REF!*E187+#REF!*E182+#REF!*#REF!</f>
        <v>#REF!</v>
      </c>
      <c r="F159" s="17" t="e">
        <f>F170*F183+F171*#REF!+F174*#REF!+#REF!*#REF!+#REF!*F185+#REF!*F187+#REF!*F182+F175*F186</f>
        <v>#REF!</v>
      </c>
      <c r="G159" s="17" t="e">
        <f>G170*G183+H171*#REF!+G174*#REF!+#REF!*#REF!+#REF!*H185+#REF!*G187+#REF!*G182+H175*H186</f>
        <v>#REF!</v>
      </c>
      <c r="H159" s="17" t="e">
        <f>H170*H183+#REF!*#REF!+H174*#REF!+#REF!*#REF!+#REF!*#REF!+#REF!*H187+#REF!*H182+#REF!*#REF!</f>
        <v>#REF!</v>
      </c>
      <c r="I159" s="17"/>
      <c r="J159" s="17" t="e">
        <f>J170*J183+J171*#REF!+J174*#REF!+#REF!*#REF!+#REF!*J185+#REF!*J187+#REF!*J182+J175*J186</f>
        <v>#REF!</v>
      </c>
      <c r="K159" s="21"/>
      <c r="L159" s="21"/>
      <c r="M159" s="22"/>
      <c r="N159" s="17" t="e">
        <f>N170*N183+O171*#REF!+N174*#REF!+#REF!*#REF!+#REF!*O185+#REF!*N187+#REF!*N182+O175*N186</f>
        <v>#REF!</v>
      </c>
      <c r="O159" s="17" t="e">
        <f>O170*O183+#REF!*#REF!+O174*#REF!+#REF!*#REF!+#REF!*#REF!+#REF!*O187+#REF!*O182+#REF!*O186</f>
        <v>#REF!</v>
      </c>
      <c r="P159" s="17" t="e">
        <f>P170*P183+P171*#REF!+P174*#REF!+#REF!*#REF!+#REF!*P185+#REF!*P187+#REF!*P182+P175*P186</f>
        <v>#REF!</v>
      </c>
      <c r="IB159"/>
      <c r="IC159"/>
      <c r="ID159"/>
      <c r="IE159"/>
      <c r="IF159"/>
      <c r="IG159"/>
    </row>
    <row r="160" spans="1:241" s="1" customFormat="1" ht="12">
      <c r="A160" s="89" t="s">
        <v>4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5"/>
      <c r="L160" s="105"/>
      <c r="M160" s="106"/>
      <c r="N160" s="102"/>
      <c r="O160" s="102"/>
      <c r="P160" s="102"/>
      <c r="IB160"/>
      <c r="IC160"/>
      <c r="ID160"/>
      <c r="IE160"/>
      <c r="IF160"/>
      <c r="IG160"/>
    </row>
    <row r="161" spans="1:241" s="1" customFormat="1" ht="34.5" customHeight="1">
      <c r="A161" s="90" t="s">
        <v>133</v>
      </c>
      <c r="B161" s="96"/>
      <c r="C161" s="96"/>
      <c r="D161" s="104">
        <v>76.23</v>
      </c>
      <c r="E161" s="96"/>
      <c r="F161" s="104">
        <f aca="true" t="shared" si="14" ref="F161:F168">D161</f>
        <v>76.23</v>
      </c>
      <c r="G161" s="104">
        <f>F161</f>
        <v>76.23</v>
      </c>
      <c r="H161" s="96"/>
      <c r="I161" s="96"/>
      <c r="J161" s="99">
        <f>G161</f>
        <v>76.23</v>
      </c>
      <c r="K161" s="105"/>
      <c r="L161" s="105"/>
      <c r="M161" s="106"/>
      <c r="N161" s="104">
        <f>G161</f>
        <v>76.23</v>
      </c>
      <c r="O161" s="99"/>
      <c r="P161" s="99">
        <f>N161</f>
        <v>76.23</v>
      </c>
      <c r="IB161"/>
      <c r="IC161"/>
      <c r="ID161"/>
      <c r="IE161"/>
      <c r="IF161"/>
      <c r="IG161"/>
    </row>
    <row r="162" spans="1:241" s="1" customFormat="1" ht="22.5">
      <c r="A162" s="90" t="s">
        <v>134</v>
      </c>
      <c r="B162" s="96"/>
      <c r="C162" s="96"/>
      <c r="D162" s="97">
        <v>4850</v>
      </c>
      <c r="E162" s="97"/>
      <c r="F162" s="97">
        <f t="shared" si="14"/>
        <v>4850</v>
      </c>
      <c r="G162" s="97">
        <f>F162</f>
        <v>4850</v>
      </c>
      <c r="H162" s="97"/>
      <c r="I162" s="97"/>
      <c r="J162" s="97">
        <f>G162</f>
        <v>4850</v>
      </c>
      <c r="K162" s="107"/>
      <c r="L162" s="107"/>
      <c r="M162" s="107"/>
      <c r="N162" s="97">
        <v>4850</v>
      </c>
      <c r="O162" s="97"/>
      <c r="P162" s="97">
        <f>N162</f>
        <v>4850</v>
      </c>
      <c r="IB162"/>
      <c r="IC162"/>
      <c r="ID162"/>
      <c r="IE162"/>
      <c r="IF162"/>
      <c r="IG162"/>
    </row>
    <row r="163" spans="1:241" s="1" customFormat="1" ht="22.5">
      <c r="A163" s="90" t="s">
        <v>135</v>
      </c>
      <c r="B163" s="96"/>
      <c r="C163" s="96"/>
      <c r="D163" s="97">
        <v>2005</v>
      </c>
      <c r="E163" s="97"/>
      <c r="F163" s="97">
        <f t="shared" si="14"/>
        <v>2005</v>
      </c>
      <c r="G163" s="97">
        <f>F163</f>
        <v>2005</v>
      </c>
      <c r="H163" s="97"/>
      <c r="I163" s="97"/>
      <c r="J163" s="97">
        <f>G163</f>
        <v>2005</v>
      </c>
      <c r="K163" s="107"/>
      <c r="L163" s="107"/>
      <c r="M163" s="107"/>
      <c r="N163" s="97">
        <v>2005</v>
      </c>
      <c r="O163" s="97"/>
      <c r="P163" s="97">
        <f>N163</f>
        <v>2005</v>
      </c>
      <c r="IB163"/>
      <c r="IC163"/>
      <c r="ID163"/>
      <c r="IE163"/>
      <c r="IF163"/>
      <c r="IG163"/>
    </row>
    <row r="164" spans="1:241" s="1" customFormat="1" ht="24.75" customHeight="1">
      <c r="A164" s="90" t="s">
        <v>222</v>
      </c>
      <c r="B164" s="96"/>
      <c r="C164" s="96"/>
      <c r="D164" s="104"/>
      <c r="E164" s="98">
        <v>5396</v>
      </c>
      <c r="F164" s="98">
        <f>E164</f>
        <v>5396</v>
      </c>
      <c r="G164" s="98"/>
      <c r="H164" s="98">
        <f>E164</f>
        <v>5396</v>
      </c>
      <c r="I164" s="98"/>
      <c r="J164" s="98">
        <f>H164</f>
        <v>5396</v>
      </c>
      <c r="K164" s="112"/>
      <c r="L164" s="112"/>
      <c r="M164" s="112"/>
      <c r="N164" s="98"/>
      <c r="O164" s="98">
        <f>H164</f>
        <v>5396</v>
      </c>
      <c r="P164" s="98">
        <f>O164</f>
        <v>5396</v>
      </c>
      <c r="IB164"/>
      <c r="IC164"/>
      <c r="ID164"/>
      <c r="IE164"/>
      <c r="IF164"/>
      <c r="IG164"/>
    </row>
    <row r="165" spans="1:241" s="1" customFormat="1" ht="25.5" customHeight="1">
      <c r="A165" s="90" t="s">
        <v>152</v>
      </c>
      <c r="B165" s="96"/>
      <c r="C165" s="96"/>
      <c r="D165" s="104">
        <v>230</v>
      </c>
      <c r="E165" s="96"/>
      <c r="F165" s="104">
        <f t="shared" si="14"/>
        <v>230</v>
      </c>
      <c r="G165" s="104">
        <v>250</v>
      </c>
      <c r="H165" s="96"/>
      <c r="I165" s="96"/>
      <c r="J165" s="99">
        <f>G165</f>
        <v>250</v>
      </c>
      <c r="K165" s="105"/>
      <c r="L165" s="105"/>
      <c r="M165" s="106"/>
      <c r="N165" s="104">
        <v>270</v>
      </c>
      <c r="O165" s="96"/>
      <c r="P165" s="99">
        <f>N165</f>
        <v>270</v>
      </c>
      <c r="IB165"/>
      <c r="IC165"/>
      <c r="ID165"/>
      <c r="IE165"/>
      <c r="IF165"/>
      <c r="IG165"/>
    </row>
    <row r="166" spans="1:241" s="1" customFormat="1" ht="29.25" customHeight="1">
      <c r="A166" s="90" t="s">
        <v>136</v>
      </c>
      <c r="B166" s="96"/>
      <c r="C166" s="96"/>
      <c r="D166" s="104">
        <v>76.26</v>
      </c>
      <c r="E166" s="96"/>
      <c r="F166" s="104">
        <f t="shared" si="14"/>
        <v>76.26</v>
      </c>
      <c r="G166" s="104">
        <f>F166</f>
        <v>76.26</v>
      </c>
      <c r="H166" s="96"/>
      <c r="I166" s="96"/>
      <c r="J166" s="99">
        <f>G166</f>
        <v>76.26</v>
      </c>
      <c r="K166" s="105"/>
      <c r="L166" s="105"/>
      <c r="M166" s="106"/>
      <c r="N166" s="104">
        <f>J166</f>
        <v>76.26</v>
      </c>
      <c r="O166" s="96"/>
      <c r="P166" s="99">
        <f>N166</f>
        <v>76.26</v>
      </c>
      <c r="IB166"/>
      <c r="IC166"/>
      <c r="ID166"/>
      <c r="IE166"/>
      <c r="IF166"/>
      <c r="IG166"/>
    </row>
    <row r="167" spans="1:241" s="1" customFormat="1" ht="31.5" customHeight="1">
      <c r="A167" s="90" t="s">
        <v>79</v>
      </c>
      <c r="B167" s="96"/>
      <c r="C167" s="96"/>
      <c r="D167" s="104">
        <v>280000</v>
      </c>
      <c r="E167" s="96"/>
      <c r="F167" s="104">
        <f t="shared" si="14"/>
        <v>280000</v>
      </c>
      <c r="G167" s="104"/>
      <c r="H167" s="96"/>
      <c r="I167" s="96"/>
      <c r="J167" s="99"/>
      <c r="K167" s="105"/>
      <c r="L167" s="105"/>
      <c r="M167" s="106"/>
      <c r="N167" s="104"/>
      <c r="O167" s="96"/>
      <c r="P167" s="99"/>
      <c r="IB167"/>
      <c r="IC167"/>
      <c r="ID167"/>
      <c r="IE167"/>
      <c r="IF167"/>
      <c r="IG167"/>
    </row>
    <row r="168" spans="1:241" s="217" customFormat="1" ht="29.25" customHeight="1">
      <c r="A168" s="212" t="s">
        <v>239</v>
      </c>
      <c r="B168" s="213"/>
      <c r="C168" s="213"/>
      <c r="D168" s="219">
        <v>11.549</v>
      </c>
      <c r="E168" s="219"/>
      <c r="F168" s="219">
        <f t="shared" si="14"/>
        <v>11.549</v>
      </c>
      <c r="G168" s="219">
        <v>11.549</v>
      </c>
      <c r="H168" s="219"/>
      <c r="I168" s="219">
        <f>G168</f>
        <v>11.549</v>
      </c>
      <c r="J168" s="214"/>
      <c r="K168" s="215"/>
      <c r="L168" s="215"/>
      <c r="M168" s="216"/>
      <c r="N168" s="222"/>
      <c r="O168" s="213"/>
      <c r="P168" s="214"/>
      <c r="IB168" s="218"/>
      <c r="IC168" s="218"/>
      <c r="ID168" s="218"/>
      <c r="IE168" s="218"/>
      <c r="IF168" s="218"/>
      <c r="IG168" s="218"/>
    </row>
    <row r="169" spans="1:241" s="1" customFormat="1" ht="12">
      <c r="A169" s="89" t="s">
        <v>5</v>
      </c>
      <c r="B169" s="102"/>
      <c r="C169" s="102"/>
      <c r="D169" s="102"/>
      <c r="E169" s="102"/>
      <c r="F169" s="102"/>
      <c r="G169" s="102"/>
      <c r="H169" s="102"/>
      <c r="I169" s="102"/>
      <c r="J169" s="99"/>
      <c r="K169" s="105"/>
      <c r="L169" s="105"/>
      <c r="M169" s="106"/>
      <c r="N169" s="102"/>
      <c r="O169" s="102"/>
      <c r="P169" s="99"/>
      <c r="IB169"/>
      <c r="IC169"/>
      <c r="ID169"/>
      <c r="IE169"/>
      <c r="IF169"/>
      <c r="IG169"/>
    </row>
    <row r="170" spans="1:241" s="1" customFormat="1" ht="28.5" customHeight="1">
      <c r="A170" s="90" t="s">
        <v>137</v>
      </c>
      <c r="B170" s="96"/>
      <c r="C170" s="96"/>
      <c r="D170" s="99">
        <v>76.23</v>
      </c>
      <c r="E170" s="96"/>
      <c r="F170" s="99">
        <f>D170</f>
        <v>76.23</v>
      </c>
      <c r="G170" s="99">
        <f>F170</f>
        <v>76.23</v>
      </c>
      <c r="H170" s="96"/>
      <c r="I170" s="96"/>
      <c r="J170" s="99">
        <f aca="true" t="shared" si="15" ref="J170:J176">G170</f>
        <v>76.23</v>
      </c>
      <c r="K170" s="105"/>
      <c r="L170" s="105"/>
      <c r="M170" s="106"/>
      <c r="N170" s="99">
        <f>J170</f>
        <v>76.23</v>
      </c>
      <c r="O170" s="96"/>
      <c r="P170" s="99">
        <f aca="true" t="shared" si="16" ref="P170:P176">N170</f>
        <v>76.23</v>
      </c>
      <c r="IB170"/>
      <c r="IC170"/>
      <c r="ID170"/>
      <c r="IE170"/>
      <c r="IF170"/>
      <c r="IG170"/>
    </row>
    <row r="171" spans="1:241" s="1" customFormat="1" ht="22.5">
      <c r="A171" s="90" t="s">
        <v>138</v>
      </c>
      <c r="B171" s="96"/>
      <c r="C171" s="96"/>
      <c r="D171" s="97">
        <f>520+17</f>
        <v>537</v>
      </c>
      <c r="E171" s="97"/>
      <c r="F171" s="97">
        <f aca="true" t="shared" si="17" ref="F171:F179">D171</f>
        <v>537</v>
      </c>
      <c r="G171" s="97">
        <f>565+18+58</f>
        <v>641</v>
      </c>
      <c r="H171" s="97"/>
      <c r="I171" s="97"/>
      <c r="J171" s="97">
        <f t="shared" si="15"/>
        <v>641</v>
      </c>
      <c r="K171" s="107"/>
      <c r="L171" s="107"/>
      <c r="M171" s="107"/>
      <c r="N171" s="97">
        <f>622+17</f>
        <v>639</v>
      </c>
      <c r="O171" s="97"/>
      <c r="P171" s="97">
        <f t="shared" si="16"/>
        <v>639</v>
      </c>
      <c r="IB171"/>
      <c r="IC171"/>
      <c r="ID171"/>
      <c r="IE171"/>
      <c r="IF171"/>
      <c r="IG171"/>
    </row>
    <row r="172" spans="1:241" s="1" customFormat="1" ht="26.25" customHeight="1">
      <c r="A172" s="90" t="s">
        <v>139</v>
      </c>
      <c r="B172" s="96"/>
      <c r="C172" s="96"/>
      <c r="D172" s="97">
        <v>366</v>
      </c>
      <c r="E172" s="97"/>
      <c r="F172" s="97">
        <f t="shared" si="17"/>
        <v>366</v>
      </c>
      <c r="G172" s="97">
        <v>403</v>
      </c>
      <c r="H172" s="97"/>
      <c r="I172" s="97"/>
      <c r="J172" s="97">
        <f t="shared" si="15"/>
        <v>403</v>
      </c>
      <c r="K172" s="107"/>
      <c r="L172" s="107"/>
      <c r="M172" s="107"/>
      <c r="N172" s="97">
        <v>444</v>
      </c>
      <c r="O172" s="97"/>
      <c r="P172" s="97">
        <f t="shared" si="16"/>
        <v>444</v>
      </c>
      <c r="IB172"/>
      <c r="IC172"/>
      <c r="ID172"/>
      <c r="IE172"/>
      <c r="IF172"/>
      <c r="IG172"/>
    </row>
    <row r="173" spans="1:241" s="1" customFormat="1" ht="26.25" customHeight="1">
      <c r="A173" s="90" t="s">
        <v>223</v>
      </c>
      <c r="B173" s="96"/>
      <c r="C173" s="96"/>
      <c r="D173" s="97"/>
      <c r="E173" s="97">
        <f>150+36</f>
        <v>186</v>
      </c>
      <c r="F173" s="97">
        <f>E173</f>
        <v>186</v>
      </c>
      <c r="G173" s="97"/>
      <c r="H173" s="97">
        <v>150</v>
      </c>
      <c r="I173" s="97"/>
      <c r="J173" s="97">
        <f>H173</f>
        <v>150</v>
      </c>
      <c r="K173" s="107"/>
      <c r="L173" s="107"/>
      <c r="M173" s="107"/>
      <c r="N173" s="97"/>
      <c r="O173" s="97">
        <v>150</v>
      </c>
      <c r="P173" s="97">
        <f>O173</f>
        <v>150</v>
      </c>
      <c r="IB173"/>
      <c r="IC173"/>
      <c r="ID173"/>
      <c r="IE173"/>
      <c r="IF173"/>
      <c r="IG173"/>
    </row>
    <row r="174" spans="1:241" s="1" customFormat="1" ht="22.5">
      <c r="A174" s="90" t="s">
        <v>151</v>
      </c>
      <c r="B174" s="96"/>
      <c r="C174" s="96"/>
      <c r="D174" s="97">
        <v>222</v>
      </c>
      <c r="E174" s="97"/>
      <c r="F174" s="97">
        <f t="shared" si="17"/>
        <v>222</v>
      </c>
      <c r="G174" s="97">
        <v>243</v>
      </c>
      <c r="H174" s="97"/>
      <c r="I174" s="97"/>
      <c r="J174" s="97">
        <f t="shared" si="15"/>
        <v>243</v>
      </c>
      <c r="K174" s="107"/>
      <c r="L174" s="107"/>
      <c r="M174" s="107"/>
      <c r="N174" s="97">
        <v>267</v>
      </c>
      <c r="O174" s="97"/>
      <c r="P174" s="97">
        <f t="shared" si="16"/>
        <v>267</v>
      </c>
      <c r="IB174"/>
      <c r="IC174"/>
      <c r="ID174"/>
      <c r="IE174"/>
      <c r="IF174"/>
      <c r="IG174"/>
    </row>
    <row r="175" spans="1:241" s="1" customFormat="1" ht="22.5">
      <c r="A175" s="90" t="s">
        <v>140</v>
      </c>
      <c r="B175" s="96"/>
      <c r="C175" s="96"/>
      <c r="D175" s="96">
        <v>76.26</v>
      </c>
      <c r="E175" s="104"/>
      <c r="F175" s="99">
        <f t="shared" si="17"/>
        <v>76.26</v>
      </c>
      <c r="G175" s="96">
        <v>76.26</v>
      </c>
      <c r="H175" s="104"/>
      <c r="I175" s="104"/>
      <c r="J175" s="99">
        <f t="shared" si="15"/>
        <v>76.26</v>
      </c>
      <c r="K175" s="105"/>
      <c r="L175" s="105"/>
      <c r="M175" s="106"/>
      <c r="N175" s="99">
        <f>J175</f>
        <v>76.26</v>
      </c>
      <c r="O175" s="104"/>
      <c r="P175" s="99">
        <f t="shared" si="16"/>
        <v>76.26</v>
      </c>
      <c r="IB175"/>
      <c r="IC175"/>
      <c r="ID175"/>
      <c r="IE175"/>
      <c r="IF175"/>
      <c r="IG175"/>
    </row>
    <row r="176" spans="1:241" s="1" customFormat="1" ht="24" customHeight="1">
      <c r="A176" s="90" t="s">
        <v>141</v>
      </c>
      <c r="B176" s="96"/>
      <c r="C176" s="96"/>
      <c r="D176" s="97">
        <v>49006</v>
      </c>
      <c r="E176" s="97"/>
      <c r="F176" s="99">
        <f t="shared" si="17"/>
        <v>49006</v>
      </c>
      <c r="G176" s="97">
        <f>F176</f>
        <v>49006</v>
      </c>
      <c r="H176" s="97"/>
      <c r="I176" s="97"/>
      <c r="J176" s="97">
        <f t="shared" si="15"/>
        <v>49006</v>
      </c>
      <c r="K176" s="107"/>
      <c r="L176" s="107"/>
      <c r="M176" s="107"/>
      <c r="N176" s="97">
        <f>J176</f>
        <v>49006</v>
      </c>
      <c r="O176" s="97"/>
      <c r="P176" s="97">
        <f t="shared" si="16"/>
        <v>49006</v>
      </c>
      <c r="IB176"/>
      <c r="IC176"/>
      <c r="ID176"/>
      <c r="IE176"/>
      <c r="IF176"/>
      <c r="IG176"/>
    </row>
    <row r="177" spans="1:241" s="1" customFormat="1" ht="24" customHeight="1">
      <c r="A177" s="90" t="s">
        <v>225</v>
      </c>
      <c r="B177" s="96"/>
      <c r="C177" s="96"/>
      <c r="D177" s="97">
        <v>25</v>
      </c>
      <c r="E177" s="97"/>
      <c r="F177" s="97">
        <f t="shared" si="17"/>
        <v>25</v>
      </c>
      <c r="G177" s="97"/>
      <c r="H177" s="97"/>
      <c r="I177" s="97"/>
      <c r="J177" s="97"/>
      <c r="K177" s="107"/>
      <c r="L177" s="107"/>
      <c r="M177" s="107"/>
      <c r="N177" s="97"/>
      <c r="O177" s="97"/>
      <c r="P177" s="97"/>
      <c r="IB177"/>
      <c r="IC177"/>
      <c r="ID177"/>
      <c r="IE177"/>
      <c r="IF177"/>
      <c r="IG177"/>
    </row>
    <row r="178" spans="1:241" s="1" customFormat="1" ht="28.5" customHeight="1">
      <c r="A178" s="90" t="s">
        <v>78</v>
      </c>
      <c r="B178" s="96"/>
      <c r="C178" s="96"/>
      <c r="D178" s="97">
        <v>4</v>
      </c>
      <c r="E178" s="97"/>
      <c r="F178" s="97">
        <f t="shared" si="17"/>
        <v>4</v>
      </c>
      <c r="G178" s="97"/>
      <c r="H178" s="97"/>
      <c r="I178" s="97"/>
      <c r="J178" s="97"/>
      <c r="K178" s="107"/>
      <c r="L178" s="107"/>
      <c r="M178" s="107"/>
      <c r="N178" s="97"/>
      <c r="O178" s="97"/>
      <c r="P178" s="97"/>
      <c r="IB178"/>
      <c r="IC178"/>
      <c r="ID178"/>
      <c r="IE178"/>
      <c r="IF178"/>
      <c r="IG178"/>
    </row>
    <row r="179" spans="1:241" s="217" customFormat="1" ht="28.5" customHeight="1">
      <c r="A179" s="212" t="s">
        <v>240</v>
      </c>
      <c r="B179" s="213"/>
      <c r="C179" s="213"/>
      <c r="D179" s="219">
        <v>11.549</v>
      </c>
      <c r="E179" s="219"/>
      <c r="F179" s="219">
        <f t="shared" si="17"/>
        <v>11.549</v>
      </c>
      <c r="G179" s="219">
        <v>11.549</v>
      </c>
      <c r="H179" s="219"/>
      <c r="I179" s="219">
        <f>G179</f>
        <v>11.549</v>
      </c>
      <c r="J179" s="220"/>
      <c r="K179" s="221"/>
      <c r="L179" s="221"/>
      <c r="M179" s="221"/>
      <c r="N179" s="220"/>
      <c r="O179" s="220"/>
      <c r="P179" s="220"/>
      <c r="IB179" s="218"/>
      <c r="IC179" s="218"/>
      <c r="ID179" s="218"/>
      <c r="IE179" s="218"/>
      <c r="IF179" s="218"/>
      <c r="IG179" s="218"/>
    </row>
    <row r="180" spans="1:241" s="1" customFormat="1" ht="12">
      <c r="A180" s="89" t="s">
        <v>7</v>
      </c>
      <c r="B180" s="102"/>
      <c r="C180" s="102"/>
      <c r="D180" s="102"/>
      <c r="E180" s="102"/>
      <c r="F180" s="99"/>
      <c r="G180" s="102"/>
      <c r="H180" s="102"/>
      <c r="I180" s="102"/>
      <c r="J180" s="99"/>
      <c r="K180" s="105"/>
      <c r="L180" s="105"/>
      <c r="M180" s="106"/>
      <c r="N180" s="102"/>
      <c r="O180" s="102"/>
      <c r="P180" s="99"/>
      <c r="IB180"/>
      <c r="IC180"/>
      <c r="ID180"/>
      <c r="IE180"/>
      <c r="IF180"/>
      <c r="IG180"/>
    </row>
    <row r="181" spans="1:241" s="1" customFormat="1" ht="33.75">
      <c r="A181" s="90" t="s">
        <v>142</v>
      </c>
      <c r="B181" s="102"/>
      <c r="C181" s="102"/>
      <c r="D181" s="99">
        <v>34763</v>
      </c>
      <c r="E181" s="113"/>
      <c r="F181" s="99">
        <f>D181</f>
        <v>34763</v>
      </c>
      <c r="G181" s="99">
        <v>41725</v>
      </c>
      <c r="H181" s="113"/>
      <c r="I181" s="113"/>
      <c r="J181" s="99">
        <f aca="true" t="shared" si="18" ref="J181:J187">G181</f>
        <v>41725</v>
      </c>
      <c r="K181" s="108"/>
      <c r="L181" s="108"/>
      <c r="M181" s="108"/>
      <c r="N181" s="99">
        <v>50067</v>
      </c>
      <c r="O181" s="113"/>
      <c r="P181" s="99">
        <f aca="true" t="shared" si="19" ref="P181:P187">N181</f>
        <v>50067</v>
      </c>
      <c r="IB181"/>
      <c r="IC181"/>
      <c r="ID181"/>
      <c r="IE181"/>
      <c r="IF181"/>
      <c r="IG181"/>
    </row>
    <row r="182" spans="1:241" s="1" customFormat="1" ht="22.5">
      <c r="A182" s="90" t="s">
        <v>143</v>
      </c>
      <c r="B182" s="96"/>
      <c r="C182" s="96"/>
      <c r="D182" s="99">
        <v>1500</v>
      </c>
      <c r="E182" s="96"/>
      <c r="F182" s="99">
        <f>D182</f>
        <v>1500</v>
      </c>
      <c r="G182" s="99">
        <f>1650</f>
        <v>1650</v>
      </c>
      <c r="H182" s="97"/>
      <c r="I182" s="96"/>
      <c r="J182" s="99">
        <f t="shared" si="18"/>
        <v>1650</v>
      </c>
      <c r="K182" s="105"/>
      <c r="L182" s="105"/>
      <c r="M182" s="106"/>
      <c r="N182" s="99">
        <v>1800</v>
      </c>
      <c r="O182" s="96"/>
      <c r="P182" s="99">
        <f t="shared" si="19"/>
        <v>1800</v>
      </c>
      <c r="IB182"/>
      <c r="IC182"/>
      <c r="ID182"/>
      <c r="IE182"/>
      <c r="IF182"/>
      <c r="IG182"/>
    </row>
    <row r="183" spans="1:241" s="1" customFormat="1" ht="22.5">
      <c r="A183" s="90" t="s">
        <v>144</v>
      </c>
      <c r="B183" s="96"/>
      <c r="C183" s="96"/>
      <c r="D183" s="99">
        <v>320</v>
      </c>
      <c r="E183" s="96"/>
      <c r="F183" s="99">
        <f aca="true" t="shared" si="20" ref="F183:F190">D183</f>
        <v>320</v>
      </c>
      <c r="G183" s="99">
        <v>350</v>
      </c>
      <c r="H183" s="96"/>
      <c r="I183" s="96"/>
      <c r="J183" s="99">
        <f t="shared" si="18"/>
        <v>350</v>
      </c>
      <c r="K183" s="105"/>
      <c r="L183" s="105"/>
      <c r="M183" s="106"/>
      <c r="N183" s="99">
        <v>380</v>
      </c>
      <c r="O183" s="96"/>
      <c r="P183" s="99">
        <f t="shared" si="19"/>
        <v>380</v>
      </c>
      <c r="IB183"/>
      <c r="IC183"/>
      <c r="ID183"/>
      <c r="IE183"/>
      <c r="IF183"/>
      <c r="IG183"/>
    </row>
    <row r="184" spans="1:241" s="1" customFormat="1" ht="27" customHeight="1">
      <c r="A184" s="90" t="s">
        <v>224</v>
      </c>
      <c r="B184" s="96"/>
      <c r="C184" s="96"/>
      <c r="D184" s="99"/>
      <c r="E184" s="96">
        <v>550</v>
      </c>
      <c r="F184" s="99">
        <f>E184</f>
        <v>550</v>
      </c>
      <c r="G184" s="99"/>
      <c r="H184" s="96">
        <v>550</v>
      </c>
      <c r="I184" s="96"/>
      <c r="J184" s="99">
        <f>H184</f>
        <v>550</v>
      </c>
      <c r="K184" s="105"/>
      <c r="L184" s="105"/>
      <c r="M184" s="106"/>
      <c r="N184" s="99"/>
      <c r="O184" s="96">
        <v>550</v>
      </c>
      <c r="P184" s="99">
        <f>O184</f>
        <v>550</v>
      </c>
      <c r="IB184"/>
      <c r="IC184"/>
      <c r="ID184"/>
      <c r="IE184"/>
      <c r="IF184"/>
      <c r="IG184"/>
    </row>
    <row r="185" spans="1:241" s="1" customFormat="1" ht="22.5">
      <c r="A185" s="90" t="s">
        <v>145</v>
      </c>
      <c r="B185" s="96"/>
      <c r="C185" s="96"/>
      <c r="D185" s="99">
        <v>5100</v>
      </c>
      <c r="E185" s="99"/>
      <c r="F185" s="99">
        <f t="shared" si="20"/>
        <v>5100</v>
      </c>
      <c r="G185" s="99">
        <v>5600</v>
      </c>
      <c r="H185" s="99"/>
      <c r="I185" s="99"/>
      <c r="J185" s="99">
        <f t="shared" si="18"/>
        <v>5600</v>
      </c>
      <c r="K185" s="108"/>
      <c r="L185" s="108"/>
      <c r="M185" s="108"/>
      <c r="N185" s="99">
        <v>6100</v>
      </c>
      <c r="O185" s="99"/>
      <c r="P185" s="99">
        <f t="shared" si="19"/>
        <v>6100</v>
      </c>
      <c r="IB185"/>
      <c r="IC185"/>
      <c r="ID185"/>
      <c r="IE185"/>
      <c r="IF185"/>
      <c r="IG185"/>
    </row>
    <row r="186" spans="1:241" s="1" customFormat="1" ht="22.5">
      <c r="A186" s="90" t="s">
        <v>146</v>
      </c>
      <c r="B186" s="96"/>
      <c r="C186" s="96"/>
      <c r="D186" s="99">
        <v>26850</v>
      </c>
      <c r="E186" s="99"/>
      <c r="F186" s="99">
        <f t="shared" si="20"/>
        <v>26850</v>
      </c>
      <c r="G186" s="99">
        <v>32217</v>
      </c>
      <c r="H186" s="99"/>
      <c r="I186" s="99"/>
      <c r="J186" s="99">
        <f t="shared" si="18"/>
        <v>32217</v>
      </c>
      <c r="K186" s="108"/>
      <c r="L186" s="108"/>
      <c r="M186" s="108"/>
      <c r="N186" s="99">
        <v>38663</v>
      </c>
      <c r="O186" s="99"/>
      <c r="P186" s="99">
        <f t="shared" si="19"/>
        <v>38663</v>
      </c>
      <c r="IB186"/>
      <c r="IC186"/>
      <c r="ID186"/>
      <c r="IE186"/>
      <c r="IF186"/>
      <c r="IG186"/>
    </row>
    <row r="187" spans="1:241" s="1" customFormat="1" ht="22.5">
      <c r="A187" s="90" t="s">
        <v>147</v>
      </c>
      <c r="B187" s="96"/>
      <c r="C187" s="96"/>
      <c r="D187" s="99">
        <v>4.39</v>
      </c>
      <c r="E187" s="96"/>
      <c r="F187" s="99">
        <f t="shared" si="20"/>
        <v>4.39</v>
      </c>
      <c r="G187" s="99">
        <v>5.26</v>
      </c>
      <c r="H187" s="96"/>
      <c r="I187" s="96"/>
      <c r="J187" s="99">
        <f t="shared" si="18"/>
        <v>5.26</v>
      </c>
      <c r="K187" s="105"/>
      <c r="L187" s="105"/>
      <c r="M187" s="106"/>
      <c r="N187" s="99">
        <v>6.32</v>
      </c>
      <c r="O187" s="96"/>
      <c r="P187" s="99">
        <f t="shared" si="19"/>
        <v>6.32</v>
      </c>
      <c r="IB187"/>
      <c r="IC187"/>
      <c r="ID187"/>
      <c r="IE187"/>
      <c r="IF187"/>
      <c r="IG187"/>
    </row>
    <row r="188" spans="1:241" s="1" customFormat="1" ht="27" customHeight="1">
      <c r="A188" s="90" t="s">
        <v>226</v>
      </c>
      <c r="B188" s="96"/>
      <c r="C188" s="96"/>
      <c r="D188" s="99">
        <v>3988</v>
      </c>
      <c r="E188" s="96"/>
      <c r="F188" s="99">
        <f t="shared" si="20"/>
        <v>3988</v>
      </c>
      <c r="G188" s="99"/>
      <c r="H188" s="96"/>
      <c r="I188" s="96"/>
      <c r="J188" s="99"/>
      <c r="K188" s="105"/>
      <c r="L188" s="105"/>
      <c r="M188" s="106"/>
      <c r="N188" s="99"/>
      <c r="O188" s="96"/>
      <c r="P188" s="99"/>
      <c r="IB188"/>
      <c r="IC188"/>
      <c r="ID188"/>
      <c r="IE188"/>
      <c r="IF188"/>
      <c r="IG188"/>
    </row>
    <row r="189" spans="1:241" s="1" customFormat="1" ht="33.75" customHeight="1">
      <c r="A189" s="90" t="s">
        <v>80</v>
      </c>
      <c r="B189" s="96"/>
      <c r="C189" s="96"/>
      <c r="D189" s="99">
        <v>70000</v>
      </c>
      <c r="E189" s="99"/>
      <c r="F189" s="99">
        <f t="shared" si="20"/>
        <v>70000</v>
      </c>
      <c r="G189" s="96"/>
      <c r="H189" s="99"/>
      <c r="I189" s="99"/>
      <c r="J189" s="99"/>
      <c r="K189" s="105"/>
      <c r="L189" s="105"/>
      <c r="M189" s="106"/>
      <c r="N189" s="96"/>
      <c r="O189" s="99"/>
      <c r="P189" s="99"/>
      <c r="IB189"/>
      <c r="IC189"/>
      <c r="ID189"/>
      <c r="IE189"/>
      <c r="IF189"/>
      <c r="IG189"/>
    </row>
    <row r="190" spans="1:241" s="217" customFormat="1" ht="33.75" customHeight="1">
      <c r="A190" s="212" t="s">
        <v>241</v>
      </c>
      <c r="B190" s="213"/>
      <c r="C190" s="213"/>
      <c r="D190" s="214">
        <v>2520</v>
      </c>
      <c r="E190" s="214"/>
      <c r="F190" s="214">
        <f t="shared" si="20"/>
        <v>2520</v>
      </c>
      <c r="G190" s="213">
        <v>2770.8</v>
      </c>
      <c r="H190" s="214"/>
      <c r="I190" s="214">
        <f>G190</f>
        <v>2770.8</v>
      </c>
      <c r="J190" s="214"/>
      <c r="K190" s="215"/>
      <c r="L190" s="215"/>
      <c r="M190" s="216"/>
      <c r="N190" s="213"/>
      <c r="O190" s="214"/>
      <c r="P190" s="214"/>
      <c r="IB190" s="218"/>
      <c r="IC190" s="218"/>
      <c r="ID190" s="218"/>
      <c r="IE190" s="218"/>
      <c r="IF190" s="218"/>
      <c r="IG190" s="218"/>
    </row>
    <row r="191" spans="1:241" s="1" customFormat="1" ht="12">
      <c r="A191" s="89" t="s">
        <v>6</v>
      </c>
      <c r="B191" s="102"/>
      <c r="C191" s="102"/>
      <c r="D191" s="102"/>
      <c r="E191" s="102"/>
      <c r="F191" s="99"/>
      <c r="G191" s="102"/>
      <c r="H191" s="102"/>
      <c r="I191" s="102"/>
      <c r="J191" s="99"/>
      <c r="K191" s="105"/>
      <c r="L191" s="105"/>
      <c r="M191" s="106"/>
      <c r="N191" s="102"/>
      <c r="O191" s="102"/>
      <c r="P191" s="99"/>
      <c r="IB191"/>
      <c r="IC191"/>
      <c r="ID191"/>
      <c r="IE191"/>
      <c r="IF191"/>
      <c r="IG191"/>
    </row>
    <row r="192" spans="1:241" s="1" customFormat="1" ht="23.25" customHeight="1">
      <c r="A192" s="90" t="s">
        <v>148</v>
      </c>
      <c r="B192" s="96"/>
      <c r="C192" s="96"/>
      <c r="D192" s="99">
        <f>D170/D161*100</f>
        <v>100</v>
      </c>
      <c r="E192" s="99"/>
      <c r="F192" s="99">
        <f aca="true" t="shared" si="21" ref="F192:G194">F170/F161*100</f>
        <v>100</v>
      </c>
      <c r="G192" s="99">
        <f t="shared" si="21"/>
        <v>100</v>
      </c>
      <c r="H192" s="99"/>
      <c r="I192" s="99"/>
      <c r="J192" s="99">
        <f aca="true" t="shared" si="22" ref="J192:N194">J170/J161*100</f>
        <v>100</v>
      </c>
      <c r="K192" s="99" t="e">
        <f t="shared" si="22"/>
        <v>#DIV/0!</v>
      </c>
      <c r="L192" s="99" t="e">
        <f t="shared" si="22"/>
        <v>#DIV/0!</v>
      </c>
      <c r="M192" s="99" t="e">
        <f t="shared" si="22"/>
        <v>#DIV/0!</v>
      </c>
      <c r="N192" s="99">
        <f t="shared" si="22"/>
        <v>100</v>
      </c>
      <c r="O192" s="99"/>
      <c r="P192" s="99">
        <f>P170/P161*100</f>
        <v>100</v>
      </c>
      <c r="IB192"/>
      <c r="IC192"/>
      <c r="ID192"/>
      <c r="IE192"/>
      <c r="IF192"/>
      <c r="IG192"/>
    </row>
    <row r="193" spans="1:241" s="1" customFormat="1" ht="41.25" customHeight="1">
      <c r="A193" s="90" t="s">
        <v>149</v>
      </c>
      <c r="B193" s="96"/>
      <c r="C193" s="96"/>
      <c r="D193" s="109">
        <f>D171/D162*100</f>
        <v>11.072164948453608</v>
      </c>
      <c r="E193" s="109"/>
      <c r="F193" s="109">
        <f t="shared" si="21"/>
        <v>11.072164948453608</v>
      </c>
      <c r="G193" s="109">
        <f t="shared" si="21"/>
        <v>13.216494845360824</v>
      </c>
      <c r="H193" s="109"/>
      <c r="I193" s="109"/>
      <c r="J193" s="109">
        <f t="shared" si="22"/>
        <v>13.216494845360824</v>
      </c>
      <c r="K193" s="109" t="e">
        <f t="shared" si="22"/>
        <v>#DIV/0!</v>
      </c>
      <c r="L193" s="109" t="e">
        <f t="shared" si="22"/>
        <v>#DIV/0!</v>
      </c>
      <c r="M193" s="109" t="e">
        <f t="shared" si="22"/>
        <v>#DIV/0!</v>
      </c>
      <c r="N193" s="109">
        <f t="shared" si="22"/>
        <v>13.175257731958762</v>
      </c>
      <c r="O193" s="109"/>
      <c r="P193" s="109">
        <f>P171/P162*100</f>
        <v>13.175257731958762</v>
      </c>
      <c r="IB193"/>
      <c r="IC193"/>
      <c r="ID193"/>
      <c r="IE193"/>
      <c r="IF193"/>
      <c r="IG193"/>
    </row>
    <row r="194" spans="1:241" s="1" customFormat="1" ht="35.25" customHeight="1">
      <c r="A194" s="90" t="s">
        <v>150</v>
      </c>
      <c r="B194" s="96"/>
      <c r="C194" s="96"/>
      <c r="D194" s="109">
        <f>D172/D163*100</f>
        <v>18.25436408977556</v>
      </c>
      <c r="E194" s="109"/>
      <c r="F194" s="109">
        <f t="shared" si="21"/>
        <v>18.25436408977556</v>
      </c>
      <c r="G194" s="109">
        <f t="shared" si="21"/>
        <v>20.099750623441395</v>
      </c>
      <c r="H194" s="109"/>
      <c r="I194" s="109"/>
      <c r="J194" s="109">
        <f t="shared" si="22"/>
        <v>20.099750623441395</v>
      </c>
      <c r="K194" s="109" t="e">
        <f t="shared" si="22"/>
        <v>#DIV/0!</v>
      </c>
      <c r="L194" s="109" t="e">
        <f t="shared" si="22"/>
        <v>#DIV/0!</v>
      </c>
      <c r="M194" s="109" t="e">
        <f t="shared" si="22"/>
        <v>#DIV/0!</v>
      </c>
      <c r="N194" s="109">
        <f t="shared" si="22"/>
        <v>22.144638403990026</v>
      </c>
      <c r="O194" s="109"/>
      <c r="P194" s="109">
        <f>P172/P163*100</f>
        <v>22.144638403990026</v>
      </c>
      <c r="IB194"/>
      <c r="IC194"/>
      <c r="ID194"/>
      <c r="IE194"/>
      <c r="IF194"/>
      <c r="IG194"/>
    </row>
    <row r="195" spans="1:241" s="179" customFormat="1" ht="45">
      <c r="A195" s="167" t="s">
        <v>268</v>
      </c>
      <c r="B195" s="176"/>
      <c r="C195" s="176"/>
      <c r="D195" s="178">
        <f>(D198*D217)+(D207*D219)+(D208*D220)+(D209*D226)+11.5</f>
        <v>6400000</v>
      </c>
      <c r="E195" s="178"/>
      <c r="F195" s="178">
        <f>(F198*F217)+(F207*F219)+(F208*F220)+(F209*F226)+11.5</f>
        <v>6400000</v>
      </c>
      <c r="G195" s="178">
        <f>(G198*G217)+(G207*G219)+(G208*G220)+(G209*G226)-75.6+2381500-50000</f>
        <v>10061500</v>
      </c>
      <c r="H195" s="178">
        <v>120000</v>
      </c>
      <c r="I195" s="178"/>
      <c r="J195" s="178">
        <f>G195+H195</f>
        <v>10181500</v>
      </c>
      <c r="K195" s="178">
        <f>(K198*K217)+(K207*K219)+(K208*K220)+(K209*K226)+11.5</f>
        <v>11.5</v>
      </c>
      <c r="L195" s="178">
        <f>(L198*L217)+(L207*L219)+(L208*L220)+(L209*L226)+11.5</f>
        <v>11.5</v>
      </c>
      <c r="M195" s="178">
        <f>(M198*M217)+(M207*M219)+(M208*M220)+(M209*M226)+11.5</f>
        <v>11.5</v>
      </c>
      <c r="N195" s="178">
        <f>(N198*N217)+(N207*N219)+(N208*N220)+(N209*N226)-39.3</f>
        <v>9150000</v>
      </c>
      <c r="O195" s="178"/>
      <c r="P195" s="178">
        <f>N195</f>
        <v>9150000</v>
      </c>
      <c r="IB195" s="180"/>
      <c r="IC195" s="180"/>
      <c r="ID195" s="180"/>
      <c r="IE195" s="180"/>
      <c r="IF195" s="180"/>
      <c r="IG195" s="180"/>
    </row>
    <row r="196" spans="1:241" s="1" customFormat="1" ht="30.75" customHeight="1" hidden="1">
      <c r="A196" s="33" t="s">
        <v>50</v>
      </c>
      <c r="B196" s="17"/>
      <c r="C196" s="17"/>
      <c r="D196" s="23" t="e">
        <f>D208*#REF!*12+#REF!*D220*12+D207*D219+D206*D217+#REF!*#REF!</f>
        <v>#REF!</v>
      </c>
      <c r="E196" s="17"/>
      <c r="F196" s="23" t="e">
        <f>F208*#REF!*12+#REF!*F220*12+F207*F219+F206*F217+#REF!*#REF!</f>
        <v>#REF!</v>
      </c>
      <c r="G196" s="23" t="e">
        <f>G208*#REF!*12+#REF!*G220*12+G207*G219+G206*G217+#REF!*#REF!</f>
        <v>#REF!</v>
      </c>
      <c r="H196" s="23" t="e">
        <f>H208*#REF!*12+#REF!*H220*12+H207*H219+H206*H217+#REF!*#REF!</f>
        <v>#REF!</v>
      </c>
      <c r="I196" s="23"/>
      <c r="J196" s="23" t="e">
        <f>J208*#REF!*12+#REF!*J220*12+J207*J219+J206*J217+#REF!*#REF!</f>
        <v>#REF!</v>
      </c>
      <c r="K196" s="21"/>
      <c r="L196" s="21"/>
      <c r="M196" s="22"/>
      <c r="N196" s="23" t="e">
        <f>N208*#REF!*12+#REF!*N220*12+N207*N219+N206*N217+#REF!*#REF!</f>
        <v>#REF!</v>
      </c>
      <c r="O196" s="23" t="e">
        <f>O208*#REF!*12+#REF!*O220*12+O207*O219+O206*O217+#REF!*#REF!</f>
        <v>#REF!</v>
      </c>
      <c r="P196" s="23" t="e">
        <f>P208*#REF!*12+#REF!*P220*12+P207*P219+P206*P217+#REF!*#REF!</f>
        <v>#REF!</v>
      </c>
      <c r="IB196"/>
      <c r="IC196"/>
      <c r="ID196"/>
      <c r="IE196"/>
      <c r="IF196"/>
      <c r="IG196"/>
    </row>
    <row r="197" spans="1:241" s="1" customFormat="1" ht="12">
      <c r="A197" s="89" t="s">
        <v>4</v>
      </c>
      <c r="B197" s="102"/>
      <c r="C197" s="102"/>
      <c r="D197" s="102"/>
      <c r="E197" s="102"/>
      <c r="F197" s="102"/>
      <c r="G197" s="102"/>
      <c r="H197" s="102"/>
      <c r="I197" s="102"/>
      <c r="J197" s="104"/>
      <c r="K197" s="105"/>
      <c r="L197" s="105"/>
      <c r="M197" s="106"/>
      <c r="N197" s="102"/>
      <c r="O197" s="102"/>
      <c r="P197" s="104"/>
      <c r="IB197"/>
      <c r="IC197"/>
      <c r="ID197"/>
      <c r="IE197"/>
      <c r="IF197"/>
      <c r="IG197"/>
    </row>
    <row r="198" spans="1:241" s="1" customFormat="1" ht="22.5">
      <c r="A198" s="90" t="s">
        <v>154</v>
      </c>
      <c r="B198" s="96"/>
      <c r="C198" s="96"/>
      <c r="D198" s="109">
        <v>93.1</v>
      </c>
      <c r="E198" s="109"/>
      <c r="F198" s="109">
        <f>D198</f>
        <v>93.1</v>
      </c>
      <c r="G198" s="109">
        <f>F198</f>
        <v>93.1</v>
      </c>
      <c r="H198" s="109"/>
      <c r="I198" s="109"/>
      <c r="J198" s="109">
        <f>G198</f>
        <v>93.1</v>
      </c>
      <c r="K198" s="110"/>
      <c r="L198" s="110"/>
      <c r="M198" s="110"/>
      <c r="N198" s="109">
        <f>J198</f>
        <v>93.1</v>
      </c>
      <c r="O198" s="109"/>
      <c r="P198" s="109">
        <f>N198</f>
        <v>93.1</v>
      </c>
      <c r="IB198"/>
      <c r="IC198"/>
      <c r="ID198"/>
      <c r="IE198"/>
      <c r="IF198"/>
      <c r="IG198"/>
    </row>
    <row r="199" spans="1:241" s="1" customFormat="1" ht="12">
      <c r="A199" s="90" t="s">
        <v>28</v>
      </c>
      <c r="B199" s="96"/>
      <c r="C199" s="96"/>
      <c r="D199" s="99">
        <v>1</v>
      </c>
      <c r="E199" s="96"/>
      <c r="F199" s="99">
        <v>1</v>
      </c>
      <c r="G199" s="99">
        <v>1</v>
      </c>
      <c r="H199" s="96"/>
      <c r="I199" s="96"/>
      <c r="J199" s="104">
        <f>G199</f>
        <v>1</v>
      </c>
      <c r="K199" s="105"/>
      <c r="L199" s="105"/>
      <c r="M199" s="106"/>
      <c r="N199" s="99">
        <v>1</v>
      </c>
      <c r="O199" s="96"/>
      <c r="P199" s="104">
        <f>N199</f>
        <v>1</v>
      </c>
      <c r="IB199"/>
      <c r="IC199"/>
      <c r="ID199"/>
      <c r="IE199"/>
      <c r="IF199"/>
      <c r="IG199"/>
    </row>
    <row r="200" spans="1:241" s="1" customFormat="1" ht="13.5" customHeight="1">
      <c r="A200" s="90" t="s">
        <v>153</v>
      </c>
      <c r="B200" s="96"/>
      <c r="C200" s="96"/>
      <c r="D200" s="97">
        <v>1</v>
      </c>
      <c r="E200" s="97"/>
      <c r="F200" s="97">
        <v>1</v>
      </c>
      <c r="G200" s="97">
        <v>1</v>
      </c>
      <c r="H200" s="97"/>
      <c r="I200" s="97"/>
      <c r="J200" s="97">
        <f>G200</f>
        <v>1</v>
      </c>
      <c r="K200" s="107"/>
      <c r="L200" s="107"/>
      <c r="M200" s="107"/>
      <c r="N200" s="97">
        <v>1</v>
      </c>
      <c r="O200" s="97"/>
      <c r="P200" s="97">
        <f>N200</f>
        <v>1</v>
      </c>
      <c r="IB200"/>
      <c r="IC200"/>
      <c r="ID200"/>
      <c r="IE200"/>
      <c r="IF200"/>
      <c r="IG200"/>
    </row>
    <row r="201" spans="1:241" s="1" customFormat="1" ht="24.75" customHeight="1">
      <c r="A201" s="90" t="s">
        <v>81</v>
      </c>
      <c r="B201" s="96"/>
      <c r="C201" s="96"/>
      <c r="D201" s="99">
        <v>50000</v>
      </c>
      <c r="E201" s="99"/>
      <c r="F201" s="99">
        <f>D201</f>
        <v>50000</v>
      </c>
      <c r="G201" s="97">
        <f>50000-50000</f>
        <v>0</v>
      </c>
      <c r="H201" s="97"/>
      <c r="I201" s="97"/>
      <c r="J201" s="97"/>
      <c r="K201" s="107"/>
      <c r="L201" s="107"/>
      <c r="M201" s="107"/>
      <c r="N201" s="99"/>
      <c r="O201" s="99"/>
      <c r="P201" s="99"/>
      <c r="IB201"/>
      <c r="IC201"/>
      <c r="ID201"/>
      <c r="IE201"/>
      <c r="IF201"/>
      <c r="IG201"/>
    </row>
    <row r="202" spans="1:241" s="1" customFormat="1" ht="22.5" hidden="1">
      <c r="A202" s="90" t="s">
        <v>299</v>
      </c>
      <c r="B202" s="96"/>
      <c r="C202" s="96"/>
      <c r="D202" s="99"/>
      <c r="E202" s="99"/>
      <c r="F202" s="99"/>
      <c r="G202" s="97"/>
      <c r="H202" s="97">
        <v>1</v>
      </c>
      <c r="I202" s="97"/>
      <c r="J202" s="97">
        <v>1</v>
      </c>
      <c r="K202" s="107"/>
      <c r="L202" s="107"/>
      <c r="M202" s="107"/>
      <c r="N202" s="99"/>
      <c r="O202" s="99"/>
      <c r="P202" s="99"/>
      <c r="IB202"/>
      <c r="IC202"/>
      <c r="ID202"/>
      <c r="IE202"/>
      <c r="IF202"/>
      <c r="IG202"/>
    </row>
    <row r="203" spans="1:241" s="1" customFormat="1" ht="14.25" customHeight="1">
      <c r="A203" s="90" t="s">
        <v>29</v>
      </c>
      <c r="B203" s="96"/>
      <c r="C203" s="96"/>
      <c r="D203" s="104">
        <v>1300</v>
      </c>
      <c r="E203" s="96"/>
      <c r="F203" s="104">
        <v>1300</v>
      </c>
      <c r="G203" s="104">
        <v>916</v>
      </c>
      <c r="H203" s="96"/>
      <c r="I203" s="96"/>
      <c r="J203" s="104">
        <f aca="true" t="shared" si="23" ref="J203:J208">G203</f>
        <v>916</v>
      </c>
      <c r="K203" s="105"/>
      <c r="L203" s="105"/>
      <c r="M203" s="106"/>
      <c r="N203" s="104">
        <v>916</v>
      </c>
      <c r="O203" s="96"/>
      <c r="P203" s="104">
        <f aca="true" t="shared" si="24" ref="P203:P208">N203</f>
        <v>916</v>
      </c>
      <c r="IB203"/>
      <c r="IC203"/>
      <c r="ID203"/>
      <c r="IE203"/>
      <c r="IF203"/>
      <c r="IG203"/>
    </row>
    <row r="204" spans="1:241" s="1" customFormat="1" ht="22.5">
      <c r="A204" s="90" t="s">
        <v>30</v>
      </c>
      <c r="B204" s="96"/>
      <c r="C204" s="96"/>
      <c r="D204" s="99">
        <v>40</v>
      </c>
      <c r="E204" s="96"/>
      <c r="F204" s="99">
        <v>40</v>
      </c>
      <c r="G204" s="99">
        <v>40</v>
      </c>
      <c r="H204" s="96"/>
      <c r="I204" s="96"/>
      <c r="J204" s="104">
        <f t="shared" si="23"/>
        <v>40</v>
      </c>
      <c r="K204" s="105"/>
      <c r="L204" s="105"/>
      <c r="M204" s="106"/>
      <c r="N204" s="99">
        <v>40</v>
      </c>
      <c r="O204" s="96"/>
      <c r="P204" s="104">
        <f t="shared" si="24"/>
        <v>40</v>
      </c>
      <c r="IB204"/>
      <c r="IC204"/>
      <c r="ID204"/>
      <c r="IE204"/>
      <c r="IF204"/>
      <c r="IG204"/>
    </row>
    <row r="205" spans="1:241" s="1" customFormat="1" ht="12">
      <c r="A205" s="89" t="s">
        <v>5</v>
      </c>
      <c r="B205" s="102"/>
      <c r="C205" s="102"/>
      <c r="D205" s="102"/>
      <c r="E205" s="102"/>
      <c r="F205" s="102"/>
      <c r="G205" s="102"/>
      <c r="H205" s="102"/>
      <c r="I205" s="102"/>
      <c r="J205" s="104">
        <f t="shared" si="23"/>
        <v>0</v>
      </c>
      <c r="K205" s="105"/>
      <c r="L205" s="105"/>
      <c r="M205" s="106"/>
      <c r="N205" s="102"/>
      <c r="O205" s="102"/>
      <c r="P205" s="104">
        <f t="shared" si="24"/>
        <v>0</v>
      </c>
      <c r="IB205"/>
      <c r="IC205"/>
      <c r="ID205"/>
      <c r="IE205"/>
      <c r="IF205"/>
      <c r="IG205"/>
    </row>
    <row r="206" spans="1:241" s="1" customFormat="1" ht="22.5">
      <c r="A206" s="90" t="s">
        <v>155</v>
      </c>
      <c r="B206" s="96"/>
      <c r="C206" s="96"/>
      <c r="D206" s="109">
        <f>D198</f>
        <v>93.1</v>
      </c>
      <c r="E206" s="109"/>
      <c r="F206" s="109">
        <f>D206</f>
        <v>93.1</v>
      </c>
      <c r="G206" s="109">
        <f>G198</f>
        <v>93.1</v>
      </c>
      <c r="H206" s="109"/>
      <c r="I206" s="109"/>
      <c r="J206" s="109">
        <f t="shared" si="23"/>
        <v>93.1</v>
      </c>
      <c r="K206" s="110"/>
      <c r="L206" s="110"/>
      <c r="M206" s="110"/>
      <c r="N206" s="109">
        <f>N198</f>
        <v>93.1</v>
      </c>
      <c r="O206" s="109"/>
      <c r="P206" s="109">
        <f t="shared" si="24"/>
        <v>93.1</v>
      </c>
      <c r="IB206"/>
      <c r="IC206"/>
      <c r="ID206"/>
      <c r="IE206"/>
      <c r="IF206"/>
      <c r="IG206"/>
    </row>
    <row r="207" spans="1:241" s="1" customFormat="1" ht="22.5">
      <c r="A207" s="90" t="s">
        <v>340</v>
      </c>
      <c r="B207" s="96"/>
      <c r="C207" s="96"/>
      <c r="D207" s="97">
        <v>600</v>
      </c>
      <c r="E207" s="97"/>
      <c r="F207" s="97">
        <f>D207</f>
        <v>600</v>
      </c>
      <c r="G207" s="97">
        <v>700</v>
      </c>
      <c r="H207" s="97"/>
      <c r="I207" s="97"/>
      <c r="J207" s="97">
        <f t="shared" si="23"/>
        <v>700</v>
      </c>
      <c r="K207" s="107"/>
      <c r="L207" s="107"/>
      <c r="M207" s="107"/>
      <c r="N207" s="97">
        <v>800</v>
      </c>
      <c r="O207" s="97"/>
      <c r="P207" s="97">
        <f t="shared" si="24"/>
        <v>800</v>
      </c>
      <c r="IB207"/>
      <c r="IC207"/>
      <c r="ID207"/>
      <c r="IE207"/>
      <c r="IF207"/>
      <c r="IG207"/>
    </row>
    <row r="208" spans="1:241" s="1" customFormat="1" ht="21.75" customHeight="1">
      <c r="A208" s="90" t="s">
        <v>156</v>
      </c>
      <c r="B208" s="96"/>
      <c r="C208" s="96"/>
      <c r="D208" s="97">
        <v>1</v>
      </c>
      <c r="E208" s="97"/>
      <c r="F208" s="97">
        <v>1</v>
      </c>
      <c r="G208" s="97">
        <v>1</v>
      </c>
      <c r="H208" s="97"/>
      <c r="I208" s="97"/>
      <c r="J208" s="97">
        <f t="shared" si="23"/>
        <v>1</v>
      </c>
      <c r="K208" s="107"/>
      <c r="L208" s="107"/>
      <c r="M208" s="107"/>
      <c r="N208" s="97">
        <v>1</v>
      </c>
      <c r="O208" s="97"/>
      <c r="P208" s="97">
        <f t="shared" si="24"/>
        <v>1</v>
      </c>
      <c r="IB208"/>
      <c r="IC208"/>
      <c r="ID208"/>
      <c r="IE208"/>
      <c r="IF208"/>
      <c r="IG208"/>
    </row>
    <row r="209" spans="1:241" s="1" customFormat="1" ht="30.75" customHeight="1">
      <c r="A209" s="90" t="s">
        <v>78</v>
      </c>
      <c r="B209" s="96"/>
      <c r="C209" s="96"/>
      <c r="D209" s="96">
        <v>1</v>
      </c>
      <c r="E209" s="96"/>
      <c r="F209" s="96">
        <v>1</v>
      </c>
      <c r="G209" s="96"/>
      <c r="H209" s="96"/>
      <c r="I209" s="96"/>
      <c r="J209" s="104"/>
      <c r="K209" s="105"/>
      <c r="L209" s="105"/>
      <c r="M209" s="106"/>
      <c r="N209" s="96">
        <v>1</v>
      </c>
      <c r="O209" s="96"/>
      <c r="P209" s="111">
        <v>1</v>
      </c>
      <c r="IB209"/>
      <c r="IC209"/>
      <c r="ID209"/>
      <c r="IE209"/>
      <c r="IF209"/>
      <c r="IG209"/>
    </row>
    <row r="210" spans="1:241" s="1" customFormat="1" ht="30.75" customHeight="1">
      <c r="A210" s="90" t="s">
        <v>299</v>
      </c>
      <c r="B210" s="96"/>
      <c r="C210" s="96"/>
      <c r="D210" s="99"/>
      <c r="E210" s="99"/>
      <c r="F210" s="99"/>
      <c r="G210" s="97"/>
      <c r="H210" s="97">
        <v>1</v>
      </c>
      <c r="I210" s="97"/>
      <c r="J210" s="97">
        <v>1</v>
      </c>
      <c r="K210" s="105"/>
      <c r="L210" s="105"/>
      <c r="M210" s="106"/>
      <c r="N210" s="96"/>
      <c r="O210" s="96"/>
      <c r="P210" s="111"/>
      <c r="IB210"/>
      <c r="IC210"/>
      <c r="ID210"/>
      <c r="IE210"/>
      <c r="IF210"/>
      <c r="IG210"/>
    </row>
    <row r="211" spans="1:241" s="1" customFormat="1" ht="19.5" customHeight="1">
      <c r="A211" s="90" t="s">
        <v>31</v>
      </c>
      <c r="B211" s="96"/>
      <c r="C211" s="96"/>
      <c r="D211" s="99">
        <v>65</v>
      </c>
      <c r="E211" s="96"/>
      <c r="F211" s="99">
        <v>65</v>
      </c>
      <c r="G211" s="99">
        <v>53</v>
      </c>
      <c r="H211" s="96"/>
      <c r="I211" s="96"/>
      <c r="J211" s="104">
        <f>G211</f>
        <v>53</v>
      </c>
      <c r="K211" s="105"/>
      <c r="L211" s="105"/>
      <c r="M211" s="106"/>
      <c r="N211" s="99">
        <v>53</v>
      </c>
      <c r="O211" s="96"/>
      <c r="P211" s="104">
        <f>N211</f>
        <v>53</v>
      </c>
      <c r="IB211"/>
      <c r="IC211"/>
      <c r="ID211"/>
      <c r="IE211"/>
      <c r="IF211"/>
      <c r="IG211"/>
    </row>
    <row r="212" spans="1:241" s="1" customFormat="1" ht="22.5" customHeight="1">
      <c r="A212" s="90" t="s">
        <v>32</v>
      </c>
      <c r="B212" s="96"/>
      <c r="C212" s="96"/>
      <c r="D212" s="99">
        <v>34</v>
      </c>
      <c r="E212" s="96"/>
      <c r="F212" s="99">
        <v>34</v>
      </c>
      <c r="G212" s="99">
        <v>34</v>
      </c>
      <c r="H212" s="96"/>
      <c r="I212" s="96"/>
      <c r="J212" s="104">
        <f>G212</f>
        <v>34</v>
      </c>
      <c r="K212" s="105"/>
      <c r="L212" s="105"/>
      <c r="M212" s="106"/>
      <c r="N212" s="99">
        <v>34</v>
      </c>
      <c r="O212" s="96"/>
      <c r="P212" s="104">
        <f>N212</f>
        <v>34</v>
      </c>
      <c r="IB212"/>
      <c r="IC212"/>
      <c r="ID212"/>
      <c r="IE212"/>
      <c r="IF212"/>
      <c r="IG212"/>
    </row>
    <row r="213" spans="1:241" s="1" customFormat="1" ht="22.5" customHeight="1">
      <c r="A213" s="90" t="s">
        <v>33</v>
      </c>
      <c r="B213" s="96"/>
      <c r="C213" s="96"/>
      <c r="D213" s="99">
        <v>30</v>
      </c>
      <c r="E213" s="96"/>
      <c r="F213" s="99">
        <v>30</v>
      </c>
      <c r="G213" s="99">
        <v>37</v>
      </c>
      <c r="H213" s="96"/>
      <c r="I213" s="96"/>
      <c r="J213" s="104">
        <f>G213</f>
        <v>37</v>
      </c>
      <c r="K213" s="105"/>
      <c r="L213" s="105"/>
      <c r="M213" s="106"/>
      <c r="N213" s="99">
        <v>37</v>
      </c>
      <c r="O213" s="96"/>
      <c r="P213" s="104">
        <f>N213</f>
        <v>37</v>
      </c>
      <c r="IB213"/>
      <c r="IC213"/>
      <c r="ID213"/>
      <c r="IE213"/>
      <c r="IF213"/>
      <c r="IG213"/>
    </row>
    <row r="214" spans="1:241" s="1" customFormat="1" ht="12" customHeight="1">
      <c r="A214" s="90" t="s">
        <v>26</v>
      </c>
      <c r="B214" s="96"/>
      <c r="C214" s="96"/>
      <c r="D214" s="99">
        <v>347</v>
      </c>
      <c r="E214" s="96"/>
      <c r="F214" s="99">
        <v>347</v>
      </c>
      <c r="G214" s="99">
        <v>125</v>
      </c>
      <c r="H214" s="96"/>
      <c r="I214" s="96"/>
      <c r="J214" s="104">
        <f>G214</f>
        <v>125</v>
      </c>
      <c r="K214" s="105"/>
      <c r="L214" s="105"/>
      <c r="M214" s="106"/>
      <c r="N214" s="99">
        <v>125</v>
      </c>
      <c r="O214" s="96"/>
      <c r="P214" s="104">
        <f>N214</f>
        <v>125</v>
      </c>
      <c r="IB214"/>
      <c r="IC214"/>
      <c r="ID214"/>
      <c r="IE214"/>
      <c r="IF214"/>
      <c r="IG214"/>
    </row>
    <row r="215" spans="1:241" s="1" customFormat="1" ht="22.5" customHeight="1">
      <c r="A215" s="90" t="s">
        <v>34</v>
      </c>
      <c r="B215" s="96"/>
      <c r="C215" s="96"/>
      <c r="D215" s="104"/>
      <c r="E215" s="96"/>
      <c r="F215" s="104"/>
      <c r="G215" s="104">
        <v>984.5</v>
      </c>
      <c r="H215" s="96"/>
      <c r="I215" s="96"/>
      <c r="J215" s="104">
        <v>984.5</v>
      </c>
      <c r="K215" s="105"/>
      <c r="L215" s="105"/>
      <c r="M215" s="106"/>
      <c r="N215" s="104">
        <v>984.5</v>
      </c>
      <c r="O215" s="96"/>
      <c r="P215" s="104">
        <v>984.5</v>
      </c>
      <c r="IB215"/>
      <c r="IC215"/>
      <c r="ID215"/>
      <c r="IE215"/>
      <c r="IF215"/>
      <c r="IG215"/>
    </row>
    <row r="216" spans="1:241" s="1" customFormat="1" ht="12">
      <c r="A216" s="89" t="s">
        <v>7</v>
      </c>
      <c r="B216" s="102"/>
      <c r="C216" s="102"/>
      <c r="D216" s="102"/>
      <c r="E216" s="102"/>
      <c r="F216" s="102"/>
      <c r="G216" s="102"/>
      <c r="H216" s="102"/>
      <c r="I216" s="102"/>
      <c r="J216" s="104"/>
      <c r="K216" s="105"/>
      <c r="L216" s="105"/>
      <c r="M216" s="106"/>
      <c r="N216" s="102"/>
      <c r="O216" s="102"/>
      <c r="P216" s="104"/>
      <c r="IB216"/>
      <c r="IC216"/>
      <c r="ID216"/>
      <c r="IE216"/>
      <c r="IF216"/>
      <c r="IG216"/>
    </row>
    <row r="217" spans="1:241" s="1" customFormat="1" ht="22.5">
      <c r="A217" s="90" t="s">
        <v>157</v>
      </c>
      <c r="B217" s="96"/>
      <c r="C217" s="96"/>
      <c r="D217" s="104">
        <v>48335</v>
      </c>
      <c r="E217" s="96"/>
      <c r="F217" s="104">
        <f>D217</f>
        <v>48335</v>
      </c>
      <c r="G217" s="99">
        <v>59076</v>
      </c>
      <c r="H217" s="96"/>
      <c r="I217" s="96"/>
      <c r="J217" s="99">
        <f>G217</f>
        <v>59076</v>
      </c>
      <c r="K217" s="108"/>
      <c r="L217" s="108"/>
      <c r="M217" s="108"/>
      <c r="N217" s="99">
        <v>69603</v>
      </c>
      <c r="O217" s="99"/>
      <c r="P217" s="99">
        <f>N217</f>
        <v>69603</v>
      </c>
      <c r="IB217"/>
      <c r="IC217"/>
      <c r="ID217"/>
      <c r="IE217"/>
      <c r="IF217"/>
      <c r="IG217"/>
    </row>
    <row r="218" spans="1:241" s="1" customFormat="1" ht="22.5" customHeight="1">
      <c r="A218" s="90" t="s">
        <v>56</v>
      </c>
      <c r="B218" s="96"/>
      <c r="C218" s="96"/>
      <c r="D218" s="96">
        <v>6000</v>
      </c>
      <c r="E218" s="96"/>
      <c r="F218" s="104">
        <f>D218</f>
        <v>6000</v>
      </c>
      <c r="G218" s="96">
        <v>10000</v>
      </c>
      <c r="H218" s="96"/>
      <c r="I218" s="96"/>
      <c r="J218" s="104">
        <f>G218</f>
        <v>10000</v>
      </c>
      <c r="K218" s="105"/>
      <c r="L218" s="105"/>
      <c r="M218" s="106"/>
      <c r="N218" s="96">
        <v>10000</v>
      </c>
      <c r="O218" s="96"/>
      <c r="P218" s="104">
        <f>N218</f>
        <v>10000</v>
      </c>
      <c r="IB218"/>
      <c r="IC218"/>
      <c r="ID218"/>
      <c r="IE218"/>
      <c r="IF218"/>
      <c r="IG218"/>
    </row>
    <row r="219" spans="1:241" s="1" customFormat="1" ht="24.75" customHeight="1">
      <c r="A219" s="90" t="s">
        <v>158</v>
      </c>
      <c r="B219" s="96"/>
      <c r="C219" s="96"/>
      <c r="D219" s="104">
        <v>2850</v>
      </c>
      <c r="E219" s="96"/>
      <c r="F219" s="104">
        <f>D219</f>
        <v>2850</v>
      </c>
      <c r="G219" s="99">
        <v>2943</v>
      </c>
      <c r="H219" s="99"/>
      <c r="I219" s="99"/>
      <c r="J219" s="99">
        <f>G219</f>
        <v>2943</v>
      </c>
      <c r="K219" s="108"/>
      <c r="L219" s="108"/>
      <c r="M219" s="108"/>
      <c r="N219" s="99">
        <v>3087.5</v>
      </c>
      <c r="O219" s="99"/>
      <c r="P219" s="99">
        <f>N219</f>
        <v>3087.5</v>
      </c>
      <c r="IB219"/>
      <c r="IC219"/>
      <c r="ID219"/>
      <c r="IE219"/>
      <c r="IF219"/>
      <c r="IG219"/>
    </row>
    <row r="220" spans="1:241" s="1" customFormat="1" ht="22.5">
      <c r="A220" s="90" t="s">
        <v>159</v>
      </c>
      <c r="B220" s="96"/>
      <c r="C220" s="96"/>
      <c r="D220" s="104">
        <v>140000</v>
      </c>
      <c r="E220" s="96"/>
      <c r="F220" s="104">
        <f>D220</f>
        <v>140000</v>
      </c>
      <c r="G220" s="104">
        <v>170000</v>
      </c>
      <c r="H220" s="96"/>
      <c r="I220" s="96"/>
      <c r="J220" s="104">
        <f>G220</f>
        <v>170000</v>
      </c>
      <c r="K220" s="105"/>
      <c r="L220" s="105"/>
      <c r="M220" s="106"/>
      <c r="N220" s="104">
        <v>200000</v>
      </c>
      <c r="O220" s="96"/>
      <c r="P220" s="104">
        <f>N220</f>
        <v>200000</v>
      </c>
      <c r="IB220"/>
      <c r="IC220"/>
      <c r="ID220"/>
      <c r="IE220"/>
      <c r="IF220"/>
      <c r="IG220"/>
    </row>
    <row r="221" spans="1:241" s="1" customFormat="1" ht="22.5">
      <c r="A221" s="90" t="s">
        <v>300</v>
      </c>
      <c r="B221" s="96"/>
      <c r="C221" s="96"/>
      <c r="D221" s="104"/>
      <c r="E221" s="96"/>
      <c r="F221" s="104"/>
      <c r="G221" s="104"/>
      <c r="H221" s="96">
        <v>120000</v>
      </c>
      <c r="I221" s="96"/>
      <c r="J221" s="104"/>
      <c r="K221" s="105"/>
      <c r="L221" s="105"/>
      <c r="M221" s="106"/>
      <c r="N221" s="104"/>
      <c r="O221" s="96"/>
      <c r="P221" s="104"/>
      <c r="IB221"/>
      <c r="IC221"/>
      <c r="ID221"/>
      <c r="IE221"/>
      <c r="IF221"/>
      <c r="IG221"/>
    </row>
    <row r="222" spans="1:241" s="1" customFormat="1" ht="15" customHeight="1">
      <c r="A222" s="90" t="s">
        <v>27</v>
      </c>
      <c r="B222" s="96"/>
      <c r="C222" s="96"/>
      <c r="D222" s="99">
        <v>580</v>
      </c>
      <c r="E222" s="96"/>
      <c r="F222" s="99">
        <v>580</v>
      </c>
      <c r="G222" s="99">
        <v>663.1</v>
      </c>
      <c r="H222" s="96"/>
      <c r="I222" s="96"/>
      <c r="J222" s="104">
        <f>G222</f>
        <v>663.1</v>
      </c>
      <c r="K222" s="105"/>
      <c r="L222" s="105"/>
      <c r="M222" s="106"/>
      <c r="N222" s="99">
        <v>663.1</v>
      </c>
      <c r="O222" s="96"/>
      <c r="P222" s="104">
        <f>N222</f>
        <v>663.1</v>
      </c>
      <c r="IB222"/>
      <c r="IC222"/>
      <c r="ID222"/>
      <c r="IE222"/>
      <c r="IF222"/>
      <c r="IG222"/>
    </row>
    <row r="223" spans="1:241" s="1" customFormat="1" ht="22.5" customHeight="1">
      <c r="A223" s="90" t="s">
        <v>35</v>
      </c>
      <c r="B223" s="96"/>
      <c r="C223" s="96"/>
      <c r="D223" s="99">
        <v>778</v>
      </c>
      <c r="E223" s="96"/>
      <c r="F223" s="99">
        <v>778</v>
      </c>
      <c r="G223" s="99">
        <v>691.86</v>
      </c>
      <c r="H223" s="96"/>
      <c r="I223" s="96"/>
      <c r="J223" s="104">
        <f>G223</f>
        <v>691.86</v>
      </c>
      <c r="K223" s="105"/>
      <c r="L223" s="105"/>
      <c r="M223" s="106"/>
      <c r="N223" s="99">
        <v>691.86</v>
      </c>
      <c r="O223" s="96"/>
      <c r="P223" s="104">
        <f>N223</f>
        <v>691.86</v>
      </c>
      <c r="IB223"/>
      <c r="IC223"/>
      <c r="ID223"/>
      <c r="IE223"/>
      <c r="IF223"/>
      <c r="IG223"/>
    </row>
    <row r="224" spans="1:241" s="1" customFormat="1" ht="22.5" customHeight="1">
      <c r="A224" s="90" t="s">
        <v>36</v>
      </c>
      <c r="B224" s="96"/>
      <c r="C224" s="96"/>
      <c r="D224" s="99">
        <v>23.66</v>
      </c>
      <c r="E224" s="96"/>
      <c r="F224" s="99">
        <v>23.66</v>
      </c>
      <c r="G224" s="99">
        <v>22.01</v>
      </c>
      <c r="H224" s="96"/>
      <c r="I224" s="96"/>
      <c r="J224" s="104">
        <f>G224</f>
        <v>22.01</v>
      </c>
      <c r="K224" s="105"/>
      <c r="L224" s="105"/>
      <c r="M224" s="106"/>
      <c r="N224" s="99">
        <v>22.01</v>
      </c>
      <c r="O224" s="96"/>
      <c r="P224" s="104">
        <f>N224</f>
        <v>22.01</v>
      </c>
      <c r="IB224"/>
      <c r="IC224"/>
      <c r="ID224"/>
      <c r="IE224"/>
      <c r="IF224"/>
      <c r="IG224"/>
    </row>
    <row r="225" spans="1:241" s="1" customFormat="1" ht="22.5" customHeight="1">
      <c r="A225" s="90" t="s">
        <v>37</v>
      </c>
      <c r="B225" s="96"/>
      <c r="C225" s="96"/>
      <c r="D225" s="99">
        <v>329</v>
      </c>
      <c r="E225" s="96"/>
      <c r="F225" s="99">
        <v>329</v>
      </c>
      <c r="G225" s="99">
        <v>160.11</v>
      </c>
      <c r="H225" s="96"/>
      <c r="I225" s="96"/>
      <c r="J225" s="104">
        <f>G225</f>
        <v>160.11</v>
      </c>
      <c r="K225" s="105"/>
      <c r="L225" s="105"/>
      <c r="M225" s="106"/>
      <c r="N225" s="99">
        <v>160.11</v>
      </c>
      <c r="O225" s="96"/>
      <c r="P225" s="104">
        <f>N225</f>
        <v>160.11</v>
      </c>
      <c r="IB225"/>
      <c r="IC225"/>
      <c r="ID225"/>
      <c r="IE225"/>
      <c r="IF225"/>
      <c r="IG225"/>
    </row>
    <row r="226" spans="1:241" s="1" customFormat="1" ht="38.25" customHeight="1">
      <c r="A226" s="90" t="s">
        <v>82</v>
      </c>
      <c r="B226" s="96"/>
      <c r="C226" s="96"/>
      <c r="D226" s="99">
        <v>50000</v>
      </c>
      <c r="E226" s="96"/>
      <c r="F226" s="99">
        <f>D226</f>
        <v>50000</v>
      </c>
      <c r="G226" s="99"/>
      <c r="H226" s="96"/>
      <c r="I226" s="96"/>
      <c r="J226" s="104"/>
      <c r="K226" s="105"/>
      <c r="L226" s="105"/>
      <c r="M226" s="106"/>
      <c r="N226" s="99">
        <f>N201</f>
        <v>0</v>
      </c>
      <c r="O226" s="96"/>
      <c r="P226" s="104">
        <f>N226</f>
        <v>0</v>
      </c>
      <c r="IB226"/>
      <c r="IC226"/>
      <c r="ID226"/>
      <c r="IE226"/>
      <c r="IF226"/>
      <c r="IG226"/>
    </row>
    <row r="227" spans="1:241" s="1" customFormat="1" ht="12" customHeight="1">
      <c r="A227" s="89" t="s">
        <v>6</v>
      </c>
      <c r="B227" s="96"/>
      <c r="C227" s="96"/>
      <c r="D227" s="99"/>
      <c r="E227" s="96"/>
      <c r="F227" s="99"/>
      <c r="G227" s="99"/>
      <c r="H227" s="96"/>
      <c r="I227" s="96"/>
      <c r="J227" s="104"/>
      <c r="K227" s="105"/>
      <c r="L227" s="105"/>
      <c r="M227" s="106"/>
      <c r="N227" s="99"/>
      <c r="O227" s="96"/>
      <c r="P227" s="104"/>
      <c r="IB227"/>
      <c r="IC227"/>
      <c r="ID227"/>
      <c r="IE227"/>
      <c r="IF227"/>
      <c r="IG227"/>
    </row>
    <row r="228" spans="1:241" s="1" customFormat="1" ht="33.75">
      <c r="A228" s="90" t="s">
        <v>161</v>
      </c>
      <c r="B228" s="96"/>
      <c r="C228" s="96"/>
      <c r="D228" s="97">
        <f>D206/D198*100</f>
        <v>100</v>
      </c>
      <c r="E228" s="97"/>
      <c r="F228" s="97">
        <f>F206/F198*100</f>
        <v>100</v>
      </c>
      <c r="G228" s="97">
        <f>G206/G198*100</f>
        <v>100</v>
      </c>
      <c r="H228" s="97"/>
      <c r="I228" s="97"/>
      <c r="J228" s="97">
        <f>J206/J198*100</f>
        <v>100</v>
      </c>
      <c r="K228" s="97" t="e">
        <f>K206/K198*100</f>
        <v>#DIV/0!</v>
      </c>
      <c r="L228" s="97" t="e">
        <f>L206/L198*100</f>
        <v>#DIV/0!</v>
      </c>
      <c r="M228" s="97" t="e">
        <f>M206/M198*100</f>
        <v>#DIV/0!</v>
      </c>
      <c r="N228" s="97">
        <f>N206/N198*100</f>
        <v>100</v>
      </c>
      <c r="O228" s="97"/>
      <c r="P228" s="97">
        <f>P206/P198*100</f>
        <v>100</v>
      </c>
      <c r="IB228"/>
      <c r="IC228"/>
      <c r="ID228"/>
      <c r="IE228"/>
      <c r="IF228"/>
      <c r="IG228"/>
    </row>
    <row r="229" spans="1:241" s="1" customFormat="1" ht="29.25" customHeight="1">
      <c r="A229" s="90" t="s">
        <v>160</v>
      </c>
      <c r="B229" s="96"/>
      <c r="C229" s="96"/>
      <c r="D229" s="99"/>
      <c r="E229" s="96"/>
      <c r="F229" s="99"/>
      <c r="G229" s="97">
        <f>G219/D219*100</f>
        <v>103.26315789473684</v>
      </c>
      <c r="H229" s="97"/>
      <c r="I229" s="97"/>
      <c r="J229" s="97">
        <f>J219/F219*100</f>
        <v>103.26315789473684</v>
      </c>
      <c r="K229" s="107"/>
      <c r="L229" s="107"/>
      <c r="M229" s="107"/>
      <c r="N229" s="97">
        <f>N219/G219*100</f>
        <v>104.90995582738702</v>
      </c>
      <c r="O229" s="97"/>
      <c r="P229" s="97">
        <f>P219/J219*100</f>
        <v>104.90995582738702</v>
      </c>
      <c r="IB229"/>
      <c r="IC229"/>
      <c r="ID229"/>
      <c r="IE229"/>
      <c r="IF229"/>
      <c r="IG229"/>
    </row>
    <row r="230" spans="1:241" s="1" customFormat="1" ht="38.25" customHeight="1">
      <c r="A230" s="90" t="s">
        <v>162</v>
      </c>
      <c r="B230" s="96"/>
      <c r="C230" s="96"/>
      <c r="D230" s="99"/>
      <c r="E230" s="96"/>
      <c r="F230" s="99"/>
      <c r="G230" s="97">
        <f>G220/D220*100</f>
        <v>121.42857142857142</v>
      </c>
      <c r="H230" s="96"/>
      <c r="I230" s="96"/>
      <c r="J230" s="97">
        <f>J220/F220*100</f>
        <v>121.42857142857142</v>
      </c>
      <c r="K230" s="105"/>
      <c r="L230" s="105"/>
      <c r="M230" s="106"/>
      <c r="N230" s="97">
        <f>N220/G220*100</f>
        <v>117.64705882352942</v>
      </c>
      <c r="O230" s="96"/>
      <c r="P230" s="97">
        <f>P220/J220*100</f>
        <v>117.64705882352942</v>
      </c>
      <c r="IB230"/>
      <c r="IC230"/>
      <c r="ID230"/>
      <c r="IE230"/>
      <c r="IF230"/>
      <c r="IG230"/>
    </row>
    <row r="231" spans="1:241" s="179" customFormat="1" ht="22.5">
      <c r="A231" s="167" t="s">
        <v>344</v>
      </c>
      <c r="B231" s="176"/>
      <c r="C231" s="176"/>
      <c r="D231" s="178">
        <f>(D233*D238)+(D234*D239)+(D235*D240)-110.1</f>
        <v>1035000</v>
      </c>
      <c r="E231" s="178"/>
      <c r="F231" s="178">
        <f>(F233*F238)+(F234*F239)+(F235*F240)-110.1</f>
        <v>1035000</v>
      </c>
      <c r="G231" s="178">
        <f>(G233*G238)+(G234*G239)+(G235*G240)-27.3+25000+G236*G241</f>
        <v>1505080.0019999999</v>
      </c>
      <c r="H231" s="178"/>
      <c r="I231" s="178"/>
      <c r="J231" s="178">
        <f>G231</f>
        <v>1505080.0019999999</v>
      </c>
      <c r="K231" s="178">
        <f>(K233*K238)+(K234*K239)+(K235*K240)-110.1</f>
        <v>-110.1</v>
      </c>
      <c r="L231" s="178">
        <f>(L233*L238)+(L234*L239)+(L235*L240)-110.1</f>
        <v>-110.1</v>
      </c>
      <c r="M231" s="178">
        <f>(M233*M238)+(M234*M239)+(M235*M240)-110.1</f>
        <v>-110.1</v>
      </c>
      <c r="N231" s="178">
        <f>(N233*N238)+(N234*N239)+(N235*N240)+34.9</f>
        <v>1340000</v>
      </c>
      <c r="O231" s="178"/>
      <c r="P231" s="178">
        <f>N231</f>
        <v>1340000</v>
      </c>
      <c r="IB231" s="180"/>
      <c r="IC231" s="180"/>
      <c r="ID231" s="180"/>
      <c r="IE231" s="180"/>
      <c r="IF231" s="180"/>
      <c r="IG231" s="180"/>
    </row>
    <row r="232" spans="1:241" s="1" customFormat="1" ht="11.25">
      <c r="A232" s="89" t="s">
        <v>5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IB232"/>
      <c r="IC232"/>
      <c r="ID232"/>
      <c r="IE232"/>
      <c r="IF232"/>
      <c r="IG232"/>
    </row>
    <row r="233" spans="1:241" s="1" customFormat="1" ht="22.5" customHeight="1">
      <c r="A233" s="90" t="s">
        <v>141</v>
      </c>
      <c r="B233" s="96"/>
      <c r="C233" s="96"/>
      <c r="D233" s="97">
        <v>167170</v>
      </c>
      <c r="E233" s="97"/>
      <c r="F233" s="97">
        <f>D233</f>
        <v>167170</v>
      </c>
      <c r="G233" s="97">
        <f>F233</f>
        <v>167170</v>
      </c>
      <c r="H233" s="97"/>
      <c r="I233" s="97"/>
      <c r="J233" s="97">
        <f>G233</f>
        <v>167170</v>
      </c>
      <c r="K233" s="107"/>
      <c r="L233" s="107"/>
      <c r="M233" s="107"/>
      <c r="N233" s="97">
        <f>G233</f>
        <v>167170</v>
      </c>
      <c r="O233" s="97"/>
      <c r="P233" s="97">
        <f>N233</f>
        <v>167170</v>
      </c>
      <c r="IB233"/>
      <c r="IC233"/>
      <c r="ID233"/>
      <c r="IE233"/>
      <c r="IF233"/>
      <c r="IG233"/>
    </row>
    <row r="234" spans="1:241" s="1" customFormat="1" ht="22.5" hidden="1">
      <c r="A234" s="90" t="s">
        <v>164</v>
      </c>
      <c r="B234" s="96"/>
      <c r="C234" s="96"/>
      <c r="D234" s="97">
        <v>160</v>
      </c>
      <c r="E234" s="97"/>
      <c r="F234" s="97">
        <f>D234</f>
        <v>160</v>
      </c>
      <c r="G234" s="97"/>
      <c r="H234" s="97"/>
      <c r="I234" s="97"/>
      <c r="J234" s="97"/>
      <c r="K234" s="107"/>
      <c r="L234" s="107"/>
      <c r="M234" s="107"/>
      <c r="N234" s="97"/>
      <c r="O234" s="97"/>
      <c r="P234" s="97"/>
      <c r="IB234"/>
      <c r="IC234"/>
      <c r="ID234"/>
      <c r="IE234"/>
      <c r="IF234"/>
      <c r="IG234"/>
    </row>
    <row r="235" spans="1:241" s="1" customFormat="1" ht="33" customHeight="1">
      <c r="A235" s="90" t="s">
        <v>396</v>
      </c>
      <c r="B235" s="96"/>
      <c r="C235" s="96"/>
      <c r="D235" s="97">
        <v>4600</v>
      </c>
      <c r="E235" s="97"/>
      <c r="F235" s="97">
        <f>D235</f>
        <v>4600</v>
      </c>
      <c r="G235" s="97">
        <v>4995</v>
      </c>
      <c r="H235" s="97"/>
      <c r="I235" s="97"/>
      <c r="J235" s="97">
        <f>G235</f>
        <v>4995</v>
      </c>
      <c r="K235" s="107"/>
      <c r="L235" s="107"/>
      <c r="M235" s="107"/>
      <c r="N235" s="97">
        <v>5425</v>
      </c>
      <c r="O235" s="97"/>
      <c r="P235" s="97">
        <f>N235</f>
        <v>5425</v>
      </c>
      <c r="IB235"/>
      <c r="IC235"/>
      <c r="ID235"/>
      <c r="IE235"/>
      <c r="IF235"/>
      <c r="IG235"/>
    </row>
    <row r="236" spans="1:241" s="1" customFormat="1" ht="45">
      <c r="A236" s="90" t="s">
        <v>381</v>
      </c>
      <c r="B236" s="96"/>
      <c r="C236" s="96"/>
      <c r="D236" s="97"/>
      <c r="E236" s="97"/>
      <c r="F236" s="97"/>
      <c r="G236" s="97">
        <v>2510</v>
      </c>
      <c r="H236" s="97"/>
      <c r="I236" s="97"/>
      <c r="J236" s="97">
        <f>G236</f>
        <v>2510</v>
      </c>
      <c r="K236" s="107"/>
      <c r="L236" s="107"/>
      <c r="M236" s="107"/>
      <c r="N236" s="97"/>
      <c r="O236" s="97"/>
      <c r="P236" s="97"/>
      <c r="IB236"/>
      <c r="IC236"/>
      <c r="ID236"/>
      <c r="IE236"/>
      <c r="IF236"/>
      <c r="IG236"/>
    </row>
    <row r="237" spans="1:241" s="1" customFormat="1" ht="12">
      <c r="A237" s="89" t="s">
        <v>7</v>
      </c>
      <c r="B237" s="102"/>
      <c r="C237" s="102"/>
      <c r="D237" s="102"/>
      <c r="E237" s="102"/>
      <c r="F237" s="99"/>
      <c r="G237" s="102"/>
      <c r="H237" s="102"/>
      <c r="I237" s="102"/>
      <c r="J237" s="104"/>
      <c r="K237" s="105"/>
      <c r="L237" s="105"/>
      <c r="M237" s="106"/>
      <c r="N237" s="102"/>
      <c r="O237" s="102"/>
      <c r="P237" s="104"/>
      <c r="IB237"/>
      <c r="IC237"/>
      <c r="ID237"/>
      <c r="IE237"/>
      <c r="IF237"/>
      <c r="IG237"/>
    </row>
    <row r="238" spans="1:241" s="1" customFormat="1" ht="23.25" customHeight="1">
      <c r="A238" s="90" t="s">
        <v>147</v>
      </c>
      <c r="B238" s="96"/>
      <c r="C238" s="96"/>
      <c r="D238" s="99">
        <v>3.53</v>
      </c>
      <c r="E238" s="96"/>
      <c r="F238" s="99">
        <f>D238</f>
        <v>3.53</v>
      </c>
      <c r="G238" s="99">
        <v>4.19</v>
      </c>
      <c r="H238" s="96"/>
      <c r="I238" s="96"/>
      <c r="J238" s="104">
        <f>G238</f>
        <v>4.19</v>
      </c>
      <c r="K238" s="105"/>
      <c r="L238" s="105"/>
      <c r="M238" s="106"/>
      <c r="N238" s="99">
        <v>5.03</v>
      </c>
      <c r="O238" s="96"/>
      <c r="P238" s="104">
        <f>N238</f>
        <v>5.03</v>
      </c>
      <c r="IB238"/>
      <c r="IC238"/>
      <c r="ID238"/>
      <c r="IE238"/>
      <c r="IF238"/>
      <c r="IG238"/>
    </row>
    <row r="239" spans="1:241" s="1" customFormat="1" ht="12" hidden="1">
      <c r="A239" s="90" t="s">
        <v>165</v>
      </c>
      <c r="B239" s="96"/>
      <c r="C239" s="96"/>
      <c r="D239" s="99">
        <v>625</v>
      </c>
      <c r="E239" s="96"/>
      <c r="F239" s="99">
        <f>D239</f>
        <v>625</v>
      </c>
      <c r="G239" s="99"/>
      <c r="H239" s="96"/>
      <c r="I239" s="96"/>
      <c r="J239" s="104"/>
      <c r="K239" s="105"/>
      <c r="L239" s="105"/>
      <c r="M239" s="106"/>
      <c r="N239" s="99"/>
      <c r="O239" s="96"/>
      <c r="P239" s="104"/>
      <c r="IB239"/>
      <c r="IC239"/>
      <c r="ID239"/>
      <c r="IE239"/>
      <c r="IF239"/>
      <c r="IG239"/>
    </row>
    <row r="240" spans="1:241" s="1" customFormat="1" ht="36" customHeight="1">
      <c r="A240" s="90" t="s">
        <v>397</v>
      </c>
      <c r="B240" s="96"/>
      <c r="C240" s="96"/>
      <c r="D240" s="99">
        <v>75</v>
      </c>
      <c r="E240" s="99"/>
      <c r="F240" s="99">
        <f>D240</f>
        <v>75</v>
      </c>
      <c r="G240" s="99">
        <v>83</v>
      </c>
      <c r="H240" s="99"/>
      <c r="I240" s="99"/>
      <c r="J240" s="99">
        <f>G240</f>
        <v>83</v>
      </c>
      <c r="K240" s="108"/>
      <c r="L240" s="108"/>
      <c r="M240" s="108"/>
      <c r="N240" s="99">
        <v>92</v>
      </c>
      <c r="O240" s="99"/>
      <c r="P240" s="99">
        <f>N240</f>
        <v>92</v>
      </c>
      <c r="IB240"/>
      <c r="IC240"/>
      <c r="ID240"/>
      <c r="IE240"/>
      <c r="IF240"/>
      <c r="IG240"/>
    </row>
    <row r="241" spans="1:241" s="1" customFormat="1" ht="45">
      <c r="A241" s="90" t="s">
        <v>382</v>
      </c>
      <c r="B241" s="96"/>
      <c r="C241" s="96"/>
      <c r="D241" s="99"/>
      <c r="E241" s="99"/>
      <c r="F241" s="99"/>
      <c r="G241" s="99">
        <v>145.4502</v>
      </c>
      <c r="H241" s="99"/>
      <c r="I241" s="99"/>
      <c r="J241" s="99">
        <f>G241</f>
        <v>145.4502</v>
      </c>
      <c r="K241" s="108"/>
      <c r="L241" s="108"/>
      <c r="M241" s="108"/>
      <c r="N241" s="99"/>
      <c r="O241" s="99"/>
      <c r="P241" s="99"/>
      <c r="IB241"/>
      <c r="IC241"/>
      <c r="ID241"/>
      <c r="IE241"/>
      <c r="IF241"/>
      <c r="IG241"/>
    </row>
    <row r="242" spans="1:241" s="1" customFormat="1" ht="12">
      <c r="A242" s="89" t="s">
        <v>6</v>
      </c>
      <c r="B242" s="96"/>
      <c r="C242" s="96"/>
      <c r="D242" s="99"/>
      <c r="E242" s="96"/>
      <c r="F242" s="99"/>
      <c r="G242" s="99"/>
      <c r="H242" s="96"/>
      <c r="I242" s="96"/>
      <c r="J242" s="104"/>
      <c r="K242" s="105"/>
      <c r="L242" s="105"/>
      <c r="M242" s="106"/>
      <c r="N242" s="99"/>
      <c r="O242" s="96"/>
      <c r="P242" s="104"/>
      <c r="IB242"/>
      <c r="IC242"/>
      <c r="ID242"/>
      <c r="IE242"/>
      <c r="IF242"/>
      <c r="IG242"/>
    </row>
    <row r="243" spans="1:241" s="1" customFormat="1" ht="36" customHeight="1">
      <c r="A243" s="90" t="s">
        <v>166</v>
      </c>
      <c r="B243" s="96"/>
      <c r="C243" s="96"/>
      <c r="D243" s="99"/>
      <c r="E243" s="96"/>
      <c r="F243" s="99"/>
      <c r="G243" s="97">
        <f>G238/D238*100</f>
        <v>118.69688385269124</v>
      </c>
      <c r="H243" s="97"/>
      <c r="I243" s="97"/>
      <c r="J243" s="97">
        <f>G243</f>
        <v>118.69688385269124</v>
      </c>
      <c r="K243" s="107"/>
      <c r="L243" s="107"/>
      <c r="M243" s="107"/>
      <c r="N243" s="97">
        <f>N238/G238*100</f>
        <v>120.04773269689737</v>
      </c>
      <c r="O243" s="97"/>
      <c r="P243" s="97">
        <f>N243</f>
        <v>120.04773269689737</v>
      </c>
      <c r="IB243"/>
      <c r="IC243"/>
      <c r="ID243"/>
      <c r="IE243"/>
      <c r="IF243"/>
      <c r="IG243"/>
    </row>
    <row r="244" spans="1:241" s="1" customFormat="1" ht="51" customHeight="1">
      <c r="A244" s="90" t="s">
        <v>167</v>
      </c>
      <c r="B244" s="96"/>
      <c r="C244" s="96"/>
      <c r="D244" s="99"/>
      <c r="E244" s="96"/>
      <c r="F244" s="99"/>
      <c r="G244" s="97">
        <f>G240/D240*100</f>
        <v>110.66666666666667</v>
      </c>
      <c r="H244" s="96"/>
      <c r="I244" s="96"/>
      <c r="J244" s="111">
        <f>G244</f>
        <v>110.66666666666667</v>
      </c>
      <c r="K244" s="105"/>
      <c r="L244" s="105"/>
      <c r="M244" s="106"/>
      <c r="N244" s="97">
        <f>N240/G240*100</f>
        <v>110.8433734939759</v>
      </c>
      <c r="O244" s="97"/>
      <c r="P244" s="97">
        <f>N244</f>
        <v>110.8433734939759</v>
      </c>
      <c r="IB244"/>
      <c r="IC244"/>
      <c r="ID244"/>
      <c r="IE244"/>
      <c r="IF244"/>
      <c r="IG244"/>
    </row>
    <row r="245" spans="1:241" s="1" customFormat="1" ht="51" customHeight="1">
      <c r="A245" s="90" t="s">
        <v>383</v>
      </c>
      <c r="B245" s="96"/>
      <c r="C245" s="96"/>
      <c r="D245" s="99"/>
      <c r="E245" s="96"/>
      <c r="F245" s="99"/>
      <c r="G245" s="97"/>
      <c r="H245" s="96"/>
      <c r="I245" s="96"/>
      <c r="J245" s="111"/>
      <c r="K245" s="105"/>
      <c r="L245" s="105"/>
      <c r="M245" s="106"/>
      <c r="N245" s="97"/>
      <c r="O245" s="97"/>
      <c r="P245" s="97"/>
      <c r="IB245"/>
      <c r="IC245"/>
      <c r="ID245"/>
      <c r="IE245"/>
      <c r="IF245"/>
      <c r="IG245"/>
    </row>
    <row r="246" spans="1:241" s="179" customFormat="1" ht="22.5">
      <c r="A246" s="167" t="s">
        <v>345</v>
      </c>
      <c r="B246" s="176"/>
      <c r="C246" s="176"/>
      <c r="D246" s="178">
        <f>(D250*D257)+(D251*D258)+(D252*D261)-2</f>
        <v>2306500</v>
      </c>
      <c r="E246" s="178"/>
      <c r="F246" s="178">
        <f>D246</f>
        <v>2306500</v>
      </c>
      <c r="G246" s="178">
        <f>(G250*G257)+(G251*G258)+2+363000+200000+67555-75000</f>
        <v>3821555</v>
      </c>
      <c r="H246" s="178"/>
      <c r="I246" s="178"/>
      <c r="J246" s="178">
        <f>G246</f>
        <v>3821555</v>
      </c>
      <c r="K246" s="178">
        <f>(K250*K257)+(K251*K258)</f>
        <v>0</v>
      </c>
      <c r="L246" s="178">
        <f>(L250*L257)+(L251*L258)</f>
        <v>0</v>
      </c>
      <c r="M246" s="178">
        <f>(M250*M257)+(M251*M258)</f>
        <v>0</v>
      </c>
      <c r="N246" s="178">
        <f>(N250*N257)+(N251*N258)</f>
        <v>3922500</v>
      </c>
      <c r="O246" s="178"/>
      <c r="P246" s="178">
        <f>(P250*P257)+(P251*P258)</f>
        <v>3922500</v>
      </c>
      <c r="IB246" s="180"/>
      <c r="IC246" s="180"/>
      <c r="ID246" s="180"/>
      <c r="IE246" s="180"/>
      <c r="IF246" s="180"/>
      <c r="IG246" s="180"/>
    </row>
    <row r="247" spans="1:241" s="1" customFormat="1" ht="22.5" customHeight="1" hidden="1">
      <c r="A247" s="33" t="s">
        <v>51</v>
      </c>
      <c r="B247" s="17"/>
      <c r="C247" s="17"/>
      <c r="D247" s="17">
        <f aca="true" t="shared" si="25" ref="D247:J247">D249*D256+D250*D257+D251*D258</f>
        <v>2238832</v>
      </c>
      <c r="E247" s="17">
        <f t="shared" si="25"/>
        <v>0</v>
      </c>
      <c r="F247" s="17">
        <f t="shared" si="25"/>
        <v>2238832</v>
      </c>
      <c r="G247" s="17">
        <f t="shared" si="25"/>
        <v>3301561</v>
      </c>
      <c r="H247" s="17">
        <f t="shared" si="25"/>
        <v>0</v>
      </c>
      <c r="I247" s="17"/>
      <c r="J247" s="17">
        <f t="shared" si="25"/>
        <v>3301561</v>
      </c>
      <c r="K247" s="21"/>
      <c r="L247" s="21"/>
      <c r="M247" s="22"/>
      <c r="N247" s="17">
        <f>N249*N256+N250*N257+N251*N258</f>
        <v>3958063</v>
      </c>
      <c r="O247" s="17">
        <f>O249*O256+O250*O257+O251*O258</f>
        <v>0</v>
      </c>
      <c r="P247" s="17">
        <f>P249*P256+P250*P257+P251*P258</f>
        <v>3958063</v>
      </c>
      <c r="IB247"/>
      <c r="IC247"/>
      <c r="ID247"/>
      <c r="IE247"/>
      <c r="IF247"/>
      <c r="IG247"/>
    </row>
    <row r="248" spans="1:241" s="1" customFormat="1" ht="12" customHeight="1">
      <c r="A248" s="89" t="s">
        <v>5</v>
      </c>
      <c r="B248" s="102"/>
      <c r="C248" s="102"/>
      <c r="D248" s="102"/>
      <c r="E248" s="102"/>
      <c r="F248" s="99"/>
      <c r="G248" s="102"/>
      <c r="H248" s="102"/>
      <c r="I248" s="102"/>
      <c r="J248" s="104"/>
      <c r="K248" s="105"/>
      <c r="L248" s="105"/>
      <c r="M248" s="106"/>
      <c r="N248" s="102"/>
      <c r="O248" s="102"/>
      <c r="P248" s="104"/>
      <c r="IB248"/>
      <c r="IC248"/>
      <c r="ID248"/>
      <c r="IE248"/>
      <c r="IF248"/>
      <c r="IG248"/>
    </row>
    <row r="249" spans="1:241" s="1" customFormat="1" ht="13.5" customHeight="1" hidden="1">
      <c r="A249" s="90" t="s">
        <v>38</v>
      </c>
      <c r="B249" s="96"/>
      <c r="C249" s="96"/>
      <c r="D249" s="99">
        <v>1220</v>
      </c>
      <c r="E249" s="96"/>
      <c r="F249" s="99">
        <f aca="true" t="shared" si="26" ref="F249:F258">D249</f>
        <v>1220</v>
      </c>
      <c r="G249" s="99">
        <v>1220</v>
      </c>
      <c r="H249" s="96"/>
      <c r="I249" s="96"/>
      <c r="J249" s="104">
        <f aca="true" t="shared" si="27" ref="J249:J260">G249</f>
        <v>1220</v>
      </c>
      <c r="K249" s="105"/>
      <c r="L249" s="105"/>
      <c r="M249" s="106"/>
      <c r="N249" s="99">
        <v>1220</v>
      </c>
      <c r="O249" s="96"/>
      <c r="P249" s="104">
        <f aca="true" t="shared" si="28" ref="P249:P260">N249</f>
        <v>1220</v>
      </c>
      <c r="IB249"/>
      <c r="IC249"/>
      <c r="ID249"/>
      <c r="IE249"/>
      <c r="IF249"/>
      <c r="IG249"/>
    </row>
    <row r="250" spans="1:241" s="1" customFormat="1" ht="22.5">
      <c r="A250" s="90" t="s">
        <v>168</v>
      </c>
      <c r="B250" s="96"/>
      <c r="C250" s="96"/>
      <c r="D250" s="97">
        <v>4</v>
      </c>
      <c r="E250" s="97"/>
      <c r="F250" s="97">
        <f t="shared" si="26"/>
        <v>4</v>
      </c>
      <c r="G250" s="97">
        <f>6</f>
        <v>6</v>
      </c>
      <c r="H250" s="97"/>
      <c r="I250" s="97"/>
      <c r="J250" s="97">
        <f t="shared" si="27"/>
        <v>6</v>
      </c>
      <c r="K250" s="107"/>
      <c r="L250" s="107"/>
      <c r="M250" s="107"/>
      <c r="N250" s="97">
        <f>G250</f>
        <v>6</v>
      </c>
      <c r="O250" s="97"/>
      <c r="P250" s="97">
        <f t="shared" si="28"/>
        <v>6</v>
      </c>
      <c r="IB250"/>
      <c r="IC250"/>
      <c r="ID250"/>
      <c r="IE250"/>
      <c r="IF250"/>
      <c r="IG250"/>
    </row>
    <row r="251" spans="1:241" s="1" customFormat="1" ht="22.5" customHeight="1">
      <c r="A251" s="90" t="s">
        <v>169</v>
      </c>
      <c r="B251" s="96"/>
      <c r="C251" s="96"/>
      <c r="D251" s="97">
        <v>6</v>
      </c>
      <c r="E251" s="97"/>
      <c r="F251" s="97">
        <f t="shared" si="26"/>
        <v>6</v>
      </c>
      <c r="G251" s="97">
        <f>D251</f>
        <v>6</v>
      </c>
      <c r="H251" s="97"/>
      <c r="I251" s="97"/>
      <c r="J251" s="97">
        <f t="shared" si="27"/>
        <v>6</v>
      </c>
      <c r="K251" s="107"/>
      <c r="L251" s="107"/>
      <c r="M251" s="107"/>
      <c r="N251" s="97">
        <f>G251</f>
        <v>6</v>
      </c>
      <c r="O251" s="97"/>
      <c r="P251" s="97">
        <f t="shared" si="28"/>
        <v>6</v>
      </c>
      <c r="IB251"/>
      <c r="IC251"/>
      <c r="ID251"/>
      <c r="IE251"/>
      <c r="IF251"/>
      <c r="IG251"/>
    </row>
    <row r="252" spans="1:241" s="1" customFormat="1" ht="22.5" customHeight="1">
      <c r="A252" s="32" t="s">
        <v>273</v>
      </c>
      <c r="B252" s="8"/>
      <c r="C252" s="8"/>
      <c r="D252" s="10">
        <v>100</v>
      </c>
      <c r="E252" s="10"/>
      <c r="F252" s="10">
        <f t="shared" si="26"/>
        <v>100</v>
      </c>
      <c r="G252" s="97">
        <v>200</v>
      </c>
      <c r="H252" s="97"/>
      <c r="I252" s="97"/>
      <c r="J252" s="97">
        <v>200</v>
      </c>
      <c r="K252" s="107"/>
      <c r="L252" s="107"/>
      <c r="M252" s="107"/>
      <c r="N252" s="97"/>
      <c r="O252" s="97"/>
      <c r="P252" s="97"/>
      <c r="IB252"/>
      <c r="IC252"/>
      <c r="ID252"/>
      <c r="IE252"/>
      <c r="IF252"/>
      <c r="IG252"/>
    </row>
    <row r="253" spans="1:241" s="1" customFormat="1" ht="24.75" customHeight="1">
      <c r="A253" s="32" t="s">
        <v>301</v>
      </c>
      <c r="B253" s="8"/>
      <c r="C253" s="8"/>
      <c r="D253" s="10"/>
      <c r="E253" s="10"/>
      <c r="F253" s="10"/>
      <c r="G253" s="97">
        <v>500</v>
      </c>
      <c r="H253" s="97"/>
      <c r="I253" s="97"/>
      <c r="J253" s="97">
        <v>500</v>
      </c>
      <c r="K253" s="107"/>
      <c r="L253" s="107"/>
      <c r="M253" s="107"/>
      <c r="N253" s="97"/>
      <c r="O253" s="97"/>
      <c r="P253" s="97"/>
      <c r="IB253"/>
      <c r="IC253"/>
      <c r="ID253"/>
      <c r="IE253"/>
      <c r="IF253"/>
      <c r="IG253"/>
    </row>
    <row r="254" spans="1:241" s="1" customFormat="1" ht="22.5" customHeight="1" hidden="1">
      <c r="A254" s="32" t="s">
        <v>301</v>
      </c>
      <c r="B254" s="8"/>
      <c r="C254" s="8"/>
      <c r="D254" s="10"/>
      <c r="E254" s="10"/>
      <c r="F254" s="10"/>
      <c r="G254" s="97">
        <v>500</v>
      </c>
      <c r="H254" s="97"/>
      <c r="I254" s="97"/>
      <c r="J254" s="97">
        <v>500</v>
      </c>
      <c r="K254" s="107"/>
      <c r="L254" s="107"/>
      <c r="M254" s="107"/>
      <c r="N254" s="97"/>
      <c r="O254" s="97"/>
      <c r="P254" s="97"/>
      <c r="IB254"/>
      <c r="IC254"/>
      <c r="ID254"/>
      <c r="IE254"/>
      <c r="IF254"/>
      <c r="IG254"/>
    </row>
    <row r="255" spans="1:241" s="1" customFormat="1" ht="12" customHeight="1">
      <c r="A255" s="89" t="s">
        <v>7</v>
      </c>
      <c r="B255" s="102"/>
      <c r="C255" s="102"/>
      <c r="D255" s="102"/>
      <c r="E255" s="102"/>
      <c r="F255" s="99"/>
      <c r="G255" s="102"/>
      <c r="H255" s="102"/>
      <c r="I255" s="102"/>
      <c r="J255" s="104"/>
      <c r="K255" s="105"/>
      <c r="L255" s="105"/>
      <c r="M255" s="106"/>
      <c r="N255" s="102"/>
      <c r="O255" s="102"/>
      <c r="P255" s="104"/>
      <c r="IB255"/>
      <c r="IC255"/>
      <c r="ID255"/>
      <c r="IE255"/>
      <c r="IF255"/>
      <c r="IG255"/>
    </row>
    <row r="256" spans="1:241" s="1" customFormat="1" ht="22.5" customHeight="1" hidden="1">
      <c r="A256" s="90" t="s">
        <v>55</v>
      </c>
      <c r="B256" s="96"/>
      <c r="C256" s="96"/>
      <c r="D256" s="99">
        <v>26.5</v>
      </c>
      <c r="E256" s="96"/>
      <c r="F256" s="99">
        <f t="shared" si="26"/>
        <v>26.5</v>
      </c>
      <c r="G256" s="99">
        <v>29.15</v>
      </c>
      <c r="H256" s="96"/>
      <c r="I256" s="96"/>
      <c r="J256" s="104">
        <f t="shared" si="27"/>
        <v>29.15</v>
      </c>
      <c r="K256" s="105"/>
      <c r="L256" s="105"/>
      <c r="M256" s="106"/>
      <c r="N256" s="99">
        <v>29.15</v>
      </c>
      <c r="O256" s="96"/>
      <c r="P256" s="104">
        <f t="shared" si="28"/>
        <v>29.15</v>
      </c>
      <c r="IB256"/>
      <c r="IC256"/>
      <c r="ID256"/>
      <c r="IE256"/>
      <c r="IF256"/>
      <c r="IG256"/>
    </row>
    <row r="257" spans="1:241" s="1" customFormat="1" ht="22.5" customHeight="1">
      <c r="A257" s="90" t="s">
        <v>170</v>
      </c>
      <c r="B257" s="96"/>
      <c r="C257" s="96"/>
      <c r="D257" s="99">
        <v>256250</v>
      </c>
      <c r="E257" s="96"/>
      <c r="F257" s="99">
        <f>D257</f>
        <v>256250</v>
      </c>
      <c r="G257" s="99">
        <v>307500</v>
      </c>
      <c r="H257" s="96"/>
      <c r="I257" s="96"/>
      <c r="J257" s="104">
        <f t="shared" si="27"/>
        <v>307500</v>
      </c>
      <c r="K257" s="105"/>
      <c r="L257" s="105"/>
      <c r="M257" s="106"/>
      <c r="N257" s="99">
        <v>368750</v>
      </c>
      <c r="O257" s="96"/>
      <c r="P257" s="104">
        <f t="shared" si="28"/>
        <v>368750</v>
      </c>
      <c r="IB257"/>
      <c r="IC257"/>
      <c r="ID257"/>
      <c r="IE257"/>
      <c r="IF257"/>
      <c r="IG257"/>
    </row>
    <row r="258" spans="1:241" s="1" customFormat="1" ht="22.5" customHeight="1">
      <c r="A258" s="90" t="s">
        <v>171</v>
      </c>
      <c r="B258" s="96"/>
      <c r="C258" s="96"/>
      <c r="D258" s="99">
        <v>196917</v>
      </c>
      <c r="E258" s="96"/>
      <c r="F258" s="99">
        <f t="shared" si="26"/>
        <v>196917</v>
      </c>
      <c r="G258" s="99">
        <v>236833</v>
      </c>
      <c r="H258" s="96"/>
      <c r="I258" s="96"/>
      <c r="J258" s="104">
        <f t="shared" si="27"/>
        <v>236833</v>
      </c>
      <c r="K258" s="105"/>
      <c r="L258" s="105"/>
      <c r="M258" s="106"/>
      <c r="N258" s="99">
        <v>285000</v>
      </c>
      <c r="O258" s="96"/>
      <c r="P258" s="104">
        <f t="shared" si="28"/>
        <v>285000</v>
      </c>
      <c r="IB258"/>
      <c r="IC258"/>
      <c r="ID258"/>
      <c r="IE258"/>
      <c r="IF258"/>
      <c r="IG258"/>
    </row>
    <row r="259" spans="1:241" s="1" customFormat="1" ht="12" customHeight="1" hidden="1">
      <c r="A259" s="89" t="s">
        <v>6</v>
      </c>
      <c r="B259" s="102"/>
      <c r="C259" s="102"/>
      <c r="D259" s="102"/>
      <c r="E259" s="102"/>
      <c r="F259" s="102"/>
      <c r="G259" s="102"/>
      <c r="H259" s="102"/>
      <c r="I259" s="102"/>
      <c r="J259" s="104">
        <f t="shared" si="27"/>
        <v>0</v>
      </c>
      <c r="K259" s="105"/>
      <c r="L259" s="105"/>
      <c r="M259" s="106"/>
      <c r="N259" s="102"/>
      <c r="O259" s="102"/>
      <c r="P259" s="104">
        <f t="shared" si="28"/>
        <v>0</v>
      </c>
      <c r="IB259"/>
      <c r="IC259"/>
      <c r="ID259"/>
      <c r="IE259"/>
      <c r="IF259"/>
      <c r="IG259"/>
    </row>
    <row r="260" spans="1:241" s="1" customFormat="1" ht="33.75" customHeight="1" hidden="1">
      <c r="A260" s="90" t="s">
        <v>39</v>
      </c>
      <c r="B260" s="96"/>
      <c r="C260" s="96"/>
      <c r="D260" s="96"/>
      <c r="E260" s="96"/>
      <c r="F260" s="96"/>
      <c r="G260" s="96"/>
      <c r="H260" s="96"/>
      <c r="I260" s="96"/>
      <c r="J260" s="104">
        <f t="shared" si="27"/>
        <v>0</v>
      </c>
      <c r="K260" s="105"/>
      <c r="L260" s="105"/>
      <c r="M260" s="106"/>
      <c r="N260" s="96"/>
      <c r="O260" s="96"/>
      <c r="P260" s="104">
        <f t="shared" si="28"/>
        <v>0</v>
      </c>
      <c r="IB260"/>
      <c r="IC260"/>
      <c r="ID260"/>
      <c r="IE260"/>
      <c r="IF260"/>
      <c r="IG260"/>
    </row>
    <row r="261" spans="1:241" s="1" customFormat="1" ht="32.25" customHeight="1">
      <c r="A261" s="32" t="s">
        <v>341</v>
      </c>
      <c r="B261" s="8"/>
      <c r="C261" s="8"/>
      <c r="D261" s="7">
        <v>1000</v>
      </c>
      <c r="E261" s="8"/>
      <c r="F261" s="7">
        <f>D261</f>
        <v>1000</v>
      </c>
      <c r="G261" s="96">
        <v>1000</v>
      </c>
      <c r="H261" s="96"/>
      <c r="I261" s="96"/>
      <c r="J261" s="104">
        <f>G261</f>
        <v>1000</v>
      </c>
      <c r="K261" s="105"/>
      <c r="L261" s="105"/>
      <c r="M261" s="106"/>
      <c r="N261" s="96"/>
      <c r="O261" s="96"/>
      <c r="P261" s="104"/>
      <c r="IB261"/>
      <c r="IC261"/>
      <c r="ID261"/>
      <c r="IE261"/>
      <c r="IF261"/>
      <c r="IG261"/>
    </row>
    <row r="262" spans="1:241" s="1" customFormat="1" ht="33.75">
      <c r="A262" s="32" t="s">
        <v>302</v>
      </c>
      <c r="B262" s="8"/>
      <c r="C262" s="8"/>
      <c r="D262" s="7">
        <v>1000</v>
      </c>
      <c r="E262" s="8"/>
      <c r="F262" s="7">
        <f>D262</f>
        <v>1000</v>
      </c>
      <c r="G262" s="96">
        <v>300</v>
      </c>
      <c r="H262" s="96"/>
      <c r="I262" s="96"/>
      <c r="J262" s="104">
        <f>G262</f>
        <v>300</v>
      </c>
      <c r="K262" s="105"/>
      <c r="L262" s="105"/>
      <c r="M262" s="106"/>
      <c r="N262" s="96"/>
      <c r="O262" s="96"/>
      <c r="P262" s="104"/>
      <c r="IB262"/>
      <c r="IC262"/>
      <c r="ID262"/>
      <c r="IE262"/>
      <c r="IF262"/>
      <c r="IG262"/>
    </row>
    <row r="263" spans="1:241" s="1" customFormat="1" ht="12">
      <c r="A263" s="89" t="s">
        <v>6</v>
      </c>
      <c r="B263" s="96"/>
      <c r="C263" s="96"/>
      <c r="D263" s="96"/>
      <c r="E263" s="96"/>
      <c r="F263" s="96"/>
      <c r="G263" s="96"/>
      <c r="H263" s="96"/>
      <c r="I263" s="96"/>
      <c r="J263" s="104"/>
      <c r="K263" s="105"/>
      <c r="L263" s="105"/>
      <c r="M263" s="106"/>
      <c r="N263" s="96"/>
      <c r="O263" s="96"/>
      <c r="P263" s="104"/>
      <c r="IB263"/>
      <c r="IC263"/>
      <c r="ID263"/>
      <c r="IE263"/>
      <c r="IF263"/>
      <c r="IG263"/>
    </row>
    <row r="264" spans="1:241" s="1" customFormat="1" ht="33.75">
      <c r="A264" s="90" t="s">
        <v>172</v>
      </c>
      <c r="B264" s="96"/>
      <c r="C264" s="96"/>
      <c r="D264" s="96"/>
      <c r="E264" s="96"/>
      <c r="F264" s="96"/>
      <c r="G264" s="97">
        <f>G257/F257*100</f>
        <v>120</v>
      </c>
      <c r="H264" s="97"/>
      <c r="I264" s="97"/>
      <c r="J264" s="97">
        <f>G264</f>
        <v>120</v>
      </c>
      <c r="K264" s="107"/>
      <c r="L264" s="107"/>
      <c r="M264" s="107"/>
      <c r="N264" s="97">
        <f>N257/J257*100</f>
        <v>119.91869918699187</v>
      </c>
      <c r="O264" s="97"/>
      <c r="P264" s="97">
        <f>N264</f>
        <v>119.91869918699187</v>
      </c>
      <c r="IB264"/>
      <c r="IC264"/>
      <c r="ID264"/>
      <c r="IE264"/>
      <c r="IF264"/>
      <c r="IG264"/>
    </row>
    <row r="265" spans="1:241" s="1" customFormat="1" ht="33.75">
      <c r="A265" s="90" t="s">
        <v>173</v>
      </c>
      <c r="B265" s="96"/>
      <c r="C265" s="96"/>
      <c r="D265" s="96"/>
      <c r="E265" s="96"/>
      <c r="F265" s="96"/>
      <c r="G265" s="97">
        <f>G258/D258*100</f>
        <v>120.27046928401306</v>
      </c>
      <c r="H265" s="97"/>
      <c r="I265" s="97"/>
      <c r="J265" s="97">
        <f>G265</f>
        <v>120.27046928401306</v>
      </c>
      <c r="K265" s="107"/>
      <c r="L265" s="107"/>
      <c r="M265" s="107"/>
      <c r="N265" s="97">
        <f>N258/G258*100</f>
        <v>120.33795965933803</v>
      </c>
      <c r="O265" s="97"/>
      <c r="P265" s="97">
        <f>N265</f>
        <v>120.33795965933803</v>
      </c>
      <c r="IB265"/>
      <c r="IC265"/>
      <c r="ID265"/>
      <c r="IE265"/>
      <c r="IF265"/>
      <c r="IG265"/>
    </row>
    <row r="266" spans="1:241" s="179" customFormat="1" ht="24" customHeight="1">
      <c r="A266" s="167" t="s">
        <v>346</v>
      </c>
      <c r="B266" s="176"/>
      <c r="C266" s="176"/>
      <c r="D266" s="178">
        <f>(D268*D271)+45</f>
        <v>400000</v>
      </c>
      <c r="E266" s="178"/>
      <c r="F266" s="178">
        <f>D266</f>
        <v>400000</v>
      </c>
      <c r="G266" s="178">
        <v>480000</v>
      </c>
      <c r="H266" s="178"/>
      <c r="I266" s="178"/>
      <c r="J266" s="178">
        <f>G266</f>
        <v>480000</v>
      </c>
      <c r="K266" s="178">
        <f>(K268*K271)</f>
        <v>0</v>
      </c>
      <c r="L266" s="178">
        <f>(L268*L271)</f>
        <v>0</v>
      </c>
      <c r="M266" s="178">
        <f>(M268*M271)</f>
        <v>0</v>
      </c>
      <c r="N266" s="178">
        <f>(N268*N271)+16</f>
        <v>580000</v>
      </c>
      <c r="O266" s="178">
        <f>(O268*O271)</f>
        <v>0</v>
      </c>
      <c r="P266" s="178">
        <f>N266</f>
        <v>580000</v>
      </c>
      <c r="IB266" s="180"/>
      <c r="IC266" s="180"/>
      <c r="ID266" s="180"/>
      <c r="IE266" s="180"/>
      <c r="IF266" s="180"/>
      <c r="IG266" s="180"/>
    </row>
    <row r="267" spans="1:241" s="1" customFormat="1" ht="12">
      <c r="A267" s="89" t="s">
        <v>5</v>
      </c>
      <c r="B267" s="96"/>
      <c r="C267" s="96"/>
      <c r="D267" s="96"/>
      <c r="E267" s="96"/>
      <c r="F267" s="96"/>
      <c r="G267" s="96"/>
      <c r="H267" s="96"/>
      <c r="I267" s="96"/>
      <c r="J267" s="104"/>
      <c r="K267" s="105"/>
      <c r="L267" s="105"/>
      <c r="M267" s="106"/>
      <c r="N267" s="96"/>
      <c r="O267" s="96"/>
      <c r="P267" s="104"/>
      <c r="IB267"/>
      <c r="IC267"/>
      <c r="ID267"/>
      <c r="IE267"/>
      <c r="IF267"/>
      <c r="IG267"/>
    </row>
    <row r="268" spans="1:241" s="1" customFormat="1" ht="22.5">
      <c r="A268" s="90" t="s">
        <v>317</v>
      </c>
      <c r="B268" s="96"/>
      <c r="C268" s="96"/>
      <c r="D268" s="96">
        <v>2050</v>
      </c>
      <c r="E268" s="96"/>
      <c r="F268" s="96">
        <f>D268</f>
        <v>2050</v>
      </c>
      <c r="G268" s="97">
        <v>1427</v>
      </c>
      <c r="H268" s="97"/>
      <c r="I268" s="97"/>
      <c r="J268" s="97">
        <f>G268</f>
        <v>1427</v>
      </c>
      <c r="K268" s="107"/>
      <c r="L268" s="107"/>
      <c r="M268" s="107"/>
      <c r="N268" s="97">
        <v>2248</v>
      </c>
      <c r="O268" s="97"/>
      <c r="P268" s="97">
        <f>N268</f>
        <v>2248</v>
      </c>
      <c r="IB268"/>
      <c r="IC268"/>
      <c r="ID268"/>
      <c r="IE268"/>
      <c r="IF268"/>
      <c r="IG268"/>
    </row>
    <row r="269" spans="1:241" s="1" customFormat="1" ht="33.75">
      <c r="A269" s="90" t="s">
        <v>321</v>
      </c>
      <c r="B269" s="96"/>
      <c r="C269" s="96"/>
      <c r="D269" s="96"/>
      <c r="E269" s="96"/>
      <c r="F269" s="96"/>
      <c r="G269" s="97">
        <v>1</v>
      </c>
      <c r="H269" s="97"/>
      <c r="I269" s="97"/>
      <c r="J269" s="97">
        <v>1</v>
      </c>
      <c r="K269" s="107"/>
      <c r="L269" s="107"/>
      <c r="M269" s="107"/>
      <c r="N269" s="97"/>
      <c r="O269" s="97"/>
      <c r="P269" s="97"/>
      <c r="IB269"/>
      <c r="IC269"/>
      <c r="ID269"/>
      <c r="IE269"/>
      <c r="IF269"/>
      <c r="IG269"/>
    </row>
    <row r="270" spans="1:241" s="1" customFormat="1" ht="12">
      <c r="A270" s="89" t="s">
        <v>7</v>
      </c>
      <c r="B270" s="96"/>
      <c r="C270" s="96"/>
      <c r="D270" s="96"/>
      <c r="E270" s="96"/>
      <c r="F270" s="96"/>
      <c r="G270" s="96"/>
      <c r="H270" s="96"/>
      <c r="I270" s="96"/>
      <c r="J270" s="104"/>
      <c r="K270" s="105"/>
      <c r="L270" s="105"/>
      <c r="M270" s="106"/>
      <c r="N270" s="96"/>
      <c r="O270" s="96"/>
      <c r="P270" s="104"/>
      <c r="IB270"/>
      <c r="IC270"/>
      <c r="ID270"/>
      <c r="IE270"/>
      <c r="IF270"/>
      <c r="IG270"/>
    </row>
    <row r="271" spans="1:241" s="1" customFormat="1" ht="22.5">
      <c r="A271" s="90" t="s">
        <v>318</v>
      </c>
      <c r="B271" s="96"/>
      <c r="C271" s="96"/>
      <c r="D271" s="109">
        <v>195.1</v>
      </c>
      <c r="E271" s="109"/>
      <c r="F271" s="109">
        <f>D271</f>
        <v>195.1</v>
      </c>
      <c r="G271" s="109">
        <v>224.3</v>
      </c>
      <c r="H271" s="109"/>
      <c r="I271" s="109"/>
      <c r="J271" s="109">
        <f>G271</f>
        <v>224.3</v>
      </c>
      <c r="K271" s="110"/>
      <c r="L271" s="110"/>
      <c r="M271" s="110"/>
      <c r="N271" s="109">
        <v>258</v>
      </c>
      <c r="O271" s="109"/>
      <c r="P271" s="109">
        <f>N271</f>
        <v>258</v>
      </c>
      <c r="IB271"/>
      <c r="IC271"/>
      <c r="ID271"/>
      <c r="IE271"/>
      <c r="IF271"/>
      <c r="IG271"/>
    </row>
    <row r="272" spans="1:241" s="1" customFormat="1" ht="33.75">
      <c r="A272" s="90" t="s">
        <v>322</v>
      </c>
      <c r="B272" s="96"/>
      <c r="C272" s="96"/>
      <c r="D272" s="109"/>
      <c r="E272" s="109"/>
      <c r="F272" s="109"/>
      <c r="G272" s="109">
        <v>160000</v>
      </c>
      <c r="H272" s="109"/>
      <c r="I272" s="109"/>
      <c r="J272" s="109">
        <f>G272</f>
        <v>160000</v>
      </c>
      <c r="K272" s="110"/>
      <c r="L272" s="110"/>
      <c r="M272" s="110"/>
      <c r="N272" s="109"/>
      <c r="O272" s="109"/>
      <c r="P272" s="109"/>
      <c r="IB272"/>
      <c r="IC272"/>
      <c r="ID272"/>
      <c r="IE272"/>
      <c r="IF272"/>
      <c r="IG272"/>
    </row>
    <row r="273" spans="1:241" s="1" customFormat="1" ht="12">
      <c r="A273" s="89" t="s">
        <v>6</v>
      </c>
      <c r="B273" s="96"/>
      <c r="C273" s="96"/>
      <c r="D273" s="96"/>
      <c r="E273" s="96"/>
      <c r="F273" s="96"/>
      <c r="G273" s="96"/>
      <c r="H273" s="96"/>
      <c r="I273" s="96"/>
      <c r="J273" s="104"/>
      <c r="K273" s="105"/>
      <c r="L273" s="105"/>
      <c r="M273" s="106"/>
      <c r="N273" s="96"/>
      <c r="O273" s="96"/>
      <c r="P273" s="104"/>
      <c r="IB273"/>
      <c r="IC273"/>
      <c r="ID273"/>
      <c r="IE273"/>
      <c r="IF273"/>
      <c r="IG273"/>
    </row>
    <row r="274" spans="1:241" s="1" customFormat="1" ht="24.75" customHeight="1">
      <c r="A274" s="90" t="s">
        <v>319</v>
      </c>
      <c r="B274" s="96"/>
      <c r="C274" s="96"/>
      <c r="D274" s="96"/>
      <c r="E274" s="96"/>
      <c r="F274" s="96"/>
      <c r="G274" s="97">
        <f>G268/D268*100</f>
        <v>69.60975609756098</v>
      </c>
      <c r="H274" s="97"/>
      <c r="I274" s="97"/>
      <c r="J274" s="97">
        <f>G274</f>
        <v>69.60975609756098</v>
      </c>
      <c r="K274" s="107"/>
      <c r="L274" s="107"/>
      <c r="M274" s="107"/>
      <c r="N274" s="97">
        <f>N268/G268*100</f>
        <v>157.5332866152768</v>
      </c>
      <c r="O274" s="97"/>
      <c r="P274" s="97">
        <f>N274</f>
        <v>157.5332866152768</v>
      </c>
      <c r="IB274"/>
      <c r="IC274"/>
      <c r="ID274"/>
      <c r="IE274"/>
      <c r="IF274"/>
      <c r="IG274"/>
    </row>
    <row r="275" spans="1:241" s="1" customFormat="1" ht="33.75">
      <c r="A275" s="90" t="s">
        <v>320</v>
      </c>
      <c r="B275" s="96"/>
      <c r="C275" s="96"/>
      <c r="D275" s="96"/>
      <c r="E275" s="96"/>
      <c r="F275" s="96"/>
      <c r="G275" s="97">
        <f>G271/D271*100</f>
        <v>114.96668375192209</v>
      </c>
      <c r="H275" s="97"/>
      <c r="I275" s="97"/>
      <c r="J275" s="97">
        <f>G275</f>
        <v>114.96668375192209</v>
      </c>
      <c r="K275" s="107"/>
      <c r="L275" s="107"/>
      <c r="M275" s="107"/>
      <c r="N275" s="97">
        <f>N271/G271*100</f>
        <v>115.0245207311636</v>
      </c>
      <c r="O275" s="97"/>
      <c r="P275" s="97">
        <f>N275</f>
        <v>115.0245207311636</v>
      </c>
      <c r="IB275"/>
      <c r="IC275"/>
      <c r="ID275"/>
      <c r="IE275"/>
      <c r="IF275"/>
      <c r="IG275"/>
    </row>
    <row r="276" spans="1:241" s="198" customFormat="1" ht="27" customHeight="1">
      <c r="A276" s="167" t="s">
        <v>347</v>
      </c>
      <c r="B276" s="176"/>
      <c r="C276" s="176"/>
      <c r="D276" s="186"/>
      <c r="E276" s="186">
        <f>E278*E281</f>
        <v>4065000</v>
      </c>
      <c r="F276" s="186">
        <f>F278*F281</f>
        <v>4065000</v>
      </c>
      <c r="G276" s="186"/>
      <c r="H276" s="186">
        <f>H278*H281+H282</f>
        <v>11947000</v>
      </c>
      <c r="I276" s="186"/>
      <c r="J276" s="186">
        <f>H276</f>
        <v>11947000</v>
      </c>
      <c r="K276" s="186">
        <f>K278*K281-4</f>
        <v>-4</v>
      </c>
      <c r="L276" s="186">
        <f>L278*L281-4</f>
        <v>-4</v>
      </c>
      <c r="M276" s="186">
        <f>M278*M281-4</f>
        <v>-4</v>
      </c>
      <c r="N276" s="186"/>
      <c r="O276" s="186">
        <f>O278*O281-5</f>
        <v>2000000</v>
      </c>
      <c r="P276" s="186">
        <f>P278*P281-5</f>
        <v>2000000</v>
      </c>
      <c r="IB276" s="199"/>
      <c r="IC276" s="199"/>
      <c r="ID276" s="199"/>
      <c r="IE276" s="199"/>
      <c r="IF276" s="199"/>
      <c r="IG276" s="199"/>
    </row>
    <row r="277" spans="1:241" s="80" customFormat="1" ht="12">
      <c r="A277" s="89" t="s">
        <v>5</v>
      </c>
      <c r="B277" s="102"/>
      <c r="C277" s="102"/>
      <c r="D277" s="102"/>
      <c r="E277" s="102"/>
      <c r="F277" s="99"/>
      <c r="G277" s="102"/>
      <c r="H277" s="102"/>
      <c r="I277" s="102"/>
      <c r="J277" s="104"/>
      <c r="K277" s="105"/>
      <c r="L277" s="105"/>
      <c r="M277" s="106"/>
      <c r="N277" s="102"/>
      <c r="O277" s="102"/>
      <c r="P277" s="104"/>
      <c r="IB277" s="81"/>
      <c r="IC277" s="81"/>
      <c r="ID277" s="81"/>
      <c r="IE277" s="81"/>
      <c r="IF277" s="81"/>
      <c r="IG277" s="81"/>
    </row>
    <row r="278" spans="1:241" s="80" customFormat="1" ht="25.5" customHeight="1">
      <c r="A278" s="90" t="s">
        <v>174</v>
      </c>
      <c r="B278" s="96"/>
      <c r="C278" s="96"/>
      <c r="D278" s="97"/>
      <c r="E278" s="10">
        <v>24</v>
      </c>
      <c r="F278" s="97">
        <f>E278</f>
        <v>24</v>
      </c>
      <c r="G278" s="97"/>
      <c r="H278" s="97">
        <v>35</v>
      </c>
      <c r="I278" s="97"/>
      <c r="J278" s="97">
        <f>H278</f>
        <v>35</v>
      </c>
      <c r="K278" s="107"/>
      <c r="L278" s="107"/>
      <c r="M278" s="107"/>
      <c r="N278" s="97"/>
      <c r="O278" s="97">
        <v>7</v>
      </c>
      <c r="P278" s="97">
        <f>O278</f>
        <v>7</v>
      </c>
      <c r="IB278" s="81"/>
      <c r="IC278" s="81"/>
      <c r="ID278" s="81"/>
      <c r="IE278" s="81"/>
      <c r="IF278" s="81"/>
      <c r="IG278" s="81"/>
    </row>
    <row r="279" spans="1:241" s="80" customFormat="1" ht="25.5" customHeight="1">
      <c r="A279" s="90" t="s">
        <v>303</v>
      </c>
      <c r="B279" s="96"/>
      <c r="C279" s="96"/>
      <c r="D279" s="97"/>
      <c r="E279" s="10"/>
      <c r="F279" s="97"/>
      <c r="G279" s="97"/>
      <c r="H279" s="97">
        <v>1</v>
      </c>
      <c r="I279" s="97"/>
      <c r="J279" s="97">
        <v>1</v>
      </c>
      <c r="K279" s="107"/>
      <c r="L279" s="107"/>
      <c r="M279" s="107"/>
      <c r="N279" s="97"/>
      <c r="O279" s="97"/>
      <c r="P279" s="97"/>
      <c r="IB279" s="81"/>
      <c r="IC279" s="81"/>
      <c r="ID279" s="81"/>
      <c r="IE279" s="81"/>
      <c r="IF279" s="81"/>
      <c r="IG279" s="81"/>
    </row>
    <row r="280" spans="1:241" s="80" customFormat="1" ht="12">
      <c r="A280" s="89" t="s">
        <v>7</v>
      </c>
      <c r="B280" s="102"/>
      <c r="C280" s="102"/>
      <c r="D280" s="102"/>
      <c r="E280" s="102"/>
      <c r="F280" s="99"/>
      <c r="G280" s="102"/>
      <c r="H280" s="102"/>
      <c r="I280" s="102"/>
      <c r="J280" s="104"/>
      <c r="K280" s="105"/>
      <c r="L280" s="105"/>
      <c r="M280" s="106"/>
      <c r="N280" s="102"/>
      <c r="O280" s="102"/>
      <c r="P280" s="104"/>
      <c r="IB280" s="81"/>
      <c r="IC280" s="81"/>
      <c r="ID280" s="81"/>
      <c r="IE280" s="81"/>
      <c r="IF280" s="81"/>
      <c r="IG280" s="81"/>
    </row>
    <row r="281" spans="1:241" s="80" customFormat="1" ht="26.25" customHeight="1">
      <c r="A281" s="90" t="s">
        <v>175</v>
      </c>
      <c r="B281" s="96"/>
      <c r="C281" s="96"/>
      <c r="D281" s="99"/>
      <c r="E281" s="99">
        <v>169375</v>
      </c>
      <c r="F281" s="99">
        <f>E281</f>
        <v>169375</v>
      </c>
      <c r="G281" s="99"/>
      <c r="H281" s="99">
        <v>264200</v>
      </c>
      <c r="I281" s="99"/>
      <c r="J281" s="99">
        <f>H281</f>
        <v>264200</v>
      </c>
      <c r="K281" s="108"/>
      <c r="L281" s="108"/>
      <c r="M281" s="108"/>
      <c r="N281" s="99"/>
      <c r="O281" s="99">
        <v>285715</v>
      </c>
      <c r="P281" s="99">
        <f>O281</f>
        <v>285715</v>
      </c>
      <c r="IB281" s="81"/>
      <c r="IC281" s="81"/>
      <c r="ID281" s="81"/>
      <c r="IE281" s="81"/>
      <c r="IF281" s="81"/>
      <c r="IG281" s="81"/>
    </row>
    <row r="282" spans="1:241" s="80" customFormat="1" ht="26.25" customHeight="1">
      <c r="A282" s="90" t="s">
        <v>304</v>
      </c>
      <c r="B282" s="96"/>
      <c r="C282" s="96"/>
      <c r="D282" s="99"/>
      <c r="E282" s="99"/>
      <c r="F282" s="99"/>
      <c r="G282" s="99"/>
      <c r="H282" s="99">
        <v>2700000</v>
      </c>
      <c r="I282" s="99"/>
      <c r="J282" s="99">
        <f>H282</f>
        <v>2700000</v>
      </c>
      <c r="K282" s="108"/>
      <c r="L282" s="108"/>
      <c r="M282" s="108"/>
      <c r="N282" s="99"/>
      <c r="O282" s="99"/>
      <c r="P282" s="99"/>
      <c r="IB282" s="81"/>
      <c r="IC282" s="81"/>
      <c r="ID282" s="81"/>
      <c r="IE282" s="81"/>
      <c r="IF282" s="81"/>
      <c r="IG282" s="81"/>
    </row>
    <row r="283" spans="1:241" s="80" customFormat="1" ht="12">
      <c r="A283" s="89" t="s">
        <v>6</v>
      </c>
      <c r="B283" s="96"/>
      <c r="C283" s="96"/>
      <c r="D283" s="96"/>
      <c r="E283" s="96"/>
      <c r="F283" s="96"/>
      <c r="G283" s="96"/>
      <c r="H283" s="96"/>
      <c r="I283" s="96"/>
      <c r="J283" s="104"/>
      <c r="K283" s="105"/>
      <c r="L283" s="105"/>
      <c r="M283" s="106"/>
      <c r="N283" s="96"/>
      <c r="O283" s="96"/>
      <c r="P283" s="104"/>
      <c r="IB283" s="81"/>
      <c r="IC283" s="81"/>
      <c r="ID283" s="81"/>
      <c r="IE283" s="81"/>
      <c r="IF283" s="81"/>
      <c r="IG283" s="81"/>
    </row>
    <row r="284" spans="1:241" s="80" customFormat="1" ht="35.25" customHeight="1">
      <c r="A284" s="90" t="s">
        <v>176</v>
      </c>
      <c r="B284" s="96"/>
      <c r="C284" s="96"/>
      <c r="D284" s="96"/>
      <c r="E284" s="96"/>
      <c r="F284" s="96"/>
      <c r="G284" s="97"/>
      <c r="H284" s="97">
        <f>H281/E281*100</f>
        <v>155.9852398523985</v>
      </c>
      <c r="I284" s="97"/>
      <c r="J284" s="97">
        <f>H284</f>
        <v>155.9852398523985</v>
      </c>
      <c r="K284" s="107"/>
      <c r="L284" s="107"/>
      <c r="M284" s="107"/>
      <c r="N284" s="97"/>
      <c r="O284" s="97">
        <f>O281/H281*100</f>
        <v>108.1434519303558</v>
      </c>
      <c r="P284" s="97">
        <f>O284</f>
        <v>108.1434519303558</v>
      </c>
      <c r="IB284" s="81"/>
      <c r="IC284" s="81"/>
      <c r="ID284" s="81"/>
      <c r="IE284" s="81"/>
      <c r="IF284" s="81"/>
      <c r="IG284" s="81"/>
    </row>
    <row r="285" spans="1:235" s="172" customFormat="1" ht="15" customHeight="1">
      <c r="A285" s="210" t="s">
        <v>199</v>
      </c>
      <c r="B285" s="210"/>
      <c r="C285" s="210"/>
      <c r="D285" s="259"/>
      <c r="E285" s="259">
        <f>E287+E337</f>
        <v>27028000</v>
      </c>
      <c r="F285" s="259">
        <f>F287+F337</f>
        <v>27028000</v>
      </c>
      <c r="G285" s="259"/>
      <c r="H285" s="259">
        <f>H287+H337</f>
        <v>98972000.00435</v>
      </c>
      <c r="I285" s="259"/>
      <c r="J285" s="259">
        <f>J287+J337</f>
        <v>99472000.00435</v>
      </c>
      <c r="K285" s="259">
        <f>K287+K337</f>
        <v>79607.55515695874</v>
      </c>
      <c r="L285" s="259">
        <f>L287+L337</f>
        <v>0</v>
      </c>
      <c r="M285" s="259">
        <f>M287+M337</f>
        <v>0</v>
      </c>
      <c r="N285" s="259"/>
      <c r="O285" s="259">
        <f>O287+O337</f>
        <v>25730000</v>
      </c>
      <c r="P285" s="259">
        <f>P287+P337</f>
        <v>25730000</v>
      </c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58"/>
      <c r="AF285" s="258"/>
      <c r="AG285" s="258"/>
      <c r="AH285" s="258"/>
      <c r="AI285" s="258"/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8"/>
      <c r="AZ285" s="258"/>
      <c r="BA285" s="258"/>
      <c r="BB285" s="258"/>
      <c r="BC285" s="258"/>
      <c r="BD285" s="258"/>
      <c r="BE285" s="258"/>
      <c r="BF285" s="258"/>
      <c r="BG285" s="258"/>
      <c r="BH285" s="258"/>
      <c r="BI285" s="258"/>
      <c r="BJ285" s="258"/>
      <c r="BK285" s="258"/>
      <c r="BL285" s="258"/>
      <c r="BM285" s="258"/>
      <c r="BN285" s="258"/>
      <c r="BO285" s="258"/>
      <c r="BP285" s="258"/>
      <c r="BQ285" s="258"/>
      <c r="BR285" s="258"/>
      <c r="BS285" s="258"/>
      <c r="BT285" s="258"/>
      <c r="BU285" s="258"/>
      <c r="BV285" s="258"/>
      <c r="BW285" s="258"/>
      <c r="BX285" s="258"/>
      <c r="BY285" s="258"/>
      <c r="BZ285" s="258"/>
      <c r="CA285" s="258"/>
      <c r="CB285" s="258"/>
      <c r="CC285" s="258"/>
      <c r="CD285" s="258"/>
      <c r="CE285" s="258"/>
      <c r="CF285" s="258"/>
      <c r="CG285" s="258"/>
      <c r="CH285" s="258"/>
      <c r="CI285" s="258"/>
      <c r="CJ285" s="258"/>
      <c r="CK285" s="258"/>
      <c r="CL285" s="258"/>
      <c r="CM285" s="258"/>
      <c r="CN285" s="258"/>
      <c r="CO285" s="258"/>
      <c r="CP285" s="258"/>
      <c r="CQ285" s="258"/>
      <c r="CR285" s="258"/>
      <c r="CS285" s="258"/>
      <c r="CT285" s="258"/>
      <c r="CU285" s="258"/>
      <c r="CV285" s="258"/>
      <c r="CW285" s="258"/>
      <c r="CX285" s="258"/>
      <c r="CY285" s="258"/>
      <c r="CZ285" s="258"/>
      <c r="DA285" s="258"/>
      <c r="DB285" s="258"/>
      <c r="DC285" s="258"/>
      <c r="DD285" s="258"/>
      <c r="DE285" s="258"/>
      <c r="DF285" s="258"/>
      <c r="DG285" s="258"/>
      <c r="DH285" s="258"/>
      <c r="DI285" s="258"/>
      <c r="DJ285" s="258"/>
      <c r="DK285" s="258"/>
      <c r="DL285" s="258"/>
      <c r="DM285" s="258"/>
      <c r="DN285" s="258"/>
      <c r="DO285" s="258"/>
      <c r="DP285" s="258"/>
      <c r="DQ285" s="258"/>
      <c r="DR285" s="258"/>
      <c r="DS285" s="258"/>
      <c r="DT285" s="258"/>
      <c r="DU285" s="258"/>
      <c r="DV285" s="258"/>
      <c r="DW285" s="258"/>
      <c r="DX285" s="258"/>
      <c r="DY285" s="258"/>
      <c r="DZ285" s="258"/>
      <c r="EA285" s="258"/>
      <c r="EB285" s="258"/>
      <c r="EC285" s="258"/>
      <c r="ED285" s="258"/>
      <c r="EE285" s="258"/>
      <c r="EF285" s="258"/>
      <c r="EG285" s="258"/>
      <c r="EH285" s="258"/>
      <c r="EI285" s="258"/>
      <c r="EJ285" s="258"/>
      <c r="EK285" s="258"/>
      <c r="EL285" s="258"/>
      <c r="EM285" s="258"/>
      <c r="EN285" s="258"/>
      <c r="EO285" s="258"/>
      <c r="EP285" s="258"/>
      <c r="EQ285" s="258"/>
      <c r="ER285" s="258"/>
      <c r="ES285" s="258"/>
      <c r="ET285" s="258"/>
      <c r="EU285" s="258"/>
      <c r="EV285" s="258"/>
      <c r="EW285" s="258"/>
      <c r="EX285" s="258"/>
      <c r="EY285" s="258"/>
      <c r="EZ285" s="258"/>
      <c r="FA285" s="258"/>
      <c r="FB285" s="258"/>
      <c r="FC285" s="258"/>
      <c r="FD285" s="258"/>
      <c r="FE285" s="258"/>
      <c r="FF285" s="258"/>
      <c r="FG285" s="258"/>
      <c r="FH285" s="258"/>
      <c r="FI285" s="258"/>
      <c r="FJ285" s="258"/>
      <c r="FK285" s="258"/>
      <c r="FL285" s="258"/>
      <c r="FM285" s="258"/>
      <c r="FN285" s="258"/>
      <c r="FO285" s="258"/>
      <c r="FP285" s="258"/>
      <c r="FQ285" s="258"/>
      <c r="FR285" s="258"/>
      <c r="FS285" s="258"/>
      <c r="FT285" s="258"/>
      <c r="FU285" s="258"/>
      <c r="FV285" s="258"/>
      <c r="FW285" s="258"/>
      <c r="FX285" s="258"/>
      <c r="FY285" s="258"/>
      <c r="FZ285" s="258"/>
      <c r="GA285" s="258"/>
      <c r="GB285" s="258"/>
      <c r="GC285" s="258"/>
      <c r="GD285" s="258"/>
      <c r="GE285" s="258"/>
      <c r="GF285" s="258"/>
      <c r="GG285" s="258"/>
      <c r="GH285" s="258"/>
      <c r="GI285" s="258"/>
      <c r="GJ285" s="258"/>
      <c r="GK285" s="258"/>
      <c r="GL285" s="258"/>
      <c r="GM285" s="258"/>
      <c r="GN285" s="258"/>
      <c r="GO285" s="258"/>
      <c r="GP285" s="258"/>
      <c r="GQ285" s="258"/>
      <c r="GR285" s="258"/>
      <c r="GS285" s="258"/>
      <c r="GT285" s="258"/>
      <c r="GU285" s="258"/>
      <c r="GV285" s="258"/>
      <c r="GW285" s="258"/>
      <c r="GX285" s="258"/>
      <c r="GY285" s="258"/>
      <c r="GZ285" s="258"/>
      <c r="HA285" s="258"/>
      <c r="HB285" s="258"/>
      <c r="HC285" s="258"/>
      <c r="HD285" s="258"/>
      <c r="HE285" s="258"/>
      <c r="HF285" s="258"/>
      <c r="HG285" s="258"/>
      <c r="HH285" s="258"/>
      <c r="HI285" s="258"/>
      <c r="HJ285" s="258"/>
      <c r="HK285" s="258"/>
      <c r="HL285" s="258"/>
      <c r="HM285" s="258"/>
      <c r="HN285" s="258"/>
      <c r="HO285" s="258"/>
      <c r="HP285" s="258"/>
      <c r="HQ285" s="258"/>
      <c r="HR285" s="258"/>
      <c r="HS285" s="258"/>
      <c r="HT285" s="258"/>
      <c r="HU285" s="258"/>
      <c r="HV285" s="258"/>
      <c r="HW285" s="258"/>
      <c r="HX285" s="258"/>
      <c r="HY285" s="258"/>
      <c r="HZ285" s="258"/>
      <c r="IA285" s="258"/>
    </row>
    <row r="286" spans="1:16" ht="45" customHeight="1">
      <c r="A286" s="33" t="s">
        <v>177</v>
      </c>
      <c r="B286" s="8"/>
      <c r="C286" s="8"/>
      <c r="D286" s="9"/>
      <c r="E286" s="18"/>
      <c r="F286" s="18"/>
      <c r="G286" s="9"/>
      <c r="H286" s="18"/>
      <c r="I286" s="18"/>
      <c r="J286" s="18"/>
      <c r="K286" s="11" t="e">
        <f>H286/E286*100</f>
        <v>#DIV/0!</v>
      </c>
      <c r="L286" s="12"/>
      <c r="M286" s="13"/>
      <c r="N286" s="9"/>
      <c r="O286" s="18"/>
      <c r="P286" s="18"/>
    </row>
    <row r="287" spans="1:235" s="172" customFormat="1" ht="22.5" customHeight="1">
      <c r="A287" s="167" t="s">
        <v>200</v>
      </c>
      <c r="B287" s="159"/>
      <c r="C287" s="159"/>
      <c r="D287" s="159"/>
      <c r="E287" s="177">
        <f>E288+E304+E297+E325</f>
        <v>26028000</v>
      </c>
      <c r="F287" s="177">
        <f>F288+F304+F297+F325</f>
        <v>26028000</v>
      </c>
      <c r="G287" s="177">
        <f aca="true" t="shared" si="29" ref="G287:P287">G288+G304+G297</f>
        <v>500000</v>
      </c>
      <c r="H287" s="177">
        <f>H288+H304+H297+H325</f>
        <v>91972000.00435</v>
      </c>
      <c r="I287" s="177"/>
      <c r="J287" s="177">
        <f>J288+J304+J297+J325</f>
        <v>92472000.00435</v>
      </c>
      <c r="K287" s="177">
        <f t="shared" si="29"/>
        <v>79607.55515695874</v>
      </c>
      <c r="L287" s="177">
        <f t="shared" si="29"/>
        <v>0</v>
      </c>
      <c r="M287" s="177">
        <f t="shared" si="29"/>
        <v>0</v>
      </c>
      <c r="N287" s="177">
        <f t="shared" si="29"/>
        <v>0</v>
      </c>
      <c r="O287" s="177">
        <f t="shared" si="29"/>
        <v>24150000</v>
      </c>
      <c r="P287" s="177">
        <f t="shared" si="29"/>
        <v>24150000</v>
      </c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58"/>
      <c r="AF287" s="258"/>
      <c r="AG287" s="258"/>
      <c r="AH287" s="258"/>
      <c r="AI287" s="258"/>
      <c r="AJ287" s="258"/>
      <c r="AK287" s="258"/>
      <c r="AL287" s="258"/>
      <c r="AM287" s="258"/>
      <c r="AN287" s="258"/>
      <c r="AO287" s="258"/>
      <c r="AP287" s="258"/>
      <c r="AQ287" s="258"/>
      <c r="AR287" s="258"/>
      <c r="AS287" s="258"/>
      <c r="AT287" s="258"/>
      <c r="AU287" s="258"/>
      <c r="AV287" s="258"/>
      <c r="AW287" s="258"/>
      <c r="AX287" s="258"/>
      <c r="AY287" s="258"/>
      <c r="AZ287" s="258"/>
      <c r="BA287" s="258"/>
      <c r="BB287" s="258"/>
      <c r="BC287" s="258"/>
      <c r="BD287" s="258"/>
      <c r="BE287" s="258"/>
      <c r="BF287" s="258"/>
      <c r="BG287" s="258"/>
      <c r="BH287" s="258"/>
      <c r="BI287" s="258"/>
      <c r="BJ287" s="258"/>
      <c r="BK287" s="258"/>
      <c r="BL287" s="258"/>
      <c r="BM287" s="258"/>
      <c r="BN287" s="258"/>
      <c r="BO287" s="258"/>
      <c r="BP287" s="258"/>
      <c r="BQ287" s="258"/>
      <c r="BR287" s="258"/>
      <c r="BS287" s="258"/>
      <c r="BT287" s="258"/>
      <c r="BU287" s="258"/>
      <c r="BV287" s="258"/>
      <c r="BW287" s="258"/>
      <c r="BX287" s="258"/>
      <c r="BY287" s="258"/>
      <c r="BZ287" s="258"/>
      <c r="CA287" s="258"/>
      <c r="CB287" s="258"/>
      <c r="CC287" s="258"/>
      <c r="CD287" s="258"/>
      <c r="CE287" s="258"/>
      <c r="CF287" s="258"/>
      <c r="CG287" s="258"/>
      <c r="CH287" s="258"/>
      <c r="CI287" s="258"/>
      <c r="CJ287" s="258"/>
      <c r="CK287" s="258"/>
      <c r="CL287" s="258"/>
      <c r="CM287" s="258"/>
      <c r="CN287" s="258"/>
      <c r="CO287" s="258"/>
      <c r="CP287" s="258"/>
      <c r="CQ287" s="258"/>
      <c r="CR287" s="258"/>
      <c r="CS287" s="258"/>
      <c r="CT287" s="258"/>
      <c r="CU287" s="258"/>
      <c r="CV287" s="258"/>
      <c r="CW287" s="258"/>
      <c r="CX287" s="258"/>
      <c r="CY287" s="258"/>
      <c r="CZ287" s="258"/>
      <c r="DA287" s="258"/>
      <c r="DB287" s="258"/>
      <c r="DC287" s="258"/>
      <c r="DD287" s="258"/>
      <c r="DE287" s="258"/>
      <c r="DF287" s="258"/>
      <c r="DG287" s="258"/>
      <c r="DH287" s="258"/>
      <c r="DI287" s="258"/>
      <c r="DJ287" s="258"/>
      <c r="DK287" s="258"/>
      <c r="DL287" s="258"/>
      <c r="DM287" s="258"/>
      <c r="DN287" s="258"/>
      <c r="DO287" s="258"/>
      <c r="DP287" s="258"/>
      <c r="DQ287" s="258"/>
      <c r="DR287" s="258"/>
      <c r="DS287" s="258"/>
      <c r="DT287" s="258"/>
      <c r="DU287" s="258"/>
      <c r="DV287" s="258"/>
      <c r="DW287" s="258"/>
      <c r="DX287" s="258"/>
      <c r="DY287" s="258"/>
      <c r="DZ287" s="258"/>
      <c r="EA287" s="258"/>
      <c r="EB287" s="258"/>
      <c r="EC287" s="258"/>
      <c r="ED287" s="258"/>
      <c r="EE287" s="258"/>
      <c r="EF287" s="258"/>
      <c r="EG287" s="258"/>
      <c r="EH287" s="258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ET287" s="258"/>
      <c r="EU287" s="258"/>
      <c r="EV287" s="258"/>
      <c r="EW287" s="258"/>
      <c r="EX287" s="258"/>
      <c r="EY287" s="258"/>
      <c r="EZ287" s="258"/>
      <c r="FA287" s="258"/>
      <c r="FB287" s="258"/>
      <c r="FC287" s="258"/>
      <c r="FD287" s="258"/>
      <c r="FE287" s="258"/>
      <c r="FF287" s="258"/>
      <c r="FG287" s="258"/>
      <c r="FH287" s="258"/>
      <c r="FI287" s="258"/>
      <c r="FJ287" s="258"/>
      <c r="FK287" s="258"/>
      <c r="FL287" s="258"/>
      <c r="FM287" s="258"/>
      <c r="FN287" s="258"/>
      <c r="FO287" s="258"/>
      <c r="FP287" s="258"/>
      <c r="FQ287" s="258"/>
      <c r="FR287" s="258"/>
      <c r="FS287" s="258"/>
      <c r="FT287" s="258"/>
      <c r="FU287" s="258"/>
      <c r="FV287" s="258"/>
      <c r="FW287" s="258"/>
      <c r="FX287" s="258"/>
      <c r="FY287" s="258"/>
      <c r="FZ287" s="258"/>
      <c r="GA287" s="258"/>
      <c r="GB287" s="258"/>
      <c r="GC287" s="258"/>
      <c r="GD287" s="258"/>
      <c r="GE287" s="258"/>
      <c r="GF287" s="258"/>
      <c r="GG287" s="258"/>
      <c r="GH287" s="258"/>
      <c r="GI287" s="258"/>
      <c r="GJ287" s="258"/>
      <c r="GK287" s="258"/>
      <c r="GL287" s="258"/>
      <c r="GM287" s="258"/>
      <c r="GN287" s="258"/>
      <c r="GO287" s="258"/>
      <c r="GP287" s="258"/>
      <c r="GQ287" s="258"/>
      <c r="GR287" s="258"/>
      <c r="GS287" s="258"/>
      <c r="GT287" s="258"/>
      <c r="GU287" s="258"/>
      <c r="GV287" s="258"/>
      <c r="GW287" s="258"/>
      <c r="GX287" s="258"/>
      <c r="GY287" s="258"/>
      <c r="GZ287" s="258"/>
      <c r="HA287" s="258"/>
      <c r="HB287" s="258"/>
      <c r="HC287" s="258"/>
      <c r="HD287" s="258"/>
      <c r="HE287" s="258"/>
      <c r="HF287" s="258"/>
      <c r="HG287" s="258"/>
      <c r="HH287" s="258"/>
      <c r="HI287" s="258"/>
      <c r="HJ287" s="258"/>
      <c r="HK287" s="258"/>
      <c r="HL287" s="258"/>
      <c r="HM287" s="258"/>
      <c r="HN287" s="258"/>
      <c r="HO287" s="258"/>
      <c r="HP287" s="258"/>
      <c r="HQ287" s="258"/>
      <c r="HR287" s="258"/>
      <c r="HS287" s="258"/>
      <c r="HT287" s="258"/>
      <c r="HU287" s="258"/>
      <c r="HV287" s="258"/>
      <c r="HW287" s="258"/>
      <c r="HX287" s="258"/>
      <c r="HY287" s="258"/>
      <c r="HZ287" s="258"/>
      <c r="IA287" s="258"/>
    </row>
    <row r="288" spans="1:235" s="180" customFormat="1" ht="22.5">
      <c r="A288" s="167" t="s">
        <v>348</v>
      </c>
      <c r="B288" s="176"/>
      <c r="C288" s="176"/>
      <c r="D288" s="176"/>
      <c r="E288" s="178">
        <f>E292*E294-20</f>
        <v>2500000</v>
      </c>
      <c r="F288" s="178">
        <f>E288</f>
        <v>2500000</v>
      </c>
      <c r="G288" s="178"/>
      <c r="H288" s="178">
        <f>H292*H294-48</f>
        <v>19902000.00435</v>
      </c>
      <c r="I288" s="178"/>
      <c r="J288" s="178">
        <f>H288</f>
        <v>19902000.00435</v>
      </c>
      <c r="K288" s="178">
        <f aca="true" t="shared" si="30" ref="K288:P288">K292*K294</f>
        <v>79607.55515695874</v>
      </c>
      <c r="L288" s="178">
        <f t="shared" si="30"/>
        <v>0</v>
      </c>
      <c r="M288" s="178">
        <f t="shared" si="30"/>
        <v>0</v>
      </c>
      <c r="N288" s="178"/>
      <c r="O288" s="178">
        <f t="shared" si="30"/>
        <v>3600000</v>
      </c>
      <c r="P288" s="178">
        <f t="shared" si="30"/>
        <v>3600000</v>
      </c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79"/>
      <c r="BN288" s="179"/>
      <c r="BO288" s="179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179"/>
      <c r="BZ288" s="179"/>
      <c r="CA288" s="179"/>
      <c r="CB288" s="179"/>
      <c r="CC288" s="179"/>
      <c r="CD288" s="179"/>
      <c r="CE288" s="179"/>
      <c r="CF288" s="179"/>
      <c r="CG288" s="179"/>
      <c r="CH288" s="179"/>
      <c r="CI288" s="179"/>
      <c r="CJ288" s="179"/>
      <c r="CK288" s="179"/>
      <c r="CL288" s="179"/>
      <c r="CM288" s="179"/>
      <c r="CN288" s="179"/>
      <c r="CO288" s="179"/>
      <c r="CP288" s="179"/>
      <c r="CQ288" s="179"/>
      <c r="CR288" s="179"/>
      <c r="CS288" s="179"/>
      <c r="CT288" s="179"/>
      <c r="CU288" s="179"/>
      <c r="CV288" s="179"/>
      <c r="CW288" s="179"/>
      <c r="CX288" s="179"/>
      <c r="CY288" s="179"/>
      <c r="CZ288" s="179"/>
      <c r="DA288" s="179"/>
      <c r="DB288" s="179"/>
      <c r="DC288" s="179"/>
      <c r="DD288" s="179"/>
      <c r="DE288" s="179"/>
      <c r="DF288" s="179"/>
      <c r="DG288" s="179"/>
      <c r="DH288" s="179"/>
      <c r="DI288" s="179"/>
      <c r="DJ288" s="179"/>
      <c r="DK288" s="179"/>
      <c r="DL288" s="179"/>
      <c r="DM288" s="179"/>
      <c r="DN288" s="179"/>
      <c r="DO288" s="179"/>
      <c r="DP288" s="179"/>
      <c r="DQ288" s="179"/>
      <c r="DR288" s="179"/>
      <c r="DS288" s="179"/>
      <c r="DT288" s="179"/>
      <c r="DU288" s="179"/>
      <c r="DV288" s="179"/>
      <c r="DW288" s="179"/>
      <c r="DX288" s="179"/>
      <c r="DY288" s="179"/>
      <c r="DZ288" s="179"/>
      <c r="EA288" s="179"/>
      <c r="EB288" s="179"/>
      <c r="EC288" s="179"/>
      <c r="ED288" s="179"/>
      <c r="EE288" s="179"/>
      <c r="EF288" s="179"/>
      <c r="EG288" s="179"/>
      <c r="EH288" s="179"/>
      <c r="EI288" s="179"/>
      <c r="EJ288" s="179"/>
      <c r="EK288" s="179"/>
      <c r="EL288" s="179"/>
      <c r="EM288" s="179"/>
      <c r="EN288" s="179"/>
      <c r="EO288" s="179"/>
      <c r="EP288" s="179"/>
      <c r="EQ288" s="179"/>
      <c r="ER288" s="179"/>
      <c r="ES288" s="179"/>
      <c r="ET288" s="179"/>
      <c r="EU288" s="179"/>
      <c r="EV288" s="179"/>
      <c r="EW288" s="179"/>
      <c r="EX288" s="179"/>
      <c r="EY288" s="179"/>
      <c r="EZ288" s="179"/>
      <c r="FA288" s="179"/>
      <c r="FB288" s="179"/>
      <c r="FC288" s="179"/>
      <c r="FD288" s="179"/>
      <c r="FE288" s="179"/>
      <c r="FF288" s="179"/>
      <c r="FG288" s="179"/>
      <c r="FH288" s="179"/>
      <c r="FI288" s="179"/>
      <c r="FJ288" s="179"/>
      <c r="FK288" s="179"/>
      <c r="FL288" s="179"/>
      <c r="FM288" s="179"/>
      <c r="FN288" s="179"/>
      <c r="FO288" s="179"/>
      <c r="FP288" s="179"/>
      <c r="FQ288" s="179"/>
      <c r="FR288" s="179"/>
      <c r="FS288" s="179"/>
      <c r="FT288" s="179"/>
      <c r="FU288" s="179"/>
      <c r="FV288" s="179"/>
      <c r="FW288" s="179"/>
      <c r="FX288" s="179"/>
      <c r="FY288" s="179"/>
      <c r="FZ288" s="179"/>
      <c r="GA288" s="179"/>
      <c r="GB288" s="179"/>
      <c r="GC288" s="179"/>
      <c r="GD288" s="179"/>
      <c r="GE288" s="179"/>
      <c r="GF288" s="179"/>
      <c r="GG288" s="179"/>
      <c r="GH288" s="179"/>
      <c r="GI288" s="179"/>
      <c r="GJ288" s="179"/>
      <c r="GK288" s="179"/>
      <c r="GL288" s="179"/>
      <c r="GM288" s="179"/>
      <c r="GN288" s="179"/>
      <c r="GO288" s="179"/>
      <c r="GP288" s="179"/>
      <c r="GQ288" s="179"/>
      <c r="GR288" s="179"/>
      <c r="GS288" s="179"/>
      <c r="GT288" s="179"/>
      <c r="GU288" s="179"/>
      <c r="GV288" s="179"/>
      <c r="GW288" s="179"/>
      <c r="GX288" s="179"/>
      <c r="GY288" s="179"/>
      <c r="GZ288" s="179"/>
      <c r="HA288" s="179"/>
      <c r="HB288" s="179"/>
      <c r="HC288" s="179"/>
      <c r="HD288" s="179"/>
      <c r="HE288" s="179"/>
      <c r="HF288" s="179"/>
      <c r="HG288" s="179"/>
      <c r="HH288" s="179"/>
      <c r="HI288" s="179"/>
      <c r="HJ288" s="179"/>
      <c r="HK288" s="179"/>
      <c r="HL288" s="179"/>
      <c r="HM288" s="179"/>
      <c r="HN288" s="179"/>
      <c r="HO288" s="179"/>
      <c r="HP288" s="179"/>
      <c r="HQ288" s="179"/>
      <c r="HR288" s="179"/>
      <c r="HS288" s="179"/>
      <c r="HT288" s="179"/>
      <c r="HU288" s="179"/>
      <c r="HV288" s="179"/>
      <c r="HW288" s="179"/>
      <c r="HX288" s="179"/>
      <c r="HY288" s="179"/>
      <c r="HZ288" s="179"/>
      <c r="IA288" s="179"/>
    </row>
    <row r="289" spans="1:16" ht="11.25">
      <c r="A289" s="31" t="s">
        <v>4</v>
      </c>
      <c r="B289" s="6"/>
      <c r="C289" s="6"/>
      <c r="D289" s="9"/>
      <c r="E289" s="17"/>
      <c r="F289" s="17"/>
      <c r="G289" s="9"/>
      <c r="H289" s="17"/>
      <c r="I289" s="17"/>
      <c r="J289" s="17"/>
      <c r="K289" s="11"/>
      <c r="L289" s="12"/>
      <c r="M289" s="12"/>
      <c r="N289" s="9"/>
      <c r="O289" s="17"/>
      <c r="P289" s="17"/>
    </row>
    <row r="290" spans="1:16" ht="22.5">
      <c r="A290" s="90" t="s">
        <v>178</v>
      </c>
      <c r="B290" s="96"/>
      <c r="C290" s="96"/>
      <c r="D290" s="96"/>
      <c r="E290" s="96">
        <v>1172</v>
      </c>
      <c r="F290" s="96">
        <f>E290</f>
        <v>1172</v>
      </c>
      <c r="G290" s="96"/>
      <c r="H290" s="96">
        <f>F290</f>
        <v>1172</v>
      </c>
      <c r="I290" s="96"/>
      <c r="J290" s="96">
        <f>H290</f>
        <v>1172</v>
      </c>
      <c r="K290" s="99"/>
      <c r="L290" s="100"/>
      <c r="M290" s="100"/>
      <c r="N290" s="96"/>
      <c r="O290" s="96">
        <f>H290</f>
        <v>1172</v>
      </c>
      <c r="P290" s="96">
        <f>O290</f>
        <v>1172</v>
      </c>
    </row>
    <row r="291" spans="1:16" ht="11.25">
      <c r="A291" s="89" t="s">
        <v>5</v>
      </c>
      <c r="B291" s="102"/>
      <c r="C291" s="102"/>
      <c r="D291" s="96"/>
      <c r="E291" s="102"/>
      <c r="F291" s="102"/>
      <c r="G291" s="96"/>
      <c r="H291" s="102"/>
      <c r="I291" s="102"/>
      <c r="J291" s="102"/>
      <c r="K291" s="99" t="e">
        <f>H291/E291*100</f>
        <v>#DIV/0!</v>
      </c>
      <c r="L291" s="102"/>
      <c r="M291" s="102"/>
      <c r="N291" s="96"/>
      <c r="O291" s="102"/>
      <c r="P291" s="102"/>
    </row>
    <row r="292" spans="1:16" ht="22.5">
      <c r="A292" s="90" t="s">
        <v>179</v>
      </c>
      <c r="B292" s="96"/>
      <c r="C292" s="96"/>
      <c r="D292" s="96"/>
      <c r="E292" s="97">
        <v>19</v>
      </c>
      <c r="F292" s="97">
        <f>E292</f>
        <v>19</v>
      </c>
      <c r="G292" s="97"/>
      <c r="H292" s="97">
        <f>132+3</f>
        <v>135</v>
      </c>
      <c r="I292" s="97"/>
      <c r="J292" s="97">
        <f>H292</f>
        <v>135</v>
      </c>
      <c r="K292" s="97">
        <f>H292/E292*100</f>
        <v>710.5263157894738</v>
      </c>
      <c r="L292" s="97"/>
      <c r="M292" s="97"/>
      <c r="N292" s="97"/>
      <c r="O292" s="97">
        <v>25</v>
      </c>
      <c r="P292" s="97">
        <f>O292</f>
        <v>25</v>
      </c>
    </row>
    <row r="293" spans="1:16" ht="11.25">
      <c r="A293" s="89" t="s">
        <v>7</v>
      </c>
      <c r="B293" s="102"/>
      <c r="C293" s="102"/>
      <c r="D293" s="96"/>
      <c r="E293" s="102"/>
      <c r="F293" s="102"/>
      <c r="G293" s="96"/>
      <c r="H293" s="102"/>
      <c r="I293" s="102"/>
      <c r="J293" s="102"/>
      <c r="K293" s="99" t="e">
        <f>H293/E293*100</f>
        <v>#DIV/0!</v>
      </c>
      <c r="L293" s="102"/>
      <c r="M293" s="102"/>
      <c r="N293" s="96"/>
      <c r="O293" s="102"/>
      <c r="P293" s="102"/>
    </row>
    <row r="294" spans="1:16" ht="24" customHeight="1">
      <c r="A294" s="90" t="s">
        <v>180</v>
      </c>
      <c r="B294" s="96"/>
      <c r="C294" s="96"/>
      <c r="D294" s="96"/>
      <c r="E294" s="99">
        <v>131580</v>
      </c>
      <c r="F294" s="99">
        <f>E294</f>
        <v>131580</v>
      </c>
      <c r="G294" s="96"/>
      <c r="H294" s="99">
        <f>147422.57781</f>
        <v>147422.57781</v>
      </c>
      <c r="I294" s="99"/>
      <c r="J294" s="99">
        <f>H294</f>
        <v>147422.57781</v>
      </c>
      <c r="K294" s="99">
        <f>H294/E294*100</f>
        <v>112.04026281349748</v>
      </c>
      <c r="L294" s="96"/>
      <c r="M294" s="99"/>
      <c r="N294" s="96"/>
      <c r="O294" s="99">
        <v>144000</v>
      </c>
      <c r="P294" s="99">
        <f>O294</f>
        <v>144000</v>
      </c>
    </row>
    <row r="295" spans="1:16" ht="11.25">
      <c r="A295" s="89" t="s">
        <v>6</v>
      </c>
      <c r="B295" s="102"/>
      <c r="C295" s="102"/>
      <c r="D295" s="96"/>
      <c r="E295" s="99"/>
      <c r="F295" s="99"/>
      <c r="G295" s="96"/>
      <c r="H295" s="99"/>
      <c r="I295" s="99"/>
      <c r="J295" s="99"/>
      <c r="K295" s="99"/>
      <c r="L295" s="96"/>
      <c r="M295" s="99"/>
      <c r="N295" s="96"/>
      <c r="O295" s="99"/>
      <c r="P295" s="99"/>
    </row>
    <row r="296" spans="1:16" ht="50.25" customHeight="1">
      <c r="A296" s="90" t="s">
        <v>181</v>
      </c>
      <c r="B296" s="96"/>
      <c r="C296" s="96"/>
      <c r="D296" s="96"/>
      <c r="E296" s="99"/>
      <c r="F296" s="99"/>
      <c r="G296" s="96"/>
      <c r="H296" s="99">
        <f>H292/H290*100</f>
        <v>11.518771331058021</v>
      </c>
      <c r="I296" s="99"/>
      <c r="J296" s="99">
        <f>J292/J290*100</f>
        <v>11.518771331058021</v>
      </c>
      <c r="K296" s="99" t="e">
        <f>K292/K290*100</f>
        <v>#DIV/0!</v>
      </c>
      <c r="L296" s="99" t="e">
        <f>L292/L290*100</f>
        <v>#DIV/0!</v>
      </c>
      <c r="M296" s="99" t="e">
        <f>M292/M290*100</f>
        <v>#DIV/0!</v>
      </c>
      <c r="N296" s="96"/>
      <c r="O296" s="99">
        <f>O292/O290*100</f>
        <v>2.1331058020477816</v>
      </c>
      <c r="P296" s="99">
        <f>P292/P290*100</f>
        <v>2.1331058020477816</v>
      </c>
    </row>
    <row r="297" spans="1:235" s="180" customFormat="1" ht="29.25" customHeight="1">
      <c r="A297" s="167" t="s">
        <v>349</v>
      </c>
      <c r="B297" s="176"/>
      <c r="C297" s="176"/>
      <c r="D297" s="178"/>
      <c r="E297" s="178">
        <f>5000000</f>
        <v>5000000</v>
      </c>
      <c r="F297" s="178">
        <f>E297</f>
        <v>5000000</v>
      </c>
      <c r="G297" s="178"/>
      <c r="H297" s="178">
        <f>20000000+12500000</f>
        <v>32500000</v>
      </c>
      <c r="I297" s="178"/>
      <c r="J297" s="178">
        <f>H297</f>
        <v>32500000</v>
      </c>
      <c r="K297" s="178"/>
      <c r="L297" s="178"/>
      <c r="M297" s="178"/>
      <c r="N297" s="178"/>
      <c r="O297" s="178">
        <v>5000000</v>
      </c>
      <c r="P297" s="178">
        <v>5000000</v>
      </c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179"/>
      <c r="CB297" s="179"/>
      <c r="CC297" s="179"/>
      <c r="CD297" s="179"/>
      <c r="CE297" s="179"/>
      <c r="CF297" s="179"/>
      <c r="CG297" s="179"/>
      <c r="CH297" s="179"/>
      <c r="CI297" s="179"/>
      <c r="CJ297" s="179"/>
      <c r="CK297" s="179"/>
      <c r="CL297" s="179"/>
      <c r="CM297" s="179"/>
      <c r="CN297" s="179"/>
      <c r="CO297" s="179"/>
      <c r="CP297" s="179"/>
      <c r="CQ297" s="179"/>
      <c r="CR297" s="179"/>
      <c r="CS297" s="179"/>
      <c r="CT297" s="179"/>
      <c r="CU297" s="179"/>
      <c r="CV297" s="179"/>
      <c r="CW297" s="179"/>
      <c r="CX297" s="179"/>
      <c r="CY297" s="179"/>
      <c r="CZ297" s="179"/>
      <c r="DA297" s="179"/>
      <c r="DB297" s="179"/>
      <c r="DC297" s="179"/>
      <c r="DD297" s="179"/>
      <c r="DE297" s="179"/>
      <c r="DF297" s="179"/>
      <c r="DG297" s="179"/>
      <c r="DH297" s="179"/>
      <c r="DI297" s="179"/>
      <c r="DJ297" s="179"/>
      <c r="DK297" s="179"/>
      <c r="DL297" s="179"/>
      <c r="DM297" s="179"/>
      <c r="DN297" s="179"/>
      <c r="DO297" s="179"/>
      <c r="DP297" s="179"/>
      <c r="DQ297" s="179"/>
      <c r="DR297" s="179"/>
      <c r="DS297" s="179"/>
      <c r="DT297" s="179"/>
      <c r="DU297" s="179"/>
      <c r="DV297" s="179"/>
      <c r="DW297" s="179"/>
      <c r="DX297" s="179"/>
      <c r="DY297" s="179"/>
      <c r="DZ297" s="179"/>
      <c r="EA297" s="179"/>
      <c r="EB297" s="179"/>
      <c r="EC297" s="179"/>
      <c r="ED297" s="179"/>
      <c r="EE297" s="179"/>
      <c r="EF297" s="179"/>
      <c r="EG297" s="179"/>
      <c r="EH297" s="179"/>
      <c r="EI297" s="179"/>
      <c r="EJ297" s="179"/>
      <c r="EK297" s="179"/>
      <c r="EL297" s="179"/>
      <c r="EM297" s="179"/>
      <c r="EN297" s="179"/>
      <c r="EO297" s="179"/>
      <c r="EP297" s="179"/>
      <c r="EQ297" s="179"/>
      <c r="ER297" s="179"/>
      <c r="ES297" s="179"/>
      <c r="ET297" s="179"/>
      <c r="EU297" s="179"/>
      <c r="EV297" s="179"/>
      <c r="EW297" s="179"/>
      <c r="EX297" s="179"/>
      <c r="EY297" s="179"/>
      <c r="EZ297" s="179"/>
      <c r="FA297" s="179"/>
      <c r="FB297" s="179"/>
      <c r="FC297" s="179"/>
      <c r="FD297" s="179"/>
      <c r="FE297" s="179"/>
      <c r="FF297" s="179"/>
      <c r="FG297" s="179"/>
      <c r="FH297" s="179"/>
      <c r="FI297" s="179"/>
      <c r="FJ297" s="179"/>
      <c r="FK297" s="179"/>
      <c r="FL297" s="179"/>
      <c r="FM297" s="179"/>
      <c r="FN297" s="179"/>
      <c r="FO297" s="179"/>
      <c r="FP297" s="179"/>
      <c r="FQ297" s="179"/>
      <c r="FR297" s="179"/>
      <c r="FS297" s="179"/>
      <c r="FT297" s="179"/>
      <c r="FU297" s="179"/>
      <c r="FV297" s="179"/>
      <c r="FW297" s="179"/>
      <c r="FX297" s="179"/>
      <c r="FY297" s="179"/>
      <c r="FZ297" s="179"/>
      <c r="GA297" s="179"/>
      <c r="GB297" s="179"/>
      <c r="GC297" s="179"/>
      <c r="GD297" s="179"/>
      <c r="GE297" s="179"/>
      <c r="GF297" s="179"/>
      <c r="GG297" s="179"/>
      <c r="GH297" s="179"/>
      <c r="GI297" s="179"/>
      <c r="GJ297" s="179"/>
      <c r="GK297" s="179"/>
      <c r="GL297" s="179"/>
      <c r="GM297" s="179"/>
      <c r="GN297" s="179"/>
      <c r="GO297" s="179"/>
      <c r="GP297" s="179"/>
      <c r="GQ297" s="179"/>
      <c r="GR297" s="179"/>
      <c r="GS297" s="179"/>
      <c r="GT297" s="179"/>
      <c r="GU297" s="179"/>
      <c r="GV297" s="179"/>
      <c r="GW297" s="179"/>
      <c r="GX297" s="179"/>
      <c r="GY297" s="179"/>
      <c r="GZ297" s="179"/>
      <c r="HA297" s="179"/>
      <c r="HB297" s="179"/>
      <c r="HC297" s="179"/>
      <c r="HD297" s="179"/>
      <c r="HE297" s="179"/>
      <c r="HF297" s="179"/>
      <c r="HG297" s="179"/>
      <c r="HH297" s="179"/>
      <c r="HI297" s="179"/>
      <c r="HJ297" s="179"/>
      <c r="HK297" s="179"/>
      <c r="HL297" s="179"/>
      <c r="HM297" s="179"/>
      <c r="HN297" s="179"/>
      <c r="HO297" s="179"/>
      <c r="HP297" s="179"/>
      <c r="HQ297" s="179"/>
      <c r="HR297" s="179"/>
      <c r="HS297" s="179"/>
      <c r="HT297" s="179"/>
      <c r="HU297" s="179"/>
      <c r="HV297" s="179"/>
      <c r="HW297" s="179"/>
      <c r="HX297" s="179"/>
      <c r="HY297" s="179"/>
      <c r="HZ297" s="179"/>
      <c r="IA297" s="179"/>
    </row>
    <row r="298" spans="1:235" s="139" customFormat="1" ht="11.25">
      <c r="A298" s="31" t="s">
        <v>4</v>
      </c>
      <c r="B298" s="8"/>
      <c r="C298" s="8"/>
      <c r="D298" s="8"/>
      <c r="E298" s="7"/>
      <c r="F298" s="7"/>
      <c r="G298" s="8"/>
      <c r="H298" s="7"/>
      <c r="I298" s="7"/>
      <c r="J298" s="7"/>
      <c r="K298" s="7"/>
      <c r="L298" s="7"/>
      <c r="M298" s="7"/>
      <c r="N298" s="8"/>
      <c r="O298" s="7"/>
      <c r="P298" s="7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  <c r="CW298" s="138"/>
      <c r="CX298" s="138"/>
      <c r="CY298" s="138"/>
      <c r="CZ298" s="138"/>
      <c r="DA298" s="138"/>
      <c r="DB298" s="138"/>
      <c r="DC298" s="138"/>
      <c r="DD298" s="138"/>
      <c r="DE298" s="138"/>
      <c r="DF298" s="138"/>
      <c r="DG298" s="138"/>
      <c r="DH298" s="138"/>
      <c r="DI298" s="138"/>
      <c r="DJ298" s="138"/>
      <c r="DK298" s="138"/>
      <c r="DL298" s="138"/>
      <c r="DM298" s="138"/>
      <c r="DN298" s="138"/>
      <c r="DO298" s="138"/>
      <c r="DP298" s="138"/>
      <c r="DQ298" s="138"/>
      <c r="DR298" s="138"/>
      <c r="DS298" s="138"/>
      <c r="DT298" s="138"/>
      <c r="DU298" s="138"/>
      <c r="DV298" s="138"/>
      <c r="DW298" s="138"/>
      <c r="DX298" s="138"/>
      <c r="DY298" s="138"/>
      <c r="DZ298" s="138"/>
      <c r="EA298" s="138"/>
      <c r="EB298" s="138"/>
      <c r="EC298" s="138"/>
      <c r="ED298" s="138"/>
      <c r="EE298" s="138"/>
      <c r="EF298" s="138"/>
      <c r="EG298" s="138"/>
      <c r="EH298" s="138"/>
      <c r="EI298" s="138"/>
      <c r="EJ298" s="138"/>
      <c r="EK298" s="138"/>
      <c r="EL298" s="138"/>
      <c r="EM298" s="138"/>
      <c r="EN298" s="138"/>
      <c r="EO298" s="138"/>
      <c r="EP298" s="138"/>
      <c r="EQ298" s="138"/>
      <c r="ER298" s="138"/>
      <c r="ES298" s="138"/>
      <c r="ET298" s="138"/>
      <c r="EU298" s="138"/>
      <c r="EV298" s="138"/>
      <c r="EW298" s="138"/>
      <c r="EX298" s="138"/>
      <c r="EY298" s="138"/>
      <c r="EZ298" s="138"/>
      <c r="FA298" s="138"/>
      <c r="FB298" s="138"/>
      <c r="FC298" s="138"/>
      <c r="FD298" s="138"/>
      <c r="FE298" s="138"/>
      <c r="FF298" s="138"/>
      <c r="FG298" s="138"/>
      <c r="FH298" s="138"/>
      <c r="FI298" s="138"/>
      <c r="FJ298" s="138"/>
      <c r="FK298" s="138"/>
      <c r="FL298" s="138"/>
      <c r="FM298" s="138"/>
      <c r="FN298" s="138"/>
      <c r="FO298" s="138"/>
      <c r="FP298" s="138"/>
      <c r="FQ298" s="138"/>
      <c r="FR298" s="138"/>
      <c r="FS298" s="138"/>
      <c r="FT298" s="138"/>
      <c r="FU298" s="138"/>
      <c r="FV298" s="138"/>
      <c r="FW298" s="138"/>
      <c r="FX298" s="138"/>
      <c r="FY298" s="138"/>
      <c r="FZ298" s="138"/>
      <c r="GA298" s="138"/>
      <c r="GB298" s="138"/>
      <c r="GC298" s="138"/>
      <c r="GD298" s="138"/>
      <c r="GE298" s="138"/>
      <c r="GF298" s="138"/>
      <c r="GG298" s="138"/>
      <c r="GH298" s="138"/>
      <c r="GI298" s="138"/>
      <c r="GJ298" s="138"/>
      <c r="GK298" s="138"/>
      <c r="GL298" s="138"/>
      <c r="GM298" s="138"/>
      <c r="GN298" s="138"/>
      <c r="GO298" s="138"/>
      <c r="GP298" s="138"/>
      <c r="GQ298" s="138"/>
      <c r="GR298" s="138"/>
      <c r="GS298" s="138"/>
      <c r="GT298" s="138"/>
      <c r="GU298" s="138"/>
      <c r="GV298" s="138"/>
      <c r="GW298" s="138"/>
      <c r="GX298" s="138"/>
      <c r="GY298" s="138"/>
      <c r="GZ298" s="138"/>
      <c r="HA298" s="138"/>
      <c r="HB298" s="138"/>
      <c r="HC298" s="138"/>
      <c r="HD298" s="138"/>
      <c r="HE298" s="138"/>
      <c r="HF298" s="138"/>
      <c r="HG298" s="138"/>
      <c r="HH298" s="138"/>
      <c r="HI298" s="138"/>
      <c r="HJ298" s="138"/>
      <c r="HK298" s="138"/>
      <c r="HL298" s="138"/>
      <c r="HM298" s="138"/>
      <c r="HN298" s="138"/>
      <c r="HO298" s="138"/>
      <c r="HP298" s="138"/>
      <c r="HQ298" s="138"/>
      <c r="HR298" s="138"/>
      <c r="HS298" s="138"/>
      <c r="HT298" s="138"/>
      <c r="HU298" s="138"/>
      <c r="HV298" s="138"/>
      <c r="HW298" s="138"/>
      <c r="HX298" s="138"/>
      <c r="HY298" s="138"/>
      <c r="HZ298" s="138"/>
      <c r="IA298" s="138"/>
    </row>
    <row r="299" spans="1:235" s="139" customFormat="1" ht="25.5" customHeight="1">
      <c r="A299" s="32" t="s">
        <v>271</v>
      </c>
      <c r="B299" s="8"/>
      <c r="C299" s="8"/>
      <c r="D299" s="8"/>
      <c r="E299" s="10">
        <f>(1511*70)/100</f>
        <v>1057.7</v>
      </c>
      <c r="F299" s="10">
        <f>E299</f>
        <v>1057.7</v>
      </c>
      <c r="G299" s="8"/>
      <c r="H299" s="7">
        <f>1058-35</f>
        <v>1023</v>
      </c>
      <c r="I299" s="7"/>
      <c r="J299" s="7">
        <f>H299</f>
        <v>1023</v>
      </c>
      <c r="K299" s="7"/>
      <c r="L299" s="7"/>
      <c r="M299" s="7"/>
      <c r="N299" s="8"/>
      <c r="O299" s="7">
        <f>1023-43</f>
        <v>980</v>
      </c>
      <c r="P299" s="7">
        <f>O299</f>
        <v>980</v>
      </c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  <c r="CW299" s="138"/>
      <c r="CX299" s="138"/>
      <c r="CY299" s="138"/>
      <c r="CZ299" s="138"/>
      <c r="DA299" s="138"/>
      <c r="DB299" s="138"/>
      <c r="DC299" s="138"/>
      <c r="DD299" s="138"/>
      <c r="DE299" s="138"/>
      <c r="DF299" s="138"/>
      <c r="DG299" s="138"/>
      <c r="DH299" s="138"/>
      <c r="DI299" s="138"/>
      <c r="DJ299" s="138"/>
      <c r="DK299" s="138"/>
      <c r="DL299" s="138"/>
      <c r="DM299" s="138"/>
      <c r="DN299" s="138"/>
      <c r="DO299" s="138"/>
      <c r="DP299" s="138"/>
      <c r="DQ299" s="138"/>
      <c r="DR299" s="138"/>
      <c r="DS299" s="138"/>
      <c r="DT299" s="138"/>
      <c r="DU299" s="138"/>
      <c r="DV299" s="138"/>
      <c r="DW299" s="138"/>
      <c r="DX299" s="138"/>
      <c r="DY299" s="138"/>
      <c r="DZ299" s="138"/>
      <c r="EA299" s="138"/>
      <c r="EB299" s="138"/>
      <c r="EC299" s="138"/>
      <c r="ED299" s="138"/>
      <c r="EE299" s="138"/>
      <c r="EF299" s="138"/>
      <c r="EG299" s="138"/>
      <c r="EH299" s="138"/>
      <c r="EI299" s="138"/>
      <c r="EJ299" s="138"/>
      <c r="EK299" s="138"/>
      <c r="EL299" s="138"/>
      <c r="EM299" s="138"/>
      <c r="EN299" s="138"/>
      <c r="EO299" s="138"/>
      <c r="EP299" s="138"/>
      <c r="EQ299" s="138"/>
      <c r="ER299" s="138"/>
      <c r="ES299" s="138"/>
      <c r="ET299" s="138"/>
      <c r="EU299" s="138"/>
      <c r="EV299" s="138"/>
      <c r="EW299" s="138"/>
      <c r="EX299" s="138"/>
      <c r="EY299" s="138"/>
      <c r="EZ299" s="138"/>
      <c r="FA299" s="138"/>
      <c r="FB299" s="138"/>
      <c r="FC299" s="138"/>
      <c r="FD299" s="138"/>
      <c r="FE299" s="138"/>
      <c r="FF299" s="138"/>
      <c r="FG299" s="138"/>
      <c r="FH299" s="138"/>
      <c r="FI299" s="138"/>
      <c r="FJ299" s="138"/>
      <c r="FK299" s="138"/>
      <c r="FL299" s="138"/>
      <c r="FM299" s="138"/>
      <c r="FN299" s="138"/>
      <c r="FO299" s="138"/>
      <c r="FP299" s="138"/>
      <c r="FQ299" s="138"/>
      <c r="FR299" s="138"/>
      <c r="FS299" s="138"/>
      <c r="FT299" s="138"/>
      <c r="FU299" s="138"/>
      <c r="FV299" s="138"/>
      <c r="FW299" s="138"/>
      <c r="FX299" s="138"/>
      <c r="FY299" s="138"/>
      <c r="FZ299" s="138"/>
      <c r="GA299" s="138"/>
      <c r="GB299" s="138"/>
      <c r="GC299" s="138"/>
      <c r="GD299" s="138"/>
      <c r="GE299" s="138"/>
      <c r="GF299" s="138"/>
      <c r="GG299" s="138"/>
      <c r="GH299" s="138"/>
      <c r="GI299" s="138"/>
      <c r="GJ299" s="138"/>
      <c r="GK299" s="138"/>
      <c r="GL299" s="138"/>
      <c r="GM299" s="138"/>
      <c r="GN299" s="138"/>
      <c r="GO299" s="138"/>
      <c r="GP299" s="138"/>
      <c r="GQ299" s="138"/>
      <c r="GR299" s="138"/>
      <c r="GS299" s="138"/>
      <c r="GT299" s="138"/>
      <c r="GU299" s="138"/>
      <c r="GV299" s="138"/>
      <c r="GW299" s="138"/>
      <c r="GX299" s="138"/>
      <c r="GY299" s="138"/>
      <c r="GZ299" s="138"/>
      <c r="HA299" s="138"/>
      <c r="HB299" s="138"/>
      <c r="HC299" s="138"/>
      <c r="HD299" s="138"/>
      <c r="HE299" s="138"/>
      <c r="HF299" s="138"/>
      <c r="HG299" s="138"/>
      <c r="HH299" s="138"/>
      <c r="HI299" s="138"/>
      <c r="HJ299" s="138"/>
      <c r="HK299" s="138"/>
      <c r="HL299" s="138"/>
      <c r="HM299" s="138"/>
      <c r="HN299" s="138"/>
      <c r="HO299" s="138"/>
      <c r="HP299" s="138"/>
      <c r="HQ299" s="138"/>
      <c r="HR299" s="138"/>
      <c r="HS299" s="138"/>
      <c r="HT299" s="138"/>
      <c r="HU299" s="138"/>
      <c r="HV299" s="138"/>
      <c r="HW299" s="138"/>
      <c r="HX299" s="138"/>
      <c r="HY299" s="138"/>
      <c r="HZ299" s="138"/>
      <c r="IA299" s="138"/>
    </row>
    <row r="300" spans="1:235" s="139" customFormat="1" ht="11.25">
      <c r="A300" s="31" t="s">
        <v>5</v>
      </c>
      <c r="B300" s="8"/>
      <c r="C300" s="8"/>
      <c r="D300" s="8"/>
      <c r="E300" s="7"/>
      <c r="F300" s="7"/>
      <c r="G300" s="8"/>
      <c r="H300" s="7"/>
      <c r="I300" s="7"/>
      <c r="J300" s="7"/>
      <c r="K300" s="7"/>
      <c r="L300" s="7"/>
      <c r="M300" s="7"/>
      <c r="N300" s="8"/>
      <c r="O300" s="7"/>
      <c r="P300" s="7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  <c r="CW300" s="138"/>
      <c r="CX300" s="138"/>
      <c r="CY300" s="138"/>
      <c r="CZ300" s="138"/>
      <c r="DA300" s="138"/>
      <c r="DB300" s="138"/>
      <c r="DC300" s="138"/>
      <c r="DD300" s="138"/>
      <c r="DE300" s="138"/>
      <c r="DF300" s="138"/>
      <c r="DG300" s="138"/>
      <c r="DH300" s="138"/>
      <c r="DI300" s="138"/>
      <c r="DJ300" s="138"/>
      <c r="DK300" s="138"/>
      <c r="DL300" s="138"/>
      <c r="DM300" s="138"/>
      <c r="DN300" s="138"/>
      <c r="DO300" s="138"/>
      <c r="DP300" s="138"/>
      <c r="DQ300" s="138"/>
      <c r="DR300" s="138"/>
      <c r="DS300" s="138"/>
      <c r="DT300" s="138"/>
      <c r="DU300" s="138"/>
      <c r="DV300" s="138"/>
      <c r="DW300" s="138"/>
      <c r="DX300" s="138"/>
      <c r="DY300" s="138"/>
      <c r="DZ300" s="138"/>
      <c r="EA300" s="138"/>
      <c r="EB300" s="138"/>
      <c r="EC300" s="138"/>
      <c r="ED300" s="138"/>
      <c r="EE300" s="138"/>
      <c r="EF300" s="138"/>
      <c r="EG300" s="138"/>
      <c r="EH300" s="138"/>
      <c r="EI300" s="138"/>
      <c r="EJ300" s="138"/>
      <c r="EK300" s="138"/>
      <c r="EL300" s="138"/>
      <c r="EM300" s="138"/>
      <c r="EN300" s="138"/>
      <c r="EO300" s="138"/>
      <c r="EP300" s="138"/>
      <c r="EQ300" s="138"/>
      <c r="ER300" s="138"/>
      <c r="ES300" s="138"/>
      <c r="ET300" s="138"/>
      <c r="EU300" s="138"/>
      <c r="EV300" s="138"/>
      <c r="EW300" s="138"/>
      <c r="EX300" s="138"/>
      <c r="EY300" s="138"/>
      <c r="EZ300" s="138"/>
      <c r="FA300" s="138"/>
      <c r="FB300" s="138"/>
      <c r="FC300" s="138"/>
      <c r="FD300" s="138"/>
      <c r="FE300" s="138"/>
      <c r="FF300" s="138"/>
      <c r="FG300" s="138"/>
      <c r="FH300" s="138"/>
      <c r="FI300" s="138"/>
      <c r="FJ300" s="138"/>
      <c r="FK300" s="138"/>
      <c r="FL300" s="138"/>
      <c r="FM300" s="138"/>
      <c r="FN300" s="138"/>
      <c r="FO300" s="138"/>
      <c r="FP300" s="138"/>
      <c r="FQ300" s="138"/>
      <c r="FR300" s="138"/>
      <c r="FS300" s="138"/>
      <c r="FT300" s="138"/>
      <c r="FU300" s="138"/>
      <c r="FV300" s="138"/>
      <c r="FW300" s="138"/>
      <c r="FX300" s="138"/>
      <c r="FY300" s="138"/>
      <c r="FZ300" s="138"/>
      <c r="GA300" s="138"/>
      <c r="GB300" s="138"/>
      <c r="GC300" s="138"/>
      <c r="GD300" s="138"/>
      <c r="GE300" s="138"/>
      <c r="GF300" s="138"/>
      <c r="GG300" s="138"/>
      <c r="GH300" s="138"/>
      <c r="GI300" s="138"/>
      <c r="GJ300" s="138"/>
      <c r="GK300" s="138"/>
      <c r="GL300" s="138"/>
      <c r="GM300" s="138"/>
      <c r="GN300" s="138"/>
      <c r="GO300" s="138"/>
      <c r="GP300" s="138"/>
      <c r="GQ300" s="138"/>
      <c r="GR300" s="138"/>
      <c r="GS300" s="138"/>
      <c r="GT300" s="138"/>
      <c r="GU300" s="138"/>
      <c r="GV300" s="138"/>
      <c r="GW300" s="138"/>
      <c r="GX300" s="138"/>
      <c r="GY300" s="138"/>
      <c r="GZ300" s="138"/>
      <c r="HA300" s="138"/>
      <c r="HB300" s="138"/>
      <c r="HC300" s="138"/>
      <c r="HD300" s="138"/>
      <c r="HE300" s="138"/>
      <c r="HF300" s="138"/>
      <c r="HG300" s="138"/>
      <c r="HH300" s="138"/>
      <c r="HI300" s="138"/>
      <c r="HJ300" s="138"/>
      <c r="HK300" s="138"/>
      <c r="HL300" s="138"/>
      <c r="HM300" s="138"/>
      <c r="HN300" s="138"/>
      <c r="HO300" s="138"/>
      <c r="HP300" s="138"/>
      <c r="HQ300" s="138"/>
      <c r="HR300" s="138"/>
      <c r="HS300" s="138"/>
      <c r="HT300" s="138"/>
      <c r="HU300" s="138"/>
      <c r="HV300" s="138"/>
      <c r="HW300" s="138"/>
      <c r="HX300" s="138"/>
      <c r="HY300" s="138"/>
      <c r="HZ300" s="138"/>
      <c r="IA300" s="138"/>
    </row>
    <row r="301" spans="1:235" s="139" customFormat="1" ht="28.5" customHeight="1">
      <c r="A301" s="32" t="s">
        <v>272</v>
      </c>
      <c r="B301" s="8"/>
      <c r="C301" s="8"/>
      <c r="D301" s="8"/>
      <c r="E301" s="7">
        <v>35</v>
      </c>
      <c r="F301" s="7">
        <v>35</v>
      </c>
      <c r="G301" s="8"/>
      <c r="H301" s="7">
        <v>228</v>
      </c>
      <c r="I301" s="7"/>
      <c r="J301" s="7">
        <v>140</v>
      </c>
      <c r="K301" s="7"/>
      <c r="L301" s="7"/>
      <c r="M301" s="7"/>
      <c r="N301" s="8"/>
      <c r="O301" s="7">
        <v>41</v>
      </c>
      <c r="P301" s="7">
        <v>41</v>
      </c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  <c r="CW301" s="138"/>
      <c r="CX301" s="138"/>
      <c r="CY301" s="138"/>
      <c r="CZ301" s="138"/>
      <c r="DA301" s="138"/>
      <c r="DB301" s="138"/>
      <c r="DC301" s="138"/>
      <c r="DD301" s="138"/>
      <c r="DE301" s="138"/>
      <c r="DF301" s="138"/>
      <c r="DG301" s="138"/>
      <c r="DH301" s="138"/>
      <c r="DI301" s="138"/>
      <c r="DJ301" s="138"/>
      <c r="DK301" s="138"/>
      <c r="DL301" s="138"/>
      <c r="DM301" s="138"/>
      <c r="DN301" s="138"/>
      <c r="DO301" s="138"/>
      <c r="DP301" s="138"/>
      <c r="DQ301" s="138"/>
      <c r="DR301" s="138"/>
      <c r="DS301" s="138"/>
      <c r="DT301" s="138"/>
      <c r="DU301" s="138"/>
      <c r="DV301" s="138"/>
      <c r="DW301" s="138"/>
      <c r="DX301" s="138"/>
      <c r="DY301" s="138"/>
      <c r="DZ301" s="138"/>
      <c r="EA301" s="138"/>
      <c r="EB301" s="138"/>
      <c r="EC301" s="138"/>
      <c r="ED301" s="138"/>
      <c r="EE301" s="138"/>
      <c r="EF301" s="138"/>
      <c r="EG301" s="138"/>
      <c r="EH301" s="138"/>
      <c r="EI301" s="138"/>
      <c r="EJ301" s="138"/>
      <c r="EK301" s="138"/>
      <c r="EL301" s="138"/>
      <c r="EM301" s="138"/>
      <c r="EN301" s="138"/>
      <c r="EO301" s="138"/>
      <c r="EP301" s="138"/>
      <c r="EQ301" s="138"/>
      <c r="ER301" s="138"/>
      <c r="ES301" s="138"/>
      <c r="ET301" s="138"/>
      <c r="EU301" s="138"/>
      <c r="EV301" s="138"/>
      <c r="EW301" s="138"/>
      <c r="EX301" s="138"/>
      <c r="EY301" s="138"/>
      <c r="EZ301" s="138"/>
      <c r="FA301" s="138"/>
      <c r="FB301" s="138"/>
      <c r="FC301" s="138"/>
      <c r="FD301" s="138"/>
      <c r="FE301" s="138"/>
      <c r="FF301" s="138"/>
      <c r="FG301" s="138"/>
      <c r="FH301" s="138"/>
      <c r="FI301" s="138"/>
      <c r="FJ301" s="138"/>
      <c r="FK301" s="138"/>
      <c r="FL301" s="138"/>
      <c r="FM301" s="138"/>
      <c r="FN301" s="138"/>
      <c r="FO301" s="138"/>
      <c r="FP301" s="138"/>
      <c r="FQ301" s="138"/>
      <c r="FR301" s="138"/>
      <c r="FS301" s="138"/>
      <c r="FT301" s="138"/>
      <c r="FU301" s="138"/>
      <c r="FV301" s="138"/>
      <c r="FW301" s="138"/>
      <c r="FX301" s="138"/>
      <c r="FY301" s="138"/>
      <c r="FZ301" s="138"/>
      <c r="GA301" s="138"/>
      <c r="GB301" s="138"/>
      <c r="GC301" s="138"/>
      <c r="GD301" s="138"/>
      <c r="GE301" s="138"/>
      <c r="GF301" s="138"/>
      <c r="GG301" s="138"/>
      <c r="GH301" s="138"/>
      <c r="GI301" s="138"/>
      <c r="GJ301" s="138"/>
      <c r="GK301" s="138"/>
      <c r="GL301" s="138"/>
      <c r="GM301" s="138"/>
      <c r="GN301" s="138"/>
      <c r="GO301" s="138"/>
      <c r="GP301" s="138"/>
      <c r="GQ301" s="138"/>
      <c r="GR301" s="138"/>
      <c r="GS301" s="138"/>
      <c r="GT301" s="138"/>
      <c r="GU301" s="138"/>
      <c r="GV301" s="138"/>
      <c r="GW301" s="138"/>
      <c r="GX301" s="138"/>
      <c r="GY301" s="138"/>
      <c r="GZ301" s="138"/>
      <c r="HA301" s="138"/>
      <c r="HB301" s="138"/>
      <c r="HC301" s="138"/>
      <c r="HD301" s="138"/>
      <c r="HE301" s="138"/>
      <c r="HF301" s="138"/>
      <c r="HG301" s="138"/>
      <c r="HH301" s="138"/>
      <c r="HI301" s="138"/>
      <c r="HJ301" s="138"/>
      <c r="HK301" s="138"/>
      <c r="HL301" s="138"/>
      <c r="HM301" s="138"/>
      <c r="HN301" s="138"/>
      <c r="HO301" s="138"/>
      <c r="HP301" s="138"/>
      <c r="HQ301" s="138"/>
      <c r="HR301" s="138"/>
      <c r="HS301" s="138"/>
      <c r="HT301" s="138"/>
      <c r="HU301" s="138"/>
      <c r="HV301" s="138"/>
      <c r="HW301" s="138"/>
      <c r="HX301" s="138"/>
      <c r="HY301" s="138"/>
      <c r="HZ301" s="138"/>
      <c r="IA301" s="138"/>
    </row>
    <row r="302" spans="1:235" s="139" customFormat="1" ht="11.25">
      <c r="A302" s="31" t="s">
        <v>7</v>
      </c>
      <c r="B302" s="8"/>
      <c r="C302" s="8"/>
      <c r="D302" s="8"/>
      <c r="E302" s="7"/>
      <c r="F302" s="7"/>
      <c r="G302" s="8"/>
      <c r="H302" s="7"/>
      <c r="I302" s="7"/>
      <c r="J302" s="7"/>
      <c r="K302" s="7"/>
      <c r="L302" s="7"/>
      <c r="M302" s="7"/>
      <c r="N302" s="8"/>
      <c r="O302" s="7"/>
      <c r="P302" s="7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  <c r="CW302" s="138"/>
      <c r="CX302" s="138"/>
      <c r="CY302" s="138"/>
      <c r="CZ302" s="138"/>
      <c r="DA302" s="138"/>
      <c r="DB302" s="138"/>
      <c r="DC302" s="138"/>
      <c r="DD302" s="138"/>
      <c r="DE302" s="138"/>
      <c r="DF302" s="138"/>
      <c r="DG302" s="138"/>
      <c r="DH302" s="138"/>
      <c r="DI302" s="138"/>
      <c r="DJ302" s="138"/>
      <c r="DK302" s="138"/>
      <c r="DL302" s="138"/>
      <c r="DM302" s="138"/>
      <c r="DN302" s="138"/>
      <c r="DO302" s="138"/>
      <c r="DP302" s="138"/>
      <c r="DQ302" s="138"/>
      <c r="DR302" s="138"/>
      <c r="DS302" s="138"/>
      <c r="DT302" s="138"/>
      <c r="DU302" s="138"/>
      <c r="DV302" s="138"/>
      <c r="DW302" s="138"/>
      <c r="DX302" s="138"/>
      <c r="DY302" s="138"/>
      <c r="DZ302" s="138"/>
      <c r="EA302" s="138"/>
      <c r="EB302" s="138"/>
      <c r="EC302" s="138"/>
      <c r="ED302" s="138"/>
      <c r="EE302" s="138"/>
      <c r="EF302" s="138"/>
      <c r="EG302" s="138"/>
      <c r="EH302" s="138"/>
      <c r="EI302" s="138"/>
      <c r="EJ302" s="138"/>
      <c r="EK302" s="138"/>
      <c r="EL302" s="138"/>
      <c r="EM302" s="138"/>
      <c r="EN302" s="138"/>
      <c r="EO302" s="138"/>
      <c r="EP302" s="138"/>
      <c r="EQ302" s="138"/>
      <c r="ER302" s="138"/>
      <c r="ES302" s="138"/>
      <c r="ET302" s="138"/>
      <c r="EU302" s="138"/>
      <c r="EV302" s="138"/>
      <c r="EW302" s="138"/>
      <c r="EX302" s="138"/>
      <c r="EY302" s="138"/>
      <c r="EZ302" s="138"/>
      <c r="FA302" s="138"/>
      <c r="FB302" s="138"/>
      <c r="FC302" s="138"/>
      <c r="FD302" s="138"/>
      <c r="FE302" s="138"/>
      <c r="FF302" s="138"/>
      <c r="FG302" s="138"/>
      <c r="FH302" s="138"/>
      <c r="FI302" s="138"/>
      <c r="FJ302" s="138"/>
      <c r="FK302" s="138"/>
      <c r="FL302" s="138"/>
      <c r="FM302" s="138"/>
      <c r="FN302" s="138"/>
      <c r="FO302" s="138"/>
      <c r="FP302" s="138"/>
      <c r="FQ302" s="138"/>
      <c r="FR302" s="138"/>
      <c r="FS302" s="138"/>
      <c r="FT302" s="138"/>
      <c r="FU302" s="138"/>
      <c r="FV302" s="138"/>
      <c r="FW302" s="138"/>
      <c r="FX302" s="138"/>
      <c r="FY302" s="138"/>
      <c r="FZ302" s="138"/>
      <c r="GA302" s="138"/>
      <c r="GB302" s="138"/>
      <c r="GC302" s="138"/>
      <c r="GD302" s="138"/>
      <c r="GE302" s="138"/>
      <c r="GF302" s="138"/>
      <c r="GG302" s="138"/>
      <c r="GH302" s="138"/>
      <c r="GI302" s="138"/>
      <c r="GJ302" s="138"/>
      <c r="GK302" s="138"/>
      <c r="GL302" s="138"/>
      <c r="GM302" s="138"/>
      <c r="GN302" s="138"/>
      <c r="GO302" s="138"/>
      <c r="GP302" s="138"/>
      <c r="GQ302" s="138"/>
      <c r="GR302" s="138"/>
      <c r="GS302" s="138"/>
      <c r="GT302" s="138"/>
      <c r="GU302" s="138"/>
      <c r="GV302" s="138"/>
      <c r="GW302" s="138"/>
      <c r="GX302" s="138"/>
      <c r="GY302" s="138"/>
      <c r="GZ302" s="138"/>
      <c r="HA302" s="138"/>
      <c r="HB302" s="138"/>
      <c r="HC302" s="138"/>
      <c r="HD302" s="138"/>
      <c r="HE302" s="138"/>
      <c r="HF302" s="138"/>
      <c r="HG302" s="138"/>
      <c r="HH302" s="138"/>
      <c r="HI302" s="138"/>
      <c r="HJ302" s="138"/>
      <c r="HK302" s="138"/>
      <c r="HL302" s="138"/>
      <c r="HM302" s="138"/>
      <c r="HN302" s="138"/>
      <c r="HO302" s="138"/>
      <c r="HP302" s="138"/>
      <c r="HQ302" s="138"/>
      <c r="HR302" s="138"/>
      <c r="HS302" s="138"/>
      <c r="HT302" s="138"/>
      <c r="HU302" s="138"/>
      <c r="HV302" s="138"/>
      <c r="HW302" s="138"/>
      <c r="HX302" s="138"/>
      <c r="HY302" s="138"/>
      <c r="HZ302" s="138"/>
      <c r="IA302" s="138"/>
    </row>
    <row r="303" spans="1:235" s="139" customFormat="1" ht="23.25" customHeight="1">
      <c r="A303" s="32" t="s">
        <v>180</v>
      </c>
      <c r="B303" s="8"/>
      <c r="C303" s="8"/>
      <c r="D303" s="8"/>
      <c r="E303" s="7">
        <f>E297/E301</f>
        <v>142857.14285714287</v>
      </c>
      <c r="F303" s="7">
        <f>E303</f>
        <v>142857.14285714287</v>
      </c>
      <c r="G303" s="8"/>
      <c r="H303" s="7">
        <f>H297/H301</f>
        <v>142543.8596491228</v>
      </c>
      <c r="I303" s="7"/>
      <c r="J303" s="7">
        <f>H303</f>
        <v>142543.8596491228</v>
      </c>
      <c r="K303" s="7"/>
      <c r="L303" s="7"/>
      <c r="M303" s="7"/>
      <c r="N303" s="8"/>
      <c r="O303" s="7">
        <f>O297/O301</f>
        <v>121951.21951219512</v>
      </c>
      <c r="P303" s="7">
        <f>P297/P301</f>
        <v>121951.21951219512</v>
      </c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  <c r="CW303" s="138"/>
      <c r="CX303" s="138"/>
      <c r="CY303" s="138"/>
      <c r="CZ303" s="138"/>
      <c r="DA303" s="138"/>
      <c r="DB303" s="138"/>
      <c r="DC303" s="138"/>
      <c r="DD303" s="138"/>
      <c r="DE303" s="138"/>
      <c r="DF303" s="138"/>
      <c r="DG303" s="138"/>
      <c r="DH303" s="138"/>
      <c r="DI303" s="138"/>
      <c r="DJ303" s="138"/>
      <c r="DK303" s="138"/>
      <c r="DL303" s="138"/>
      <c r="DM303" s="138"/>
      <c r="DN303" s="138"/>
      <c r="DO303" s="138"/>
      <c r="DP303" s="138"/>
      <c r="DQ303" s="138"/>
      <c r="DR303" s="138"/>
      <c r="DS303" s="138"/>
      <c r="DT303" s="138"/>
      <c r="DU303" s="138"/>
      <c r="DV303" s="138"/>
      <c r="DW303" s="138"/>
      <c r="DX303" s="138"/>
      <c r="DY303" s="138"/>
      <c r="DZ303" s="138"/>
      <c r="EA303" s="138"/>
      <c r="EB303" s="138"/>
      <c r="EC303" s="138"/>
      <c r="ED303" s="138"/>
      <c r="EE303" s="138"/>
      <c r="EF303" s="138"/>
      <c r="EG303" s="138"/>
      <c r="EH303" s="138"/>
      <c r="EI303" s="138"/>
      <c r="EJ303" s="138"/>
      <c r="EK303" s="138"/>
      <c r="EL303" s="138"/>
      <c r="EM303" s="138"/>
      <c r="EN303" s="138"/>
      <c r="EO303" s="138"/>
      <c r="EP303" s="138"/>
      <c r="EQ303" s="138"/>
      <c r="ER303" s="138"/>
      <c r="ES303" s="138"/>
      <c r="ET303" s="138"/>
      <c r="EU303" s="138"/>
      <c r="EV303" s="138"/>
      <c r="EW303" s="138"/>
      <c r="EX303" s="138"/>
      <c r="EY303" s="138"/>
      <c r="EZ303" s="138"/>
      <c r="FA303" s="138"/>
      <c r="FB303" s="138"/>
      <c r="FC303" s="138"/>
      <c r="FD303" s="138"/>
      <c r="FE303" s="138"/>
      <c r="FF303" s="138"/>
      <c r="FG303" s="138"/>
      <c r="FH303" s="138"/>
      <c r="FI303" s="138"/>
      <c r="FJ303" s="138"/>
      <c r="FK303" s="138"/>
      <c r="FL303" s="138"/>
      <c r="FM303" s="138"/>
      <c r="FN303" s="138"/>
      <c r="FO303" s="138"/>
      <c r="FP303" s="138"/>
      <c r="FQ303" s="138"/>
      <c r="FR303" s="138"/>
      <c r="FS303" s="138"/>
      <c r="FT303" s="138"/>
      <c r="FU303" s="138"/>
      <c r="FV303" s="138"/>
      <c r="FW303" s="138"/>
      <c r="FX303" s="138"/>
      <c r="FY303" s="138"/>
      <c r="FZ303" s="138"/>
      <c r="GA303" s="138"/>
      <c r="GB303" s="138"/>
      <c r="GC303" s="138"/>
      <c r="GD303" s="138"/>
      <c r="GE303" s="138"/>
      <c r="GF303" s="138"/>
      <c r="GG303" s="138"/>
      <c r="GH303" s="138"/>
      <c r="GI303" s="138"/>
      <c r="GJ303" s="138"/>
      <c r="GK303" s="138"/>
      <c r="GL303" s="138"/>
      <c r="GM303" s="138"/>
      <c r="GN303" s="138"/>
      <c r="GO303" s="138"/>
      <c r="GP303" s="138"/>
      <c r="GQ303" s="138"/>
      <c r="GR303" s="138"/>
      <c r="GS303" s="138"/>
      <c r="GT303" s="138"/>
      <c r="GU303" s="138"/>
      <c r="GV303" s="138"/>
      <c r="GW303" s="138"/>
      <c r="GX303" s="138"/>
      <c r="GY303" s="138"/>
      <c r="GZ303" s="138"/>
      <c r="HA303" s="138"/>
      <c r="HB303" s="138"/>
      <c r="HC303" s="138"/>
      <c r="HD303" s="138"/>
      <c r="HE303" s="138"/>
      <c r="HF303" s="138"/>
      <c r="HG303" s="138"/>
      <c r="HH303" s="138"/>
      <c r="HI303" s="138"/>
      <c r="HJ303" s="138"/>
      <c r="HK303" s="138"/>
      <c r="HL303" s="138"/>
      <c r="HM303" s="138"/>
      <c r="HN303" s="138"/>
      <c r="HO303" s="138"/>
      <c r="HP303" s="138"/>
      <c r="HQ303" s="138"/>
      <c r="HR303" s="138"/>
      <c r="HS303" s="138"/>
      <c r="HT303" s="138"/>
      <c r="HU303" s="138"/>
      <c r="HV303" s="138"/>
      <c r="HW303" s="138"/>
      <c r="HX303" s="138"/>
      <c r="HY303" s="138"/>
      <c r="HZ303" s="138"/>
      <c r="IA303" s="138"/>
    </row>
    <row r="304" spans="1:235" s="180" customFormat="1" ht="36.75" customHeight="1">
      <c r="A304" s="167" t="s">
        <v>350</v>
      </c>
      <c r="B304" s="176"/>
      <c r="C304" s="176"/>
      <c r="D304" s="176"/>
      <c r="E304" s="178">
        <f>(E311*E316)+(E312*E317)+(E313*E318)+(E314*E319)-1630000</f>
        <v>17148000</v>
      </c>
      <c r="F304" s="178">
        <f>(F311*F316)+(F312*F317)+(F313*F318)+(F314*F319)-1630000</f>
        <v>17148000</v>
      </c>
      <c r="G304" s="178">
        <f>G314*G319</f>
        <v>500000</v>
      </c>
      <c r="H304" s="178">
        <f>(H311*H316)+(H312*H317)+(H313*H318)-40+18086040-679200</f>
        <v>39320000</v>
      </c>
      <c r="I304" s="178"/>
      <c r="J304" s="178">
        <f>H304+G304</f>
        <v>39820000</v>
      </c>
      <c r="K304" s="178">
        <f>(K311*K316)+(K312*K317)+(K313*K318)+(K314*K319)</f>
        <v>0</v>
      </c>
      <c r="L304" s="178">
        <f>(L311*L316)+(L312*L317)+(L313*L318)+(L314*L319)</f>
        <v>0</v>
      </c>
      <c r="M304" s="178">
        <f>(M311*M316)+(M312*M317)+(M313*M318)+(M314*M319)</f>
        <v>0</v>
      </c>
      <c r="N304" s="178"/>
      <c r="O304" s="178">
        <f>(O311*O316)+(O312*O317)+(O313*O318)+(O314*O319)-110</f>
        <v>15550000</v>
      </c>
      <c r="P304" s="178">
        <f>O304</f>
        <v>15550000</v>
      </c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  <c r="CH304" s="179"/>
      <c r="CI304" s="179"/>
      <c r="CJ304" s="179"/>
      <c r="CK304" s="179"/>
      <c r="CL304" s="179"/>
      <c r="CM304" s="179"/>
      <c r="CN304" s="179"/>
      <c r="CO304" s="179"/>
      <c r="CP304" s="179"/>
      <c r="CQ304" s="179"/>
      <c r="CR304" s="179"/>
      <c r="CS304" s="179"/>
      <c r="CT304" s="179"/>
      <c r="CU304" s="179"/>
      <c r="CV304" s="179"/>
      <c r="CW304" s="179"/>
      <c r="CX304" s="179"/>
      <c r="CY304" s="179"/>
      <c r="CZ304" s="179"/>
      <c r="DA304" s="179"/>
      <c r="DB304" s="179"/>
      <c r="DC304" s="179"/>
      <c r="DD304" s="179"/>
      <c r="DE304" s="179"/>
      <c r="DF304" s="179"/>
      <c r="DG304" s="179"/>
      <c r="DH304" s="179"/>
      <c r="DI304" s="179"/>
      <c r="DJ304" s="179"/>
      <c r="DK304" s="179"/>
      <c r="DL304" s="179"/>
      <c r="DM304" s="179"/>
      <c r="DN304" s="179"/>
      <c r="DO304" s="179"/>
      <c r="DP304" s="179"/>
      <c r="DQ304" s="179"/>
      <c r="DR304" s="179"/>
      <c r="DS304" s="179"/>
      <c r="DT304" s="179"/>
      <c r="DU304" s="179"/>
      <c r="DV304" s="179"/>
      <c r="DW304" s="179"/>
      <c r="DX304" s="179"/>
      <c r="DY304" s="179"/>
      <c r="DZ304" s="179"/>
      <c r="EA304" s="179"/>
      <c r="EB304" s="179"/>
      <c r="EC304" s="179"/>
      <c r="ED304" s="179"/>
      <c r="EE304" s="179"/>
      <c r="EF304" s="179"/>
      <c r="EG304" s="179"/>
      <c r="EH304" s="179"/>
      <c r="EI304" s="179"/>
      <c r="EJ304" s="179"/>
      <c r="EK304" s="179"/>
      <c r="EL304" s="179"/>
      <c r="EM304" s="179"/>
      <c r="EN304" s="179"/>
      <c r="EO304" s="179"/>
      <c r="EP304" s="179"/>
      <c r="EQ304" s="179"/>
      <c r="ER304" s="179"/>
      <c r="ES304" s="179"/>
      <c r="ET304" s="179"/>
      <c r="EU304" s="179"/>
      <c r="EV304" s="179"/>
      <c r="EW304" s="179"/>
      <c r="EX304" s="179"/>
      <c r="EY304" s="179"/>
      <c r="EZ304" s="179"/>
      <c r="FA304" s="179"/>
      <c r="FB304" s="179"/>
      <c r="FC304" s="179"/>
      <c r="FD304" s="179"/>
      <c r="FE304" s="179"/>
      <c r="FF304" s="179"/>
      <c r="FG304" s="179"/>
      <c r="FH304" s="179"/>
      <c r="FI304" s="179"/>
      <c r="FJ304" s="179"/>
      <c r="FK304" s="179"/>
      <c r="FL304" s="179"/>
      <c r="FM304" s="179"/>
      <c r="FN304" s="179"/>
      <c r="FO304" s="179"/>
      <c r="FP304" s="179"/>
      <c r="FQ304" s="179"/>
      <c r="FR304" s="179"/>
      <c r="FS304" s="179"/>
      <c r="FT304" s="179"/>
      <c r="FU304" s="179"/>
      <c r="FV304" s="179"/>
      <c r="FW304" s="179"/>
      <c r="FX304" s="179"/>
      <c r="FY304" s="179"/>
      <c r="FZ304" s="179"/>
      <c r="GA304" s="179"/>
      <c r="GB304" s="179"/>
      <c r="GC304" s="179"/>
      <c r="GD304" s="179"/>
      <c r="GE304" s="179"/>
      <c r="GF304" s="179"/>
      <c r="GG304" s="179"/>
      <c r="GH304" s="179"/>
      <c r="GI304" s="179"/>
      <c r="GJ304" s="179"/>
      <c r="GK304" s="179"/>
      <c r="GL304" s="179"/>
      <c r="GM304" s="179"/>
      <c r="GN304" s="179"/>
      <c r="GO304" s="179"/>
      <c r="GP304" s="179"/>
      <c r="GQ304" s="179"/>
      <c r="GR304" s="179"/>
      <c r="GS304" s="179"/>
      <c r="GT304" s="179"/>
      <c r="GU304" s="179"/>
      <c r="GV304" s="179"/>
      <c r="GW304" s="179"/>
      <c r="GX304" s="179"/>
      <c r="GY304" s="179"/>
      <c r="GZ304" s="179"/>
      <c r="HA304" s="179"/>
      <c r="HB304" s="179"/>
      <c r="HC304" s="179"/>
      <c r="HD304" s="179"/>
      <c r="HE304" s="179"/>
      <c r="HF304" s="179"/>
      <c r="HG304" s="179"/>
      <c r="HH304" s="179"/>
      <c r="HI304" s="179"/>
      <c r="HJ304" s="179"/>
      <c r="HK304" s="179"/>
      <c r="HL304" s="179"/>
      <c r="HM304" s="179"/>
      <c r="HN304" s="179"/>
      <c r="HO304" s="179"/>
      <c r="HP304" s="179"/>
      <c r="HQ304" s="179"/>
      <c r="HR304" s="179"/>
      <c r="HS304" s="179"/>
      <c r="HT304" s="179"/>
      <c r="HU304" s="179"/>
      <c r="HV304" s="179"/>
      <c r="HW304" s="179"/>
      <c r="HX304" s="179"/>
      <c r="HY304" s="179"/>
      <c r="HZ304" s="179"/>
      <c r="IA304" s="179"/>
    </row>
    <row r="305" spans="1:16" ht="11.25">
      <c r="A305" s="89" t="s">
        <v>4</v>
      </c>
      <c r="B305" s="100"/>
      <c r="C305" s="100"/>
      <c r="D305" s="96"/>
      <c r="E305" s="101"/>
      <c r="F305" s="101"/>
      <c r="G305" s="96"/>
      <c r="H305" s="101"/>
      <c r="I305" s="101"/>
      <c r="J305" s="101"/>
      <c r="K305" s="100"/>
      <c r="L305" s="100"/>
      <c r="M305" s="100"/>
      <c r="N305" s="96"/>
      <c r="O305" s="101"/>
      <c r="P305" s="101"/>
    </row>
    <row r="306" spans="1:16" ht="16.5" customHeight="1">
      <c r="A306" s="90" t="s">
        <v>182</v>
      </c>
      <c r="B306" s="100"/>
      <c r="C306" s="100"/>
      <c r="D306" s="96"/>
      <c r="E306" s="97">
        <v>12</v>
      </c>
      <c r="F306" s="97">
        <f>E306</f>
        <v>12</v>
      </c>
      <c r="G306" s="96"/>
      <c r="H306" s="101"/>
      <c r="I306" s="101"/>
      <c r="J306" s="101"/>
      <c r="K306" s="100"/>
      <c r="L306" s="100"/>
      <c r="M306" s="100"/>
      <c r="N306" s="96"/>
      <c r="O306" s="101"/>
      <c r="P306" s="101"/>
    </row>
    <row r="307" spans="1:16" ht="22.5">
      <c r="A307" s="90" t="s">
        <v>183</v>
      </c>
      <c r="B307" s="100"/>
      <c r="C307" s="100"/>
      <c r="D307" s="96"/>
      <c r="E307" s="97">
        <v>700</v>
      </c>
      <c r="F307" s="97">
        <f>E307</f>
        <v>700</v>
      </c>
      <c r="G307" s="96"/>
      <c r="H307" s="97">
        <v>500</v>
      </c>
      <c r="I307" s="97"/>
      <c r="J307" s="97">
        <f>H307</f>
        <v>500</v>
      </c>
      <c r="K307" s="103"/>
      <c r="L307" s="103"/>
      <c r="M307" s="103"/>
      <c r="N307" s="97"/>
      <c r="O307" s="97">
        <v>270</v>
      </c>
      <c r="P307" s="97">
        <f>O307</f>
        <v>270</v>
      </c>
    </row>
    <row r="308" spans="1:16" ht="22.5">
      <c r="A308" s="90" t="s">
        <v>184</v>
      </c>
      <c r="B308" s="100"/>
      <c r="C308" s="100"/>
      <c r="D308" s="96"/>
      <c r="E308" s="97">
        <v>454</v>
      </c>
      <c r="F308" s="97">
        <v>454</v>
      </c>
      <c r="G308" s="96"/>
      <c r="H308" s="101"/>
      <c r="I308" s="101"/>
      <c r="J308" s="101"/>
      <c r="K308" s="100"/>
      <c r="L308" s="100"/>
      <c r="M308" s="100"/>
      <c r="N308" s="96"/>
      <c r="O308" s="101"/>
      <c r="P308" s="101"/>
    </row>
    <row r="309" spans="1:16" ht="28.5" customHeight="1">
      <c r="A309" s="90" t="s">
        <v>185</v>
      </c>
      <c r="B309" s="100"/>
      <c r="C309" s="100"/>
      <c r="D309" s="96"/>
      <c r="E309" s="97">
        <v>700</v>
      </c>
      <c r="F309" s="97">
        <f>E309</f>
        <v>700</v>
      </c>
      <c r="G309" s="96">
        <v>500</v>
      </c>
      <c r="H309" s="97"/>
      <c r="I309" s="97"/>
      <c r="J309" s="97">
        <f>H309</f>
        <v>0</v>
      </c>
      <c r="K309" s="97"/>
      <c r="L309" s="97"/>
      <c r="M309" s="97"/>
      <c r="N309" s="97"/>
      <c r="O309" s="97">
        <v>270</v>
      </c>
      <c r="P309" s="97">
        <f>O309</f>
        <v>270</v>
      </c>
    </row>
    <row r="310" spans="1:16" ht="11.25">
      <c r="A310" s="89" t="s">
        <v>5</v>
      </c>
      <c r="B310" s="102"/>
      <c r="C310" s="102"/>
      <c r="D310" s="96"/>
      <c r="E310" s="96"/>
      <c r="F310" s="96"/>
      <c r="G310" s="96"/>
      <c r="H310" s="102"/>
      <c r="I310" s="102"/>
      <c r="J310" s="102"/>
      <c r="K310" s="99" t="e">
        <f>H310/E310*100</f>
        <v>#DIV/0!</v>
      </c>
      <c r="L310" s="102"/>
      <c r="M310" s="102"/>
      <c r="N310" s="96"/>
      <c r="O310" s="102"/>
      <c r="P310" s="102"/>
    </row>
    <row r="311" spans="1:16" ht="16.5" customHeight="1">
      <c r="A311" s="90" t="s">
        <v>186</v>
      </c>
      <c r="B311" s="102"/>
      <c r="C311" s="102"/>
      <c r="D311" s="96"/>
      <c r="E311" s="96">
        <v>12</v>
      </c>
      <c r="F311" s="96">
        <f>E311</f>
        <v>12</v>
      </c>
      <c r="G311" s="96"/>
      <c r="H311" s="96">
        <v>20</v>
      </c>
      <c r="I311" s="96"/>
      <c r="J311" s="96">
        <v>20</v>
      </c>
      <c r="K311" s="99"/>
      <c r="L311" s="102"/>
      <c r="M311" s="102"/>
      <c r="N311" s="96"/>
      <c r="O311" s="102"/>
      <c r="P311" s="102"/>
    </row>
    <row r="312" spans="1:16" ht="22.5">
      <c r="A312" s="90" t="s">
        <v>193</v>
      </c>
      <c r="B312" s="102"/>
      <c r="C312" s="102"/>
      <c r="D312" s="96"/>
      <c r="E312" s="96">
        <v>200</v>
      </c>
      <c r="F312" s="96">
        <v>200</v>
      </c>
      <c r="G312" s="96"/>
      <c r="H312" s="96">
        <v>400</v>
      </c>
      <c r="I312" s="96"/>
      <c r="J312" s="96">
        <f>H312</f>
        <v>400</v>
      </c>
      <c r="K312" s="99"/>
      <c r="L312" s="96"/>
      <c r="M312" s="96"/>
      <c r="N312" s="96"/>
      <c r="O312" s="96">
        <v>270</v>
      </c>
      <c r="P312" s="96">
        <f>O312</f>
        <v>270</v>
      </c>
    </row>
    <row r="313" spans="1:16" ht="22.5">
      <c r="A313" s="90" t="s">
        <v>187</v>
      </c>
      <c r="B313" s="102"/>
      <c r="C313" s="102"/>
      <c r="D313" s="96"/>
      <c r="E313" s="96">
        <v>454</v>
      </c>
      <c r="F313" s="96">
        <f>E313</f>
        <v>454</v>
      </c>
      <c r="G313" s="96"/>
      <c r="H313" s="96">
        <v>460</v>
      </c>
      <c r="I313" s="96"/>
      <c r="J313" s="96">
        <v>460</v>
      </c>
      <c r="K313" s="99"/>
      <c r="L313" s="102"/>
      <c r="M313" s="102"/>
      <c r="N313" s="96"/>
      <c r="O313" s="102"/>
      <c r="P313" s="102"/>
    </row>
    <row r="314" spans="1:16" ht="33.75">
      <c r="A314" s="90" t="s">
        <v>188</v>
      </c>
      <c r="B314" s="102"/>
      <c r="C314" s="102"/>
      <c r="D314" s="96"/>
      <c r="E314" s="96">
        <v>200</v>
      </c>
      <c r="F314" s="96">
        <f>E314</f>
        <v>200</v>
      </c>
      <c r="G314" s="96">
        <v>320</v>
      </c>
      <c r="H314" s="96"/>
      <c r="I314" s="96"/>
      <c r="J314" s="96">
        <f>H314</f>
        <v>0</v>
      </c>
      <c r="K314" s="99"/>
      <c r="L314" s="96"/>
      <c r="M314" s="96"/>
      <c r="N314" s="96"/>
      <c r="O314" s="96">
        <v>270</v>
      </c>
      <c r="P314" s="96">
        <f>O314</f>
        <v>270</v>
      </c>
    </row>
    <row r="315" spans="1:16" ht="11.25">
      <c r="A315" s="89" t="s">
        <v>7</v>
      </c>
      <c r="B315" s="102"/>
      <c r="C315" s="102"/>
      <c r="D315" s="96"/>
      <c r="E315" s="102"/>
      <c r="F315" s="102"/>
      <c r="G315" s="96"/>
      <c r="H315" s="102"/>
      <c r="I315" s="102"/>
      <c r="J315" s="102"/>
      <c r="K315" s="99" t="e">
        <f>H315/E315*100</f>
        <v>#DIV/0!</v>
      </c>
      <c r="L315" s="102"/>
      <c r="M315" s="102"/>
      <c r="N315" s="96"/>
      <c r="O315" s="102"/>
      <c r="P315" s="102"/>
    </row>
    <row r="316" spans="1:16" ht="22.5">
      <c r="A316" s="90" t="s">
        <v>189</v>
      </c>
      <c r="B316" s="96"/>
      <c r="C316" s="96"/>
      <c r="D316" s="96"/>
      <c r="E316" s="99">
        <v>400000</v>
      </c>
      <c r="F316" s="99">
        <f>E316</f>
        <v>400000</v>
      </c>
      <c r="G316" s="96"/>
      <c r="H316" s="99"/>
      <c r="I316" s="99"/>
      <c r="J316" s="99"/>
      <c r="K316" s="99"/>
      <c r="L316" s="96"/>
      <c r="M316" s="99"/>
      <c r="N316" s="96"/>
      <c r="O316" s="99"/>
      <c r="P316" s="99"/>
    </row>
    <row r="317" spans="1:16" ht="22.5">
      <c r="A317" s="90" t="s">
        <v>190</v>
      </c>
      <c r="B317" s="96"/>
      <c r="C317" s="96"/>
      <c r="D317" s="96"/>
      <c r="E317" s="99">
        <v>52500</v>
      </c>
      <c r="F317" s="99">
        <f>E317</f>
        <v>52500</v>
      </c>
      <c r="G317" s="96"/>
      <c r="H317" s="99">
        <v>54783</v>
      </c>
      <c r="I317" s="99"/>
      <c r="J317" s="99">
        <f>H317</f>
        <v>54783</v>
      </c>
      <c r="K317" s="99"/>
      <c r="L317" s="96"/>
      <c r="M317" s="99"/>
      <c r="N317" s="96"/>
      <c r="O317" s="99">
        <v>56000</v>
      </c>
      <c r="P317" s="99">
        <f>O317</f>
        <v>56000</v>
      </c>
    </row>
    <row r="318" spans="1:16" ht="22.5">
      <c r="A318" s="90" t="s">
        <v>191</v>
      </c>
      <c r="B318" s="96"/>
      <c r="C318" s="96"/>
      <c r="D318" s="96"/>
      <c r="E318" s="99">
        <v>7000</v>
      </c>
      <c r="F318" s="99">
        <f>E318</f>
        <v>7000</v>
      </c>
      <c r="G318" s="96"/>
      <c r="H318" s="99"/>
      <c r="I318" s="99"/>
      <c r="J318" s="99"/>
      <c r="K318" s="99"/>
      <c r="L318" s="96"/>
      <c r="M318" s="99"/>
      <c r="N318" s="96"/>
      <c r="O318" s="99"/>
      <c r="P318" s="99"/>
    </row>
    <row r="319" spans="1:16" ht="33.75">
      <c r="A319" s="90" t="s">
        <v>192</v>
      </c>
      <c r="B319" s="96"/>
      <c r="C319" s="96"/>
      <c r="D319" s="96"/>
      <c r="E319" s="99">
        <v>1500</v>
      </c>
      <c r="F319" s="99">
        <f>E319</f>
        <v>1500</v>
      </c>
      <c r="G319" s="96">
        <v>1562.5</v>
      </c>
      <c r="H319" s="99"/>
      <c r="I319" s="99"/>
      <c r="J319" s="99">
        <f>H319</f>
        <v>0</v>
      </c>
      <c r="K319" s="99"/>
      <c r="L319" s="96"/>
      <c r="M319" s="99"/>
      <c r="N319" s="96"/>
      <c r="O319" s="99">
        <v>1593</v>
      </c>
      <c r="P319" s="99">
        <f>O319</f>
        <v>1593</v>
      </c>
    </row>
    <row r="320" spans="1:16" ht="11.25">
      <c r="A320" s="89" t="s">
        <v>6</v>
      </c>
      <c r="B320" s="96"/>
      <c r="C320" s="96"/>
      <c r="D320" s="96"/>
      <c r="E320" s="99"/>
      <c r="F320" s="99"/>
      <c r="G320" s="96"/>
      <c r="H320" s="99"/>
      <c r="I320" s="99"/>
      <c r="J320" s="99"/>
      <c r="K320" s="99"/>
      <c r="L320" s="96"/>
      <c r="M320" s="99"/>
      <c r="N320" s="96"/>
      <c r="O320" s="99"/>
      <c r="P320" s="99"/>
    </row>
    <row r="321" spans="1:16" ht="33.75">
      <c r="A321" s="90" t="s">
        <v>194</v>
      </c>
      <c r="B321" s="96"/>
      <c r="C321" s="96"/>
      <c r="D321" s="96"/>
      <c r="E321" s="97">
        <f>E311/E306*100</f>
        <v>100</v>
      </c>
      <c r="F321" s="97">
        <f>E321</f>
        <v>100</v>
      </c>
      <c r="G321" s="96"/>
      <c r="H321" s="99"/>
      <c r="I321" s="99"/>
      <c r="J321" s="99"/>
      <c r="K321" s="99"/>
      <c r="L321" s="96"/>
      <c r="M321" s="99"/>
      <c r="N321" s="96"/>
      <c r="O321" s="99"/>
      <c r="P321" s="99"/>
    </row>
    <row r="322" spans="1:16" ht="45">
      <c r="A322" s="90" t="s">
        <v>195</v>
      </c>
      <c r="B322" s="96"/>
      <c r="C322" s="96"/>
      <c r="D322" s="96"/>
      <c r="E322" s="97">
        <f>E312/E307*100</f>
        <v>28.57142857142857</v>
      </c>
      <c r="F322" s="97">
        <f aca="true" t="shared" si="31" ref="F322:P322">F312/F307*100</f>
        <v>28.57142857142857</v>
      </c>
      <c r="G322" s="97"/>
      <c r="H322" s="97">
        <f t="shared" si="31"/>
        <v>80</v>
      </c>
      <c r="I322" s="97"/>
      <c r="J322" s="97">
        <f t="shared" si="31"/>
        <v>80</v>
      </c>
      <c r="K322" s="97" t="e">
        <f t="shared" si="31"/>
        <v>#DIV/0!</v>
      </c>
      <c r="L322" s="97" t="e">
        <f t="shared" si="31"/>
        <v>#DIV/0!</v>
      </c>
      <c r="M322" s="97" t="e">
        <f t="shared" si="31"/>
        <v>#DIV/0!</v>
      </c>
      <c r="N322" s="97"/>
      <c r="O322" s="97">
        <f t="shared" si="31"/>
        <v>100</v>
      </c>
      <c r="P322" s="97">
        <f t="shared" si="31"/>
        <v>100</v>
      </c>
    </row>
    <row r="323" spans="1:16" ht="45">
      <c r="A323" s="90" t="s">
        <v>196</v>
      </c>
      <c r="B323" s="96"/>
      <c r="C323" s="96"/>
      <c r="D323" s="96"/>
      <c r="E323" s="97">
        <f>E313/E308*100</f>
        <v>100</v>
      </c>
      <c r="F323" s="97">
        <f>E323</f>
        <v>100</v>
      </c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1:16" ht="56.25">
      <c r="A324" s="90" t="s">
        <v>197</v>
      </c>
      <c r="B324" s="96"/>
      <c r="C324" s="96"/>
      <c r="D324" s="96"/>
      <c r="E324" s="97">
        <f>E314/E307*100</f>
        <v>28.57142857142857</v>
      </c>
      <c r="F324" s="97">
        <f aca="true" t="shared" si="32" ref="F324:P324">F314/F307*100</f>
        <v>28.57142857142857</v>
      </c>
      <c r="G324" s="97">
        <f>G314/G309*100</f>
        <v>64</v>
      </c>
      <c r="H324" s="97"/>
      <c r="I324" s="97"/>
      <c r="J324" s="97">
        <f t="shared" si="32"/>
        <v>0</v>
      </c>
      <c r="K324" s="97" t="e">
        <f t="shared" si="32"/>
        <v>#DIV/0!</v>
      </c>
      <c r="L324" s="97" t="e">
        <f t="shared" si="32"/>
        <v>#DIV/0!</v>
      </c>
      <c r="M324" s="97" t="e">
        <f t="shared" si="32"/>
        <v>#DIV/0!</v>
      </c>
      <c r="N324" s="97"/>
      <c r="O324" s="97">
        <f t="shared" si="32"/>
        <v>100</v>
      </c>
      <c r="P324" s="97">
        <f t="shared" si="32"/>
        <v>100</v>
      </c>
    </row>
    <row r="325" spans="1:235" s="180" customFormat="1" ht="33.75">
      <c r="A325" s="167" t="s">
        <v>351</v>
      </c>
      <c r="B325" s="176"/>
      <c r="C325" s="176"/>
      <c r="D325" s="178"/>
      <c r="E325" s="178">
        <f>1630000-250000</f>
        <v>1380000</v>
      </c>
      <c r="F325" s="178">
        <f>E325</f>
        <v>1380000</v>
      </c>
      <c r="G325" s="178"/>
      <c r="H325" s="178">
        <v>250000</v>
      </c>
      <c r="I325" s="178"/>
      <c r="J325" s="178">
        <f>H325</f>
        <v>250000</v>
      </c>
      <c r="K325" s="178">
        <f>K329*K331+1</f>
        <v>1</v>
      </c>
      <c r="L325" s="178">
        <f>L329*L331+1</f>
        <v>1</v>
      </c>
      <c r="M325" s="178">
        <f>M329*M331+1</f>
        <v>1</v>
      </c>
      <c r="N325" s="178"/>
      <c r="O325" s="178"/>
      <c r="P325" s="178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79"/>
      <c r="BN325" s="179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BZ325" s="179"/>
      <c r="CA325" s="179"/>
      <c r="CB325" s="179"/>
      <c r="CC325" s="179"/>
      <c r="CD325" s="179"/>
      <c r="CE325" s="179"/>
      <c r="CF325" s="179"/>
      <c r="CG325" s="179"/>
      <c r="CH325" s="179"/>
      <c r="CI325" s="179"/>
      <c r="CJ325" s="179"/>
      <c r="CK325" s="179"/>
      <c r="CL325" s="179"/>
      <c r="CM325" s="179"/>
      <c r="CN325" s="179"/>
      <c r="CO325" s="179"/>
      <c r="CP325" s="179"/>
      <c r="CQ325" s="179"/>
      <c r="CR325" s="179"/>
      <c r="CS325" s="179"/>
      <c r="CT325" s="179"/>
      <c r="CU325" s="179"/>
      <c r="CV325" s="179"/>
      <c r="CW325" s="179"/>
      <c r="CX325" s="179"/>
      <c r="CY325" s="179"/>
      <c r="CZ325" s="179"/>
      <c r="DA325" s="179"/>
      <c r="DB325" s="179"/>
      <c r="DC325" s="179"/>
      <c r="DD325" s="179"/>
      <c r="DE325" s="179"/>
      <c r="DF325" s="179"/>
      <c r="DG325" s="179"/>
      <c r="DH325" s="179"/>
      <c r="DI325" s="179"/>
      <c r="DJ325" s="179"/>
      <c r="DK325" s="179"/>
      <c r="DL325" s="179"/>
      <c r="DM325" s="179"/>
      <c r="DN325" s="179"/>
      <c r="DO325" s="179"/>
      <c r="DP325" s="179"/>
      <c r="DQ325" s="179"/>
      <c r="DR325" s="179"/>
      <c r="DS325" s="179"/>
      <c r="DT325" s="179"/>
      <c r="DU325" s="179"/>
      <c r="DV325" s="179"/>
      <c r="DW325" s="179"/>
      <c r="DX325" s="179"/>
      <c r="DY325" s="179"/>
      <c r="DZ325" s="179"/>
      <c r="EA325" s="179"/>
      <c r="EB325" s="179"/>
      <c r="EC325" s="179"/>
      <c r="ED325" s="179"/>
      <c r="EE325" s="179"/>
      <c r="EF325" s="179"/>
      <c r="EG325" s="179"/>
      <c r="EH325" s="179"/>
      <c r="EI325" s="179"/>
      <c r="EJ325" s="179"/>
      <c r="EK325" s="179"/>
      <c r="EL325" s="179"/>
      <c r="EM325" s="179"/>
      <c r="EN325" s="179"/>
      <c r="EO325" s="179"/>
      <c r="EP325" s="179"/>
      <c r="EQ325" s="179"/>
      <c r="ER325" s="179"/>
      <c r="ES325" s="179"/>
      <c r="ET325" s="179"/>
      <c r="EU325" s="179"/>
      <c r="EV325" s="179"/>
      <c r="EW325" s="179"/>
      <c r="EX325" s="179"/>
      <c r="EY325" s="179"/>
      <c r="EZ325" s="179"/>
      <c r="FA325" s="179"/>
      <c r="FB325" s="179"/>
      <c r="FC325" s="179"/>
      <c r="FD325" s="179"/>
      <c r="FE325" s="179"/>
      <c r="FF325" s="179"/>
      <c r="FG325" s="179"/>
      <c r="FH325" s="179"/>
      <c r="FI325" s="179"/>
      <c r="FJ325" s="179"/>
      <c r="FK325" s="179"/>
      <c r="FL325" s="179"/>
      <c r="FM325" s="179"/>
      <c r="FN325" s="179"/>
      <c r="FO325" s="179"/>
      <c r="FP325" s="179"/>
      <c r="FQ325" s="179"/>
      <c r="FR325" s="179"/>
      <c r="FS325" s="179"/>
      <c r="FT325" s="179"/>
      <c r="FU325" s="179"/>
      <c r="FV325" s="179"/>
      <c r="FW325" s="179"/>
      <c r="FX325" s="179"/>
      <c r="FY325" s="179"/>
      <c r="FZ325" s="179"/>
      <c r="GA325" s="179"/>
      <c r="GB325" s="179"/>
      <c r="GC325" s="179"/>
      <c r="GD325" s="179"/>
      <c r="GE325" s="179"/>
      <c r="GF325" s="179"/>
      <c r="GG325" s="179"/>
      <c r="GH325" s="179"/>
      <c r="GI325" s="179"/>
      <c r="GJ325" s="179"/>
      <c r="GK325" s="179"/>
      <c r="GL325" s="179"/>
      <c r="GM325" s="179"/>
      <c r="GN325" s="179"/>
      <c r="GO325" s="179"/>
      <c r="GP325" s="179"/>
      <c r="GQ325" s="179"/>
      <c r="GR325" s="179"/>
      <c r="GS325" s="179"/>
      <c r="GT325" s="179"/>
      <c r="GU325" s="179"/>
      <c r="GV325" s="179"/>
      <c r="GW325" s="179"/>
      <c r="GX325" s="179"/>
      <c r="GY325" s="179"/>
      <c r="GZ325" s="179"/>
      <c r="HA325" s="179"/>
      <c r="HB325" s="179"/>
      <c r="HC325" s="179"/>
      <c r="HD325" s="179"/>
      <c r="HE325" s="179"/>
      <c r="HF325" s="179"/>
      <c r="HG325" s="179"/>
      <c r="HH325" s="179"/>
      <c r="HI325" s="179"/>
      <c r="HJ325" s="179"/>
      <c r="HK325" s="179"/>
      <c r="HL325" s="179"/>
      <c r="HM325" s="179"/>
      <c r="HN325" s="179"/>
      <c r="HO325" s="179"/>
      <c r="HP325" s="179"/>
      <c r="HQ325" s="179"/>
      <c r="HR325" s="179"/>
      <c r="HS325" s="179"/>
      <c r="HT325" s="179"/>
      <c r="HU325" s="179"/>
      <c r="HV325" s="179"/>
      <c r="HW325" s="179"/>
      <c r="HX325" s="179"/>
      <c r="HY325" s="179"/>
      <c r="HZ325" s="179"/>
      <c r="IA325" s="179"/>
    </row>
    <row r="326" spans="1:16" ht="9.75" customHeight="1">
      <c r="A326" s="89" t="s">
        <v>4</v>
      </c>
      <c r="B326" s="96"/>
      <c r="C326" s="96"/>
      <c r="D326" s="96"/>
      <c r="E326" s="99"/>
      <c r="F326" s="99"/>
      <c r="G326" s="96"/>
      <c r="H326" s="99"/>
      <c r="I326" s="99"/>
      <c r="J326" s="99"/>
      <c r="K326" s="99"/>
      <c r="L326" s="96"/>
      <c r="M326" s="99"/>
      <c r="N326" s="96"/>
      <c r="O326" s="99"/>
      <c r="P326" s="99"/>
    </row>
    <row r="327" spans="1:16" ht="33.75">
      <c r="A327" s="90" t="s">
        <v>284</v>
      </c>
      <c r="B327" s="96"/>
      <c r="C327" s="96"/>
      <c r="D327" s="96"/>
      <c r="E327" s="97">
        <v>48</v>
      </c>
      <c r="F327" s="97">
        <f>E327</f>
        <v>48</v>
      </c>
      <c r="G327" s="96"/>
      <c r="H327" s="97">
        <v>9</v>
      </c>
      <c r="I327" s="97"/>
      <c r="J327" s="97">
        <f>H327</f>
        <v>9</v>
      </c>
      <c r="K327" s="99"/>
      <c r="L327" s="96"/>
      <c r="M327" s="99"/>
      <c r="N327" s="96"/>
      <c r="O327" s="97"/>
      <c r="P327" s="97"/>
    </row>
    <row r="328" spans="1:16" ht="11.25">
      <c r="A328" s="89" t="s">
        <v>5</v>
      </c>
      <c r="B328" s="96"/>
      <c r="C328" s="96"/>
      <c r="D328" s="96"/>
      <c r="E328" s="97"/>
      <c r="F328" s="97"/>
      <c r="G328" s="96"/>
      <c r="H328" s="97"/>
      <c r="I328" s="97"/>
      <c r="J328" s="97"/>
      <c r="K328" s="99"/>
      <c r="L328" s="96"/>
      <c r="M328" s="99"/>
      <c r="N328" s="96"/>
      <c r="O328" s="99"/>
      <c r="P328" s="97"/>
    </row>
    <row r="329" spans="1:16" ht="27" customHeight="1">
      <c r="A329" s="90" t="s">
        <v>287</v>
      </c>
      <c r="B329" s="96"/>
      <c r="C329" s="96"/>
      <c r="D329" s="96"/>
      <c r="E329" s="97">
        <v>48</v>
      </c>
      <c r="F329" s="97">
        <v>48</v>
      </c>
      <c r="G329" s="96"/>
      <c r="H329" s="97">
        <v>9</v>
      </c>
      <c r="I329" s="97"/>
      <c r="J329" s="97">
        <v>48</v>
      </c>
      <c r="K329" s="99"/>
      <c r="L329" s="96"/>
      <c r="M329" s="99"/>
      <c r="N329" s="96"/>
      <c r="O329" s="97"/>
      <c r="P329" s="97"/>
    </row>
    <row r="330" spans="1:16" ht="11.25">
      <c r="A330" s="89" t="s">
        <v>7</v>
      </c>
      <c r="B330" s="96"/>
      <c r="C330" s="96"/>
      <c r="D330" s="96"/>
      <c r="E330" s="99"/>
      <c r="F330" s="99"/>
      <c r="G330" s="96"/>
      <c r="H330" s="99"/>
      <c r="I330" s="99"/>
      <c r="J330" s="99"/>
      <c r="K330" s="99"/>
      <c r="L330" s="96"/>
      <c r="M330" s="99"/>
      <c r="N330" s="96"/>
      <c r="O330" s="99"/>
      <c r="P330" s="99"/>
    </row>
    <row r="331" spans="1:16" ht="22.5">
      <c r="A331" s="90" t="s">
        <v>285</v>
      </c>
      <c r="B331" s="96"/>
      <c r="C331" s="96"/>
      <c r="D331" s="99"/>
      <c r="E331" s="99">
        <v>28103.5</v>
      </c>
      <c r="F331" s="99">
        <f>E331</f>
        <v>28103.5</v>
      </c>
      <c r="G331" s="99"/>
      <c r="H331" s="99">
        <v>28103.5</v>
      </c>
      <c r="I331" s="99"/>
      <c r="J331" s="99">
        <f>H331</f>
        <v>28103.5</v>
      </c>
      <c r="K331" s="99"/>
      <c r="L331" s="96"/>
      <c r="M331" s="99"/>
      <c r="N331" s="99"/>
      <c r="O331" s="99"/>
      <c r="P331" s="99"/>
    </row>
    <row r="332" spans="1:16" ht="11.25">
      <c r="A332" s="89" t="s">
        <v>6</v>
      </c>
      <c r="B332" s="100"/>
      <c r="C332" s="100"/>
      <c r="D332" s="96"/>
      <c r="E332" s="101"/>
      <c r="F332" s="101"/>
      <c r="G332" s="96"/>
      <c r="H332" s="101"/>
      <c r="I332" s="101"/>
      <c r="J332" s="101"/>
      <c r="K332" s="100"/>
      <c r="L332" s="100"/>
      <c r="M332" s="100"/>
      <c r="N332" s="96"/>
      <c r="O332" s="101"/>
      <c r="P332" s="101"/>
    </row>
    <row r="333" spans="1:16" ht="48.75" customHeight="1">
      <c r="A333" s="90" t="s">
        <v>286</v>
      </c>
      <c r="B333" s="102"/>
      <c r="C333" s="102"/>
      <c r="D333" s="102"/>
      <c r="E333" s="96">
        <f>E329/E327*100</f>
        <v>100</v>
      </c>
      <c r="F333" s="96">
        <f>E333</f>
        <v>100</v>
      </c>
      <c r="G333" s="96"/>
      <c r="H333" s="96">
        <f>H329/H327*100</f>
        <v>100</v>
      </c>
      <c r="I333" s="96"/>
      <c r="J333" s="96">
        <f>H333</f>
        <v>100</v>
      </c>
      <c r="K333" s="96" t="e">
        <f>(#REF!*#REF!)+(#REF!*#REF!)+(#REF!*#REF!)</f>
        <v>#REF!</v>
      </c>
      <c r="L333" s="96" t="e">
        <f>(#REF!*#REF!)+(#REF!*#REF!)+(#REF!*#REF!)</f>
        <v>#REF!</v>
      </c>
      <c r="M333" s="96" t="e">
        <f>(#REF!*#REF!)+(#REF!*#REF!)+(#REF!*#REF!)</f>
        <v>#REF!</v>
      </c>
      <c r="N333" s="96"/>
      <c r="O333" s="96"/>
      <c r="P333" s="96"/>
    </row>
    <row r="334" spans="1:16" ht="11.25" hidden="1">
      <c r="A334" s="90"/>
      <c r="B334" s="96"/>
      <c r="C334" s="96"/>
      <c r="D334" s="96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1:16" ht="11.25" hidden="1">
      <c r="A335" s="90"/>
      <c r="B335" s="96"/>
      <c r="C335" s="96"/>
      <c r="D335" s="96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1:16" ht="11.25" hidden="1">
      <c r="A336" s="90"/>
      <c r="B336" s="96"/>
      <c r="C336" s="96"/>
      <c r="D336" s="96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1:235" s="180" customFormat="1" ht="33.75">
      <c r="A337" s="167" t="s">
        <v>198</v>
      </c>
      <c r="B337" s="176"/>
      <c r="C337" s="176"/>
      <c r="D337" s="178"/>
      <c r="E337" s="178">
        <f>E338</f>
        <v>1000000</v>
      </c>
      <c r="F337" s="178">
        <f>E337</f>
        <v>1000000</v>
      </c>
      <c r="G337" s="178"/>
      <c r="H337" s="178">
        <f>H338</f>
        <v>7000000</v>
      </c>
      <c r="I337" s="178"/>
      <c r="J337" s="178">
        <f>H337</f>
        <v>7000000</v>
      </c>
      <c r="K337" s="178"/>
      <c r="L337" s="176"/>
      <c r="M337" s="178"/>
      <c r="N337" s="178"/>
      <c r="O337" s="178">
        <f>O338</f>
        <v>1580000</v>
      </c>
      <c r="P337" s="178">
        <f>O337</f>
        <v>1580000</v>
      </c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179"/>
      <c r="AU337" s="179"/>
      <c r="AV337" s="179"/>
      <c r="AW337" s="179"/>
      <c r="AX337" s="179"/>
      <c r="AY337" s="179"/>
      <c r="AZ337" s="179"/>
      <c r="BA337" s="179"/>
      <c r="BB337" s="179"/>
      <c r="BC337" s="179"/>
      <c r="BD337" s="179"/>
      <c r="BE337" s="179"/>
      <c r="BF337" s="179"/>
      <c r="BG337" s="179"/>
      <c r="BH337" s="179"/>
      <c r="BI337" s="179"/>
      <c r="BJ337" s="179"/>
      <c r="BK337" s="179"/>
      <c r="BL337" s="179"/>
      <c r="BM337" s="179"/>
      <c r="BN337" s="179"/>
      <c r="BO337" s="179"/>
      <c r="BP337" s="179"/>
      <c r="BQ337" s="179"/>
      <c r="BR337" s="179"/>
      <c r="BS337" s="179"/>
      <c r="BT337" s="179"/>
      <c r="BU337" s="179"/>
      <c r="BV337" s="179"/>
      <c r="BW337" s="179"/>
      <c r="BX337" s="179"/>
      <c r="BY337" s="179"/>
      <c r="BZ337" s="179"/>
      <c r="CA337" s="179"/>
      <c r="CB337" s="179"/>
      <c r="CC337" s="179"/>
      <c r="CD337" s="179"/>
      <c r="CE337" s="179"/>
      <c r="CF337" s="179"/>
      <c r="CG337" s="179"/>
      <c r="CH337" s="179"/>
      <c r="CI337" s="179"/>
      <c r="CJ337" s="179"/>
      <c r="CK337" s="179"/>
      <c r="CL337" s="179"/>
      <c r="CM337" s="179"/>
      <c r="CN337" s="179"/>
      <c r="CO337" s="179"/>
      <c r="CP337" s="179"/>
      <c r="CQ337" s="179"/>
      <c r="CR337" s="179"/>
      <c r="CS337" s="179"/>
      <c r="CT337" s="179"/>
      <c r="CU337" s="179"/>
      <c r="CV337" s="179"/>
      <c r="CW337" s="179"/>
      <c r="CX337" s="179"/>
      <c r="CY337" s="179"/>
      <c r="CZ337" s="179"/>
      <c r="DA337" s="179"/>
      <c r="DB337" s="179"/>
      <c r="DC337" s="179"/>
      <c r="DD337" s="179"/>
      <c r="DE337" s="179"/>
      <c r="DF337" s="179"/>
      <c r="DG337" s="179"/>
      <c r="DH337" s="179"/>
      <c r="DI337" s="179"/>
      <c r="DJ337" s="179"/>
      <c r="DK337" s="179"/>
      <c r="DL337" s="179"/>
      <c r="DM337" s="179"/>
      <c r="DN337" s="179"/>
      <c r="DO337" s="179"/>
      <c r="DP337" s="179"/>
      <c r="DQ337" s="179"/>
      <c r="DR337" s="179"/>
      <c r="DS337" s="179"/>
      <c r="DT337" s="179"/>
      <c r="DU337" s="179"/>
      <c r="DV337" s="179"/>
      <c r="DW337" s="179"/>
      <c r="DX337" s="179"/>
      <c r="DY337" s="179"/>
      <c r="DZ337" s="179"/>
      <c r="EA337" s="179"/>
      <c r="EB337" s="179"/>
      <c r="EC337" s="179"/>
      <c r="ED337" s="179"/>
      <c r="EE337" s="179"/>
      <c r="EF337" s="179"/>
      <c r="EG337" s="179"/>
      <c r="EH337" s="179"/>
      <c r="EI337" s="179"/>
      <c r="EJ337" s="179"/>
      <c r="EK337" s="179"/>
      <c r="EL337" s="179"/>
      <c r="EM337" s="179"/>
      <c r="EN337" s="179"/>
      <c r="EO337" s="179"/>
      <c r="EP337" s="179"/>
      <c r="EQ337" s="179"/>
      <c r="ER337" s="179"/>
      <c r="ES337" s="179"/>
      <c r="ET337" s="179"/>
      <c r="EU337" s="179"/>
      <c r="EV337" s="179"/>
      <c r="EW337" s="179"/>
      <c r="EX337" s="179"/>
      <c r="EY337" s="179"/>
      <c r="EZ337" s="179"/>
      <c r="FA337" s="179"/>
      <c r="FB337" s="179"/>
      <c r="FC337" s="179"/>
      <c r="FD337" s="179"/>
      <c r="FE337" s="179"/>
      <c r="FF337" s="179"/>
      <c r="FG337" s="179"/>
      <c r="FH337" s="179"/>
      <c r="FI337" s="179"/>
      <c r="FJ337" s="179"/>
      <c r="FK337" s="179"/>
      <c r="FL337" s="179"/>
      <c r="FM337" s="179"/>
      <c r="FN337" s="179"/>
      <c r="FO337" s="179"/>
      <c r="FP337" s="179"/>
      <c r="FQ337" s="179"/>
      <c r="FR337" s="179"/>
      <c r="FS337" s="179"/>
      <c r="FT337" s="179"/>
      <c r="FU337" s="179"/>
      <c r="FV337" s="179"/>
      <c r="FW337" s="179"/>
      <c r="FX337" s="179"/>
      <c r="FY337" s="179"/>
      <c r="FZ337" s="179"/>
      <c r="GA337" s="179"/>
      <c r="GB337" s="179"/>
      <c r="GC337" s="179"/>
      <c r="GD337" s="179"/>
      <c r="GE337" s="179"/>
      <c r="GF337" s="179"/>
      <c r="GG337" s="179"/>
      <c r="GH337" s="179"/>
      <c r="GI337" s="179"/>
      <c r="GJ337" s="179"/>
      <c r="GK337" s="179"/>
      <c r="GL337" s="179"/>
      <c r="GM337" s="179"/>
      <c r="GN337" s="179"/>
      <c r="GO337" s="179"/>
      <c r="GP337" s="179"/>
      <c r="GQ337" s="179"/>
      <c r="GR337" s="179"/>
      <c r="GS337" s="179"/>
      <c r="GT337" s="179"/>
      <c r="GU337" s="179"/>
      <c r="GV337" s="179"/>
      <c r="GW337" s="179"/>
      <c r="GX337" s="179"/>
      <c r="GY337" s="179"/>
      <c r="GZ337" s="179"/>
      <c r="HA337" s="179"/>
      <c r="HB337" s="179"/>
      <c r="HC337" s="179"/>
      <c r="HD337" s="179"/>
      <c r="HE337" s="179"/>
      <c r="HF337" s="179"/>
      <c r="HG337" s="179"/>
      <c r="HH337" s="179"/>
      <c r="HI337" s="179"/>
      <c r="HJ337" s="179"/>
      <c r="HK337" s="179"/>
      <c r="HL337" s="179"/>
      <c r="HM337" s="179"/>
      <c r="HN337" s="179"/>
      <c r="HO337" s="179"/>
      <c r="HP337" s="179"/>
      <c r="HQ337" s="179"/>
      <c r="HR337" s="179"/>
      <c r="HS337" s="179"/>
      <c r="HT337" s="179"/>
      <c r="HU337" s="179"/>
      <c r="HV337" s="179"/>
      <c r="HW337" s="179"/>
      <c r="HX337" s="179"/>
      <c r="HY337" s="179"/>
      <c r="HZ337" s="179"/>
      <c r="IA337" s="179"/>
    </row>
    <row r="338" spans="1:235" s="180" customFormat="1" ht="33.75">
      <c r="A338" s="167" t="s">
        <v>352</v>
      </c>
      <c r="B338" s="176"/>
      <c r="C338" s="176"/>
      <c r="D338" s="178"/>
      <c r="E338" s="178">
        <f>E342*E344+1</f>
        <v>1000000</v>
      </c>
      <c r="F338" s="178">
        <f aca="true" t="shared" si="33" ref="F338:M338">F342*F344+1</f>
        <v>1000000</v>
      </c>
      <c r="G338" s="178"/>
      <c r="H338" s="178">
        <f>2000000+1000000+3000000+1000000</f>
        <v>7000000</v>
      </c>
      <c r="I338" s="178"/>
      <c r="J338" s="178">
        <f>H338</f>
        <v>7000000</v>
      </c>
      <c r="K338" s="178">
        <f t="shared" si="33"/>
        <v>1</v>
      </c>
      <c r="L338" s="178">
        <f t="shared" si="33"/>
        <v>1</v>
      </c>
      <c r="M338" s="178">
        <f t="shared" si="33"/>
        <v>1</v>
      </c>
      <c r="N338" s="178"/>
      <c r="O338" s="178">
        <f>O342*O344</f>
        <v>1580000</v>
      </c>
      <c r="P338" s="178">
        <f>O338</f>
        <v>1580000</v>
      </c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179"/>
      <c r="AU338" s="179"/>
      <c r="AV338" s="179"/>
      <c r="AW338" s="179"/>
      <c r="AX338" s="179"/>
      <c r="AY338" s="179"/>
      <c r="AZ338" s="179"/>
      <c r="BA338" s="179"/>
      <c r="BB338" s="179"/>
      <c r="BC338" s="179"/>
      <c r="BD338" s="179"/>
      <c r="BE338" s="179"/>
      <c r="BF338" s="179"/>
      <c r="BG338" s="179"/>
      <c r="BH338" s="179"/>
      <c r="BI338" s="179"/>
      <c r="BJ338" s="179"/>
      <c r="BK338" s="179"/>
      <c r="BL338" s="179"/>
      <c r="BM338" s="179"/>
      <c r="BN338" s="179"/>
      <c r="BO338" s="179"/>
      <c r="BP338" s="179"/>
      <c r="BQ338" s="179"/>
      <c r="BR338" s="179"/>
      <c r="BS338" s="179"/>
      <c r="BT338" s="179"/>
      <c r="BU338" s="179"/>
      <c r="BV338" s="179"/>
      <c r="BW338" s="179"/>
      <c r="BX338" s="179"/>
      <c r="BY338" s="179"/>
      <c r="BZ338" s="179"/>
      <c r="CA338" s="179"/>
      <c r="CB338" s="179"/>
      <c r="CC338" s="179"/>
      <c r="CD338" s="179"/>
      <c r="CE338" s="179"/>
      <c r="CF338" s="179"/>
      <c r="CG338" s="179"/>
      <c r="CH338" s="179"/>
      <c r="CI338" s="179"/>
      <c r="CJ338" s="179"/>
      <c r="CK338" s="179"/>
      <c r="CL338" s="179"/>
      <c r="CM338" s="179"/>
      <c r="CN338" s="179"/>
      <c r="CO338" s="179"/>
      <c r="CP338" s="179"/>
      <c r="CQ338" s="179"/>
      <c r="CR338" s="179"/>
      <c r="CS338" s="179"/>
      <c r="CT338" s="179"/>
      <c r="CU338" s="179"/>
      <c r="CV338" s="179"/>
      <c r="CW338" s="179"/>
      <c r="CX338" s="179"/>
      <c r="CY338" s="179"/>
      <c r="CZ338" s="179"/>
      <c r="DA338" s="179"/>
      <c r="DB338" s="179"/>
      <c r="DC338" s="179"/>
      <c r="DD338" s="179"/>
      <c r="DE338" s="179"/>
      <c r="DF338" s="179"/>
      <c r="DG338" s="179"/>
      <c r="DH338" s="179"/>
      <c r="DI338" s="179"/>
      <c r="DJ338" s="179"/>
      <c r="DK338" s="179"/>
      <c r="DL338" s="179"/>
      <c r="DM338" s="179"/>
      <c r="DN338" s="179"/>
      <c r="DO338" s="179"/>
      <c r="DP338" s="179"/>
      <c r="DQ338" s="179"/>
      <c r="DR338" s="179"/>
      <c r="DS338" s="179"/>
      <c r="DT338" s="179"/>
      <c r="DU338" s="179"/>
      <c r="DV338" s="179"/>
      <c r="DW338" s="179"/>
      <c r="DX338" s="179"/>
      <c r="DY338" s="179"/>
      <c r="DZ338" s="179"/>
      <c r="EA338" s="179"/>
      <c r="EB338" s="179"/>
      <c r="EC338" s="179"/>
      <c r="ED338" s="179"/>
      <c r="EE338" s="179"/>
      <c r="EF338" s="179"/>
      <c r="EG338" s="179"/>
      <c r="EH338" s="179"/>
      <c r="EI338" s="179"/>
      <c r="EJ338" s="179"/>
      <c r="EK338" s="179"/>
      <c r="EL338" s="179"/>
      <c r="EM338" s="179"/>
      <c r="EN338" s="179"/>
      <c r="EO338" s="179"/>
      <c r="EP338" s="179"/>
      <c r="EQ338" s="179"/>
      <c r="ER338" s="179"/>
      <c r="ES338" s="179"/>
      <c r="ET338" s="179"/>
      <c r="EU338" s="179"/>
      <c r="EV338" s="179"/>
      <c r="EW338" s="179"/>
      <c r="EX338" s="179"/>
      <c r="EY338" s="179"/>
      <c r="EZ338" s="179"/>
      <c r="FA338" s="179"/>
      <c r="FB338" s="179"/>
      <c r="FC338" s="179"/>
      <c r="FD338" s="179"/>
      <c r="FE338" s="179"/>
      <c r="FF338" s="179"/>
      <c r="FG338" s="179"/>
      <c r="FH338" s="179"/>
      <c r="FI338" s="179"/>
      <c r="FJ338" s="179"/>
      <c r="FK338" s="179"/>
      <c r="FL338" s="179"/>
      <c r="FM338" s="179"/>
      <c r="FN338" s="179"/>
      <c r="FO338" s="179"/>
      <c r="FP338" s="179"/>
      <c r="FQ338" s="179"/>
      <c r="FR338" s="179"/>
      <c r="FS338" s="179"/>
      <c r="FT338" s="179"/>
      <c r="FU338" s="179"/>
      <c r="FV338" s="179"/>
      <c r="FW338" s="179"/>
      <c r="FX338" s="179"/>
      <c r="FY338" s="179"/>
      <c r="FZ338" s="179"/>
      <c r="GA338" s="179"/>
      <c r="GB338" s="179"/>
      <c r="GC338" s="179"/>
      <c r="GD338" s="179"/>
      <c r="GE338" s="179"/>
      <c r="GF338" s="179"/>
      <c r="GG338" s="179"/>
      <c r="GH338" s="179"/>
      <c r="GI338" s="179"/>
      <c r="GJ338" s="179"/>
      <c r="GK338" s="179"/>
      <c r="GL338" s="179"/>
      <c r="GM338" s="179"/>
      <c r="GN338" s="179"/>
      <c r="GO338" s="179"/>
      <c r="GP338" s="179"/>
      <c r="GQ338" s="179"/>
      <c r="GR338" s="179"/>
      <c r="GS338" s="179"/>
      <c r="GT338" s="179"/>
      <c r="GU338" s="179"/>
      <c r="GV338" s="179"/>
      <c r="GW338" s="179"/>
      <c r="GX338" s="179"/>
      <c r="GY338" s="179"/>
      <c r="GZ338" s="179"/>
      <c r="HA338" s="179"/>
      <c r="HB338" s="179"/>
      <c r="HC338" s="179"/>
      <c r="HD338" s="179"/>
      <c r="HE338" s="179"/>
      <c r="HF338" s="179"/>
      <c r="HG338" s="179"/>
      <c r="HH338" s="179"/>
      <c r="HI338" s="179"/>
      <c r="HJ338" s="179"/>
      <c r="HK338" s="179"/>
      <c r="HL338" s="179"/>
      <c r="HM338" s="179"/>
      <c r="HN338" s="179"/>
      <c r="HO338" s="179"/>
      <c r="HP338" s="179"/>
      <c r="HQ338" s="179"/>
      <c r="HR338" s="179"/>
      <c r="HS338" s="179"/>
      <c r="HT338" s="179"/>
      <c r="HU338" s="179"/>
      <c r="HV338" s="179"/>
      <c r="HW338" s="179"/>
      <c r="HX338" s="179"/>
      <c r="HY338" s="179"/>
      <c r="HZ338" s="179"/>
      <c r="IA338" s="179"/>
    </row>
    <row r="339" spans="1:16" ht="11.25">
      <c r="A339" s="89" t="s">
        <v>4</v>
      </c>
      <c r="B339" s="96"/>
      <c r="C339" s="96"/>
      <c r="D339" s="96"/>
      <c r="E339" s="99"/>
      <c r="F339" s="99"/>
      <c r="G339" s="96"/>
      <c r="H339" s="99"/>
      <c r="I339" s="99"/>
      <c r="J339" s="99"/>
      <c r="K339" s="99"/>
      <c r="L339" s="96"/>
      <c r="M339" s="99"/>
      <c r="N339" s="96"/>
      <c r="O339" s="99"/>
      <c r="P339" s="99"/>
    </row>
    <row r="340" spans="1:16" ht="22.5">
      <c r="A340" s="90" t="s">
        <v>178</v>
      </c>
      <c r="B340" s="96"/>
      <c r="C340" s="96"/>
      <c r="D340" s="96"/>
      <c r="E340" s="97">
        <v>10</v>
      </c>
      <c r="F340" s="97">
        <f>E340</f>
        <v>10</v>
      </c>
      <c r="G340" s="96"/>
      <c r="H340" s="98">
        <v>10</v>
      </c>
      <c r="I340" s="98"/>
      <c r="J340" s="98">
        <f>H340</f>
        <v>10</v>
      </c>
      <c r="K340" s="99"/>
      <c r="L340" s="96"/>
      <c r="M340" s="99"/>
      <c r="N340" s="96"/>
      <c r="O340" s="97">
        <v>10</v>
      </c>
      <c r="P340" s="97">
        <f>O340</f>
        <v>10</v>
      </c>
    </row>
    <row r="341" spans="1:16" ht="11.25">
      <c r="A341" s="89" t="s">
        <v>5</v>
      </c>
      <c r="B341" s="96"/>
      <c r="C341" s="96"/>
      <c r="D341" s="96"/>
      <c r="E341" s="97"/>
      <c r="F341" s="97"/>
      <c r="G341" s="96"/>
      <c r="H341" s="99"/>
      <c r="I341" s="99"/>
      <c r="J341" s="97"/>
      <c r="K341" s="99"/>
      <c r="L341" s="96"/>
      <c r="M341" s="99"/>
      <c r="N341" s="96"/>
      <c r="O341" s="99"/>
      <c r="P341" s="97"/>
    </row>
    <row r="342" spans="1:16" ht="22.5">
      <c r="A342" s="90" t="s">
        <v>179</v>
      </c>
      <c r="B342" s="96"/>
      <c r="C342" s="96"/>
      <c r="D342" s="96"/>
      <c r="E342" s="97">
        <v>3</v>
      </c>
      <c r="F342" s="97">
        <f>E342</f>
        <v>3</v>
      </c>
      <c r="G342" s="96"/>
      <c r="H342" s="97">
        <v>4</v>
      </c>
      <c r="I342" s="97"/>
      <c r="J342" s="97">
        <f>H342</f>
        <v>4</v>
      </c>
      <c r="K342" s="99"/>
      <c r="L342" s="96"/>
      <c r="M342" s="99"/>
      <c r="N342" s="96"/>
      <c r="O342" s="97">
        <v>4</v>
      </c>
      <c r="P342" s="97">
        <f>O342</f>
        <v>4</v>
      </c>
    </row>
    <row r="343" spans="1:16" ht="11.25">
      <c r="A343" s="89" t="s">
        <v>7</v>
      </c>
      <c r="B343" s="96"/>
      <c r="C343" s="96"/>
      <c r="D343" s="96"/>
      <c r="E343" s="99"/>
      <c r="F343" s="99"/>
      <c r="G343" s="96"/>
      <c r="H343" s="99"/>
      <c r="I343" s="99"/>
      <c r="J343" s="99"/>
      <c r="K343" s="99"/>
      <c r="L343" s="96"/>
      <c r="M343" s="99"/>
      <c r="N343" s="96"/>
      <c r="O343" s="99"/>
      <c r="P343" s="99"/>
    </row>
    <row r="344" spans="1:16" ht="22.5">
      <c r="A344" s="90" t="s">
        <v>180</v>
      </c>
      <c r="B344" s="96"/>
      <c r="C344" s="96"/>
      <c r="D344" s="99"/>
      <c r="E344" s="99">
        <v>333333</v>
      </c>
      <c r="F344" s="99">
        <f>E344</f>
        <v>333333</v>
      </c>
      <c r="G344" s="99"/>
      <c r="H344" s="99">
        <v>440000</v>
      </c>
      <c r="I344" s="99"/>
      <c r="J344" s="99">
        <f>H344</f>
        <v>440000</v>
      </c>
      <c r="K344" s="99"/>
      <c r="L344" s="96"/>
      <c r="M344" s="99"/>
      <c r="N344" s="99"/>
      <c r="O344" s="99">
        <v>395000</v>
      </c>
      <c r="P344" s="99">
        <f>O344</f>
        <v>395000</v>
      </c>
    </row>
    <row r="345" spans="1:16" ht="11.25">
      <c r="A345" s="89" t="s">
        <v>6</v>
      </c>
      <c r="B345" s="100"/>
      <c r="C345" s="100"/>
      <c r="D345" s="96"/>
      <c r="E345" s="101"/>
      <c r="F345" s="101"/>
      <c r="G345" s="96"/>
      <c r="H345" s="101"/>
      <c r="I345" s="101"/>
      <c r="J345" s="101"/>
      <c r="K345" s="100"/>
      <c r="L345" s="100"/>
      <c r="M345" s="100"/>
      <c r="N345" s="96"/>
      <c r="O345" s="101"/>
      <c r="P345" s="101"/>
    </row>
    <row r="346" spans="1:16" ht="51.75" customHeight="1">
      <c r="A346" s="90" t="s">
        <v>201</v>
      </c>
      <c r="B346" s="102"/>
      <c r="C346" s="102"/>
      <c r="D346" s="102"/>
      <c r="E346" s="96">
        <f>E342/E340*100</f>
        <v>30</v>
      </c>
      <c r="F346" s="96">
        <f>E346</f>
        <v>30</v>
      </c>
      <c r="G346" s="96"/>
      <c r="H346" s="96">
        <f>H342/H340*100</f>
        <v>40</v>
      </c>
      <c r="I346" s="96"/>
      <c r="J346" s="96">
        <f>H346</f>
        <v>40</v>
      </c>
      <c r="K346" s="96" t="e">
        <f>(#REF!*#REF!)+(#REF!*#REF!)+(#REF!*#REF!)</f>
        <v>#REF!</v>
      </c>
      <c r="L346" s="96" t="e">
        <f>(#REF!*#REF!)+(#REF!*#REF!)+(#REF!*#REF!)</f>
        <v>#REF!</v>
      </c>
      <c r="M346" s="96" t="e">
        <f>(#REF!*#REF!)+(#REF!*#REF!)+(#REF!*#REF!)</f>
        <v>#REF!</v>
      </c>
      <c r="N346" s="96"/>
      <c r="O346" s="96">
        <f>O342/O340*100</f>
        <v>40</v>
      </c>
      <c r="P346" s="96">
        <f>O346</f>
        <v>40</v>
      </c>
    </row>
    <row r="347" spans="1:16" ht="1.5" customHeight="1" hidden="1">
      <c r="A347" s="30" t="s">
        <v>282</v>
      </c>
      <c r="B347" s="40"/>
      <c r="C347" s="40"/>
      <c r="D347" s="36"/>
      <c r="E347" s="36">
        <f>E348</f>
        <v>1000000</v>
      </c>
      <c r="F347" s="36">
        <f>E347</f>
        <v>1000000</v>
      </c>
      <c r="G347" s="36"/>
      <c r="H347" s="36">
        <f>H348</f>
        <v>1320000</v>
      </c>
      <c r="I347" s="36"/>
      <c r="J347" s="36">
        <f>H347</f>
        <v>1320000</v>
      </c>
      <c r="K347" s="85"/>
      <c r="L347" s="40"/>
      <c r="M347" s="85"/>
      <c r="N347" s="36"/>
      <c r="O347" s="36">
        <f>O348</f>
        <v>1580000</v>
      </c>
      <c r="P347" s="36">
        <f>O347</f>
        <v>1580000</v>
      </c>
    </row>
    <row r="348" spans="1:16" ht="4.5" customHeight="1" hidden="1">
      <c r="A348" s="30" t="s">
        <v>283</v>
      </c>
      <c r="B348" s="40"/>
      <c r="C348" s="40"/>
      <c r="D348" s="36"/>
      <c r="E348" s="36">
        <f>E352*E354+1</f>
        <v>1000000</v>
      </c>
      <c r="F348" s="36">
        <f>F352*F354+1</f>
        <v>1000000</v>
      </c>
      <c r="G348" s="36"/>
      <c r="H348" s="36">
        <f>H352*H354</f>
        <v>1320000</v>
      </c>
      <c r="I348" s="36"/>
      <c r="J348" s="36">
        <f>H348</f>
        <v>1320000</v>
      </c>
      <c r="K348" s="36">
        <f>K352*K354+1</f>
        <v>1</v>
      </c>
      <c r="L348" s="36">
        <f>L352*L354+1</f>
        <v>1</v>
      </c>
      <c r="M348" s="36">
        <f>M352*M354+1</f>
        <v>1</v>
      </c>
      <c r="N348" s="36"/>
      <c r="O348" s="36">
        <f>O352*O354</f>
        <v>1580000</v>
      </c>
      <c r="P348" s="36">
        <f>O348</f>
        <v>1580000</v>
      </c>
    </row>
    <row r="349" spans="1:16" ht="16.5" customHeight="1" hidden="1">
      <c r="A349" s="89" t="s">
        <v>4</v>
      </c>
      <c r="B349" s="96"/>
      <c r="C349" s="96"/>
      <c r="D349" s="96"/>
      <c r="E349" s="99"/>
      <c r="F349" s="99"/>
      <c r="G349" s="96"/>
      <c r="H349" s="99"/>
      <c r="I349" s="99"/>
      <c r="J349" s="99"/>
      <c r="K349" s="99"/>
      <c r="L349" s="96"/>
      <c r="M349" s="99"/>
      <c r="N349" s="96"/>
      <c r="O349" s="99"/>
      <c r="P349" s="99"/>
    </row>
    <row r="350" spans="1:16" ht="24.75" customHeight="1" hidden="1">
      <c r="A350" s="90" t="s">
        <v>178</v>
      </c>
      <c r="B350" s="96"/>
      <c r="C350" s="96"/>
      <c r="D350" s="96"/>
      <c r="E350" s="97">
        <v>10</v>
      </c>
      <c r="F350" s="97">
        <f>E350</f>
        <v>10</v>
      </c>
      <c r="G350" s="96"/>
      <c r="H350" s="98">
        <v>10</v>
      </c>
      <c r="I350" s="98"/>
      <c r="J350" s="98">
        <f>H350</f>
        <v>10</v>
      </c>
      <c r="K350" s="99"/>
      <c r="L350" s="96"/>
      <c r="M350" s="99"/>
      <c r="N350" s="96"/>
      <c r="O350" s="97">
        <v>10</v>
      </c>
      <c r="P350" s="97">
        <f>O350</f>
        <v>10</v>
      </c>
    </row>
    <row r="351" spans="1:16" ht="15" customHeight="1" hidden="1">
      <c r="A351" s="89" t="s">
        <v>5</v>
      </c>
      <c r="B351" s="96"/>
      <c r="C351" s="96"/>
      <c r="D351" s="96"/>
      <c r="E351" s="97"/>
      <c r="F351" s="97"/>
      <c r="G351" s="96"/>
      <c r="H351" s="99"/>
      <c r="I351" s="99"/>
      <c r="J351" s="97"/>
      <c r="K351" s="99"/>
      <c r="L351" s="96"/>
      <c r="M351" s="99"/>
      <c r="N351" s="96"/>
      <c r="O351" s="99"/>
      <c r="P351" s="97"/>
    </row>
    <row r="352" spans="1:16" ht="12.75" customHeight="1" hidden="1">
      <c r="A352" s="90" t="s">
        <v>179</v>
      </c>
      <c r="B352" s="96"/>
      <c r="C352" s="96"/>
      <c r="D352" s="96"/>
      <c r="E352" s="97">
        <v>3</v>
      </c>
      <c r="F352" s="97">
        <f>E352</f>
        <v>3</v>
      </c>
      <c r="G352" s="96"/>
      <c r="H352" s="97">
        <v>3</v>
      </c>
      <c r="I352" s="97"/>
      <c r="J352" s="97">
        <f>H352</f>
        <v>3</v>
      </c>
      <c r="K352" s="99"/>
      <c r="L352" s="96"/>
      <c r="M352" s="99"/>
      <c r="N352" s="96"/>
      <c r="O352" s="97">
        <v>4</v>
      </c>
      <c r="P352" s="97">
        <f>O352</f>
        <v>4</v>
      </c>
    </row>
    <row r="353" spans="1:16" ht="16.5" customHeight="1" hidden="1">
      <c r="A353" s="89" t="s">
        <v>7</v>
      </c>
      <c r="B353" s="96"/>
      <c r="C353" s="96"/>
      <c r="D353" s="96"/>
      <c r="E353" s="99"/>
      <c r="F353" s="99"/>
      <c r="G353" s="96"/>
      <c r="H353" s="99"/>
      <c r="I353" s="99"/>
      <c r="J353" s="99"/>
      <c r="K353" s="99"/>
      <c r="L353" s="96"/>
      <c r="M353" s="99"/>
      <c r="N353" s="96"/>
      <c r="O353" s="99"/>
      <c r="P353" s="99"/>
    </row>
    <row r="354" spans="1:16" ht="30" customHeight="1" hidden="1">
      <c r="A354" s="90" t="s">
        <v>180</v>
      </c>
      <c r="B354" s="96"/>
      <c r="C354" s="96"/>
      <c r="D354" s="99"/>
      <c r="E354" s="99">
        <v>333333</v>
      </c>
      <c r="F354" s="99">
        <f>E354</f>
        <v>333333</v>
      </c>
      <c r="G354" s="99"/>
      <c r="H354" s="99">
        <v>440000</v>
      </c>
      <c r="I354" s="99"/>
      <c r="J354" s="99">
        <f>H354</f>
        <v>440000</v>
      </c>
      <c r="K354" s="99"/>
      <c r="L354" s="96"/>
      <c r="M354" s="99"/>
      <c r="N354" s="99"/>
      <c r="O354" s="99">
        <v>395000</v>
      </c>
      <c r="P354" s="99">
        <f>O354</f>
        <v>395000</v>
      </c>
    </row>
    <row r="355" spans="1:16" ht="15" customHeight="1" hidden="1">
      <c r="A355" s="89" t="s">
        <v>6</v>
      </c>
      <c r="B355" s="100"/>
      <c r="C355" s="100"/>
      <c r="D355" s="96"/>
      <c r="E355" s="101"/>
      <c r="F355" s="101"/>
      <c r="G355" s="96"/>
      <c r="H355" s="101"/>
      <c r="I355" s="101"/>
      <c r="J355" s="101"/>
      <c r="K355" s="100"/>
      <c r="L355" s="100"/>
      <c r="M355" s="100"/>
      <c r="N355" s="96"/>
      <c r="O355" s="101"/>
      <c r="P355" s="101"/>
    </row>
    <row r="356" spans="1:16" ht="53.25" customHeight="1" hidden="1">
      <c r="A356" s="90" t="s">
        <v>201</v>
      </c>
      <c r="B356" s="102"/>
      <c r="C356" s="102"/>
      <c r="D356" s="102"/>
      <c r="E356" s="96">
        <f>E352/E350*100</f>
        <v>30</v>
      </c>
      <c r="F356" s="96">
        <f>E356</f>
        <v>30</v>
      </c>
      <c r="G356" s="96"/>
      <c r="H356" s="96">
        <f>H352/H350*100</f>
        <v>30</v>
      </c>
      <c r="I356" s="96"/>
      <c r="J356" s="96">
        <f>H356</f>
        <v>30</v>
      </c>
      <c r="K356" s="96" t="e">
        <f>(#REF!*#REF!)+(#REF!*#REF!)+(#REF!*#REF!)</f>
        <v>#REF!</v>
      </c>
      <c r="L356" s="96" t="e">
        <f>(#REF!*#REF!)+(#REF!*#REF!)+(#REF!*#REF!)</f>
        <v>#REF!</v>
      </c>
      <c r="M356" s="96" t="e">
        <f>(#REF!*#REF!)+(#REF!*#REF!)+(#REF!*#REF!)</f>
        <v>#REF!</v>
      </c>
      <c r="N356" s="96"/>
      <c r="O356" s="96">
        <f>O352/O350*100</f>
        <v>40</v>
      </c>
      <c r="P356" s="96">
        <f>O356</f>
        <v>40</v>
      </c>
    </row>
    <row r="357" spans="1:16" ht="21.75" customHeight="1" hidden="1">
      <c r="A357" s="90"/>
      <c r="B357" s="102"/>
      <c r="C357" s="102"/>
      <c r="D357" s="102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1:16" ht="54" customHeight="1" hidden="1">
      <c r="A358" s="90"/>
      <c r="B358" s="102"/>
      <c r="C358" s="102"/>
      <c r="D358" s="102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1:16" ht="54" customHeight="1" hidden="1">
      <c r="A359" s="90"/>
      <c r="B359" s="102"/>
      <c r="C359" s="102"/>
      <c r="D359" s="102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1:16" ht="54" customHeight="1" hidden="1">
      <c r="A360" s="90"/>
      <c r="B360" s="102"/>
      <c r="C360" s="102"/>
      <c r="D360" s="102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1:16" ht="54" customHeight="1" hidden="1">
      <c r="A361" s="90"/>
      <c r="B361" s="102"/>
      <c r="C361" s="102"/>
      <c r="D361" s="102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1:235" s="172" customFormat="1" ht="16.5" customHeight="1">
      <c r="A362" s="210" t="s">
        <v>202</v>
      </c>
      <c r="B362" s="210"/>
      <c r="C362" s="210"/>
      <c r="D362" s="233">
        <f>D363+D364</f>
        <v>1889680.002</v>
      </c>
      <c r="E362" s="233"/>
      <c r="F362" s="233">
        <f aca="true" t="shared" si="34" ref="F362:P362">F363+F364</f>
        <v>1889680.002</v>
      </c>
      <c r="G362" s="233">
        <f>G363+G364</f>
        <v>2339999.99813</v>
      </c>
      <c r="H362" s="233">
        <f>H363+H364</f>
        <v>400000</v>
      </c>
      <c r="I362" s="233">
        <f>I363+I364</f>
        <v>0</v>
      </c>
      <c r="J362" s="233">
        <f t="shared" si="34"/>
        <v>2739999.99813</v>
      </c>
      <c r="K362" s="233" t="e">
        <f t="shared" si="34"/>
        <v>#REF!</v>
      </c>
      <c r="L362" s="233">
        <f t="shared" si="34"/>
        <v>0</v>
      </c>
      <c r="M362" s="233">
        <f t="shared" si="34"/>
        <v>0</v>
      </c>
      <c r="N362" s="233">
        <f t="shared" si="34"/>
        <v>2503680</v>
      </c>
      <c r="O362" s="233"/>
      <c r="P362" s="233">
        <f t="shared" si="34"/>
        <v>2503680</v>
      </c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  <c r="AA362" s="258"/>
      <c r="AB362" s="258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258"/>
      <c r="AQ362" s="258"/>
      <c r="AR362" s="258"/>
      <c r="AS362" s="258"/>
      <c r="AT362" s="258"/>
      <c r="AU362" s="258"/>
      <c r="AV362" s="258"/>
      <c r="AW362" s="258"/>
      <c r="AX362" s="258"/>
      <c r="AY362" s="258"/>
      <c r="AZ362" s="258"/>
      <c r="BA362" s="258"/>
      <c r="BB362" s="258"/>
      <c r="BC362" s="258"/>
      <c r="BD362" s="258"/>
      <c r="BE362" s="258"/>
      <c r="BF362" s="258"/>
      <c r="BG362" s="258"/>
      <c r="BH362" s="258"/>
      <c r="BI362" s="258"/>
      <c r="BJ362" s="258"/>
      <c r="BK362" s="258"/>
      <c r="BL362" s="258"/>
      <c r="BM362" s="258"/>
      <c r="BN362" s="258"/>
      <c r="BO362" s="258"/>
      <c r="BP362" s="258"/>
      <c r="BQ362" s="258"/>
      <c r="BR362" s="258"/>
      <c r="BS362" s="258"/>
      <c r="BT362" s="258"/>
      <c r="BU362" s="258"/>
      <c r="BV362" s="258"/>
      <c r="BW362" s="258"/>
      <c r="BX362" s="258"/>
      <c r="BY362" s="258"/>
      <c r="BZ362" s="258"/>
      <c r="CA362" s="258"/>
      <c r="CB362" s="258"/>
      <c r="CC362" s="258"/>
      <c r="CD362" s="258"/>
      <c r="CE362" s="258"/>
      <c r="CF362" s="258"/>
      <c r="CG362" s="258"/>
      <c r="CH362" s="258"/>
      <c r="CI362" s="258"/>
      <c r="CJ362" s="258"/>
      <c r="CK362" s="258"/>
      <c r="CL362" s="258"/>
      <c r="CM362" s="258"/>
      <c r="CN362" s="258"/>
      <c r="CO362" s="258"/>
      <c r="CP362" s="258"/>
      <c r="CQ362" s="258"/>
      <c r="CR362" s="258"/>
      <c r="CS362" s="258"/>
      <c r="CT362" s="258"/>
      <c r="CU362" s="258"/>
      <c r="CV362" s="258"/>
      <c r="CW362" s="258"/>
      <c r="CX362" s="258"/>
      <c r="CY362" s="258"/>
      <c r="CZ362" s="258"/>
      <c r="DA362" s="258"/>
      <c r="DB362" s="258"/>
      <c r="DC362" s="258"/>
      <c r="DD362" s="258"/>
      <c r="DE362" s="258"/>
      <c r="DF362" s="258"/>
      <c r="DG362" s="258"/>
      <c r="DH362" s="258"/>
      <c r="DI362" s="258"/>
      <c r="DJ362" s="258"/>
      <c r="DK362" s="258"/>
      <c r="DL362" s="258"/>
      <c r="DM362" s="258"/>
      <c r="DN362" s="258"/>
      <c r="DO362" s="258"/>
      <c r="DP362" s="258"/>
      <c r="DQ362" s="258"/>
      <c r="DR362" s="258"/>
      <c r="DS362" s="258"/>
      <c r="DT362" s="258"/>
      <c r="DU362" s="258"/>
      <c r="DV362" s="258"/>
      <c r="DW362" s="258"/>
      <c r="DX362" s="258"/>
      <c r="DY362" s="258"/>
      <c r="DZ362" s="258"/>
      <c r="EA362" s="258"/>
      <c r="EB362" s="258"/>
      <c r="EC362" s="258"/>
      <c r="ED362" s="258"/>
      <c r="EE362" s="258"/>
      <c r="EF362" s="258"/>
      <c r="EG362" s="258"/>
      <c r="EH362" s="258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ET362" s="258"/>
      <c r="EU362" s="258"/>
      <c r="EV362" s="258"/>
      <c r="EW362" s="258"/>
      <c r="EX362" s="258"/>
      <c r="EY362" s="258"/>
      <c r="EZ362" s="258"/>
      <c r="FA362" s="258"/>
      <c r="FB362" s="258"/>
      <c r="FC362" s="258"/>
      <c r="FD362" s="258"/>
      <c r="FE362" s="258"/>
      <c r="FF362" s="258"/>
      <c r="FG362" s="258"/>
      <c r="FH362" s="258"/>
      <c r="FI362" s="258"/>
      <c r="FJ362" s="258"/>
      <c r="FK362" s="258"/>
      <c r="FL362" s="258"/>
      <c r="FM362" s="258"/>
      <c r="FN362" s="258"/>
      <c r="FO362" s="258"/>
      <c r="FP362" s="258"/>
      <c r="FQ362" s="258"/>
      <c r="FR362" s="258"/>
      <c r="FS362" s="258"/>
      <c r="FT362" s="258"/>
      <c r="FU362" s="258"/>
      <c r="FV362" s="258"/>
      <c r="FW362" s="258"/>
      <c r="FX362" s="258"/>
      <c r="FY362" s="258"/>
      <c r="FZ362" s="258"/>
      <c r="GA362" s="258"/>
      <c r="GB362" s="258"/>
      <c r="GC362" s="258"/>
      <c r="GD362" s="258"/>
      <c r="GE362" s="258"/>
      <c r="GF362" s="258"/>
      <c r="GG362" s="258"/>
      <c r="GH362" s="258"/>
      <c r="GI362" s="258"/>
      <c r="GJ362" s="258"/>
      <c r="GK362" s="258"/>
      <c r="GL362" s="258"/>
      <c r="GM362" s="258"/>
      <c r="GN362" s="258"/>
      <c r="GO362" s="258"/>
      <c r="GP362" s="258"/>
      <c r="GQ362" s="258"/>
      <c r="GR362" s="258"/>
      <c r="GS362" s="258"/>
      <c r="GT362" s="258"/>
      <c r="GU362" s="258"/>
      <c r="GV362" s="258"/>
      <c r="GW362" s="258"/>
      <c r="GX362" s="258"/>
      <c r="GY362" s="258"/>
      <c r="GZ362" s="258"/>
      <c r="HA362" s="258"/>
      <c r="HB362" s="258"/>
      <c r="HC362" s="258"/>
      <c r="HD362" s="258"/>
      <c r="HE362" s="258"/>
      <c r="HF362" s="258"/>
      <c r="HG362" s="258"/>
      <c r="HH362" s="258"/>
      <c r="HI362" s="258"/>
      <c r="HJ362" s="258"/>
      <c r="HK362" s="258"/>
      <c r="HL362" s="258"/>
      <c r="HM362" s="258"/>
      <c r="HN362" s="258"/>
      <c r="HO362" s="258"/>
      <c r="HP362" s="258"/>
      <c r="HQ362" s="258"/>
      <c r="HR362" s="258"/>
      <c r="HS362" s="258"/>
      <c r="HT362" s="258"/>
      <c r="HU362" s="258"/>
      <c r="HV362" s="258"/>
      <c r="HW362" s="258"/>
      <c r="HX362" s="258"/>
      <c r="HY362" s="258"/>
      <c r="HZ362" s="258"/>
      <c r="IA362" s="258"/>
    </row>
    <row r="363" spans="1:16" ht="13.5" customHeight="1">
      <c r="A363" s="24" t="s">
        <v>87</v>
      </c>
      <c r="B363" s="25"/>
      <c r="C363" s="25"/>
      <c r="D363" s="92">
        <f>D366+D373+D400+D414</f>
        <v>1536000.002</v>
      </c>
      <c r="E363" s="92"/>
      <c r="F363" s="92">
        <f>F366+F373+F400+F414</f>
        <v>1536000.002</v>
      </c>
      <c r="G363" s="92">
        <f>G366+G373+G405+G414+G400</f>
        <v>2119999.99813</v>
      </c>
      <c r="H363" s="92">
        <f aca="true" t="shared" si="35" ref="H363:P363">H366+H373</f>
        <v>0</v>
      </c>
      <c r="I363" s="92">
        <f>I366+I373</f>
        <v>0</v>
      </c>
      <c r="J363" s="92">
        <f>J366+J373+J405+J414+J400</f>
        <v>2119999.99813</v>
      </c>
      <c r="K363" s="92" t="e">
        <f t="shared" si="35"/>
        <v>#REF!</v>
      </c>
      <c r="L363" s="92">
        <f t="shared" si="35"/>
        <v>0</v>
      </c>
      <c r="M363" s="92">
        <f t="shared" si="35"/>
        <v>0</v>
      </c>
      <c r="N363" s="92">
        <f>N366+N373</f>
        <v>2090000</v>
      </c>
      <c r="O363" s="92"/>
      <c r="P363" s="92">
        <f t="shared" si="35"/>
        <v>2090000</v>
      </c>
    </row>
    <row r="364" spans="1:16" ht="16.5" customHeight="1">
      <c r="A364" s="24" t="s">
        <v>88</v>
      </c>
      <c r="B364" s="25"/>
      <c r="C364" s="25"/>
      <c r="D364" s="92">
        <f>D382+D389</f>
        <v>353680</v>
      </c>
      <c r="E364" s="92"/>
      <c r="F364" s="92">
        <f aca="true" t="shared" si="36" ref="F364:P364">F382+F389</f>
        <v>353680</v>
      </c>
      <c r="G364" s="92">
        <f>G382+G389</f>
        <v>220000</v>
      </c>
      <c r="H364" s="92">
        <f>H382+H389</f>
        <v>400000</v>
      </c>
      <c r="I364" s="92">
        <f>I382+I389</f>
        <v>0</v>
      </c>
      <c r="J364" s="92">
        <f>J382+J389</f>
        <v>620000</v>
      </c>
      <c r="K364" s="92">
        <f t="shared" si="36"/>
        <v>0</v>
      </c>
      <c r="L364" s="92">
        <f t="shared" si="36"/>
        <v>0</v>
      </c>
      <c r="M364" s="92">
        <f t="shared" si="36"/>
        <v>0</v>
      </c>
      <c r="N364" s="92">
        <f t="shared" si="36"/>
        <v>413680</v>
      </c>
      <c r="O364" s="92"/>
      <c r="P364" s="92">
        <f t="shared" si="36"/>
        <v>413680</v>
      </c>
    </row>
    <row r="365" spans="1:16" ht="36" customHeight="1">
      <c r="A365" s="32" t="s">
        <v>203</v>
      </c>
      <c r="B365" s="8"/>
      <c r="C365" s="8"/>
      <c r="D365" s="18"/>
      <c r="E365" s="18"/>
      <c r="F365" s="18"/>
      <c r="G365" s="18"/>
      <c r="H365" s="18"/>
      <c r="I365" s="18"/>
      <c r="J365" s="18"/>
      <c r="K365" s="11"/>
      <c r="L365" s="12"/>
      <c r="M365" s="13"/>
      <c r="N365" s="18"/>
      <c r="O365" s="18"/>
      <c r="P365" s="18"/>
    </row>
    <row r="366" spans="1:235" s="180" customFormat="1" ht="22.5">
      <c r="A366" s="167" t="s">
        <v>353</v>
      </c>
      <c r="B366" s="176"/>
      <c r="C366" s="176"/>
      <c r="D366" s="178">
        <f>D368</f>
        <v>1385000</v>
      </c>
      <c r="E366" s="178"/>
      <c r="F366" s="178">
        <f>D366</f>
        <v>1385000</v>
      </c>
      <c r="G366" s="178">
        <f>G368</f>
        <v>1660000</v>
      </c>
      <c r="H366" s="178"/>
      <c r="I366" s="178"/>
      <c r="J366" s="178">
        <f>G366</f>
        <v>1660000</v>
      </c>
      <c r="K366" s="178"/>
      <c r="L366" s="176"/>
      <c r="M366" s="176"/>
      <c r="N366" s="178">
        <f>N368</f>
        <v>1990000</v>
      </c>
      <c r="O366" s="178"/>
      <c r="P366" s="178">
        <f>N366</f>
        <v>1990000</v>
      </c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79"/>
      <c r="AT366" s="179"/>
      <c r="AU366" s="179"/>
      <c r="AV366" s="179"/>
      <c r="AW366" s="179"/>
      <c r="AX366" s="179"/>
      <c r="AY366" s="179"/>
      <c r="AZ366" s="179"/>
      <c r="BA366" s="179"/>
      <c r="BB366" s="179"/>
      <c r="BC366" s="179"/>
      <c r="BD366" s="179"/>
      <c r="BE366" s="179"/>
      <c r="BF366" s="179"/>
      <c r="BG366" s="179"/>
      <c r="BH366" s="179"/>
      <c r="BI366" s="179"/>
      <c r="BJ366" s="179"/>
      <c r="BK366" s="179"/>
      <c r="BL366" s="179"/>
      <c r="BM366" s="179"/>
      <c r="BN366" s="179"/>
      <c r="BO366" s="179"/>
      <c r="BP366" s="179"/>
      <c r="BQ366" s="179"/>
      <c r="BR366" s="179"/>
      <c r="BS366" s="179"/>
      <c r="BT366" s="179"/>
      <c r="BU366" s="179"/>
      <c r="BV366" s="179"/>
      <c r="BW366" s="179"/>
      <c r="BX366" s="179"/>
      <c r="BY366" s="179"/>
      <c r="BZ366" s="179"/>
      <c r="CA366" s="179"/>
      <c r="CB366" s="179"/>
      <c r="CC366" s="179"/>
      <c r="CD366" s="179"/>
      <c r="CE366" s="179"/>
      <c r="CF366" s="179"/>
      <c r="CG366" s="179"/>
      <c r="CH366" s="179"/>
      <c r="CI366" s="179"/>
      <c r="CJ366" s="179"/>
      <c r="CK366" s="179"/>
      <c r="CL366" s="179"/>
      <c r="CM366" s="179"/>
      <c r="CN366" s="179"/>
      <c r="CO366" s="179"/>
      <c r="CP366" s="179"/>
      <c r="CQ366" s="179"/>
      <c r="CR366" s="179"/>
      <c r="CS366" s="179"/>
      <c r="CT366" s="179"/>
      <c r="CU366" s="179"/>
      <c r="CV366" s="179"/>
      <c r="CW366" s="179"/>
      <c r="CX366" s="179"/>
      <c r="CY366" s="179"/>
      <c r="CZ366" s="179"/>
      <c r="DA366" s="179"/>
      <c r="DB366" s="179"/>
      <c r="DC366" s="179"/>
      <c r="DD366" s="179"/>
      <c r="DE366" s="179"/>
      <c r="DF366" s="179"/>
      <c r="DG366" s="179"/>
      <c r="DH366" s="179"/>
      <c r="DI366" s="179"/>
      <c r="DJ366" s="179"/>
      <c r="DK366" s="179"/>
      <c r="DL366" s="179"/>
      <c r="DM366" s="179"/>
      <c r="DN366" s="179"/>
      <c r="DO366" s="179"/>
      <c r="DP366" s="179"/>
      <c r="DQ366" s="179"/>
      <c r="DR366" s="179"/>
      <c r="DS366" s="179"/>
      <c r="DT366" s="179"/>
      <c r="DU366" s="179"/>
      <c r="DV366" s="179"/>
      <c r="DW366" s="179"/>
      <c r="DX366" s="179"/>
      <c r="DY366" s="179"/>
      <c r="DZ366" s="179"/>
      <c r="EA366" s="179"/>
      <c r="EB366" s="179"/>
      <c r="EC366" s="179"/>
      <c r="ED366" s="179"/>
      <c r="EE366" s="179"/>
      <c r="EF366" s="179"/>
      <c r="EG366" s="179"/>
      <c r="EH366" s="179"/>
      <c r="EI366" s="179"/>
      <c r="EJ366" s="179"/>
      <c r="EK366" s="179"/>
      <c r="EL366" s="179"/>
      <c r="EM366" s="179"/>
      <c r="EN366" s="179"/>
      <c r="EO366" s="179"/>
      <c r="EP366" s="179"/>
      <c r="EQ366" s="179"/>
      <c r="ER366" s="179"/>
      <c r="ES366" s="179"/>
      <c r="ET366" s="179"/>
      <c r="EU366" s="179"/>
      <c r="EV366" s="179"/>
      <c r="EW366" s="179"/>
      <c r="EX366" s="179"/>
      <c r="EY366" s="179"/>
      <c r="EZ366" s="179"/>
      <c r="FA366" s="179"/>
      <c r="FB366" s="179"/>
      <c r="FC366" s="179"/>
      <c r="FD366" s="179"/>
      <c r="FE366" s="179"/>
      <c r="FF366" s="179"/>
      <c r="FG366" s="179"/>
      <c r="FH366" s="179"/>
      <c r="FI366" s="179"/>
      <c r="FJ366" s="179"/>
      <c r="FK366" s="179"/>
      <c r="FL366" s="179"/>
      <c r="FM366" s="179"/>
      <c r="FN366" s="179"/>
      <c r="FO366" s="179"/>
      <c r="FP366" s="179"/>
      <c r="FQ366" s="179"/>
      <c r="FR366" s="179"/>
      <c r="FS366" s="179"/>
      <c r="FT366" s="179"/>
      <c r="FU366" s="179"/>
      <c r="FV366" s="179"/>
      <c r="FW366" s="179"/>
      <c r="FX366" s="179"/>
      <c r="FY366" s="179"/>
      <c r="FZ366" s="179"/>
      <c r="GA366" s="179"/>
      <c r="GB366" s="179"/>
      <c r="GC366" s="179"/>
      <c r="GD366" s="179"/>
      <c r="GE366" s="179"/>
      <c r="GF366" s="179"/>
      <c r="GG366" s="179"/>
      <c r="GH366" s="179"/>
      <c r="GI366" s="179"/>
      <c r="GJ366" s="179"/>
      <c r="GK366" s="179"/>
      <c r="GL366" s="179"/>
      <c r="GM366" s="179"/>
      <c r="GN366" s="179"/>
      <c r="GO366" s="179"/>
      <c r="GP366" s="179"/>
      <c r="GQ366" s="179"/>
      <c r="GR366" s="179"/>
      <c r="GS366" s="179"/>
      <c r="GT366" s="179"/>
      <c r="GU366" s="179"/>
      <c r="GV366" s="179"/>
      <c r="GW366" s="179"/>
      <c r="GX366" s="179"/>
      <c r="GY366" s="179"/>
      <c r="GZ366" s="179"/>
      <c r="HA366" s="179"/>
      <c r="HB366" s="179"/>
      <c r="HC366" s="179"/>
      <c r="HD366" s="179"/>
      <c r="HE366" s="179"/>
      <c r="HF366" s="179"/>
      <c r="HG366" s="179"/>
      <c r="HH366" s="179"/>
      <c r="HI366" s="179"/>
      <c r="HJ366" s="179"/>
      <c r="HK366" s="179"/>
      <c r="HL366" s="179"/>
      <c r="HM366" s="179"/>
      <c r="HN366" s="179"/>
      <c r="HO366" s="179"/>
      <c r="HP366" s="179"/>
      <c r="HQ366" s="179"/>
      <c r="HR366" s="179"/>
      <c r="HS366" s="179"/>
      <c r="HT366" s="179"/>
      <c r="HU366" s="179"/>
      <c r="HV366" s="179"/>
      <c r="HW366" s="179"/>
      <c r="HX366" s="179"/>
      <c r="HY366" s="179"/>
      <c r="HZ366" s="179"/>
      <c r="IA366" s="179"/>
    </row>
    <row r="367" spans="1:16" ht="11.25">
      <c r="A367" s="31" t="s">
        <v>58</v>
      </c>
      <c r="B367" s="6"/>
      <c r="C367" s="6"/>
      <c r="D367" s="6"/>
      <c r="E367" s="6"/>
      <c r="F367" s="6"/>
      <c r="G367" s="6"/>
      <c r="H367" s="6"/>
      <c r="I367" s="6"/>
      <c r="J367" s="6"/>
      <c r="K367" s="11"/>
      <c r="L367" s="3"/>
      <c r="M367" s="3"/>
      <c r="N367" s="6"/>
      <c r="O367" s="6"/>
      <c r="P367" s="6"/>
    </row>
    <row r="368" spans="1:16" ht="12" customHeight="1">
      <c r="A368" s="32" t="s">
        <v>63</v>
      </c>
      <c r="B368" s="8"/>
      <c r="C368" s="8"/>
      <c r="D368" s="7">
        <v>1385000</v>
      </c>
      <c r="E368" s="8"/>
      <c r="F368" s="7">
        <f>D368</f>
        <v>1385000</v>
      </c>
      <c r="G368" s="7">
        <f>935000+725000</f>
        <v>1660000</v>
      </c>
      <c r="H368" s="8"/>
      <c r="I368" s="8"/>
      <c r="J368" s="7">
        <f>G368</f>
        <v>1660000</v>
      </c>
      <c r="K368" s="11">
        <f>G368/D368*100</f>
        <v>119.85559566787003</v>
      </c>
      <c r="L368" s="9"/>
      <c r="M368" s="11"/>
      <c r="N368" s="7">
        <v>1990000</v>
      </c>
      <c r="O368" s="8"/>
      <c r="P368" s="7">
        <f>N368</f>
        <v>1990000</v>
      </c>
    </row>
    <row r="369" spans="1:16" ht="11.25">
      <c r="A369" s="31" t="s">
        <v>5</v>
      </c>
      <c r="B369" s="6"/>
      <c r="C369" s="6"/>
      <c r="D369" s="6"/>
      <c r="E369" s="6"/>
      <c r="F369" s="7"/>
      <c r="G369" s="6"/>
      <c r="H369" s="6"/>
      <c r="I369" s="6"/>
      <c r="J369" s="7"/>
      <c r="K369" s="11"/>
      <c r="L369" s="3"/>
      <c r="M369" s="3"/>
      <c r="N369" s="6"/>
      <c r="O369" s="6"/>
      <c r="P369" s="7"/>
    </row>
    <row r="370" spans="1:16" ht="22.5">
      <c r="A370" s="32" t="s">
        <v>204</v>
      </c>
      <c r="B370" s="8"/>
      <c r="C370" s="8"/>
      <c r="D370" s="10">
        <v>9</v>
      </c>
      <c r="E370" s="10"/>
      <c r="F370" s="10">
        <f>D370</f>
        <v>9</v>
      </c>
      <c r="G370" s="10">
        <v>9</v>
      </c>
      <c r="H370" s="10"/>
      <c r="I370" s="10"/>
      <c r="J370" s="10">
        <f>G370</f>
        <v>9</v>
      </c>
      <c r="K370" s="27">
        <f>G370/D370*100</f>
        <v>100</v>
      </c>
      <c r="L370" s="27"/>
      <c r="M370" s="27"/>
      <c r="N370" s="10">
        <v>9</v>
      </c>
      <c r="O370" s="10"/>
      <c r="P370" s="10">
        <f>N370</f>
        <v>9</v>
      </c>
    </row>
    <row r="371" spans="1:16" ht="11.25">
      <c r="A371" s="31" t="s">
        <v>7</v>
      </c>
      <c r="B371" s="6"/>
      <c r="C371" s="6"/>
      <c r="D371" s="6"/>
      <c r="E371" s="6"/>
      <c r="F371" s="7"/>
      <c r="G371" s="6"/>
      <c r="H371" s="6"/>
      <c r="I371" s="6"/>
      <c r="J371" s="7"/>
      <c r="K371" s="11"/>
      <c r="L371" s="3"/>
      <c r="M371" s="3"/>
      <c r="N371" s="6"/>
      <c r="O371" s="6"/>
      <c r="P371" s="7"/>
    </row>
    <row r="372" spans="1:16" ht="22.5">
      <c r="A372" s="32" t="s">
        <v>205</v>
      </c>
      <c r="B372" s="8"/>
      <c r="C372" s="8"/>
      <c r="D372" s="19">
        <f>D368/D370+0.11</f>
        <v>153888.99888888886</v>
      </c>
      <c r="E372" s="8"/>
      <c r="F372" s="7">
        <f>D372</f>
        <v>153888.99888888886</v>
      </c>
      <c r="G372" s="19">
        <v>134900</v>
      </c>
      <c r="H372" s="8"/>
      <c r="I372" s="8"/>
      <c r="J372" s="7">
        <f>G372</f>
        <v>134900</v>
      </c>
      <c r="K372" s="11">
        <f>G372/D372*100</f>
        <v>87.66058715958032</v>
      </c>
      <c r="L372" s="9"/>
      <c r="M372" s="26"/>
      <c r="N372" s="19">
        <v>146333</v>
      </c>
      <c r="O372" s="8"/>
      <c r="P372" s="7">
        <f>N372</f>
        <v>146333</v>
      </c>
    </row>
    <row r="373" spans="1:235" s="180" customFormat="1" ht="24" customHeight="1">
      <c r="A373" s="167" t="s">
        <v>354</v>
      </c>
      <c r="B373" s="176"/>
      <c r="C373" s="176"/>
      <c r="D373" s="187">
        <f>D377*D379-216</f>
        <v>99784</v>
      </c>
      <c r="E373" s="187"/>
      <c r="F373" s="187">
        <f>F377*F379-216</f>
        <v>99784</v>
      </c>
      <c r="G373" s="187">
        <f aca="true" t="shared" si="37" ref="G373:P373">G377*G379</f>
        <v>182699.99813</v>
      </c>
      <c r="H373" s="187"/>
      <c r="I373" s="187"/>
      <c r="J373" s="187">
        <f t="shared" si="37"/>
        <v>182699.99813</v>
      </c>
      <c r="K373" s="187" t="e">
        <f t="shared" si="37"/>
        <v>#REF!</v>
      </c>
      <c r="L373" s="187">
        <f t="shared" si="37"/>
        <v>0</v>
      </c>
      <c r="M373" s="187">
        <f t="shared" si="37"/>
        <v>0</v>
      </c>
      <c r="N373" s="187">
        <f t="shared" si="37"/>
        <v>100000</v>
      </c>
      <c r="O373" s="187"/>
      <c r="P373" s="187">
        <f t="shared" si="37"/>
        <v>100000</v>
      </c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79"/>
      <c r="AZ373" s="179"/>
      <c r="BA373" s="179"/>
      <c r="BB373" s="179"/>
      <c r="BC373" s="179"/>
      <c r="BD373" s="179"/>
      <c r="BE373" s="179"/>
      <c r="BF373" s="179"/>
      <c r="BG373" s="179"/>
      <c r="BH373" s="179"/>
      <c r="BI373" s="179"/>
      <c r="BJ373" s="179"/>
      <c r="BK373" s="179"/>
      <c r="BL373" s="179"/>
      <c r="BM373" s="179"/>
      <c r="BN373" s="179"/>
      <c r="BO373" s="179"/>
      <c r="BP373" s="179"/>
      <c r="BQ373" s="179"/>
      <c r="BR373" s="179"/>
      <c r="BS373" s="179"/>
      <c r="BT373" s="179"/>
      <c r="BU373" s="179"/>
      <c r="BV373" s="179"/>
      <c r="BW373" s="179"/>
      <c r="BX373" s="179"/>
      <c r="BY373" s="179"/>
      <c r="BZ373" s="179"/>
      <c r="CA373" s="179"/>
      <c r="CB373" s="179"/>
      <c r="CC373" s="179"/>
      <c r="CD373" s="179"/>
      <c r="CE373" s="179"/>
      <c r="CF373" s="179"/>
      <c r="CG373" s="179"/>
      <c r="CH373" s="179"/>
      <c r="CI373" s="179"/>
      <c r="CJ373" s="179"/>
      <c r="CK373" s="179"/>
      <c r="CL373" s="179"/>
      <c r="CM373" s="179"/>
      <c r="CN373" s="179"/>
      <c r="CO373" s="179"/>
      <c r="CP373" s="179"/>
      <c r="CQ373" s="179"/>
      <c r="CR373" s="179"/>
      <c r="CS373" s="179"/>
      <c r="CT373" s="179"/>
      <c r="CU373" s="179"/>
      <c r="CV373" s="179"/>
      <c r="CW373" s="179"/>
      <c r="CX373" s="179"/>
      <c r="CY373" s="179"/>
      <c r="CZ373" s="179"/>
      <c r="DA373" s="179"/>
      <c r="DB373" s="179"/>
      <c r="DC373" s="179"/>
      <c r="DD373" s="179"/>
      <c r="DE373" s="179"/>
      <c r="DF373" s="179"/>
      <c r="DG373" s="179"/>
      <c r="DH373" s="179"/>
      <c r="DI373" s="179"/>
      <c r="DJ373" s="179"/>
      <c r="DK373" s="179"/>
      <c r="DL373" s="179"/>
      <c r="DM373" s="179"/>
      <c r="DN373" s="179"/>
      <c r="DO373" s="179"/>
      <c r="DP373" s="179"/>
      <c r="DQ373" s="179"/>
      <c r="DR373" s="179"/>
      <c r="DS373" s="179"/>
      <c r="DT373" s="179"/>
      <c r="DU373" s="179"/>
      <c r="DV373" s="179"/>
      <c r="DW373" s="179"/>
      <c r="DX373" s="179"/>
      <c r="DY373" s="179"/>
      <c r="DZ373" s="179"/>
      <c r="EA373" s="179"/>
      <c r="EB373" s="179"/>
      <c r="EC373" s="179"/>
      <c r="ED373" s="179"/>
      <c r="EE373" s="179"/>
      <c r="EF373" s="179"/>
      <c r="EG373" s="179"/>
      <c r="EH373" s="179"/>
      <c r="EI373" s="179"/>
      <c r="EJ373" s="179"/>
      <c r="EK373" s="179"/>
      <c r="EL373" s="179"/>
      <c r="EM373" s="179"/>
      <c r="EN373" s="179"/>
      <c r="EO373" s="179"/>
      <c r="EP373" s="179"/>
      <c r="EQ373" s="179"/>
      <c r="ER373" s="179"/>
      <c r="ES373" s="179"/>
      <c r="ET373" s="179"/>
      <c r="EU373" s="179"/>
      <c r="EV373" s="179"/>
      <c r="EW373" s="179"/>
      <c r="EX373" s="179"/>
      <c r="EY373" s="179"/>
      <c r="EZ373" s="179"/>
      <c r="FA373" s="179"/>
      <c r="FB373" s="179"/>
      <c r="FC373" s="179"/>
      <c r="FD373" s="179"/>
      <c r="FE373" s="179"/>
      <c r="FF373" s="179"/>
      <c r="FG373" s="179"/>
      <c r="FH373" s="179"/>
      <c r="FI373" s="179"/>
      <c r="FJ373" s="179"/>
      <c r="FK373" s="179"/>
      <c r="FL373" s="179"/>
      <c r="FM373" s="179"/>
      <c r="FN373" s="179"/>
      <c r="FO373" s="179"/>
      <c r="FP373" s="179"/>
      <c r="FQ373" s="179"/>
      <c r="FR373" s="179"/>
      <c r="FS373" s="179"/>
      <c r="FT373" s="179"/>
      <c r="FU373" s="179"/>
      <c r="FV373" s="179"/>
      <c r="FW373" s="179"/>
      <c r="FX373" s="179"/>
      <c r="FY373" s="179"/>
      <c r="FZ373" s="179"/>
      <c r="GA373" s="179"/>
      <c r="GB373" s="179"/>
      <c r="GC373" s="179"/>
      <c r="GD373" s="179"/>
      <c r="GE373" s="179"/>
      <c r="GF373" s="179"/>
      <c r="GG373" s="179"/>
      <c r="GH373" s="179"/>
      <c r="GI373" s="179"/>
      <c r="GJ373" s="179"/>
      <c r="GK373" s="179"/>
      <c r="GL373" s="179"/>
      <c r="GM373" s="179"/>
      <c r="GN373" s="179"/>
      <c r="GO373" s="179"/>
      <c r="GP373" s="179"/>
      <c r="GQ373" s="179"/>
      <c r="GR373" s="179"/>
      <c r="GS373" s="179"/>
      <c r="GT373" s="179"/>
      <c r="GU373" s="179"/>
      <c r="GV373" s="179"/>
      <c r="GW373" s="179"/>
      <c r="GX373" s="179"/>
      <c r="GY373" s="179"/>
      <c r="GZ373" s="179"/>
      <c r="HA373" s="179"/>
      <c r="HB373" s="179"/>
      <c r="HC373" s="179"/>
      <c r="HD373" s="179"/>
      <c r="HE373" s="179"/>
      <c r="HF373" s="179"/>
      <c r="HG373" s="179"/>
      <c r="HH373" s="179"/>
      <c r="HI373" s="179"/>
      <c r="HJ373" s="179"/>
      <c r="HK373" s="179"/>
      <c r="HL373" s="179"/>
      <c r="HM373" s="179"/>
      <c r="HN373" s="179"/>
      <c r="HO373" s="179"/>
      <c r="HP373" s="179"/>
      <c r="HQ373" s="179"/>
      <c r="HR373" s="179"/>
      <c r="HS373" s="179"/>
      <c r="HT373" s="179"/>
      <c r="HU373" s="179"/>
      <c r="HV373" s="179"/>
      <c r="HW373" s="179"/>
      <c r="HX373" s="179"/>
      <c r="HY373" s="179"/>
      <c r="HZ373" s="179"/>
      <c r="IA373" s="179"/>
    </row>
    <row r="374" spans="1:16" ht="11.25">
      <c r="A374" s="31" t="s">
        <v>58</v>
      </c>
      <c r="B374" s="6"/>
      <c r="C374" s="6"/>
      <c r="D374" s="87"/>
      <c r="E374" s="87"/>
      <c r="F374" s="87"/>
      <c r="G374" s="6"/>
      <c r="H374" s="6"/>
      <c r="I374" s="6"/>
      <c r="J374" s="6"/>
      <c r="K374" s="11"/>
      <c r="L374" s="3"/>
      <c r="M374" s="3"/>
      <c r="N374" s="6"/>
      <c r="O374" s="6"/>
      <c r="P374" s="6"/>
    </row>
    <row r="375" spans="1:16" ht="23.25" customHeight="1">
      <c r="A375" s="32" t="s">
        <v>208</v>
      </c>
      <c r="B375" s="8"/>
      <c r="C375" s="8"/>
      <c r="D375" s="87">
        <v>1752</v>
      </c>
      <c r="E375" s="87"/>
      <c r="F375" s="87">
        <f>D375</f>
        <v>1752</v>
      </c>
      <c r="G375" s="87">
        <v>1752</v>
      </c>
      <c r="H375" s="87"/>
      <c r="I375" s="87"/>
      <c r="J375" s="87">
        <f>G375</f>
        <v>1752</v>
      </c>
      <c r="K375" s="11" t="e">
        <f>#REF!/G375*100</f>
        <v>#REF!</v>
      </c>
      <c r="L375" s="9"/>
      <c r="M375" s="11"/>
      <c r="N375" s="87">
        <v>1752</v>
      </c>
      <c r="O375" s="87"/>
      <c r="P375" s="87">
        <f>N375</f>
        <v>1752</v>
      </c>
    </row>
    <row r="376" spans="1:16" ht="11.25">
      <c r="A376" s="31" t="s">
        <v>5</v>
      </c>
      <c r="B376" s="6"/>
      <c r="C376" s="6"/>
      <c r="D376" s="87"/>
      <c r="E376" s="87"/>
      <c r="F376" s="87"/>
      <c r="G376" s="28"/>
      <c r="H376" s="28"/>
      <c r="I376" s="28"/>
      <c r="J376" s="10"/>
      <c r="K376" s="11"/>
      <c r="L376" s="3"/>
      <c r="M376" s="3"/>
      <c r="N376" s="6"/>
      <c r="O376" s="6"/>
      <c r="P376" s="7"/>
    </row>
    <row r="377" spans="1:16" ht="24" customHeight="1">
      <c r="A377" s="32" t="s">
        <v>206</v>
      </c>
      <c r="B377" s="8"/>
      <c r="C377" s="8"/>
      <c r="D377" s="87">
        <v>625</v>
      </c>
      <c r="E377" s="87"/>
      <c r="F377" s="87">
        <f>D377</f>
        <v>625</v>
      </c>
      <c r="G377" s="87">
        <v>751</v>
      </c>
      <c r="H377" s="87"/>
      <c r="I377" s="87"/>
      <c r="J377" s="87">
        <f>G377</f>
        <v>751</v>
      </c>
      <c r="K377" s="11" t="e">
        <f>#REF!/G377*100</f>
        <v>#REF!</v>
      </c>
      <c r="L377" s="9"/>
      <c r="M377" s="11"/>
      <c r="N377" s="87">
        <v>625</v>
      </c>
      <c r="O377" s="87"/>
      <c r="P377" s="87">
        <f>N377</f>
        <v>625</v>
      </c>
    </row>
    <row r="378" spans="1:16" ht="11.25">
      <c r="A378" s="31" t="s">
        <v>7</v>
      </c>
      <c r="B378" s="6"/>
      <c r="C378" s="6"/>
      <c r="D378" s="87"/>
      <c r="E378" s="87"/>
      <c r="F378" s="87"/>
      <c r="G378" s="87"/>
      <c r="H378" s="87"/>
      <c r="I378" s="87"/>
      <c r="J378" s="87"/>
      <c r="K378" s="11"/>
      <c r="L378" s="3"/>
      <c r="M378" s="3"/>
      <c r="N378" s="87"/>
      <c r="O378" s="87"/>
      <c r="P378" s="87"/>
    </row>
    <row r="379" spans="1:16" ht="24" customHeight="1">
      <c r="A379" s="32" t="s">
        <v>60</v>
      </c>
      <c r="B379" s="8"/>
      <c r="C379" s="8"/>
      <c r="D379" s="88">
        <v>160</v>
      </c>
      <c r="E379" s="88"/>
      <c r="F379" s="88">
        <f>D379</f>
        <v>160</v>
      </c>
      <c r="G379" s="88">
        <v>243.27563</v>
      </c>
      <c r="H379" s="88"/>
      <c r="I379" s="88"/>
      <c r="J379" s="88">
        <f>G379</f>
        <v>243.27563</v>
      </c>
      <c r="K379" s="11" t="e">
        <f>#REF!/G379*100</f>
        <v>#REF!</v>
      </c>
      <c r="L379" s="9"/>
      <c r="M379" s="26"/>
      <c r="N379" s="88">
        <v>160</v>
      </c>
      <c r="O379" s="88"/>
      <c r="P379" s="88">
        <f>N379</f>
        <v>160</v>
      </c>
    </row>
    <row r="380" spans="1:16" ht="11.25">
      <c r="A380" s="89" t="s">
        <v>6</v>
      </c>
      <c r="B380" s="84"/>
      <c r="C380" s="84"/>
      <c r="D380" s="87"/>
      <c r="E380" s="87"/>
      <c r="F380" s="87"/>
      <c r="G380" s="19"/>
      <c r="H380" s="8"/>
      <c r="I380" s="8"/>
      <c r="J380" s="7"/>
      <c r="K380" s="11"/>
      <c r="L380" s="9"/>
      <c r="M380" s="26"/>
      <c r="N380" s="19"/>
      <c r="O380" s="8"/>
      <c r="P380" s="7"/>
    </row>
    <row r="381" spans="1:16" ht="39" customHeight="1">
      <c r="A381" s="90" t="s">
        <v>207</v>
      </c>
      <c r="B381" s="84"/>
      <c r="C381" s="84"/>
      <c r="D381" s="86">
        <f>D377/D375*100</f>
        <v>35.67351598173516</v>
      </c>
      <c r="E381" s="86"/>
      <c r="F381" s="86">
        <f>D381</f>
        <v>35.67351598173516</v>
      </c>
      <c r="G381" s="86">
        <f>G377/G375*100</f>
        <v>42.86529680365297</v>
      </c>
      <c r="H381" s="86"/>
      <c r="I381" s="86"/>
      <c r="J381" s="86">
        <f>G381</f>
        <v>42.86529680365297</v>
      </c>
      <c r="K381" s="27"/>
      <c r="L381" s="27"/>
      <c r="M381" s="27"/>
      <c r="N381" s="86">
        <f>N377/N375*100</f>
        <v>35.67351598173516</v>
      </c>
      <c r="O381" s="86"/>
      <c r="P381" s="86">
        <f>N381</f>
        <v>35.67351598173516</v>
      </c>
    </row>
    <row r="382" spans="1:235" s="180" customFormat="1" ht="36.75" customHeight="1">
      <c r="A382" s="188" t="s">
        <v>355</v>
      </c>
      <c r="B382" s="188"/>
      <c r="C382" s="188"/>
      <c r="D382" s="189">
        <f>251250-191250</f>
        <v>60000</v>
      </c>
      <c r="E382" s="189"/>
      <c r="F382" s="189">
        <f>D382</f>
        <v>60000</v>
      </c>
      <c r="G382" s="189">
        <f>251250-131250</f>
        <v>120000</v>
      </c>
      <c r="H382" s="189"/>
      <c r="I382" s="189"/>
      <c r="J382" s="189">
        <f>G382+H382</f>
        <v>120000</v>
      </c>
      <c r="K382" s="189"/>
      <c r="L382" s="190"/>
      <c r="M382" s="190"/>
      <c r="N382" s="189">
        <v>120000</v>
      </c>
      <c r="O382" s="189"/>
      <c r="P382" s="189">
        <f>N382</f>
        <v>120000</v>
      </c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179"/>
      <c r="BN382" s="179"/>
      <c r="BO382" s="179"/>
      <c r="BP382" s="179"/>
      <c r="BQ382" s="179"/>
      <c r="BR382" s="179"/>
      <c r="BS382" s="179"/>
      <c r="BT382" s="179"/>
      <c r="BU382" s="179"/>
      <c r="BV382" s="179"/>
      <c r="BW382" s="179"/>
      <c r="BX382" s="179"/>
      <c r="BY382" s="179"/>
      <c r="BZ382" s="179"/>
      <c r="CA382" s="179"/>
      <c r="CB382" s="179"/>
      <c r="CC382" s="179"/>
      <c r="CD382" s="179"/>
      <c r="CE382" s="179"/>
      <c r="CF382" s="179"/>
      <c r="CG382" s="179"/>
      <c r="CH382" s="179"/>
      <c r="CI382" s="179"/>
      <c r="CJ382" s="179"/>
      <c r="CK382" s="179"/>
      <c r="CL382" s="179"/>
      <c r="CM382" s="179"/>
      <c r="CN382" s="179"/>
      <c r="CO382" s="179"/>
      <c r="CP382" s="179"/>
      <c r="CQ382" s="179"/>
      <c r="CR382" s="179"/>
      <c r="CS382" s="179"/>
      <c r="CT382" s="179"/>
      <c r="CU382" s="179"/>
      <c r="CV382" s="179"/>
      <c r="CW382" s="179"/>
      <c r="CX382" s="179"/>
      <c r="CY382" s="179"/>
      <c r="CZ382" s="179"/>
      <c r="DA382" s="179"/>
      <c r="DB382" s="179"/>
      <c r="DC382" s="179"/>
      <c r="DD382" s="179"/>
      <c r="DE382" s="179"/>
      <c r="DF382" s="179"/>
      <c r="DG382" s="179"/>
      <c r="DH382" s="179"/>
      <c r="DI382" s="179"/>
      <c r="DJ382" s="179"/>
      <c r="DK382" s="179"/>
      <c r="DL382" s="179"/>
      <c r="DM382" s="179"/>
      <c r="DN382" s="179"/>
      <c r="DO382" s="179"/>
      <c r="DP382" s="179"/>
      <c r="DQ382" s="179"/>
      <c r="DR382" s="179"/>
      <c r="DS382" s="179"/>
      <c r="DT382" s="179"/>
      <c r="DU382" s="179"/>
      <c r="DV382" s="179"/>
      <c r="DW382" s="179"/>
      <c r="DX382" s="179"/>
      <c r="DY382" s="179"/>
      <c r="DZ382" s="179"/>
      <c r="EA382" s="179"/>
      <c r="EB382" s="179"/>
      <c r="EC382" s="179"/>
      <c r="ED382" s="179"/>
      <c r="EE382" s="179"/>
      <c r="EF382" s="179"/>
      <c r="EG382" s="179"/>
      <c r="EH382" s="179"/>
      <c r="EI382" s="179"/>
      <c r="EJ382" s="179"/>
      <c r="EK382" s="179"/>
      <c r="EL382" s="179"/>
      <c r="EM382" s="179"/>
      <c r="EN382" s="179"/>
      <c r="EO382" s="179"/>
      <c r="EP382" s="179"/>
      <c r="EQ382" s="179"/>
      <c r="ER382" s="179"/>
      <c r="ES382" s="179"/>
      <c r="ET382" s="179"/>
      <c r="EU382" s="179"/>
      <c r="EV382" s="179"/>
      <c r="EW382" s="179"/>
      <c r="EX382" s="179"/>
      <c r="EY382" s="179"/>
      <c r="EZ382" s="179"/>
      <c r="FA382" s="179"/>
      <c r="FB382" s="179"/>
      <c r="FC382" s="179"/>
      <c r="FD382" s="179"/>
      <c r="FE382" s="179"/>
      <c r="FF382" s="179"/>
      <c r="FG382" s="179"/>
      <c r="FH382" s="179"/>
      <c r="FI382" s="179"/>
      <c r="FJ382" s="179"/>
      <c r="FK382" s="179"/>
      <c r="FL382" s="179"/>
      <c r="FM382" s="179"/>
      <c r="FN382" s="179"/>
      <c r="FO382" s="179"/>
      <c r="FP382" s="179"/>
      <c r="FQ382" s="179"/>
      <c r="FR382" s="179"/>
      <c r="FS382" s="179"/>
      <c r="FT382" s="179"/>
      <c r="FU382" s="179"/>
      <c r="FV382" s="179"/>
      <c r="FW382" s="179"/>
      <c r="FX382" s="179"/>
      <c r="FY382" s="179"/>
      <c r="FZ382" s="179"/>
      <c r="GA382" s="179"/>
      <c r="GB382" s="179"/>
      <c r="GC382" s="179"/>
      <c r="GD382" s="179"/>
      <c r="GE382" s="179"/>
      <c r="GF382" s="179"/>
      <c r="GG382" s="179"/>
      <c r="GH382" s="179"/>
      <c r="GI382" s="179"/>
      <c r="GJ382" s="179"/>
      <c r="GK382" s="179"/>
      <c r="GL382" s="179"/>
      <c r="GM382" s="179"/>
      <c r="GN382" s="179"/>
      <c r="GO382" s="179"/>
      <c r="GP382" s="179"/>
      <c r="GQ382" s="179"/>
      <c r="GR382" s="179"/>
      <c r="GS382" s="179"/>
      <c r="GT382" s="179"/>
      <c r="GU382" s="179"/>
      <c r="GV382" s="179"/>
      <c r="GW382" s="179"/>
      <c r="GX382" s="179"/>
      <c r="GY382" s="179"/>
      <c r="GZ382" s="179"/>
      <c r="HA382" s="179"/>
      <c r="HB382" s="179"/>
      <c r="HC382" s="179"/>
      <c r="HD382" s="179"/>
      <c r="HE382" s="179"/>
      <c r="HF382" s="179"/>
      <c r="HG382" s="179"/>
      <c r="HH382" s="179"/>
      <c r="HI382" s="179"/>
      <c r="HJ382" s="179"/>
      <c r="HK382" s="179"/>
      <c r="HL382" s="179"/>
      <c r="HM382" s="179"/>
      <c r="HN382" s="179"/>
      <c r="HO382" s="179"/>
      <c r="HP382" s="179"/>
      <c r="HQ382" s="179"/>
      <c r="HR382" s="179"/>
      <c r="HS382" s="179"/>
      <c r="HT382" s="179"/>
      <c r="HU382" s="179"/>
      <c r="HV382" s="179"/>
      <c r="HW382" s="179"/>
      <c r="HX382" s="179"/>
      <c r="HY382" s="179"/>
      <c r="HZ382" s="179"/>
      <c r="IA382" s="179"/>
    </row>
    <row r="383" spans="1:16" ht="11.25">
      <c r="A383" s="73" t="s">
        <v>4</v>
      </c>
      <c r="B383" s="49"/>
      <c r="C383" s="49"/>
      <c r="D383" s="50"/>
      <c r="E383" s="50"/>
      <c r="F383" s="50"/>
      <c r="G383" s="50"/>
      <c r="H383" s="50"/>
      <c r="I383" s="50"/>
      <c r="J383" s="50"/>
      <c r="K383" s="47"/>
      <c r="L383" s="50"/>
      <c r="M383" s="50"/>
      <c r="N383" s="50"/>
      <c r="O383" s="50"/>
      <c r="P383" s="50"/>
    </row>
    <row r="384" spans="1:16" ht="15" customHeight="1">
      <c r="A384" s="74" t="s">
        <v>65</v>
      </c>
      <c r="B384" s="52"/>
      <c r="C384" s="52"/>
      <c r="D384" s="53">
        <f>D382/D388</f>
        <v>3.582089552238806</v>
      </c>
      <c r="E384" s="53"/>
      <c r="F384" s="53">
        <f>D384</f>
        <v>3.582089552238806</v>
      </c>
      <c r="G384" s="53">
        <f>G382/G388</f>
        <v>7.164179104477612</v>
      </c>
      <c r="H384" s="53"/>
      <c r="I384" s="53"/>
      <c r="J384" s="53">
        <f>G384+H384</f>
        <v>7.164179104477612</v>
      </c>
      <c r="K384" s="53">
        <f>G384/D384*100</f>
        <v>200</v>
      </c>
      <c r="L384" s="53"/>
      <c r="M384" s="53"/>
      <c r="N384" s="53">
        <v>7</v>
      </c>
      <c r="O384" s="53"/>
      <c r="P384" s="53">
        <f>N384</f>
        <v>7</v>
      </c>
    </row>
    <row r="385" spans="1:16" ht="11.25">
      <c r="A385" s="73" t="s">
        <v>5</v>
      </c>
      <c r="B385" s="49"/>
      <c r="C385" s="49"/>
      <c r="D385" s="54"/>
      <c r="E385" s="54"/>
      <c r="F385" s="53"/>
      <c r="G385" s="54"/>
      <c r="H385" s="54"/>
      <c r="I385" s="54"/>
      <c r="J385" s="53"/>
      <c r="K385" s="53"/>
      <c r="L385" s="54"/>
      <c r="M385" s="54"/>
      <c r="N385" s="54"/>
      <c r="O385" s="54"/>
      <c r="P385" s="53"/>
    </row>
    <row r="386" spans="1:16" ht="24" customHeight="1">
      <c r="A386" s="74" t="s">
        <v>66</v>
      </c>
      <c r="B386" s="52"/>
      <c r="C386" s="52"/>
      <c r="D386" s="53">
        <v>4</v>
      </c>
      <c r="E386" s="53"/>
      <c r="F386" s="53">
        <f>D386</f>
        <v>4</v>
      </c>
      <c r="G386" s="53">
        <v>7</v>
      </c>
      <c r="H386" s="53"/>
      <c r="I386" s="53"/>
      <c r="J386" s="53">
        <f>G386+H386</f>
        <v>7</v>
      </c>
      <c r="K386" s="53">
        <f>G386/D386*100</f>
        <v>175</v>
      </c>
      <c r="L386" s="53"/>
      <c r="M386" s="53"/>
      <c r="N386" s="53">
        <v>7</v>
      </c>
      <c r="O386" s="53"/>
      <c r="P386" s="53">
        <f>N386</f>
        <v>7</v>
      </c>
    </row>
    <row r="387" spans="1:16" ht="11.25">
      <c r="A387" s="73" t="s">
        <v>7</v>
      </c>
      <c r="B387" s="49"/>
      <c r="C387" s="49"/>
      <c r="D387" s="50"/>
      <c r="E387" s="50"/>
      <c r="F387" s="47"/>
      <c r="G387" s="50"/>
      <c r="H387" s="50"/>
      <c r="I387" s="50"/>
      <c r="J387" s="47"/>
      <c r="K387" s="47"/>
      <c r="L387" s="50"/>
      <c r="M387" s="50"/>
      <c r="N387" s="50"/>
      <c r="O387" s="50"/>
      <c r="P387" s="47"/>
    </row>
    <row r="388" spans="1:16" ht="24" customHeight="1">
      <c r="A388" s="74" t="s">
        <v>67</v>
      </c>
      <c r="B388" s="52"/>
      <c r="C388" s="52"/>
      <c r="D388" s="55">
        <v>16750</v>
      </c>
      <c r="E388" s="56"/>
      <c r="F388" s="47">
        <f>D388</f>
        <v>16750</v>
      </c>
      <c r="G388" s="55">
        <v>16750</v>
      </c>
      <c r="H388" s="56"/>
      <c r="I388" s="56"/>
      <c r="J388" s="47">
        <f>G388</f>
        <v>16750</v>
      </c>
      <c r="K388" s="47">
        <f>G388/D388*100</f>
        <v>100</v>
      </c>
      <c r="L388" s="56"/>
      <c r="M388" s="55"/>
      <c r="N388" s="55">
        <v>16750</v>
      </c>
      <c r="O388" s="56"/>
      <c r="P388" s="47">
        <f>N388</f>
        <v>16750</v>
      </c>
    </row>
    <row r="389" spans="1:235" s="180" customFormat="1" ht="33.75">
      <c r="A389" s="188" t="s">
        <v>356</v>
      </c>
      <c r="B389" s="188"/>
      <c r="C389" s="188"/>
      <c r="D389" s="191">
        <f>(D393*D398)+(D394*D399)+2.8</f>
        <v>293680</v>
      </c>
      <c r="E389" s="191"/>
      <c r="F389" s="191">
        <f>D389</f>
        <v>293680</v>
      </c>
      <c r="G389" s="191">
        <v>100000</v>
      </c>
      <c r="H389" s="191">
        <v>400000</v>
      </c>
      <c r="I389" s="191"/>
      <c r="J389" s="191">
        <f>G389+H389</f>
        <v>500000</v>
      </c>
      <c r="K389" s="191"/>
      <c r="L389" s="192"/>
      <c r="M389" s="192"/>
      <c r="N389" s="191">
        <f>(N393*N398)+(N394*N399)+2.8</f>
        <v>293680</v>
      </c>
      <c r="O389" s="191"/>
      <c r="P389" s="191">
        <f>N389</f>
        <v>293680</v>
      </c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79"/>
      <c r="AT389" s="179"/>
      <c r="AU389" s="179"/>
      <c r="AV389" s="179"/>
      <c r="AW389" s="179"/>
      <c r="AX389" s="179"/>
      <c r="AY389" s="179"/>
      <c r="AZ389" s="179"/>
      <c r="BA389" s="179"/>
      <c r="BB389" s="179"/>
      <c r="BC389" s="179"/>
      <c r="BD389" s="179"/>
      <c r="BE389" s="179"/>
      <c r="BF389" s="179"/>
      <c r="BG389" s="179"/>
      <c r="BH389" s="179"/>
      <c r="BI389" s="179"/>
      <c r="BJ389" s="179"/>
      <c r="BK389" s="179"/>
      <c r="BL389" s="179"/>
      <c r="BM389" s="179"/>
      <c r="BN389" s="179"/>
      <c r="BO389" s="179"/>
      <c r="BP389" s="179"/>
      <c r="BQ389" s="179"/>
      <c r="BR389" s="179"/>
      <c r="BS389" s="179"/>
      <c r="BT389" s="179"/>
      <c r="BU389" s="179"/>
      <c r="BV389" s="179"/>
      <c r="BW389" s="179"/>
      <c r="BX389" s="179"/>
      <c r="BY389" s="179"/>
      <c r="BZ389" s="179"/>
      <c r="CA389" s="179"/>
      <c r="CB389" s="179"/>
      <c r="CC389" s="179"/>
      <c r="CD389" s="179"/>
      <c r="CE389" s="179"/>
      <c r="CF389" s="179"/>
      <c r="CG389" s="179"/>
      <c r="CH389" s="179"/>
      <c r="CI389" s="179"/>
      <c r="CJ389" s="179"/>
      <c r="CK389" s="179"/>
      <c r="CL389" s="179"/>
      <c r="CM389" s="179"/>
      <c r="CN389" s="179"/>
      <c r="CO389" s="179"/>
      <c r="CP389" s="179"/>
      <c r="CQ389" s="179"/>
      <c r="CR389" s="179"/>
      <c r="CS389" s="179"/>
      <c r="CT389" s="179"/>
      <c r="CU389" s="179"/>
      <c r="CV389" s="179"/>
      <c r="CW389" s="179"/>
      <c r="CX389" s="179"/>
      <c r="CY389" s="179"/>
      <c r="CZ389" s="179"/>
      <c r="DA389" s="179"/>
      <c r="DB389" s="179"/>
      <c r="DC389" s="179"/>
      <c r="DD389" s="179"/>
      <c r="DE389" s="179"/>
      <c r="DF389" s="179"/>
      <c r="DG389" s="179"/>
      <c r="DH389" s="179"/>
      <c r="DI389" s="179"/>
      <c r="DJ389" s="179"/>
      <c r="DK389" s="179"/>
      <c r="DL389" s="179"/>
      <c r="DM389" s="179"/>
      <c r="DN389" s="179"/>
      <c r="DO389" s="179"/>
      <c r="DP389" s="179"/>
      <c r="DQ389" s="179"/>
      <c r="DR389" s="179"/>
      <c r="DS389" s="179"/>
      <c r="DT389" s="179"/>
      <c r="DU389" s="179"/>
      <c r="DV389" s="179"/>
      <c r="DW389" s="179"/>
      <c r="DX389" s="179"/>
      <c r="DY389" s="179"/>
      <c r="DZ389" s="179"/>
      <c r="EA389" s="179"/>
      <c r="EB389" s="179"/>
      <c r="EC389" s="179"/>
      <c r="ED389" s="179"/>
      <c r="EE389" s="179"/>
      <c r="EF389" s="179"/>
      <c r="EG389" s="179"/>
      <c r="EH389" s="179"/>
      <c r="EI389" s="179"/>
      <c r="EJ389" s="179"/>
      <c r="EK389" s="179"/>
      <c r="EL389" s="179"/>
      <c r="EM389" s="179"/>
      <c r="EN389" s="179"/>
      <c r="EO389" s="179"/>
      <c r="EP389" s="179"/>
      <c r="EQ389" s="179"/>
      <c r="ER389" s="179"/>
      <c r="ES389" s="179"/>
      <c r="ET389" s="179"/>
      <c r="EU389" s="179"/>
      <c r="EV389" s="179"/>
      <c r="EW389" s="179"/>
      <c r="EX389" s="179"/>
      <c r="EY389" s="179"/>
      <c r="EZ389" s="179"/>
      <c r="FA389" s="179"/>
      <c r="FB389" s="179"/>
      <c r="FC389" s="179"/>
      <c r="FD389" s="179"/>
      <c r="FE389" s="179"/>
      <c r="FF389" s="179"/>
      <c r="FG389" s="179"/>
      <c r="FH389" s="179"/>
      <c r="FI389" s="179"/>
      <c r="FJ389" s="179"/>
      <c r="FK389" s="179"/>
      <c r="FL389" s="179"/>
      <c r="FM389" s="179"/>
      <c r="FN389" s="179"/>
      <c r="FO389" s="179"/>
      <c r="FP389" s="179"/>
      <c r="FQ389" s="179"/>
      <c r="FR389" s="179"/>
      <c r="FS389" s="179"/>
      <c r="FT389" s="179"/>
      <c r="FU389" s="179"/>
      <c r="FV389" s="179"/>
      <c r="FW389" s="179"/>
      <c r="FX389" s="179"/>
      <c r="FY389" s="179"/>
      <c r="FZ389" s="179"/>
      <c r="GA389" s="179"/>
      <c r="GB389" s="179"/>
      <c r="GC389" s="179"/>
      <c r="GD389" s="179"/>
      <c r="GE389" s="179"/>
      <c r="GF389" s="179"/>
      <c r="GG389" s="179"/>
      <c r="GH389" s="179"/>
      <c r="GI389" s="179"/>
      <c r="GJ389" s="179"/>
      <c r="GK389" s="179"/>
      <c r="GL389" s="179"/>
      <c r="GM389" s="179"/>
      <c r="GN389" s="179"/>
      <c r="GO389" s="179"/>
      <c r="GP389" s="179"/>
      <c r="GQ389" s="179"/>
      <c r="GR389" s="179"/>
      <c r="GS389" s="179"/>
      <c r="GT389" s="179"/>
      <c r="GU389" s="179"/>
      <c r="GV389" s="179"/>
      <c r="GW389" s="179"/>
      <c r="GX389" s="179"/>
      <c r="GY389" s="179"/>
      <c r="GZ389" s="179"/>
      <c r="HA389" s="179"/>
      <c r="HB389" s="179"/>
      <c r="HC389" s="179"/>
      <c r="HD389" s="179"/>
      <c r="HE389" s="179"/>
      <c r="HF389" s="179"/>
      <c r="HG389" s="179"/>
      <c r="HH389" s="179"/>
      <c r="HI389" s="179"/>
      <c r="HJ389" s="179"/>
      <c r="HK389" s="179"/>
      <c r="HL389" s="179"/>
      <c r="HM389" s="179"/>
      <c r="HN389" s="179"/>
      <c r="HO389" s="179"/>
      <c r="HP389" s="179"/>
      <c r="HQ389" s="179"/>
      <c r="HR389" s="179"/>
      <c r="HS389" s="179"/>
      <c r="HT389" s="179"/>
      <c r="HU389" s="179"/>
      <c r="HV389" s="179"/>
      <c r="HW389" s="179"/>
      <c r="HX389" s="179"/>
      <c r="HY389" s="179"/>
      <c r="HZ389" s="179"/>
      <c r="IA389" s="179"/>
    </row>
    <row r="390" spans="1:16" ht="11.25">
      <c r="A390" s="73" t="s">
        <v>5</v>
      </c>
      <c r="B390" s="49"/>
      <c r="C390" s="49"/>
      <c r="D390" s="50"/>
      <c r="E390" s="50"/>
      <c r="F390" s="47"/>
      <c r="G390" s="50"/>
      <c r="H390" s="50"/>
      <c r="I390" s="50"/>
      <c r="J390" s="47"/>
      <c r="K390" s="57"/>
      <c r="L390" s="58"/>
      <c r="M390" s="58"/>
      <c r="N390" s="50"/>
      <c r="O390" s="50"/>
      <c r="P390" s="47"/>
    </row>
    <row r="391" spans="1:16" ht="24" customHeight="1">
      <c r="A391" s="74" t="s">
        <v>209</v>
      </c>
      <c r="B391" s="52"/>
      <c r="C391" s="52"/>
      <c r="D391" s="155"/>
      <c r="E391" s="155"/>
      <c r="F391" s="155">
        <v>230</v>
      </c>
      <c r="G391" s="155"/>
      <c r="H391" s="155"/>
      <c r="I391" s="155"/>
      <c r="J391" s="155">
        <v>230</v>
      </c>
      <c r="K391" s="155" t="e">
        <f>G391/D391*100</f>
        <v>#DIV/0!</v>
      </c>
      <c r="L391" s="155"/>
      <c r="M391" s="155"/>
      <c r="N391" s="155"/>
      <c r="O391" s="155"/>
      <c r="P391" s="155">
        <v>230</v>
      </c>
    </row>
    <row r="392" spans="1:16" ht="13.5" customHeight="1">
      <c r="A392" s="74" t="s">
        <v>68</v>
      </c>
      <c r="B392" s="52"/>
      <c r="C392" s="52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</row>
    <row r="393" spans="1:16" ht="23.25" customHeight="1">
      <c r="A393" s="74" t="s">
        <v>210</v>
      </c>
      <c r="B393" s="52"/>
      <c r="C393" s="52"/>
      <c r="D393" s="155">
        <v>180</v>
      </c>
      <c r="E393" s="155"/>
      <c r="F393" s="155">
        <f>D393</f>
        <v>180</v>
      </c>
      <c r="G393" s="155">
        <f>180-130</f>
        <v>50</v>
      </c>
      <c r="H393" s="155">
        <v>130</v>
      </c>
      <c r="I393" s="155"/>
      <c r="J393" s="155">
        <f>G393+H393</f>
        <v>180</v>
      </c>
      <c r="K393" s="155"/>
      <c r="L393" s="155"/>
      <c r="M393" s="155"/>
      <c r="N393" s="155">
        <v>180</v>
      </c>
      <c r="O393" s="155"/>
      <c r="P393" s="155">
        <f>N393</f>
        <v>180</v>
      </c>
    </row>
    <row r="394" spans="1:16" ht="27" customHeight="1">
      <c r="A394" s="74" t="s">
        <v>211</v>
      </c>
      <c r="B394" s="52"/>
      <c r="C394" s="52"/>
      <c r="D394" s="155">
        <v>540</v>
      </c>
      <c r="E394" s="155"/>
      <c r="F394" s="155">
        <f>D394</f>
        <v>540</v>
      </c>
      <c r="G394" s="155">
        <v>140</v>
      </c>
      <c r="H394" s="155">
        <v>400</v>
      </c>
      <c r="I394" s="155"/>
      <c r="J394" s="155">
        <f>G394+H394</f>
        <v>540</v>
      </c>
      <c r="K394" s="155"/>
      <c r="L394" s="155"/>
      <c r="M394" s="155"/>
      <c r="N394" s="155">
        <v>540</v>
      </c>
      <c r="O394" s="155"/>
      <c r="P394" s="155">
        <f>N394</f>
        <v>540</v>
      </c>
    </row>
    <row r="395" spans="1:16" ht="11.25">
      <c r="A395" s="73" t="s">
        <v>7</v>
      </c>
      <c r="B395" s="49"/>
      <c r="C395" s="49"/>
      <c r="D395" s="45"/>
      <c r="E395" s="45"/>
      <c r="F395" s="46"/>
      <c r="G395" s="45"/>
      <c r="H395" s="45"/>
      <c r="I395" s="45"/>
      <c r="J395" s="46"/>
      <c r="K395" s="59"/>
      <c r="L395" s="60"/>
      <c r="M395" s="60"/>
      <c r="N395" s="45"/>
      <c r="O395" s="45"/>
      <c r="P395" s="46"/>
    </row>
    <row r="396" spans="1:16" ht="48" customHeight="1">
      <c r="A396" s="74" t="s">
        <v>212</v>
      </c>
      <c r="B396" s="52"/>
      <c r="C396" s="52"/>
      <c r="D396" s="61"/>
      <c r="E396" s="62"/>
      <c r="F396" s="46">
        <f>D396</f>
        <v>0</v>
      </c>
      <c r="G396" s="61"/>
      <c r="H396" s="62"/>
      <c r="I396" s="62"/>
      <c r="J396" s="46">
        <f>G396</f>
        <v>0</v>
      </c>
      <c r="K396" s="59" t="e">
        <f>G396/D396*100</f>
        <v>#DIV/0!</v>
      </c>
      <c r="L396" s="63"/>
      <c r="M396" s="64"/>
      <c r="N396" s="61"/>
      <c r="O396" s="62"/>
      <c r="P396" s="46">
        <f>N396</f>
        <v>0</v>
      </c>
    </row>
    <row r="397" spans="1:16" ht="11.25">
      <c r="A397" s="74" t="s">
        <v>68</v>
      </c>
      <c r="B397" s="52"/>
      <c r="C397" s="52"/>
      <c r="D397" s="55"/>
      <c r="E397" s="56"/>
      <c r="F397" s="47"/>
      <c r="G397" s="55"/>
      <c r="H397" s="56"/>
      <c r="I397" s="56"/>
      <c r="J397" s="47"/>
      <c r="K397" s="57"/>
      <c r="L397" s="65"/>
      <c r="M397" s="66"/>
      <c r="N397" s="55"/>
      <c r="O397" s="56"/>
      <c r="P397" s="47"/>
    </row>
    <row r="398" spans="1:16" ht="23.25" customHeight="1">
      <c r="A398" s="74" t="s">
        <v>210</v>
      </c>
      <c r="B398" s="52"/>
      <c r="C398" s="52"/>
      <c r="D398" s="61">
        <v>122.96</v>
      </c>
      <c r="E398" s="62"/>
      <c r="F398" s="46">
        <f>D398</f>
        <v>122.96</v>
      </c>
      <c r="G398" s="61">
        <v>122.96</v>
      </c>
      <c r="H398" s="62">
        <v>122.96</v>
      </c>
      <c r="I398" s="62"/>
      <c r="J398" s="46">
        <f>G398</f>
        <v>122.96</v>
      </c>
      <c r="K398" s="57"/>
      <c r="L398" s="65"/>
      <c r="M398" s="66"/>
      <c r="N398" s="61">
        <v>122.96</v>
      </c>
      <c r="O398" s="62"/>
      <c r="P398" s="46">
        <f>N398</f>
        <v>122.96</v>
      </c>
    </row>
    <row r="399" spans="1:16" ht="24" customHeight="1">
      <c r="A399" s="74" t="s">
        <v>211</v>
      </c>
      <c r="B399" s="52"/>
      <c r="C399" s="52"/>
      <c r="D399" s="61">
        <v>502.86</v>
      </c>
      <c r="E399" s="62"/>
      <c r="F399" s="46">
        <f>D399</f>
        <v>502.86</v>
      </c>
      <c r="G399" s="61">
        <v>502.86</v>
      </c>
      <c r="H399" s="62">
        <v>502.86</v>
      </c>
      <c r="I399" s="62"/>
      <c r="J399" s="46">
        <f>G399</f>
        <v>502.86</v>
      </c>
      <c r="K399" s="57"/>
      <c r="L399" s="65"/>
      <c r="M399" s="66"/>
      <c r="N399" s="61">
        <v>502.86</v>
      </c>
      <c r="O399" s="62"/>
      <c r="P399" s="46">
        <f>N399</f>
        <v>502.86</v>
      </c>
    </row>
    <row r="400" spans="1:235" s="180" customFormat="1" ht="24" customHeight="1">
      <c r="A400" s="188" t="s">
        <v>357</v>
      </c>
      <c r="B400" s="188"/>
      <c r="C400" s="188"/>
      <c r="D400" s="191">
        <f>(D402*D404)+0.02</f>
        <v>51000.002</v>
      </c>
      <c r="E400" s="191"/>
      <c r="F400" s="191">
        <f>D400</f>
        <v>51000.002</v>
      </c>
      <c r="G400" s="191">
        <v>75000</v>
      </c>
      <c r="H400" s="191"/>
      <c r="I400" s="191"/>
      <c r="J400" s="191">
        <f>G400</f>
        <v>75000</v>
      </c>
      <c r="K400" s="191"/>
      <c r="L400" s="192"/>
      <c r="M400" s="192"/>
      <c r="N400" s="191"/>
      <c r="O400" s="191"/>
      <c r="P400" s="191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  <c r="AA400" s="179"/>
      <c r="AB400" s="179"/>
      <c r="AC400" s="179"/>
      <c r="AD400" s="179"/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  <c r="AP400" s="179"/>
      <c r="AQ400" s="179"/>
      <c r="AR400" s="179"/>
      <c r="AS400" s="179"/>
      <c r="AT400" s="179"/>
      <c r="AU400" s="179"/>
      <c r="AV400" s="179"/>
      <c r="AW400" s="179"/>
      <c r="AX400" s="179"/>
      <c r="AY400" s="179"/>
      <c r="AZ400" s="179"/>
      <c r="BA400" s="179"/>
      <c r="BB400" s="179"/>
      <c r="BC400" s="179"/>
      <c r="BD400" s="179"/>
      <c r="BE400" s="179"/>
      <c r="BF400" s="179"/>
      <c r="BG400" s="179"/>
      <c r="BH400" s="179"/>
      <c r="BI400" s="179"/>
      <c r="BJ400" s="179"/>
      <c r="BK400" s="179"/>
      <c r="BL400" s="179"/>
      <c r="BM400" s="179"/>
      <c r="BN400" s="179"/>
      <c r="BO400" s="179"/>
      <c r="BP400" s="179"/>
      <c r="BQ400" s="179"/>
      <c r="BR400" s="179"/>
      <c r="BS400" s="179"/>
      <c r="BT400" s="179"/>
      <c r="BU400" s="179"/>
      <c r="BV400" s="179"/>
      <c r="BW400" s="179"/>
      <c r="BX400" s="179"/>
      <c r="BY400" s="179"/>
      <c r="BZ400" s="179"/>
      <c r="CA400" s="179"/>
      <c r="CB400" s="179"/>
      <c r="CC400" s="179"/>
      <c r="CD400" s="179"/>
      <c r="CE400" s="179"/>
      <c r="CF400" s="179"/>
      <c r="CG400" s="179"/>
      <c r="CH400" s="179"/>
      <c r="CI400" s="179"/>
      <c r="CJ400" s="179"/>
      <c r="CK400" s="179"/>
      <c r="CL400" s="179"/>
      <c r="CM400" s="179"/>
      <c r="CN400" s="179"/>
      <c r="CO400" s="179"/>
      <c r="CP400" s="179"/>
      <c r="CQ400" s="179"/>
      <c r="CR400" s="179"/>
      <c r="CS400" s="179"/>
      <c r="CT400" s="179"/>
      <c r="CU400" s="179"/>
      <c r="CV400" s="179"/>
      <c r="CW400" s="179"/>
      <c r="CX400" s="179"/>
      <c r="CY400" s="179"/>
      <c r="CZ400" s="179"/>
      <c r="DA400" s="179"/>
      <c r="DB400" s="179"/>
      <c r="DC400" s="179"/>
      <c r="DD400" s="179"/>
      <c r="DE400" s="179"/>
      <c r="DF400" s="179"/>
      <c r="DG400" s="179"/>
      <c r="DH400" s="179"/>
      <c r="DI400" s="179"/>
      <c r="DJ400" s="179"/>
      <c r="DK400" s="179"/>
      <c r="DL400" s="179"/>
      <c r="DM400" s="179"/>
      <c r="DN400" s="179"/>
      <c r="DO400" s="179"/>
      <c r="DP400" s="179"/>
      <c r="DQ400" s="179"/>
      <c r="DR400" s="179"/>
      <c r="DS400" s="179"/>
      <c r="DT400" s="179"/>
      <c r="DU400" s="179"/>
      <c r="DV400" s="179"/>
      <c r="DW400" s="179"/>
      <c r="DX400" s="179"/>
      <c r="DY400" s="179"/>
      <c r="DZ400" s="179"/>
      <c r="EA400" s="179"/>
      <c r="EB400" s="179"/>
      <c r="EC400" s="179"/>
      <c r="ED400" s="179"/>
      <c r="EE400" s="179"/>
      <c r="EF400" s="179"/>
      <c r="EG400" s="179"/>
      <c r="EH400" s="179"/>
      <c r="EI400" s="179"/>
      <c r="EJ400" s="179"/>
      <c r="EK400" s="179"/>
      <c r="EL400" s="179"/>
      <c r="EM400" s="179"/>
      <c r="EN400" s="179"/>
      <c r="EO400" s="179"/>
      <c r="EP400" s="179"/>
      <c r="EQ400" s="179"/>
      <c r="ER400" s="179"/>
      <c r="ES400" s="179"/>
      <c r="ET400" s="179"/>
      <c r="EU400" s="179"/>
      <c r="EV400" s="179"/>
      <c r="EW400" s="179"/>
      <c r="EX400" s="179"/>
      <c r="EY400" s="179"/>
      <c r="EZ400" s="179"/>
      <c r="FA400" s="179"/>
      <c r="FB400" s="179"/>
      <c r="FC400" s="179"/>
      <c r="FD400" s="179"/>
      <c r="FE400" s="179"/>
      <c r="FF400" s="179"/>
      <c r="FG400" s="179"/>
      <c r="FH400" s="179"/>
      <c r="FI400" s="179"/>
      <c r="FJ400" s="179"/>
      <c r="FK400" s="179"/>
      <c r="FL400" s="179"/>
      <c r="FM400" s="179"/>
      <c r="FN400" s="179"/>
      <c r="FO400" s="179"/>
      <c r="FP400" s="179"/>
      <c r="FQ400" s="179"/>
      <c r="FR400" s="179"/>
      <c r="FS400" s="179"/>
      <c r="FT400" s="179"/>
      <c r="FU400" s="179"/>
      <c r="FV400" s="179"/>
      <c r="FW400" s="179"/>
      <c r="FX400" s="179"/>
      <c r="FY400" s="179"/>
      <c r="FZ400" s="179"/>
      <c r="GA400" s="179"/>
      <c r="GB400" s="179"/>
      <c r="GC400" s="179"/>
      <c r="GD400" s="179"/>
      <c r="GE400" s="179"/>
      <c r="GF400" s="179"/>
      <c r="GG400" s="179"/>
      <c r="GH400" s="179"/>
      <c r="GI400" s="179"/>
      <c r="GJ400" s="179"/>
      <c r="GK400" s="179"/>
      <c r="GL400" s="179"/>
      <c r="GM400" s="179"/>
      <c r="GN400" s="179"/>
      <c r="GO400" s="179"/>
      <c r="GP400" s="179"/>
      <c r="GQ400" s="179"/>
      <c r="GR400" s="179"/>
      <c r="GS400" s="179"/>
      <c r="GT400" s="179"/>
      <c r="GU400" s="179"/>
      <c r="GV400" s="179"/>
      <c r="GW400" s="179"/>
      <c r="GX400" s="179"/>
      <c r="GY400" s="179"/>
      <c r="GZ400" s="179"/>
      <c r="HA400" s="179"/>
      <c r="HB400" s="179"/>
      <c r="HC400" s="179"/>
      <c r="HD400" s="179"/>
      <c r="HE400" s="179"/>
      <c r="HF400" s="179"/>
      <c r="HG400" s="179"/>
      <c r="HH400" s="179"/>
      <c r="HI400" s="179"/>
      <c r="HJ400" s="179"/>
      <c r="HK400" s="179"/>
      <c r="HL400" s="179"/>
      <c r="HM400" s="179"/>
      <c r="HN400" s="179"/>
      <c r="HO400" s="179"/>
      <c r="HP400" s="179"/>
      <c r="HQ400" s="179"/>
      <c r="HR400" s="179"/>
      <c r="HS400" s="179"/>
      <c r="HT400" s="179"/>
      <c r="HU400" s="179"/>
      <c r="HV400" s="179"/>
      <c r="HW400" s="179"/>
      <c r="HX400" s="179"/>
      <c r="HY400" s="179"/>
      <c r="HZ400" s="179"/>
      <c r="IA400" s="179"/>
    </row>
    <row r="401" spans="1:16" ht="12.75" customHeight="1">
      <c r="A401" s="73" t="s">
        <v>246</v>
      </c>
      <c r="B401" s="117"/>
      <c r="C401" s="117"/>
      <c r="D401" s="118"/>
      <c r="E401" s="118"/>
      <c r="F401" s="118"/>
      <c r="G401" s="118"/>
      <c r="H401" s="118"/>
      <c r="I401" s="118"/>
      <c r="J401" s="118"/>
      <c r="K401" s="119"/>
      <c r="L401" s="120"/>
      <c r="M401" s="120"/>
      <c r="N401" s="118"/>
      <c r="O401" s="118"/>
      <c r="P401" s="118"/>
    </row>
    <row r="402" spans="1:16" ht="24" customHeight="1">
      <c r="A402" s="90" t="s">
        <v>245</v>
      </c>
      <c r="B402" s="52"/>
      <c r="C402" s="52"/>
      <c r="D402" s="61">
        <v>6600</v>
      </c>
      <c r="E402" s="62"/>
      <c r="F402" s="46">
        <f>D402</f>
        <v>6600</v>
      </c>
      <c r="G402" s="61">
        <v>6600</v>
      </c>
      <c r="H402" s="62"/>
      <c r="I402" s="62"/>
      <c r="J402" s="46">
        <f>G402</f>
        <v>6600</v>
      </c>
      <c r="K402" s="57"/>
      <c r="L402" s="65"/>
      <c r="M402" s="66"/>
      <c r="N402" s="61"/>
      <c r="O402" s="62"/>
      <c r="P402" s="46"/>
    </row>
    <row r="403" spans="1:16" ht="11.25">
      <c r="A403" s="73" t="s">
        <v>7</v>
      </c>
      <c r="B403" s="52"/>
      <c r="C403" s="52"/>
      <c r="D403" s="61"/>
      <c r="E403" s="62"/>
      <c r="F403" s="46"/>
      <c r="G403" s="61"/>
      <c r="H403" s="62"/>
      <c r="I403" s="62"/>
      <c r="J403" s="46"/>
      <c r="K403" s="57"/>
      <c r="L403" s="65"/>
      <c r="M403" s="66"/>
      <c r="N403" s="61"/>
      <c r="O403" s="62"/>
      <c r="P403" s="46"/>
    </row>
    <row r="404" spans="1:16" ht="24" customHeight="1">
      <c r="A404" s="74" t="s">
        <v>247</v>
      </c>
      <c r="B404" s="52"/>
      <c r="C404" s="52"/>
      <c r="D404" s="121">
        <f>7727.27/1000</f>
        <v>7.727270000000001</v>
      </c>
      <c r="E404" s="121"/>
      <c r="F404" s="121">
        <f>D404</f>
        <v>7.727270000000001</v>
      </c>
      <c r="G404" s="61">
        <f>G400/G402</f>
        <v>11.363636363636363</v>
      </c>
      <c r="H404" s="62"/>
      <c r="I404" s="62"/>
      <c r="J404" s="46">
        <f>G404</f>
        <v>11.363636363636363</v>
      </c>
      <c r="K404" s="57"/>
      <c r="L404" s="65"/>
      <c r="M404" s="66"/>
      <c r="N404" s="61"/>
      <c r="O404" s="62"/>
      <c r="P404" s="46"/>
    </row>
    <row r="405" spans="1:235" s="180" customFormat="1" ht="38.25" customHeight="1">
      <c r="A405" s="188" t="s">
        <v>358</v>
      </c>
      <c r="B405" s="188"/>
      <c r="C405" s="188"/>
      <c r="D405" s="191"/>
      <c r="E405" s="191"/>
      <c r="F405" s="191"/>
      <c r="G405" s="191">
        <f>105000+64000</f>
        <v>169000</v>
      </c>
      <c r="H405" s="191"/>
      <c r="I405" s="191"/>
      <c r="J405" s="191">
        <f>G405</f>
        <v>169000</v>
      </c>
      <c r="K405" s="201"/>
      <c r="L405" s="202"/>
      <c r="M405" s="203"/>
      <c r="N405" s="197"/>
      <c r="O405" s="192"/>
      <c r="P405" s="191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79"/>
      <c r="AZ405" s="179"/>
      <c r="BA405" s="179"/>
      <c r="BB405" s="179"/>
      <c r="BC405" s="179"/>
      <c r="BD405" s="179"/>
      <c r="BE405" s="179"/>
      <c r="BF405" s="179"/>
      <c r="BG405" s="179"/>
      <c r="BH405" s="179"/>
      <c r="BI405" s="179"/>
      <c r="BJ405" s="179"/>
      <c r="BK405" s="179"/>
      <c r="BL405" s="179"/>
      <c r="BM405" s="179"/>
      <c r="BN405" s="179"/>
      <c r="BO405" s="179"/>
      <c r="BP405" s="179"/>
      <c r="BQ405" s="179"/>
      <c r="BR405" s="179"/>
      <c r="BS405" s="179"/>
      <c r="BT405" s="179"/>
      <c r="BU405" s="179"/>
      <c r="BV405" s="179"/>
      <c r="BW405" s="179"/>
      <c r="BX405" s="179"/>
      <c r="BY405" s="179"/>
      <c r="BZ405" s="179"/>
      <c r="CA405" s="179"/>
      <c r="CB405" s="179"/>
      <c r="CC405" s="179"/>
      <c r="CD405" s="179"/>
      <c r="CE405" s="179"/>
      <c r="CF405" s="179"/>
      <c r="CG405" s="179"/>
      <c r="CH405" s="179"/>
      <c r="CI405" s="179"/>
      <c r="CJ405" s="179"/>
      <c r="CK405" s="179"/>
      <c r="CL405" s="179"/>
      <c r="CM405" s="179"/>
      <c r="CN405" s="179"/>
      <c r="CO405" s="179"/>
      <c r="CP405" s="179"/>
      <c r="CQ405" s="179"/>
      <c r="CR405" s="179"/>
      <c r="CS405" s="179"/>
      <c r="CT405" s="179"/>
      <c r="CU405" s="179"/>
      <c r="CV405" s="179"/>
      <c r="CW405" s="179"/>
      <c r="CX405" s="179"/>
      <c r="CY405" s="179"/>
      <c r="CZ405" s="179"/>
      <c r="DA405" s="179"/>
      <c r="DB405" s="179"/>
      <c r="DC405" s="179"/>
      <c r="DD405" s="179"/>
      <c r="DE405" s="179"/>
      <c r="DF405" s="179"/>
      <c r="DG405" s="179"/>
      <c r="DH405" s="179"/>
      <c r="DI405" s="179"/>
      <c r="DJ405" s="179"/>
      <c r="DK405" s="179"/>
      <c r="DL405" s="179"/>
      <c r="DM405" s="179"/>
      <c r="DN405" s="179"/>
      <c r="DO405" s="179"/>
      <c r="DP405" s="179"/>
      <c r="DQ405" s="179"/>
      <c r="DR405" s="179"/>
      <c r="DS405" s="179"/>
      <c r="DT405" s="179"/>
      <c r="DU405" s="179"/>
      <c r="DV405" s="179"/>
      <c r="DW405" s="179"/>
      <c r="DX405" s="179"/>
      <c r="DY405" s="179"/>
      <c r="DZ405" s="179"/>
      <c r="EA405" s="179"/>
      <c r="EB405" s="179"/>
      <c r="EC405" s="179"/>
      <c r="ED405" s="179"/>
      <c r="EE405" s="179"/>
      <c r="EF405" s="179"/>
      <c r="EG405" s="179"/>
      <c r="EH405" s="179"/>
      <c r="EI405" s="179"/>
      <c r="EJ405" s="179"/>
      <c r="EK405" s="179"/>
      <c r="EL405" s="179"/>
      <c r="EM405" s="179"/>
      <c r="EN405" s="179"/>
      <c r="EO405" s="179"/>
      <c r="EP405" s="179"/>
      <c r="EQ405" s="179"/>
      <c r="ER405" s="179"/>
      <c r="ES405" s="179"/>
      <c r="ET405" s="179"/>
      <c r="EU405" s="179"/>
      <c r="EV405" s="179"/>
      <c r="EW405" s="179"/>
      <c r="EX405" s="179"/>
      <c r="EY405" s="179"/>
      <c r="EZ405" s="179"/>
      <c r="FA405" s="179"/>
      <c r="FB405" s="179"/>
      <c r="FC405" s="179"/>
      <c r="FD405" s="179"/>
      <c r="FE405" s="179"/>
      <c r="FF405" s="179"/>
      <c r="FG405" s="179"/>
      <c r="FH405" s="179"/>
      <c r="FI405" s="179"/>
      <c r="FJ405" s="179"/>
      <c r="FK405" s="179"/>
      <c r="FL405" s="179"/>
      <c r="FM405" s="179"/>
      <c r="FN405" s="179"/>
      <c r="FO405" s="179"/>
      <c r="FP405" s="179"/>
      <c r="FQ405" s="179"/>
      <c r="FR405" s="179"/>
      <c r="FS405" s="179"/>
      <c r="FT405" s="179"/>
      <c r="FU405" s="179"/>
      <c r="FV405" s="179"/>
      <c r="FW405" s="179"/>
      <c r="FX405" s="179"/>
      <c r="FY405" s="179"/>
      <c r="FZ405" s="179"/>
      <c r="GA405" s="179"/>
      <c r="GB405" s="179"/>
      <c r="GC405" s="179"/>
      <c r="GD405" s="179"/>
      <c r="GE405" s="179"/>
      <c r="GF405" s="179"/>
      <c r="GG405" s="179"/>
      <c r="GH405" s="179"/>
      <c r="GI405" s="179"/>
      <c r="GJ405" s="179"/>
      <c r="GK405" s="179"/>
      <c r="GL405" s="179"/>
      <c r="GM405" s="179"/>
      <c r="GN405" s="179"/>
      <c r="GO405" s="179"/>
      <c r="GP405" s="179"/>
      <c r="GQ405" s="179"/>
      <c r="GR405" s="179"/>
      <c r="GS405" s="179"/>
      <c r="GT405" s="179"/>
      <c r="GU405" s="179"/>
      <c r="GV405" s="179"/>
      <c r="GW405" s="179"/>
      <c r="GX405" s="179"/>
      <c r="GY405" s="179"/>
      <c r="GZ405" s="179"/>
      <c r="HA405" s="179"/>
      <c r="HB405" s="179"/>
      <c r="HC405" s="179"/>
      <c r="HD405" s="179"/>
      <c r="HE405" s="179"/>
      <c r="HF405" s="179"/>
      <c r="HG405" s="179"/>
      <c r="HH405" s="179"/>
      <c r="HI405" s="179"/>
      <c r="HJ405" s="179"/>
      <c r="HK405" s="179"/>
      <c r="HL405" s="179"/>
      <c r="HM405" s="179"/>
      <c r="HN405" s="179"/>
      <c r="HO405" s="179"/>
      <c r="HP405" s="179"/>
      <c r="HQ405" s="179"/>
      <c r="HR405" s="179"/>
      <c r="HS405" s="179"/>
      <c r="HT405" s="179"/>
      <c r="HU405" s="179"/>
      <c r="HV405" s="179"/>
      <c r="HW405" s="179"/>
      <c r="HX405" s="179"/>
      <c r="HY405" s="179"/>
      <c r="HZ405" s="179"/>
      <c r="IA405" s="179"/>
    </row>
    <row r="406" spans="1:16" ht="11.25">
      <c r="A406" s="73" t="s">
        <v>246</v>
      </c>
      <c r="B406" s="117"/>
      <c r="C406" s="117"/>
      <c r="D406" s="118"/>
      <c r="E406" s="118"/>
      <c r="F406" s="118"/>
      <c r="G406" s="118"/>
      <c r="H406" s="118"/>
      <c r="I406" s="118"/>
      <c r="J406" s="118"/>
      <c r="K406" s="57"/>
      <c r="L406" s="65"/>
      <c r="M406" s="66"/>
      <c r="N406" s="61"/>
      <c r="O406" s="62"/>
      <c r="P406" s="46"/>
    </row>
    <row r="407" spans="1:16" ht="45">
      <c r="A407" s="90" t="s">
        <v>305</v>
      </c>
      <c r="B407" s="52"/>
      <c r="C407" s="52"/>
      <c r="D407" s="61"/>
      <c r="E407" s="62"/>
      <c r="F407" s="46"/>
      <c r="G407" s="61">
        <v>12</v>
      </c>
      <c r="H407" s="62"/>
      <c r="I407" s="62"/>
      <c r="J407" s="46">
        <f>G407</f>
        <v>12</v>
      </c>
      <c r="K407" s="57"/>
      <c r="L407" s="65"/>
      <c r="M407" s="66"/>
      <c r="N407" s="61"/>
      <c r="O407" s="62"/>
      <c r="P407" s="46"/>
    </row>
    <row r="408" spans="1:16" ht="11.25">
      <c r="A408" s="73" t="s">
        <v>7</v>
      </c>
      <c r="B408" s="52"/>
      <c r="C408" s="52"/>
      <c r="D408" s="61"/>
      <c r="E408" s="62"/>
      <c r="F408" s="46"/>
      <c r="G408" s="61"/>
      <c r="H408" s="62"/>
      <c r="I408" s="62"/>
      <c r="J408" s="46"/>
      <c r="K408" s="57"/>
      <c r="L408" s="65"/>
      <c r="M408" s="66"/>
      <c r="N408" s="61"/>
      <c r="O408" s="62"/>
      <c r="P408" s="46"/>
    </row>
    <row r="409" spans="1:16" ht="45">
      <c r="A409" s="74" t="s">
        <v>306</v>
      </c>
      <c r="B409" s="52"/>
      <c r="C409" s="52"/>
      <c r="D409" s="121"/>
      <c r="E409" s="121"/>
      <c r="F409" s="121"/>
      <c r="G409" s="61">
        <f>G405/G407</f>
        <v>14083.333333333334</v>
      </c>
      <c r="H409" s="62"/>
      <c r="I409" s="62"/>
      <c r="J409" s="46">
        <f>G409</f>
        <v>14083.333333333334</v>
      </c>
      <c r="K409" s="57"/>
      <c r="L409" s="65"/>
      <c r="M409" s="66"/>
      <c r="N409" s="61"/>
      <c r="O409" s="62"/>
      <c r="P409" s="46"/>
    </row>
    <row r="410" spans="1:16" ht="2.25" customHeight="1" hidden="1">
      <c r="A410" s="74"/>
      <c r="B410" s="52"/>
      <c r="C410" s="52"/>
      <c r="D410" s="121"/>
      <c r="E410" s="121"/>
      <c r="F410" s="121"/>
      <c r="G410" s="61"/>
      <c r="H410" s="62"/>
      <c r="I410" s="62"/>
      <c r="J410" s="46"/>
      <c r="K410" s="57"/>
      <c r="L410" s="65"/>
      <c r="M410" s="66"/>
      <c r="N410" s="61"/>
      <c r="O410" s="62"/>
      <c r="P410" s="46"/>
    </row>
    <row r="411" spans="1:16" ht="24" customHeight="1" hidden="1">
      <c r="A411" s="74"/>
      <c r="B411" s="52"/>
      <c r="C411" s="52"/>
      <c r="D411" s="121"/>
      <c r="E411" s="121"/>
      <c r="F411" s="121"/>
      <c r="G411" s="61"/>
      <c r="H411" s="62"/>
      <c r="I411" s="62"/>
      <c r="J411" s="46"/>
      <c r="K411" s="57"/>
      <c r="L411" s="65"/>
      <c r="M411" s="66"/>
      <c r="N411" s="61"/>
      <c r="O411" s="62"/>
      <c r="P411" s="46"/>
    </row>
    <row r="412" spans="1:16" ht="24" customHeight="1" hidden="1">
      <c r="A412" s="74"/>
      <c r="B412" s="52"/>
      <c r="C412" s="52"/>
      <c r="D412" s="121"/>
      <c r="E412" s="121"/>
      <c r="F412" s="121"/>
      <c r="G412" s="61"/>
      <c r="H412" s="62"/>
      <c r="I412" s="62"/>
      <c r="J412" s="46"/>
      <c r="K412" s="57"/>
      <c r="L412" s="65"/>
      <c r="M412" s="66"/>
      <c r="N412" s="61"/>
      <c r="O412" s="62"/>
      <c r="P412" s="46"/>
    </row>
    <row r="413" spans="1:16" ht="24" customHeight="1" hidden="1">
      <c r="A413" s="74"/>
      <c r="B413" s="52"/>
      <c r="C413" s="52"/>
      <c r="D413" s="121"/>
      <c r="E413" s="121"/>
      <c r="F413" s="121"/>
      <c r="G413" s="61"/>
      <c r="H413" s="62"/>
      <c r="I413" s="62"/>
      <c r="J413" s="46"/>
      <c r="K413" s="57"/>
      <c r="L413" s="65"/>
      <c r="M413" s="66"/>
      <c r="N413" s="61"/>
      <c r="O413" s="62"/>
      <c r="P413" s="46"/>
    </row>
    <row r="414" spans="1:235" s="180" customFormat="1" ht="33.75">
      <c r="A414" s="188" t="s">
        <v>359</v>
      </c>
      <c r="B414" s="188"/>
      <c r="C414" s="188"/>
      <c r="D414" s="191">
        <v>216</v>
      </c>
      <c r="E414" s="191"/>
      <c r="F414" s="191">
        <f>D414</f>
        <v>216</v>
      </c>
      <c r="G414" s="191">
        <f>30000+3300</f>
        <v>33300</v>
      </c>
      <c r="H414" s="191"/>
      <c r="I414" s="191"/>
      <c r="J414" s="191">
        <f>G414</f>
        <v>33300</v>
      </c>
      <c r="K414" s="201"/>
      <c r="L414" s="202"/>
      <c r="M414" s="203"/>
      <c r="N414" s="197"/>
      <c r="O414" s="192"/>
      <c r="P414" s="191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79"/>
      <c r="AT414" s="179"/>
      <c r="AU414" s="179"/>
      <c r="AV414" s="179"/>
      <c r="AW414" s="179"/>
      <c r="AX414" s="179"/>
      <c r="AY414" s="179"/>
      <c r="AZ414" s="179"/>
      <c r="BA414" s="179"/>
      <c r="BB414" s="179"/>
      <c r="BC414" s="179"/>
      <c r="BD414" s="179"/>
      <c r="BE414" s="179"/>
      <c r="BF414" s="179"/>
      <c r="BG414" s="179"/>
      <c r="BH414" s="179"/>
      <c r="BI414" s="179"/>
      <c r="BJ414" s="179"/>
      <c r="BK414" s="179"/>
      <c r="BL414" s="179"/>
      <c r="BM414" s="179"/>
      <c r="BN414" s="179"/>
      <c r="BO414" s="179"/>
      <c r="BP414" s="179"/>
      <c r="BQ414" s="179"/>
      <c r="BR414" s="179"/>
      <c r="BS414" s="179"/>
      <c r="BT414" s="179"/>
      <c r="BU414" s="179"/>
      <c r="BV414" s="179"/>
      <c r="BW414" s="179"/>
      <c r="BX414" s="179"/>
      <c r="BY414" s="179"/>
      <c r="BZ414" s="179"/>
      <c r="CA414" s="179"/>
      <c r="CB414" s="179"/>
      <c r="CC414" s="179"/>
      <c r="CD414" s="179"/>
      <c r="CE414" s="179"/>
      <c r="CF414" s="179"/>
      <c r="CG414" s="179"/>
      <c r="CH414" s="179"/>
      <c r="CI414" s="179"/>
      <c r="CJ414" s="179"/>
      <c r="CK414" s="179"/>
      <c r="CL414" s="179"/>
      <c r="CM414" s="179"/>
      <c r="CN414" s="179"/>
      <c r="CO414" s="179"/>
      <c r="CP414" s="179"/>
      <c r="CQ414" s="179"/>
      <c r="CR414" s="179"/>
      <c r="CS414" s="179"/>
      <c r="CT414" s="179"/>
      <c r="CU414" s="179"/>
      <c r="CV414" s="179"/>
      <c r="CW414" s="179"/>
      <c r="CX414" s="179"/>
      <c r="CY414" s="179"/>
      <c r="CZ414" s="179"/>
      <c r="DA414" s="179"/>
      <c r="DB414" s="179"/>
      <c r="DC414" s="179"/>
      <c r="DD414" s="179"/>
      <c r="DE414" s="179"/>
      <c r="DF414" s="179"/>
      <c r="DG414" s="179"/>
      <c r="DH414" s="179"/>
      <c r="DI414" s="179"/>
      <c r="DJ414" s="179"/>
      <c r="DK414" s="179"/>
      <c r="DL414" s="179"/>
      <c r="DM414" s="179"/>
      <c r="DN414" s="179"/>
      <c r="DO414" s="179"/>
      <c r="DP414" s="179"/>
      <c r="DQ414" s="179"/>
      <c r="DR414" s="179"/>
      <c r="DS414" s="179"/>
      <c r="DT414" s="179"/>
      <c r="DU414" s="179"/>
      <c r="DV414" s="179"/>
      <c r="DW414" s="179"/>
      <c r="DX414" s="179"/>
      <c r="DY414" s="179"/>
      <c r="DZ414" s="179"/>
      <c r="EA414" s="179"/>
      <c r="EB414" s="179"/>
      <c r="EC414" s="179"/>
      <c r="ED414" s="179"/>
      <c r="EE414" s="179"/>
      <c r="EF414" s="179"/>
      <c r="EG414" s="179"/>
      <c r="EH414" s="179"/>
      <c r="EI414" s="179"/>
      <c r="EJ414" s="179"/>
      <c r="EK414" s="179"/>
      <c r="EL414" s="179"/>
      <c r="EM414" s="179"/>
      <c r="EN414" s="179"/>
      <c r="EO414" s="179"/>
      <c r="EP414" s="179"/>
      <c r="EQ414" s="179"/>
      <c r="ER414" s="179"/>
      <c r="ES414" s="179"/>
      <c r="ET414" s="179"/>
      <c r="EU414" s="179"/>
      <c r="EV414" s="179"/>
      <c r="EW414" s="179"/>
      <c r="EX414" s="179"/>
      <c r="EY414" s="179"/>
      <c r="EZ414" s="179"/>
      <c r="FA414" s="179"/>
      <c r="FB414" s="179"/>
      <c r="FC414" s="179"/>
      <c r="FD414" s="179"/>
      <c r="FE414" s="179"/>
      <c r="FF414" s="179"/>
      <c r="FG414" s="179"/>
      <c r="FH414" s="179"/>
      <c r="FI414" s="179"/>
      <c r="FJ414" s="179"/>
      <c r="FK414" s="179"/>
      <c r="FL414" s="179"/>
      <c r="FM414" s="179"/>
      <c r="FN414" s="179"/>
      <c r="FO414" s="179"/>
      <c r="FP414" s="179"/>
      <c r="FQ414" s="179"/>
      <c r="FR414" s="179"/>
      <c r="FS414" s="179"/>
      <c r="FT414" s="179"/>
      <c r="FU414" s="179"/>
      <c r="FV414" s="179"/>
      <c r="FW414" s="179"/>
      <c r="FX414" s="179"/>
      <c r="FY414" s="179"/>
      <c r="FZ414" s="179"/>
      <c r="GA414" s="179"/>
      <c r="GB414" s="179"/>
      <c r="GC414" s="179"/>
      <c r="GD414" s="179"/>
      <c r="GE414" s="179"/>
      <c r="GF414" s="179"/>
      <c r="GG414" s="179"/>
      <c r="GH414" s="179"/>
      <c r="GI414" s="179"/>
      <c r="GJ414" s="179"/>
      <c r="GK414" s="179"/>
      <c r="GL414" s="179"/>
      <c r="GM414" s="179"/>
      <c r="GN414" s="179"/>
      <c r="GO414" s="179"/>
      <c r="GP414" s="179"/>
      <c r="GQ414" s="179"/>
      <c r="GR414" s="179"/>
      <c r="GS414" s="179"/>
      <c r="GT414" s="179"/>
      <c r="GU414" s="179"/>
      <c r="GV414" s="179"/>
      <c r="GW414" s="179"/>
      <c r="GX414" s="179"/>
      <c r="GY414" s="179"/>
      <c r="GZ414" s="179"/>
      <c r="HA414" s="179"/>
      <c r="HB414" s="179"/>
      <c r="HC414" s="179"/>
      <c r="HD414" s="179"/>
      <c r="HE414" s="179"/>
      <c r="HF414" s="179"/>
      <c r="HG414" s="179"/>
      <c r="HH414" s="179"/>
      <c r="HI414" s="179"/>
      <c r="HJ414" s="179"/>
      <c r="HK414" s="179"/>
      <c r="HL414" s="179"/>
      <c r="HM414" s="179"/>
      <c r="HN414" s="179"/>
      <c r="HO414" s="179"/>
      <c r="HP414" s="179"/>
      <c r="HQ414" s="179"/>
      <c r="HR414" s="179"/>
      <c r="HS414" s="179"/>
      <c r="HT414" s="179"/>
      <c r="HU414" s="179"/>
      <c r="HV414" s="179"/>
      <c r="HW414" s="179"/>
      <c r="HX414" s="179"/>
      <c r="HY414" s="179"/>
      <c r="HZ414" s="179"/>
      <c r="IA414" s="179"/>
    </row>
    <row r="415" spans="1:16" ht="11.25">
      <c r="A415" s="73" t="s">
        <v>246</v>
      </c>
      <c r="B415" s="117"/>
      <c r="C415" s="117"/>
      <c r="D415" s="118"/>
      <c r="E415" s="118"/>
      <c r="F415" s="118"/>
      <c r="G415" s="118"/>
      <c r="H415" s="118"/>
      <c r="I415" s="118"/>
      <c r="J415" s="118"/>
      <c r="K415" s="57"/>
      <c r="L415" s="65"/>
      <c r="M415" s="66"/>
      <c r="N415" s="61"/>
      <c r="O415" s="62"/>
      <c r="P415" s="46"/>
    </row>
    <row r="416" spans="1:16" ht="45">
      <c r="A416" s="90" t="s">
        <v>307</v>
      </c>
      <c r="B416" s="52"/>
      <c r="C416" s="52"/>
      <c r="D416" s="61">
        <v>2</v>
      </c>
      <c r="E416" s="62"/>
      <c r="F416" s="46">
        <f>D416</f>
        <v>2</v>
      </c>
      <c r="G416" s="61">
        <v>12</v>
      </c>
      <c r="H416" s="62"/>
      <c r="I416" s="62"/>
      <c r="J416" s="46">
        <f>G416</f>
        <v>12</v>
      </c>
      <c r="K416" s="57"/>
      <c r="L416" s="65"/>
      <c r="M416" s="66"/>
      <c r="N416" s="61"/>
      <c r="O416" s="62"/>
      <c r="P416" s="46"/>
    </row>
    <row r="417" spans="1:16" ht="11.25">
      <c r="A417" s="73" t="s">
        <v>7</v>
      </c>
      <c r="B417" s="52"/>
      <c r="C417" s="52"/>
      <c r="D417" s="61"/>
      <c r="E417" s="62"/>
      <c r="F417" s="46"/>
      <c r="G417" s="61"/>
      <c r="H417" s="62"/>
      <c r="I417" s="62"/>
      <c r="J417" s="46"/>
      <c r="K417" s="57"/>
      <c r="L417" s="65"/>
      <c r="M417" s="66"/>
      <c r="N417" s="61"/>
      <c r="O417" s="62"/>
      <c r="P417" s="46"/>
    </row>
    <row r="418" spans="1:16" ht="33.75" customHeight="1">
      <c r="A418" s="74" t="s">
        <v>308</v>
      </c>
      <c r="B418" s="52"/>
      <c r="C418" s="52"/>
      <c r="D418" s="61">
        <f>D414/D416</f>
        <v>108</v>
      </c>
      <c r="E418" s="62"/>
      <c r="F418" s="46">
        <f>D418</f>
        <v>108</v>
      </c>
      <c r="G418" s="61">
        <f>G414/G416</f>
        <v>2775</v>
      </c>
      <c r="H418" s="62"/>
      <c r="I418" s="62"/>
      <c r="J418" s="46">
        <f>G418</f>
        <v>2775</v>
      </c>
      <c r="K418" s="57"/>
      <c r="L418" s="65"/>
      <c r="M418" s="66"/>
      <c r="N418" s="61"/>
      <c r="O418" s="62"/>
      <c r="P418" s="46"/>
    </row>
    <row r="419" spans="1:235" s="172" customFormat="1" ht="16.5" customHeight="1">
      <c r="A419" s="260" t="s">
        <v>89</v>
      </c>
      <c r="B419" s="260"/>
      <c r="C419" s="260"/>
      <c r="D419" s="261"/>
      <c r="E419" s="261">
        <f>E421+E429+E434</f>
        <v>534080</v>
      </c>
      <c r="F419" s="261">
        <f>E419</f>
        <v>534080</v>
      </c>
      <c r="G419" s="261"/>
      <c r="H419" s="261">
        <f>H421+H429+H434+H441+H448</f>
        <v>783080</v>
      </c>
      <c r="I419" s="261">
        <f>I421+I429+I434+I441+I448</f>
        <v>0</v>
      </c>
      <c r="J419" s="261">
        <f>H419</f>
        <v>783080</v>
      </c>
      <c r="K419" s="262"/>
      <c r="L419" s="263"/>
      <c r="M419" s="264"/>
      <c r="N419" s="261"/>
      <c r="O419" s="261">
        <f>O421+O429+O434</f>
        <v>474080</v>
      </c>
      <c r="P419" s="261">
        <f>O419</f>
        <v>474080</v>
      </c>
      <c r="Q419" s="258"/>
      <c r="R419" s="258"/>
      <c r="S419" s="258"/>
      <c r="T419" s="258"/>
      <c r="U419" s="258"/>
      <c r="V419" s="258"/>
      <c r="W419" s="258"/>
      <c r="X419" s="258"/>
      <c r="Y419" s="258"/>
      <c r="Z419" s="258"/>
      <c r="AA419" s="258"/>
      <c r="AB419" s="258"/>
      <c r="AC419" s="258"/>
      <c r="AD419" s="258"/>
      <c r="AE419" s="258"/>
      <c r="AF419" s="258"/>
      <c r="AG419" s="258"/>
      <c r="AH419" s="258"/>
      <c r="AI419" s="258"/>
      <c r="AJ419" s="258"/>
      <c r="AK419" s="258"/>
      <c r="AL419" s="258"/>
      <c r="AM419" s="258"/>
      <c r="AN419" s="258"/>
      <c r="AO419" s="258"/>
      <c r="AP419" s="258"/>
      <c r="AQ419" s="258"/>
      <c r="AR419" s="258"/>
      <c r="AS419" s="258"/>
      <c r="AT419" s="258"/>
      <c r="AU419" s="258"/>
      <c r="AV419" s="258"/>
      <c r="AW419" s="258"/>
      <c r="AX419" s="258"/>
      <c r="AY419" s="258"/>
      <c r="AZ419" s="258"/>
      <c r="BA419" s="258"/>
      <c r="BB419" s="258"/>
      <c r="BC419" s="258"/>
      <c r="BD419" s="258"/>
      <c r="BE419" s="258"/>
      <c r="BF419" s="258"/>
      <c r="BG419" s="258"/>
      <c r="BH419" s="258"/>
      <c r="BI419" s="258"/>
      <c r="BJ419" s="258"/>
      <c r="BK419" s="258"/>
      <c r="BL419" s="258"/>
      <c r="BM419" s="258"/>
      <c r="BN419" s="258"/>
      <c r="BO419" s="258"/>
      <c r="BP419" s="258"/>
      <c r="BQ419" s="258"/>
      <c r="BR419" s="258"/>
      <c r="BS419" s="258"/>
      <c r="BT419" s="258"/>
      <c r="BU419" s="258"/>
      <c r="BV419" s="258"/>
      <c r="BW419" s="258"/>
      <c r="BX419" s="258"/>
      <c r="BY419" s="258"/>
      <c r="BZ419" s="258"/>
      <c r="CA419" s="258"/>
      <c r="CB419" s="258"/>
      <c r="CC419" s="258"/>
      <c r="CD419" s="258"/>
      <c r="CE419" s="258"/>
      <c r="CF419" s="258"/>
      <c r="CG419" s="258"/>
      <c r="CH419" s="258"/>
      <c r="CI419" s="258"/>
      <c r="CJ419" s="258"/>
      <c r="CK419" s="258"/>
      <c r="CL419" s="258"/>
      <c r="CM419" s="258"/>
      <c r="CN419" s="258"/>
      <c r="CO419" s="258"/>
      <c r="CP419" s="258"/>
      <c r="CQ419" s="258"/>
      <c r="CR419" s="258"/>
      <c r="CS419" s="258"/>
      <c r="CT419" s="258"/>
      <c r="CU419" s="258"/>
      <c r="CV419" s="258"/>
      <c r="CW419" s="258"/>
      <c r="CX419" s="258"/>
      <c r="CY419" s="258"/>
      <c r="CZ419" s="258"/>
      <c r="DA419" s="258"/>
      <c r="DB419" s="258"/>
      <c r="DC419" s="258"/>
      <c r="DD419" s="258"/>
      <c r="DE419" s="258"/>
      <c r="DF419" s="258"/>
      <c r="DG419" s="258"/>
      <c r="DH419" s="258"/>
      <c r="DI419" s="258"/>
      <c r="DJ419" s="258"/>
      <c r="DK419" s="258"/>
      <c r="DL419" s="258"/>
      <c r="DM419" s="258"/>
      <c r="DN419" s="258"/>
      <c r="DO419" s="258"/>
      <c r="DP419" s="258"/>
      <c r="DQ419" s="258"/>
      <c r="DR419" s="258"/>
      <c r="DS419" s="258"/>
      <c r="DT419" s="258"/>
      <c r="DU419" s="258"/>
      <c r="DV419" s="258"/>
      <c r="DW419" s="258"/>
      <c r="DX419" s="258"/>
      <c r="DY419" s="258"/>
      <c r="DZ419" s="258"/>
      <c r="EA419" s="258"/>
      <c r="EB419" s="258"/>
      <c r="EC419" s="258"/>
      <c r="ED419" s="258"/>
      <c r="EE419" s="258"/>
      <c r="EF419" s="258"/>
      <c r="EG419" s="258"/>
      <c r="EH419" s="258"/>
      <c r="EI419" s="258"/>
      <c r="EJ419" s="258"/>
      <c r="EK419" s="258"/>
      <c r="EL419" s="258"/>
      <c r="EM419" s="258"/>
      <c r="EN419" s="258"/>
      <c r="EO419" s="258"/>
      <c r="EP419" s="258"/>
      <c r="EQ419" s="258"/>
      <c r="ER419" s="258"/>
      <c r="ES419" s="258"/>
      <c r="ET419" s="258"/>
      <c r="EU419" s="258"/>
      <c r="EV419" s="258"/>
      <c r="EW419" s="258"/>
      <c r="EX419" s="258"/>
      <c r="EY419" s="258"/>
      <c r="EZ419" s="258"/>
      <c r="FA419" s="258"/>
      <c r="FB419" s="258"/>
      <c r="FC419" s="258"/>
      <c r="FD419" s="258"/>
      <c r="FE419" s="258"/>
      <c r="FF419" s="258"/>
      <c r="FG419" s="258"/>
      <c r="FH419" s="258"/>
      <c r="FI419" s="258"/>
      <c r="FJ419" s="258"/>
      <c r="FK419" s="258"/>
      <c r="FL419" s="258"/>
      <c r="FM419" s="258"/>
      <c r="FN419" s="258"/>
      <c r="FO419" s="258"/>
      <c r="FP419" s="258"/>
      <c r="FQ419" s="258"/>
      <c r="FR419" s="258"/>
      <c r="FS419" s="258"/>
      <c r="FT419" s="258"/>
      <c r="FU419" s="258"/>
      <c r="FV419" s="258"/>
      <c r="FW419" s="258"/>
      <c r="FX419" s="258"/>
      <c r="FY419" s="258"/>
      <c r="FZ419" s="258"/>
      <c r="GA419" s="258"/>
      <c r="GB419" s="258"/>
      <c r="GC419" s="258"/>
      <c r="GD419" s="258"/>
      <c r="GE419" s="258"/>
      <c r="GF419" s="258"/>
      <c r="GG419" s="258"/>
      <c r="GH419" s="258"/>
      <c r="GI419" s="258"/>
      <c r="GJ419" s="258"/>
      <c r="GK419" s="258"/>
      <c r="GL419" s="258"/>
      <c r="GM419" s="258"/>
      <c r="GN419" s="258"/>
      <c r="GO419" s="258"/>
      <c r="GP419" s="258"/>
      <c r="GQ419" s="258"/>
      <c r="GR419" s="258"/>
      <c r="GS419" s="258"/>
      <c r="GT419" s="258"/>
      <c r="GU419" s="258"/>
      <c r="GV419" s="258"/>
      <c r="GW419" s="258"/>
      <c r="GX419" s="258"/>
      <c r="GY419" s="258"/>
      <c r="GZ419" s="258"/>
      <c r="HA419" s="258"/>
      <c r="HB419" s="258"/>
      <c r="HC419" s="258"/>
      <c r="HD419" s="258"/>
      <c r="HE419" s="258"/>
      <c r="HF419" s="258"/>
      <c r="HG419" s="258"/>
      <c r="HH419" s="258"/>
      <c r="HI419" s="258"/>
      <c r="HJ419" s="258"/>
      <c r="HK419" s="258"/>
      <c r="HL419" s="258"/>
      <c r="HM419" s="258"/>
      <c r="HN419" s="258"/>
      <c r="HO419" s="258"/>
      <c r="HP419" s="258"/>
      <c r="HQ419" s="258"/>
      <c r="HR419" s="258"/>
      <c r="HS419" s="258"/>
      <c r="HT419" s="258"/>
      <c r="HU419" s="258"/>
      <c r="HV419" s="258"/>
      <c r="HW419" s="258"/>
      <c r="HX419" s="258"/>
      <c r="HY419" s="258"/>
      <c r="HZ419" s="258"/>
      <c r="IA419" s="258"/>
    </row>
    <row r="420" spans="1:16" ht="90.75" customHeight="1">
      <c r="A420" s="75" t="s">
        <v>331</v>
      </c>
      <c r="B420" s="69"/>
      <c r="C420" s="69"/>
      <c r="D420" s="67"/>
      <c r="E420" s="67"/>
      <c r="F420" s="67"/>
      <c r="G420" s="67"/>
      <c r="H420" s="67"/>
      <c r="I420" s="67"/>
      <c r="J420" s="67"/>
      <c r="K420" s="70"/>
      <c r="L420" s="71"/>
      <c r="M420" s="68"/>
      <c r="N420" s="67"/>
      <c r="O420" s="67"/>
      <c r="P420" s="67"/>
    </row>
    <row r="421" spans="1:235" s="172" customFormat="1" ht="24.75" customHeight="1">
      <c r="A421" s="188" t="s">
        <v>360</v>
      </c>
      <c r="B421" s="188"/>
      <c r="C421" s="188"/>
      <c r="D421" s="191"/>
      <c r="E421" s="191">
        <f>E424*E426+1.32</f>
        <v>180690</v>
      </c>
      <c r="F421" s="191">
        <f>E421</f>
        <v>180690</v>
      </c>
      <c r="G421" s="191"/>
      <c r="H421" s="191">
        <f>H424*H426+1.32</f>
        <v>180690</v>
      </c>
      <c r="I421" s="191"/>
      <c r="J421" s="191">
        <f>H421</f>
        <v>180690</v>
      </c>
      <c r="K421" s="262"/>
      <c r="L421" s="192"/>
      <c r="M421" s="192"/>
      <c r="N421" s="191"/>
      <c r="O421" s="191">
        <f>O424*O426+1.32</f>
        <v>180690</v>
      </c>
      <c r="P421" s="191">
        <f>O421</f>
        <v>180690</v>
      </c>
      <c r="Q421" s="258"/>
      <c r="R421" s="258"/>
      <c r="S421" s="258"/>
      <c r="T421" s="258"/>
      <c r="U421" s="258"/>
      <c r="V421" s="258"/>
      <c r="W421" s="258"/>
      <c r="X421" s="258"/>
      <c r="Y421" s="258"/>
      <c r="Z421" s="258"/>
      <c r="AA421" s="258"/>
      <c r="AB421" s="258"/>
      <c r="AC421" s="258"/>
      <c r="AD421" s="258"/>
      <c r="AE421" s="258"/>
      <c r="AF421" s="258"/>
      <c r="AG421" s="258"/>
      <c r="AH421" s="258"/>
      <c r="AI421" s="258"/>
      <c r="AJ421" s="258"/>
      <c r="AK421" s="258"/>
      <c r="AL421" s="258"/>
      <c r="AM421" s="258"/>
      <c r="AN421" s="258"/>
      <c r="AO421" s="258"/>
      <c r="AP421" s="258"/>
      <c r="AQ421" s="258"/>
      <c r="AR421" s="258"/>
      <c r="AS421" s="258"/>
      <c r="AT421" s="258"/>
      <c r="AU421" s="258"/>
      <c r="AV421" s="258"/>
      <c r="AW421" s="258"/>
      <c r="AX421" s="258"/>
      <c r="AY421" s="258"/>
      <c r="AZ421" s="258"/>
      <c r="BA421" s="258"/>
      <c r="BB421" s="258"/>
      <c r="BC421" s="258"/>
      <c r="BD421" s="258"/>
      <c r="BE421" s="258"/>
      <c r="BF421" s="258"/>
      <c r="BG421" s="258"/>
      <c r="BH421" s="258"/>
      <c r="BI421" s="258"/>
      <c r="BJ421" s="258"/>
      <c r="BK421" s="258"/>
      <c r="BL421" s="258"/>
      <c r="BM421" s="258"/>
      <c r="BN421" s="258"/>
      <c r="BO421" s="258"/>
      <c r="BP421" s="258"/>
      <c r="BQ421" s="258"/>
      <c r="BR421" s="258"/>
      <c r="BS421" s="258"/>
      <c r="BT421" s="258"/>
      <c r="BU421" s="258"/>
      <c r="BV421" s="258"/>
      <c r="BW421" s="258"/>
      <c r="BX421" s="258"/>
      <c r="BY421" s="258"/>
      <c r="BZ421" s="258"/>
      <c r="CA421" s="258"/>
      <c r="CB421" s="258"/>
      <c r="CC421" s="258"/>
      <c r="CD421" s="258"/>
      <c r="CE421" s="258"/>
      <c r="CF421" s="258"/>
      <c r="CG421" s="258"/>
      <c r="CH421" s="258"/>
      <c r="CI421" s="258"/>
      <c r="CJ421" s="258"/>
      <c r="CK421" s="258"/>
      <c r="CL421" s="258"/>
      <c r="CM421" s="258"/>
      <c r="CN421" s="258"/>
      <c r="CO421" s="258"/>
      <c r="CP421" s="258"/>
      <c r="CQ421" s="258"/>
      <c r="CR421" s="258"/>
      <c r="CS421" s="258"/>
      <c r="CT421" s="258"/>
      <c r="CU421" s="258"/>
      <c r="CV421" s="258"/>
      <c r="CW421" s="258"/>
      <c r="CX421" s="258"/>
      <c r="CY421" s="258"/>
      <c r="CZ421" s="258"/>
      <c r="DA421" s="258"/>
      <c r="DB421" s="258"/>
      <c r="DC421" s="258"/>
      <c r="DD421" s="258"/>
      <c r="DE421" s="258"/>
      <c r="DF421" s="258"/>
      <c r="DG421" s="258"/>
      <c r="DH421" s="258"/>
      <c r="DI421" s="258"/>
      <c r="DJ421" s="258"/>
      <c r="DK421" s="258"/>
      <c r="DL421" s="258"/>
      <c r="DM421" s="258"/>
      <c r="DN421" s="258"/>
      <c r="DO421" s="258"/>
      <c r="DP421" s="258"/>
      <c r="DQ421" s="258"/>
      <c r="DR421" s="258"/>
      <c r="DS421" s="258"/>
      <c r="DT421" s="258"/>
      <c r="DU421" s="258"/>
      <c r="DV421" s="258"/>
      <c r="DW421" s="258"/>
      <c r="DX421" s="258"/>
      <c r="DY421" s="258"/>
      <c r="DZ421" s="258"/>
      <c r="EA421" s="258"/>
      <c r="EB421" s="258"/>
      <c r="EC421" s="258"/>
      <c r="ED421" s="258"/>
      <c r="EE421" s="258"/>
      <c r="EF421" s="258"/>
      <c r="EG421" s="258"/>
      <c r="EH421" s="258"/>
      <c r="EI421" s="258"/>
      <c r="EJ421" s="258"/>
      <c r="EK421" s="258"/>
      <c r="EL421" s="258"/>
      <c r="EM421" s="258"/>
      <c r="EN421" s="258"/>
      <c r="EO421" s="258"/>
      <c r="EP421" s="258"/>
      <c r="EQ421" s="258"/>
      <c r="ER421" s="258"/>
      <c r="ES421" s="258"/>
      <c r="ET421" s="258"/>
      <c r="EU421" s="258"/>
      <c r="EV421" s="258"/>
      <c r="EW421" s="258"/>
      <c r="EX421" s="258"/>
      <c r="EY421" s="258"/>
      <c r="EZ421" s="258"/>
      <c r="FA421" s="258"/>
      <c r="FB421" s="258"/>
      <c r="FC421" s="258"/>
      <c r="FD421" s="258"/>
      <c r="FE421" s="258"/>
      <c r="FF421" s="258"/>
      <c r="FG421" s="258"/>
      <c r="FH421" s="258"/>
      <c r="FI421" s="258"/>
      <c r="FJ421" s="258"/>
      <c r="FK421" s="258"/>
      <c r="FL421" s="258"/>
      <c r="FM421" s="258"/>
      <c r="FN421" s="258"/>
      <c r="FO421" s="258"/>
      <c r="FP421" s="258"/>
      <c r="FQ421" s="258"/>
      <c r="FR421" s="258"/>
      <c r="FS421" s="258"/>
      <c r="FT421" s="258"/>
      <c r="FU421" s="258"/>
      <c r="FV421" s="258"/>
      <c r="FW421" s="258"/>
      <c r="FX421" s="258"/>
      <c r="FY421" s="258"/>
      <c r="FZ421" s="258"/>
      <c r="GA421" s="258"/>
      <c r="GB421" s="258"/>
      <c r="GC421" s="258"/>
      <c r="GD421" s="258"/>
      <c r="GE421" s="258"/>
      <c r="GF421" s="258"/>
      <c r="GG421" s="258"/>
      <c r="GH421" s="258"/>
      <c r="GI421" s="258"/>
      <c r="GJ421" s="258"/>
      <c r="GK421" s="258"/>
      <c r="GL421" s="258"/>
      <c r="GM421" s="258"/>
      <c r="GN421" s="258"/>
      <c r="GO421" s="258"/>
      <c r="GP421" s="258"/>
      <c r="GQ421" s="258"/>
      <c r="GR421" s="258"/>
      <c r="GS421" s="258"/>
      <c r="GT421" s="258"/>
      <c r="GU421" s="258"/>
      <c r="GV421" s="258"/>
      <c r="GW421" s="258"/>
      <c r="GX421" s="258"/>
      <c r="GY421" s="258"/>
      <c r="GZ421" s="258"/>
      <c r="HA421" s="258"/>
      <c r="HB421" s="258"/>
      <c r="HC421" s="258"/>
      <c r="HD421" s="258"/>
      <c r="HE421" s="258"/>
      <c r="HF421" s="258"/>
      <c r="HG421" s="258"/>
      <c r="HH421" s="258"/>
      <c r="HI421" s="258"/>
      <c r="HJ421" s="258"/>
      <c r="HK421" s="258"/>
      <c r="HL421" s="258"/>
      <c r="HM421" s="258"/>
      <c r="HN421" s="258"/>
      <c r="HO421" s="258"/>
      <c r="HP421" s="258"/>
      <c r="HQ421" s="258"/>
      <c r="HR421" s="258"/>
      <c r="HS421" s="258"/>
      <c r="HT421" s="258"/>
      <c r="HU421" s="258"/>
      <c r="HV421" s="258"/>
      <c r="HW421" s="258"/>
      <c r="HX421" s="258"/>
      <c r="HY421" s="258"/>
      <c r="HZ421" s="258"/>
      <c r="IA421" s="258"/>
    </row>
    <row r="422" spans="1:16" ht="11.25">
      <c r="A422" s="73" t="s">
        <v>5</v>
      </c>
      <c r="B422" s="48"/>
      <c r="C422" s="48"/>
      <c r="D422" s="50"/>
      <c r="E422" s="50"/>
      <c r="F422" s="47"/>
      <c r="G422" s="50"/>
      <c r="H422" s="50"/>
      <c r="I422" s="50"/>
      <c r="J422" s="47"/>
      <c r="K422" s="47"/>
      <c r="L422" s="50"/>
      <c r="M422" s="50"/>
      <c r="N422" s="50"/>
      <c r="O422" s="50"/>
      <c r="P422" s="47"/>
    </row>
    <row r="423" spans="1:16" ht="26.25" customHeight="1">
      <c r="A423" s="74" t="s">
        <v>213</v>
      </c>
      <c r="B423" s="51"/>
      <c r="C423" s="51"/>
      <c r="D423" s="53"/>
      <c r="E423" s="53">
        <v>33</v>
      </c>
      <c r="F423" s="53">
        <f>E423</f>
        <v>33</v>
      </c>
      <c r="G423" s="53"/>
      <c r="H423" s="53">
        <v>33</v>
      </c>
      <c r="I423" s="53"/>
      <c r="J423" s="53">
        <f>H423</f>
        <v>33</v>
      </c>
      <c r="K423" s="53" t="e">
        <f>G423/D423*100</f>
        <v>#DIV/0!</v>
      </c>
      <c r="L423" s="53"/>
      <c r="M423" s="53"/>
      <c r="N423" s="53"/>
      <c r="O423" s="53">
        <v>33</v>
      </c>
      <c r="P423" s="53">
        <f>O423</f>
        <v>33</v>
      </c>
    </row>
    <row r="424" spans="1:16" ht="26.25" customHeight="1">
      <c r="A424" s="74" t="s">
        <v>69</v>
      </c>
      <c r="B424" s="51"/>
      <c r="C424" s="51"/>
      <c r="D424" s="53"/>
      <c r="E424" s="53">
        <v>94</v>
      </c>
      <c r="F424" s="53">
        <v>94</v>
      </c>
      <c r="G424" s="53"/>
      <c r="H424" s="53">
        <v>94</v>
      </c>
      <c r="I424" s="53"/>
      <c r="J424" s="53">
        <v>94</v>
      </c>
      <c r="K424" s="53"/>
      <c r="L424" s="53"/>
      <c r="M424" s="53"/>
      <c r="N424" s="53"/>
      <c r="O424" s="53">
        <v>94</v>
      </c>
      <c r="P424" s="53">
        <v>94</v>
      </c>
    </row>
    <row r="425" spans="1:16" ht="11.25">
      <c r="A425" s="73" t="s">
        <v>7</v>
      </c>
      <c r="B425" s="48"/>
      <c r="C425" s="48"/>
      <c r="D425" s="50"/>
      <c r="E425" s="50"/>
      <c r="F425" s="47"/>
      <c r="G425" s="50"/>
      <c r="H425" s="50"/>
      <c r="I425" s="50"/>
      <c r="J425" s="47"/>
      <c r="K425" s="47"/>
      <c r="L425" s="50"/>
      <c r="M425" s="50"/>
      <c r="N425" s="50"/>
      <c r="O425" s="50"/>
      <c r="P425" s="47"/>
    </row>
    <row r="426" spans="1:16" ht="23.25" customHeight="1">
      <c r="A426" s="74" t="s">
        <v>70</v>
      </c>
      <c r="B426" s="51"/>
      <c r="C426" s="51"/>
      <c r="D426" s="55"/>
      <c r="E426" s="55">
        <v>1922.22</v>
      </c>
      <c r="F426" s="47">
        <f>E426</f>
        <v>1922.22</v>
      </c>
      <c r="G426" s="55"/>
      <c r="H426" s="55">
        <v>1922.22</v>
      </c>
      <c r="I426" s="55"/>
      <c r="J426" s="47">
        <f>H426</f>
        <v>1922.22</v>
      </c>
      <c r="K426" s="47" t="e">
        <f>G426/D426*100</f>
        <v>#DIV/0!</v>
      </c>
      <c r="L426" s="56"/>
      <c r="M426" s="55"/>
      <c r="N426" s="55"/>
      <c r="O426" s="55">
        <v>1922.22</v>
      </c>
      <c r="P426" s="47">
        <f>O426</f>
        <v>1922.22</v>
      </c>
    </row>
    <row r="427" spans="1:16" ht="11.25">
      <c r="A427" s="89" t="s">
        <v>6</v>
      </c>
      <c r="B427" s="51"/>
      <c r="C427" s="51"/>
      <c r="D427" s="55"/>
      <c r="E427" s="55"/>
      <c r="F427" s="47"/>
      <c r="G427" s="55"/>
      <c r="H427" s="55"/>
      <c r="I427" s="55"/>
      <c r="J427" s="47"/>
      <c r="K427" s="47"/>
      <c r="L427" s="56"/>
      <c r="M427" s="55"/>
      <c r="N427" s="55"/>
      <c r="O427" s="55"/>
      <c r="P427" s="47"/>
    </row>
    <row r="428" spans="1:16" ht="29.25" customHeight="1">
      <c r="A428" s="90" t="s">
        <v>214</v>
      </c>
      <c r="B428" s="51"/>
      <c r="C428" s="51"/>
      <c r="D428" s="55"/>
      <c r="E428" s="55"/>
      <c r="F428" s="47"/>
      <c r="G428" s="55"/>
      <c r="H428" s="55"/>
      <c r="I428" s="55"/>
      <c r="J428" s="47"/>
      <c r="K428" s="47"/>
      <c r="L428" s="56"/>
      <c r="M428" s="55"/>
      <c r="N428" s="55"/>
      <c r="O428" s="55"/>
      <c r="P428" s="47"/>
    </row>
    <row r="429" spans="1:235" s="180" customFormat="1" ht="23.25" customHeight="1">
      <c r="A429" s="188" t="s">
        <v>361</v>
      </c>
      <c r="B429" s="188"/>
      <c r="C429" s="188"/>
      <c r="D429" s="191"/>
      <c r="E429" s="191">
        <f>E433</f>
        <v>162140</v>
      </c>
      <c r="F429" s="191">
        <f>E429</f>
        <v>162140</v>
      </c>
      <c r="G429" s="191"/>
      <c r="H429" s="191">
        <f>H433</f>
        <v>162140</v>
      </c>
      <c r="I429" s="191"/>
      <c r="J429" s="191">
        <f>H429</f>
        <v>162140</v>
      </c>
      <c r="K429" s="191"/>
      <c r="L429" s="192"/>
      <c r="M429" s="192"/>
      <c r="N429" s="191"/>
      <c r="O429" s="191">
        <f>O433</f>
        <v>162140</v>
      </c>
      <c r="P429" s="191">
        <f>O429</f>
        <v>162140</v>
      </c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79"/>
      <c r="AT429" s="179"/>
      <c r="AU429" s="179"/>
      <c r="AV429" s="179"/>
      <c r="AW429" s="179"/>
      <c r="AX429" s="179"/>
      <c r="AY429" s="179"/>
      <c r="AZ429" s="179"/>
      <c r="BA429" s="179"/>
      <c r="BB429" s="179"/>
      <c r="BC429" s="179"/>
      <c r="BD429" s="179"/>
      <c r="BE429" s="179"/>
      <c r="BF429" s="179"/>
      <c r="BG429" s="179"/>
      <c r="BH429" s="179"/>
      <c r="BI429" s="179"/>
      <c r="BJ429" s="179"/>
      <c r="BK429" s="179"/>
      <c r="BL429" s="179"/>
      <c r="BM429" s="179"/>
      <c r="BN429" s="179"/>
      <c r="BO429" s="179"/>
      <c r="BP429" s="179"/>
      <c r="BQ429" s="179"/>
      <c r="BR429" s="179"/>
      <c r="BS429" s="179"/>
      <c r="BT429" s="179"/>
      <c r="BU429" s="179"/>
      <c r="BV429" s="179"/>
      <c r="BW429" s="179"/>
      <c r="BX429" s="179"/>
      <c r="BY429" s="179"/>
      <c r="BZ429" s="179"/>
      <c r="CA429" s="179"/>
      <c r="CB429" s="179"/>
      <c r="CC429" s="179"/>
      <c r="CD429" s="179"/>
      <c r="CE429" s="179"/>
      <c r="CF429" s="179"/>
      <c r="CG429" s="179"/>
      <c r="CH429" s="179"/>
      <c r="CI429" s="179"/>
      <c r="CJ429" s="179"/>
      <c r="CK429" s="179"/>
      <c r="CL429" s="179"/>
      <c r="CM429" s="179"/>
      <c r="CN429" s="179"/>
      <c r="CO429" s="179"/>
      <c r="CP429" s="179"/>
      <c r="CQ429" s="179"/>
      <c r="CR429" s="179"/>
      <c r="CS429" s="179"/>
      <c r="CT429" s="179"/>
      <c r="CU429" s="179"/>
      <c r="CV429" s="179"/>
      <c r="CW429" s="179"/>
      <c r="CX429" s="179"/>
      <c r="CY429" s="179"/>
      <c r="CZ429" s="179"/>
      <c r="DA429" s="179"/>
      <c r="DB429" s="179"/>
      <c r="DC429" s="179"/>
      <c r="DD429" s="179"/>
      <c r="DE429" s="179"/>
      <c r="DF429" s="179"/>
      <c r="DG429" s="179"/>
      <c r="DH429" s="179"/>
      <c r="DI429" s="179"/>
      <c r="DJ429" s="179"/>
      <c r="DK429" s="179"/>
      <c r="DL429" s="179"/>
      <c r="DM429" s="179"/>
      <c r="DN429" s="179"/>
      <c r="DO429" s="179"/>
      <c r="DP429" s="179"/>
      <c r="DQ429" s="179"/>
      <c r="DR429" s="179"/>
      <c r="DS429" s="179"/>
      <c r="DT429" s="179"/>
      <c r="DU429" s="179"/>
      <c r="DV429" s="179"/>
      <c r="DW429" s="179"/>
      <c r="DX429" s="179"/>
      <c r="DY429" s="179"/>
      <c r="DZ429" s="179"/>
      <c r="EA429" s="179"/>
      <c r="EB429" s="179"/>
      <c r="EC429" s="179"/>
      <c r="ED429" s="179"/>
      <c r="EE429" s="179"/>
      <c r="EF429" s="179"/>
      <c r="EG429" s="179"/>
      <c r="EH429" s="179"/>
      <c r="EI429" s="179"/>
      <c r="EJ429" s="179"/>
      <c r="EK429" s="179"/>
      <c r="EL429" s="179"/>
      <c r="EM429" s="179"/>
      <c r="EN429" s="179"/>
      <c r="EO429" s="179"/>
      <c r="EP429" s="179"/>
      <c r="EQ429" s="179"/>
      <c r="ER429" s="179"/>
      <c r="ES429" s="179"/>
      <c r="ET429" s="179"/>
      <c r="EU429" s="179"/>
      <c r="EV429" s="179"/>
      <c r="EW429" s="179"/>
      <c r="EX429" s="179"/>
      <c r="EY429" s="179"/>
      <c r="EZ429" s="179"/>
      <c r="FA429" s="179"/>
      <c r="FB429" s="179"/>
      <c r="FC429" s="179"/>
      <c r="FD429" s="179"/>
      <c r="FE429" s="179"/>
      <c r="FF429" s="179"/>
      <c r="FG429" s="179"/>
      <c r="FH429" s="179"/>
      <c r="FI429" s="179"/>
      <c r="FJ429" s="179"/>
      <c r="FK429" s="179"/>
      <c r="FL429" s="179"/>
      <c r="FM429" s="179"/>
      <c r="FN429" s="179"/>
      <c r="FO429" s="179"/>
      <c r="FP429" s="179"/>
      <c r="FQ429" s="179"/>
      <c r="FR429" s="179"/>
      <c r="FS429" s="179"/>
      <c r="FT429" s="179"/>
      <c r="FU429" s="179"/>
      <c r="FV429" s="179"/>
      <c r="FW429" s="179"/>
      <c r="FX429" s="179"/>
      <c r="FY429" s="179"/>
      <c r="FZ429" s="179"/>
      <c r="GA429" s="179"/>
      <c r="GB429" s="179"/>
      <c r="GC429" s="179"/>
      <c r="GD429" s="179"/>
      <c r="GE429" s="179"/>
      <c r="GF429" s="179"/>
      <c r="GG429" s="179"/>
      <c r="GH429" s="179"/>
      <c r="GI429" s="179"/>
      <c r="GJ429" s="179"/>
      <c r="GK429" s="179"/>
      <c r="GL429" s="179"/>
      <c r="GM429" s="179"/>
      <c r="GN429" s="179"/>
      <c r="GO429" s="179"/>
      <c r="GP429" s="179"/>
      <c r="GQ429" s="179"/>
      <c r="GR429" s="179"/>
      <c r="GS429" s="179"/>
      <c r="GT429" s="179"/>
      <c r="GU429" s="179"/>
      <c r="GV429" s="179"/>
      <c r="GW429" s="179"/>
      <c r="GX429" s="179"/>
      <c r="GY429" s="179"/>
      <c r="GZ429" s="179"/>
      <c r="HA429" s="179"/>
      <c r="HB429" s="179"/>
      <c r="HC429" s="179"/>
      <c r="HD429" s="179"/>
      <c r="HE429" s="179"/>
      <c r="HF429" s="179"/>
      <c r="HG429" s="179"/>
      <c r="HH429" s="179"/>
      <c r="HI429" s="179"/>
      <c r="HJ429" s="179"/>
      <c r="HK429" s="179"/>
      <c r="HL429" s="179"/>
      <c r="HM429" s="179"/>
      <c r="HN429" s="179"/>
      <c r="HO429" s="179"/>
      <c r="HP429" s="179"/>
      <c r="HQ429" s="179"/>
      <c r="HR429" s="179"/>
      <c r="HS429" s="179"/>
      <c r="HT429" s="179"/>
      <c r="HU429" s="179"/>
      <c r="HV429" s="179"/>
      <c r="HW429" s="179"/>
      <c r="HX429" s="179"/>
      <c r="HY429" s="179"/>
      <c r="HZ429" s="179"/>
      <c r="IA429" s="179"/>
    </row>
    <row r="430" spans="1:16" ht="11.25">
      <c r="A430" s="73" t="s">
        <v>5</v>
      </c>
      <c r="B430" s="48"/>
      <c r="C430" s="48"/>
      <c r="D430" s="50"/>
      <c r="E430" s="50"/>
      <c r="F430" s="47"/>
      <c r="G430" s="50"/>
      <c r="H430" s="50"/>
      <c r="I430" s="50"/>
      <c r="J430" s="47"/>
      <c r="K430" s="47"/>
      <c r="L430" s="50"/>
      <c r="M430" s="50"/>
      <c r="N430" s="50"/>
      <c r="O430" s="50"/>
      <c r="P430" s="47"/>
    </row>
    <row r="431" spans="1:16" ht="36.75" customHeight="1">
      <c r="A431" s="74" t="s">
        <v>215</v>
      </c>
      <c r="B431" s="51"/>
      <c r="C431" s="51"/>
      <c r="D431" s="53"/>
      <c r="E431" s="53">
        <v>236</v>
      </c>
      <c r="F431" s="53">
        <f>E431</f>
        <v>236</v>
      </c>
      <c r="G431" s="53"/>
      <c r="H431" s="53">
        <v>236</v>
      </c>
      <c r="I431" s="53"/>
      <c r="J431" s="53">
        <f>H431</f>
        <v>236</v>
      </c>
      <c r="K431" s="53" t="e">
        <f>G431/D431*100</f>
        <v>#DIV/0!</v>
      </c>
      <c r="L431" s="53"/>
      <c r="M431" s="53"/>
      <c r="N431" s="53"/>
      <c r="O431" s="53">
        <v>236</v>
      </c>
      <c r="P431" s="53">
        <f>O431</f>
        <v>236</v>
      </c>
    </row>
    <row r="432" spans="1:16" ht="11.25">
      <c r="A432" s="73" t="s">
        <v>7</v>
      </c>
      <c r="B432" s="48"/>
      <c r="C432" s="48"/>
      <c r="D432" s="154"/>
      <c r="E432" s="154"/>
      <c r="F432" s="78"/>
      <c r="G432" s="154"/>
      <c r="H432" s="154"/>
      <c r="I432" s="154"/>
      <c r="J432" s="78"/>
      <c r="K432" s="78"/>
      <c r="L432" s="154"/>
      <c r="M432" s="154"/>
      <c r="N432" s="154"/>
      <c r="O432" s="154"/>
      <c r="P432" s="78"/>
    </row>
    <row r="433" spans="1:16" ht="24" customHeight="1">
      <c r="A433" s="76" t="s">
        <v>216</v>
      </c>
      <c r="B433" s="77"/>
      <c r="C433" s="153"/>
      <c r="D433" s="150"/>
      <c r="E433" s="150">
        <v>162140</v>
      </c>
      <c r="F433" s="151">
        <f>E433</f>
        <v>162140</v>
      </c>
      <c r="G433" s="150"/>
      <c r="H433" s="150">
        <v>162140</v>
      </c>
      <c r="I433" s="150"/>
      <c r="J433" s="151">
        <f>H433</f>
        <v>162140</v>
      </c>
      <c r="K433" s="151" t="e">
        <f>G433/D433*100</f>
        <v>#DIV/0!</v>
      </c>
      <c r="L433" s="152"/>
      <c r="M433" s="150"/>
      <c r="N433" s="150"/>
      <c r="O433" s="150">
        <v>162140</v>
      </c>
      <c r="P433" s="151">
        <f>O433</f>
        <v>162140</v>
      </c>
    </row>
    <row r="434" spans="1:235" s="180" customFormat="1" ht="33.75">
      <c r="A434" s="188" t="s">
        <v>362</v>
      </c>
      <c r="B434" s="188"/>
      <c r="C434" s="193"/>
      <c r="D434" s="194"/>
      <c r="E434" s="194">
        <v>191250</v>
      </c>
      <c r="F434" s="194">
        <f>E434</f>
        <v>191250</v>
      </c>
      <c r="G434" s="194"/>
      <c r="H434" s="194">
        <v>131250</v>
      </c>
      <c r="I434" s="194"/>
      <c r="J434" s="194">
        <f>G434+H434</f>
        <v>131250</v>
      </c>
      <c r="K434" s="194"/>
      <c r="L434" s="195"/>
      <c r="M434" s="195"/>
      <c r="N434" s="194"/>
      <c r="O434" s="194">
        <v>131250</v>
      </c>
      <c r="P434" s="194">
        <f>O434</f>
        <v>131250</v>
      </c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79"/>
      <c r="AT434" s="179"/>
      <c r="AU434" s="179"/>
      <c r="AV434" s="179"/>
      <c r="AW434" s="179"/>
      <c r="AX434" s="179"/>
      <c r="AY434" s="179"/>
      <c r="AZ434" s="179"/>
      <c r="BA434" s="179"/>
      <c r="BB434" s="179"/>
      <c r="BC434" s="179"/>
      <c r="BD434" s="179"/>
      <c r="BE434" s="179"/>
      <c r="BF434" s="179"/>
      <c r="BG434" s="179"/>
      <c r="BH434" s="179"/>
      <c r="BI434" s="179"/>
      <c r="BJ434" s="179"/>
      <c r="BK434" s="179"/>
      <c r="BL434" s="179"/>
      <c r="BM434" s="179"/>
      <c r="BN434" s="179"/>
      <c r="BO434" s="179"/>
      <c r="BP434" s="179"/>
      <c r="BQ434" s="179"/>
      <c r="BR434" s="179"/>
      <c r="BS434" s="179"/>
      <c r="BT434" s="179"/>
      <c r="BU434" s="179"/>
      <c r="BV434" s="179"/>
      <c r="BW434" s="179"/>
      <c r="BX434" s="179"/>
      <c r="BY434" s="179"/>
      <c r="BZ434" s="179"/>
      <c r="CA434" s="179"/>
      <c r="CB434" s="179"/>
      <c r="CC434" s="179"/>
      <c r="CD434" s="179"/>
      <c r="CE434" s="179"/>
      <c r="CF434" s="179"/>
      <c r="CG434" s="179"/>
      <c r="CH434" s="179"/>
      <c r="CI434" s="179"/>
      <c r="CJ434" s="179"/>
      <c r="CK434" s="179"/>
      <c r="CL434" s="179"/>
      <c r="CM434" s="179"/>
      <c r="CN434" s="179"/>
      <c r="CO434" s="179"/>
      <c r="CP434" s="179"/>
      <c r="CQ434" s="179"/>
      <c r="CR434" s="179"/>
      <c r="CS434" s="179"/>
      <c r="CT434" s="179"/>
      <c r="CU434" s="179"/>
      <c r="CV434" s="179"/>
      <c r="CW434" s="179"/>
      <c r="CX434" s="179"/>
      <c r="CY434" s="179"/>
      <c r="CZ434" s="179"/>
      <c r="DA434" s="179"/>
      <c r="DB434" s="179"/>
      <c r="DC434" s="179"/>
      <c r="DD434" s="179"/>
      <c r="DE434" s="179"/>
      <c r="DF434" s="179"/>
      <c r="DG434" s="179"/>
      <c r="DH434" s="179"/>
      <c r="DI434" s="179"/>
      <c r="DJ434" s="179"/>
      <c r="DK434" s="179"/>
      <c r="DL434" s="179"/>
      <c r="DM434" s="179"/>
      <c r="DN434" s="179"/>
      <c r="DO434" s="179"/>
      <c r="DP434" s="179"/>
      <c r="DQ434" s="179"/>
      <c r="DR434" s="179"/>
      <c r="DS434" s="179"/>
      <c r="DT434" s="179"/>
      <c r="DU434" s="179"/>
      <c r="DV434" s="179"/>
      <c r="DW434" s="179"/>
      <c r="DX434" s="179"/>
      <c r="DY434" s="179"/>
      <c r="DZ434" s="179"/>
      <c r="EA434" s="179"/>
      <c r="EB434" s="179"/>
      <c r="EC434" s="179"/>
      <c r="ED434" s="179"/>
      <c r="EE434" s="179"/>
      <c r="EF434" s="179"/>
      <c r="EG434" s="179"/>
      <c r="EH434" s="179"/>
      <c r="EI434" s="179"/>
      <c r="EJ434" s="179"/>
      <c r="EK434" s="179"/>
      <c r="EL434" s="179"/>
      <c r="EM434" s="179"/>
      <c r="EN434" s="179"/>
      <c r="EO434" s="179"/>
      <c r="EP434" s="179"/>
      <c r="EQ434" s="179"/>
      <c r="ER434" s="179"/>
      <c r="ES434" s="179"/>
      <c r="ET434" s="179"/>
      <c r="EU434" s="179"/>
      <c r="EV434" s="179"/>
      <c r="EW434" s="179"/>
      <c r="EX434" s="179"/>
      <c r="EY434" s="179"/>
      <c r="EZ434" s="179"/>
      <c r="FA434" s="179"/>
      <c r="FB434" s="179"/>
      <c r="FC434" s="179"/>
      <c r="FD434" s="179"/>
      <c r="FE434" s="179"/>
      <c r="FF434" s="179"/>
      <c r="FG434" s="179"/>
      <c r="FH434" s="179"/>
      <c r="FI434" s="179"/>
      <c r="FJ434" s="179"/>
      <c r="FK434" s="179"/>
      <c r="FL434" s="179"/>
      <c r="FM434" s="179"/>
      <c r="FN434" s="179"/>
      <c r="FO434" s="179"/>
      <c r="FP434" s="179"/>
      <c r="FQ434" s="179"/>
      <c r="FR434" s="179"/>
      <c r="FS434" s="179"/>
      <c r="FT434" s="179"/>
      <c r="FU434" s="179"/>
      <c r="FV434" s="179"/>
      <c r="FW434" s="179"/>
      <c r="FX434" s="179"/>
      <c r="FY434" s="179"/>
      <c r="FZ434" s="179"/>
      <c r="GA434" s="179"/>
      <c r="GB434" s="179"/>
      <c r="GC434" s="179"/>
      <c r="GD434" s="179"/>
      <c r="GE434" s="179"/>
      <c r="GF434" s="179"/>
      <c r="GG434" s="179"/>
      <c r="GH434" s="179"/>
      <c r="GI434" s="179"/>
      <c r="GJ434" s="179"/>
      <c r="GK434" s="179"/>
      <c r="GL434" s="179"/>
      <c r="GM434" s="179"/>
      <c r="GN434" s="179"/>
      <c r="GO434" s="179"/>
      <c r="GP434" s="179"/>
      <c r="GQ434" s="179"/>
      <c r="GR434" s="179"/>
      <c r="GS434" s="179"/>
      <c r="GT434" s="179"/>
      <c r="GU434" s="179"/>
      <c r="GV434" s="179"/>
      <c r="GW434" s="179"/>
      <c r="GX434" s="179"/>
      <c r="GY434" s="179"/>
      <c r="GZ434" s="179"/>
      <c r="HA434" s="179"/>
      <c r="HB434" s="179"/>
      <c r="HC434" s="179"/>
      <c r="HD434" s="179"/>
      <c r="HE434" s="179"/>
      <c r="HF434" s="179"/>
      <c r="HG434" s="179"/>
      <c r="HH434" s="179"/>
      <c r="HI434" s="179"/>
      <c r="HJ434" s="179"/>
      <c r="HK434" s="179"/>
      <c r="HL434" s="179"/>
      <c r="HM434" s="179"/>
      <c r="HN434" s="179"/>
      <c r="HO434" s="179"/>
      <c r="HP434" s="179"/>
      <c r="HQ434" s="179"/>
      <c r="HR434" s="179"/>
      <c r="HS434" s="179"/>
      <c r="HT434" s="179"/>
      <c r="HU434" s="179"/>
      <c r="HV434" s="179"/>
      <c r="HW434" s="179"/>
      <c r="HX434" s="179"/>
      <c r="HY434" s="179"/>
      <c r="HZ434" s="179"/>
      <c r="IA434" s="179"/>
    </row>
    <row r="435" spans="1:16" ht="11.25">
      <c r="A435" s="73" t="s">
        <v>4</v>
      </c>
      <c r="B435" s="49"/>
      <c r="C435" s="49"/>
      <c r="D435" s="156"/>
      <c r="E435" s="156"/>
      <c r="F435" s="156"/>
      <c r="G435" s="156"/>
      <c r="H435" s="156"/>
      <c r="I435" s="156"/>
      <c r="J435" s="156"/>
      <c r="K435" s="157"/>
      <c r="L435" s="156"/>
      <c r="M435" s="156"/>
      <c r="N435" s="156"/>
      <c r="O435" s="156"/>
      <c r="P435" s="156"/>
    </row>
    <row r="436" spans="1:16" ht="11.25">
      <c r="A436" s="74" t="s">
        <v>65</v>
      </c>
      <c r="B436" s="52"/>
      <c r="C436" s="52"/>
      <c r="D436" s="53"/>
      <c r="E436" s="53">
        <f>E434/E440</f>
        <v>11.417910447761194</v>
      </c>
      <c r="F436" s="53">
        <f>E436</f>
        <v>11.417910447761194</v>
      </c>
      <c r="G436" s="53"/>
      <c r="H436" s="53">
        <f>H434/H440</f>
        <v>7.835820895522388</v>
      </c>
      <c r="I436" s="53"/>
      <c r="J436" s="53">
        <f>G436+H436</f>
        <v>7.835820895522388</v>
      </c>
      <c r="K436" s="53" t="e">
        <f>G436/D436*100</f>
        <v>#DIV/0!</v>
      </c>
      <c r="L436" s="53"/>
      <c r="M436" s="53"/>
      <c r="N436" s="53"/>
      <c r="O436" s="53">
        <v>8</v>
      </c>
      <c r="P436" s="53">
        <f>O436</f>
        <v>8</v>
      </c>
    </row>
    <row r="437" spans="1:16" ht="11.25">
      <c r="A437" s="73" t="s">
        <v>5</v>
      </c>
      <c r="B437" s="49"/>
      <c r="C437" s="49"/>
      <c r="D437" s="54"/>
      <c r="E437" s="54"/>
      <c r="F437" s="53"/>
      <c r="G437" s="54"/>
      <c r="H437" s="54"/>
      <c r="I437" s="54"/>
      <c r="J437" s="53"/>
      <c r="K437" s="53"/>
      <c r="L437" s="54"/>
      <c r="M437" s="54"/>
      <c r="N437" s="54"/>
      <c r="O437" s="54"/>
      <c r="P437" s="53"/>
    </row>
    <row r="438" spans="1:16" ht="24" customHeight="1">
      <c r="A438" s="74" t="s">
        <v>66</v>
      </c>
      <c r="B438" s="52"/>
      <c r="C438" s="52"/>
      <c r="D438" s="53"/>
      <c r="E438" s="53">
        <v>11</v>
      </c>
      <c r="F438" s="53">
        <f>E438</f>
        <v>11</v>
      </c>
      <c r="G438" s="53"/>
      <c r="H438" s="53">
        <v>8</v>
      </c>
      <c r="I438" s="53"/>
      <c r="J438" s="53">
        <f>G438+H438</f>
        <v>8</v>
      </c>
      <c r="K438" s="53" t="e">
        <f>G438/D438*100</f>
        <v>#DIV/0!</v>
      </c>
      <c r="L438" s="53"/>
      <c r="M438" s="53"/>
      <c r="N438" s="53"/>
      <c r="O438" s="53">
        <v>8</v>
      </c>
      <c r="P438" s="53">
        <f>O438</f>
        <v>8</v>
      </c>
    </row>
    <row r="439" spans="1:16" ht="11.25">
      <c r="A439" s="73" t="s">
        <v>7</v>
      </c>
      <c r="B439" s="49"/>
      <c r="C439" s="49"/>
      <c r="D439" s="50"/>
      <c r="E439" s="50"/>
      <c r="F439" s="47"/>
      <c r="G439" s="50"/>
      <c r="H439" s="50"/>
      <c r="I439" s="50"/>
      <c r="J439" s="47"/>
      <c r="K439" s="47"/>
      <c r="L439" s="50"/>
      <c r="M439" s="50"/>
      <c r="N439" s="50"/>
      <c r="O439" s="50"/>
      <c r="P439" s="47"/>
    </row>
    <row r="440" spans="1:16" ht="24" customHeight="1">
      <c r="A440" s="76" t="s">
        <v>67</v>
      </c>
      <c r="B440" s="163"/>
      <c r="C440" s="163"/>
      <c r="D440" s="164"/>
      <c r="E440" s="164">
        <v>16750</v>
      </c>
      <c r="F440" s="78">
        <f>E440</f>
        <v>16750</v>
      </c>
      <c r="G440" s="164"/>
      <c r="H440" s="165">
        <v>16750</v>
      </c>
      <c r="I440" s="165"/>
      <c r="J440" s="78">
        <f>G440</f>
        <v>0</v>
      </c>
      <c r="K440" s="78" t="e">
        <f>G440/D440*100</f>
        <v>#DIV/0!</v>
      </c>
      <c r="L440" s="165"/>
      <c r="M440" s="164"/>
      <c r="N440" s="164"/>
      <c r="O440" s="164">
        <v>16750</v>
      </c>
      <c r="P440" s="78">
        <f>O440</f>
        <v>16750</v>
      </c>
    </row>
    <row r="441" spans="1:235" s="180" customFormat="1" ht="35.25" customHeight="1">
      <c r="A441" s="188" t="s">
        <v>363</v>
      </c>
      <c r="B441" s="204"/>
      <c r="C441" s="204"/>
      <c r="D441" s="205"/>
      <c r="E441" s="205"/>
      <c r="F441" s="194"/>
      <c r="G441" s="205"/>
      <c r="H441" s="195">
        <f>H443</f>
        <v>110000</v>
      </c>
      <c r="I441" s="195"/>
      <c r="J441" s="194">
        <f>H441</f>
        <v>110000</v>
      </c>
      <c r="K441" s="194"/>
      <c r="L441" s="195"/>
      <c r="M441" s="205"/>
      <c r="N441" s="205"/>
      <c r="O441" s="205"/>
      <c r="P441" s="194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79"/>
      <c r="AT441" s="179"/>
      <c r="AU441" s="179"/>
      <c r="AV441" s="179"/>
      <c r="AW441" s="179"/>
      <c r="AX441" s="179"/>
      <c r="AY441" s="179"/>
      <c r="AZ441" s="179"/>
      <c r="BA441" s="179"/>
      <c r="BB441" s="179"/>
      <c r="BC441" s="179"/>
      <c r="BD441" s="179"/>
      <c r="BE441" s="179"/>
      <c r="BF441" s="179"/>
      <c r="BG441" s="179"/>
      <c r="BH441" s="179"/>
      <c r="BI441" s="179"/>
      <c r="BJ441" s="179"/>
      <c r="BK441" s="179"/>
      <c r="BL441" s="179"/>
      <c r="BM441" s="179"/>
      <c r="BN441" s="179"/>
      <c r="BO441" s="179"/>
      <c r="BP441" s="179"/>
      <c r="BQ441" s="179"/>
      <c r="BR441" s="179"/>
      <c r="BS441" s="179"/>
      <c r="BT441" s="179"/>
      <c r="BU441" s="179"/>
      <c r="BV441" s="179"/>
      <c r="BW441" s="179"/>
      <c r="BX441" s="179"/>
      <c r="BY441" s="179"/>
      <c r="BZ441" s="179"/>
      <c r="CA441" s="179"/>
      <c r="CB441" s="179"/>
      <c r="CC441" s="179"/>
      <c r="CD441" s="179"/>
      <c r="CE441" s="179"/>
      <c r="CF441" s="179"/>
      <c r="CG441" s="179"/>
      <c r="CH441" s="179"/>
      <c r="CI441" s="179"/>
      <c r="CJ441" s="179"/>
      <c r="CK441" s="179"/>
      <c r="CL441" s="179"/>
      <c r="CM441" s="179"/>
      <c r="CN441" s="179"/>
      <c r="CO441" s="179"/>
      <c r="CP441" s="179"/>
      <c r="CQ441" s="179"/>
      <c r="CR441" s="179"/>
      <c r="CS441" s="179"/>
      <c r="CT441" s="179"/>
      <c r="CU441" s="179"/>
      <c r="CV441" s="179"/>
      <c r="CW441" s="179"/>
      <c r="CX441" s="179"/>
      <c r="CY441" s="179"/>
      <c r="CZ441" s="179"/>
      <c r="DA441" s="179"/>
      <c r="DB441" s="179"/>
      <c r="DC441" s="179"/>
      <c r="DD441" s="179"/>
      <c r="DE441" s="179"/>
      <c r="DF441" s="179"/>
      <c r="DG441" s="179"/>
      <c r="DH441" s="179"/>
      <c r="DI441" s="179"/>
      <c r="DJ441" s="179"/>
      <c r="DK441" s="179"/>
      <c r="DL441" s="179"/>
      <c r="DM441" s="179"/>
      <c r="DN441" s="179"/>
      <c r="DO441" s="179"/>
      <c r="DP441" s="179"/>
      <c r="DQ441" s="179"/>
      <c r="DR441" s="179"/>
      <c r="DS441" s="179"/>
      <c r="DT441" s="179"/>
      <c r="DU441" s="179"/>
      <c r="DV441" s="179"/>
      <c r="DW441" s="179"/>
      <c r="DX441" s="179"/>
      <c r="DY441" s="179"/>
      <c r="DZ441" s="179"/>
      <c r="EA441" s="179"/>
      <c r="EB441" s="179"/>
      <c r="EC441" s="179"/>
      <c r="ED441" s="179"/>
      <c r="EE441" s="179"/>
      <c r="EF441" s="179"/>
      <c r="EG441" s="179"/>
      <c r="EH441" s="179"/>
      <c r="EI441" s="179"/>
      <c r="EJ441" s="179"/>
      <c r="EK441" s="179"/>
      <c r="EL441" s="179"/>
      <c r="EM441" s="179"/>
      <c r="EN441" s="179"/>
      <c r="EO441" s="179"/>
      <c r="EP441" s="179"/>
      <c r="EQ441" s="179"/>
      <c r="ER441" s="179"/>
      <c r="ES441" s="179"/>
      <c r="ET441" s="179"/>
      <c r="EU441" s="179"/>
      <c r="EV441" s="179"/>
      <c r="EW441" s="179"/>
      <c r="EX441" s="179"/>
      <c r="EY441" s="179"/>
      <c r="EZ441" s="179"/>
      <c r="FA441" s="179"/>
      <c r="FB441" s="179"/>
      <c r="FC441" s="179"/>
      <c r="FD441" s="179"/>
      <c r="FE441" s="179"/>
      <c r="FF441" s="179"/>
      <c r="FG441" s="179"/>
      <c r="FH441" s="179"/>
      <c r="FI441" s="179"/>
      <c r="FJ441" s="179"/>
      <c r="FK441" s="179"/>
      <c r="FL441" s="179"/>
      <c r="FM441" s="179"/>
      <c r="FN441" s="179"/>
      <c r="FO441" s="179"/>
      <c r="FP441" s="179"/>
      <c r="FQ441" s="179"/>
      <c r="FR441" s="179"/>
      <c r="FS441" s="179"/>
      <c r="FT441" s="179"/>
      <c r="FU441" s="179"/>
      <c r="FV441" s="179"/>
      <c r="FW441" s="179"/>
      <c r="FX441" s="179"/>
      <c r="FY441" s="179"/>
      <c r="FZ441" s="179"/>
      <c r="GA441" s="179"/>
      <c r="GB441" s="179"/>
      <c r="GC441" s="179"/>
      <c r="GD441" s="179"/>
      <c r="GE441" s="179"/>
      <c r="GF441" s="179"/>
      <c r="GG441" s="179"/>
      <c r="GH441" s="179"/>
      <c r="GI441" s="179"/>
      <c r="GJ441" s="179"/>
      <c r="GK441" s="179"/>
      <c r="GL441" s="179"/>
      <c r="GM441" s="179"/>
      <c r="GN441" s="179"/>
      <c r="GO441" s="179"/>
      <c r="GP441" s="179"/>
      <c r="GQ441" s="179"/>
      <c r="GR441" s="179"/>
      <c r="GS441" s="179"/>
      <c r="GT441" s="179"/>
      <c r="GU441" s="179"/>
      <c r="GV441" s="179"/>
      <c r="GW441" s="179"/>
      <c r="GX441" s="179"/>
      <c r="GY441" s="179"/>
      <c r="GZ441" s="179"/>
      <c r="HA441" s="179"/>
      <c r="HB441" s="179"/>
      <c r="HC441" s="179"/>
      <c r="HD441" s="179"/>
      <c r="HE441" s="179"/>
      <c r="HF441" s="179"/>
      <c r="HG441" s="179"/>
      <c r="HH441" s="179"/>
      <c r="HI441" s="179"/>
      <c r="HJ441" s="179"/>
      <c r="HK441" s="179"/>
      <c r="HL441" s="179"/>
      <c r="HM441" s="179"/>
      <c r="HN441" s="179"/>
      <c r="HO441" s="179"/>
      <c r="HP441" s="179"/>
      <c r="HQ441" s="179"/>
      <c r="HR441" s="179"/>
      <c r="HS441" s="179"/>
      <c r="HT441" s="179"/>
      <c r="HU441" s="179"/>
      <c r="HV441" s="179"/>
      <c r="HW441" s="179"/>
      <c r="HX441" s="179"/>
      <c r="HY441" s="179"/>
      <c r="HZ441" s="179"/>
      <c r="IA441" s="179"/>
    </row>
    <row r="442" spans="1:16" ht="11.25">
      <c r="A442" s="73" t="s">
        <v>4</v>
      </c>
      <c r="B442" s="166"/>
      <c r="C442" s="166"/>
      <c r="D442" s="150"/>
      <c r="E442" s="150"/>
      <c r="F442" s="151"/>
      <c r="G442" s="150"/>
      <c r="H442" s="152"/>
      <c r="I442" s="152"/>
      <c r="J442" s="151"/>
      <c r="K442" s="151"/>
      <c r="L442" s="152"/>
      <c r="M442" s="150"/>
      <c r="N442" s="150"/>
      <c r="O442" s="150"/>
      <c r="P442" s="151"/>
    </row>
    <row r="443" spans="1:16" ht="33.75">
      <c r="A443" s="74" t="s">
        <v>324</v>
      </c>
      <c r="B443" s="166"/>
      <c r="C443" s="166"/>
      <c r="D443" s="150"/>
      <c r="E443" s="150"/>
      <c r="F443" s="151"/>
      <c r="G443" s="150"/>
      <c r="H443" s="152">
        <v>110000</v>
      </c>
      <c r="I443" s="152"/>
      <c r="J443" s="151">
        <f>H443</f>
        <v>110000</v>
      </c>
      <c r="K443" s="151"/>
      <c r="L443" s="152"/>
      <c r="M443" s="150"/>
      <c r="N443" s="150"/>
      <c r="O443" s="150"/>
      <c r="P443" s="151"/>
    </row>
    <row r="444" spans="1:16" ht="11.25">
      <c r="A444" s="73" t="s">
        <v>5</v>
      </c>
      <c r="B444" s="166"/>
      <c r="C444" s="166"/>
      <c r="D444" s="150"/>
      <c r="E444" s="150"/>
      <c r="F444" s="151"/>
      <c r="G444" s="150"/>
      <c r="H444" s="152"/>
      <c r="I444" s="152"/>
      <c r="J444" s="151"/>
      <c r="K444" s="151"/>
      <c r="L444" s="152"/>
      <c r="M444" s="150"/>
      <c r="N444" s="150"/>
      <c r="O444" s="150"/>
      <c r="P444" s="151"/>
    </row>
    <row r="445" spans="1:16" ht="45">
      <c r="A445" s="209" t="s">
        <v>342</v>
      </c>
      <c r="B445" s="166"/>
      <c r="C445" s="166"/>
      <c r="D445" s="150"/>
      <c r="E445" s="150"/>
      <c r="F445" s="151"/>
      <c r="G445" s="150"/>
      <c r="H445" s="152">
        <v>1</v>
      </c>
      <c r="I445" s="152"/>
      <c r="J445" s="151">
        <v>1</v>
      </c>
      <c r="K445" s="151"/>
      <c r="L445" s="152"/>
      <c r="M445" s="150"/>
      <c r="N445" s="150"/>
      <c r="O445" s="150"/>
      <c r="P445" s="151"/>
    </row>
    <row r="446" spans="1:16" ht="11.25">
      <c r="A446" s="73" t="s">
        <v>7</v>
      </c>
      <c r="B446" s="166"/>
      <c r="C446" s="166"/>
      <c r="D446" s="150"/>
      <c r="E446" s="150"/>
      <c r="F446" s="151"/>
      <c r="G446" s="150"/>
      <c r="H446" s="152"/>
      <c r="I446" s="152"/>
      <c r="J446" s="151"/>
      <c r="K446" s="151"/>
      <c r="L446" s="152"/>
      <c r="M446" s="150"/>
      <c r="N446" s="150"/>
      <c r="O446" s="150"/>
      <c r="P446" s="151"/>
    </row>
    <row r="447" spans="1:16" ht="39" customHeight="1">
      <c r="A447" s="76" t="s">
        <v>325</v>
      </c>
      <c r="B447" s="166"/>
      <c r="C447" s="166"/>
      <c r="D447" s="150"/>
      <c r="E447" s="150"/>
      <c r="F447" s="151"/>
      <c r="G447" s="150"/>
      <c r="H447" s="152">
        <v>110000</v>
      </c>
      <c r="I447" s="152"/>
      <c r="J447" s="151">
        <f>J443/H445</f>
        <v>110000</v>
      </c>
      <c r="K447" s="151"/>
      <c r="L447" s="152"/>
      <c r="M447" s="150"/>
      <c r="N447" s="150"/>
      <c r="O447" s="150"/>
      <c r="P447" s="151"/>
    </row>
    <row r="448" spans="1:235" s="180" customFormat="1" ht="39" customHeight="1">
      <c r="A448" s="196" t="s">
        <v>364</v>
      </c>
      <c r="B448" s="204"/>
      <c r="C448" s="204"/>
      <c r="D448" s="205"/>
      <c r="E448" s="205"/>
      <c r="F448" s="194"/>
      <c r="G448" s="205"/>
      <c r="H448" s="194">
        <v>199000</v>
      </c>
      <c r="I448" s="194"/>
      <c r="J448" s="194">
        <f>G448+H448</f>
        <v>199000</v>
      </c>
      <c r="K448" s="194"/>
      <c r="L448" s="195"/>
      <c r="M448" s="205"/>
      <c r="N448" s="205"/>
      <c r="O448" s="205"/>
      <c r="P448" s="194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79"/>
      <c r="AT448" s="179"/>
      <c r="AU448" s="179"/>
      <c r="AV448" s="179"/>
      <c r="AW448" s="179"/>
      <c r="AX448" s="179"/>
      <c r="AY448" s="179"/>
      <c r="AZ448" s="179"/>
      <c r="BA448" s="179"/>
      <c r="BB448" s="179"/>
      <c r="BC448" s="179"/>
      <c r="BD448" s="179"/>
      <c r="BE448" s="179"/>
      <c r="BF448" s="179"/>
      <c r="BG448" s="179"/>
      <c r="BH448" s="179"/>
      <c r="BI448" s="179"/>
      <c r="BJ448" s="179"/>
      <c r="BK448" s="179"/>
      <c r="BL448" s="179"/>
      <c r="BM448" s="179"/>
      <c r="BN448" s="179"/>
      <c r="BO448" s="179"/>
      <c r="BP448" s="179"/>
      <c r="BQ448" s="179"/>
      <c r="BR448" s="179"/>
      <c r="BS448" s="179"/>
      <c r="BT448" s="179"/>
      <c r="BU448" s="179"/>
      <c r="BV448" s="179"/>
      <c r="BW448" s="179"/>
      <c r="BX448" s="179"/>
      <c r="BY448" s="179"/>
      <c r="BZ448" s="179"/>
      <c r="CA448" s="179"/>
      <c r="CB448" s="179"/>
      <c r="CC448" s="179"/>
      <c r="CD448" s="179"/>
      <c r="CE448" s="179"/>
      <c r="CF448" s="179"/>
      <c r="CG448" s="179"/>
      <c r="CH448" s="179"/>
      <c r="CI448" s="179"/>
      <c r="CJ448" s="179"/>
      <c r="CK448" s="179"/>
      <c r="CL448" s="179"/>
      <c r="CM448" s="179"/>
      <c r="CN448" s="179"/>
      <c r="CO448" s="179"/>
      <c r="CP448" s="179"/>
      <c r="CQ448" s="179"/>
      <c r="CR448" s="179"/>
      <c r="CS448" s="179"/>
      <c r="CT448" s="179"/>
      <c r="CU448" s="179"/>
      <c r="CV448" s="179"/>
      <c r="CW448" s="179"/>
      <c r="CX448" s="179"/>
      <c r="CY448" s="179"/>
      <c r="CZ448" s="179"/>
      <c r="DA448" s="179"/>
      <c r="DB448" s="179"/>
      <c r="DC448" s="179"/>
      <c r="DD448" s="179"/>
      <c r="DE448" s="179"/>
      <c r="DF448" s="179"/>
      <c r="DG448" s="179"/>
      <c r="DH448" s="179"/>
      <c r="DI448" s="179"/>
      <c r="DJ448" s="179"/>
      <c r="DK448" s="179"/>
      <c r="DL448" s="179"/>
      <c r="DM448" s="179"/>
      <c r="DN448" s="179"/>
      <c r="DO448" s="179"/>
      <c r="DP448" s="179"/>
      <c r="DQ448" s="179"/>
      <c r="DR448" s="179"/>
      <c r="DS448" s="179"/>
      <c r="DT448" s="179"/>
      <c r="DU448" s="179"/>
      <c r="DV448" s="179"/>
      <c r="DW448" s="179"/>
      <c r="DX448" s="179"/>
      <c r="DY448" s="179"/>
      <c r="DZ448" s="179"/>
      <c r="EA448" s="179"/>
      <c r="EB448" s="179"/>
      <c r="EC448" s="179"/>
      <c r="ED448" s="179"/>
      <c r="EE448" s="179"/>
      <c r="EF448" s="179"/>
      <c r="EG448" s="179"/>
      <c r="EH448" s="179"/>
      <c r="EI448" s="179"/>
      <c r="EJ448" s="179"/>
      <c r="EK448" s="179"/>
      <c r="EL448" s="179"/>
      <c r="EM448" s="179"/>
      <c r="EN448" s="179"/>
      <c r="EO448" s="179"/>
      <c r="EP448" s="179"/>
      <c r="EQ448" s="179"/>
      <c r="ER448" s="179"/>
      <c r="ES448" s="179"/>
      <c r="ET448" s="179"/>
      <c r="EU448" s="179"/>
      <c r="EV448" s="179"/>
      <c r="EW448" s="179"/>
      <c r="EX448" s="179"/>
      <c r="EY448" s="179"/>
      <c r="EZ448" s="179"/>
      <c r="FA448" s="179"/>
      <c r="FB448" s="179"/>
      <c r="FC448" s="179"/>
      <c r="FD448" s="179"/>
      <c r="FE448" s="179"/>
      <c r="FF448" s="179"/>
      <c r="FG448" s="179"/>
      <c r="FH448" s="179"/>
      <c r="FI448" s="179"/>
      <c r="FJ448" s="179"/>
      <c r="FK448" s="179"/>
      <c r="FL448" s="179"/>
      <c r="FM448" s="179"/>
      <c r="FN448" s="179"/>
      <c r="FO448" s="179"/>
      <c r="FP448" s="179"/>
      <c r="FQ448" s="179"/>
      <c r="FR448" s="179"/>
      <c r="FS448" s="179"/>
      <c r="FT448" s="179"/>
      <c r="FU448" s="179"/>
      <c r="FV448" s="179"/>
      <c r="FW448" s="179"/>
      <c r="FX448" s="179"/>
      <c r="FY448" s="179"/>
      <c r="FZ448" s="179"/>
      <c r="GA448" s="179"/>
      <c r="GB448" s="179"/>
      <c r="GC448" s="179"/>
      <c r="GD448" s="179"/>
      <c r="GE448" s="179"/>
      <c r="GF448" s="179"/>
      <c r="GG448" s="179"/>
      <c r="GH448" s="179"/>
      <c r="GI448" s="179"/>
      <c r="GJ448" s="179"/>
      <c r="GK448" s="179"/>
      <c r="GL448" s="179"/>
      <c r="GM448" s="179"/>
      <c r="GN448" s="179"/>
      <c r="GO448" s="179"/>
      <c r="GP448" s="179"/>
      <c r="GQ448" s="179"/>
      <c r="GR448" s="179"/>
      <c r="GS448" s="179"/>
      <c r="GT448" s="179"/>
      <c r="GU448" s="179"/>
      <c r="GV448" s="179"/>
      <c r="GW448" s="179"/>
      <c r="GX448" s="179"/>
      <c r="GY448" s="179"/>
      <c r="GZ448" s="179"/>
      <c r="HA448" s="179"/>
      <c r="HB448" s="179"/>
      <c r="HC448" s="179"/>
      <c r="HD448" s="179"/>
      <c r="HE448" s="179"/>
      <c r="HF448" s="179"/>
      <c r="HG448" s="179"/>
      <c r="HH448" s="179"/>
      <c r="HI448" s="179"/>
      <c r="HJ448" s="179"/>
      <c r="HK448" s="179"/>
      <c r="HL448" s="179"/>
      <c r="HM448" s="179"/>
      <c r="HN448" s="179"/>
      <c r="HO448" s="179"/>
      <c r="HP448" s="179"/>
      <c r="HQ448" s="179"/>
      <c r="HR448" s="179"/>
      <c r="HS448" s="179"/>
      <c r="HT448" s="179"/>
      <c r="HU448" s="179"/>
      <c r="HV448" s="179"/>
      <c r="HW448" s="179"/>
      <c r="HX448" s="179"/>
      <c r="HY448" s="179"/>
      <c r="HZ448" s="179"/>
      <c r="IA448" s="179"/>
    </row>
    <row r="449" spans="1:16" ht="11.25">
      <c r="A449" s="174" t="s">
        <v>332</v>
      </c>
      <c r="B449" s="166"/>
      <c r="C449" s="166"/>
      <c r="D449" s="150"/>
      <c r="E449" s="150"/>
      <c r="F449" s="151"/>
      <c r="G449" s="150"/>
      <c r="H449" s="152"/>
      <c r="I449" s="152"/>
      <c r="J449" s="151"/>
      <c r="K449" s="151"/>
      <c r="L449" s="152"/>
      <c r="M449" s="150"/>
      <c r="N449" s="150"/>
      <c r="O449" s="150"/>
      <c r="P449" s="151"/>
    </row>
    <row r="450" spans="1:16" ht="33.75">
      <c r="A450" s="173" t="s">
        <v>333</v>
      </c>
      <c r="B450" s="166"/>
      <c r="C450" s="166"/>
      <c r="D450" s="150"/>
      <c r="E450" s="150"/>
      <c r="F450" s="151"/>
      <c r="G450" s="150"/>
      <c r="H450" s="152">
        <v>1</v>
      </c>
      <c r="I450" s="152"/>
      <c r="J450" s="175">
        <f>H450+G450</f>
        <v>1</v>
      </c>
      <c r="K450" s="151"/>
      <c r="L450" s="152"/>
      <c r="M450" s="150"/>
      <c r="N450" s="150"/>
      <c r="O450" s="150"/>
      <c r="P450" s="151"/>
    </row>
    <row r="451" spans="1:16" ht="11.25">
      <c r="A451" s="174" t="s">
        <v>334</v>
      </c>
      <c r="B451" s="166"/>
      <c r="C451" s="166"/>
      <c r="D451" s="150"/>
      <c r="E451" s="150"/>
      <c r="F451" s="151"/>
      <c r="G451" s="150"/>
      <c r="H451" s="152"/>
      <c r="I451" s="152"/>
      <c r="J451" s="151"/>
      <c r="K451" s="151"/>
      <c r="L451" s="152"/>
      <c r="M451" s="150"/>
      <c r="N451" s="150"/>
      <c r="O451" s="150"/>
      <c r="P451" s="151"/>
    </row>
    <row r="452" spans="1:16" ht="33.75">
      <c r="A452" s="173" t="s">
        <v>335</v>
      </c>
      <c r="B452" s="166"/>
      <c r="C452" s="166"/>
      <c r="D452" s="150"/>
      <c r="E452" s="150"/>
      <c r="F452" s="151"/>
      <c r="G452" s="150"/>
      <c r="H452" s="151">
        <v>199000</v>
      </c>
      <c r="I452" s="151"/>
      <c r="J452" s="151">
        <f>G452+H452</f>
        <v>199000</v>
      </c>
      <c r="K452" s="151"/>
      <c r="L452" s="152"/>
      <c r="M452" s="150"/>
      <c r="N452" s="150"/>
      <c r="O452" s="150"/>
      <c r="P452" s="151"/>
    </row>
    <row r="453" spans="1:16" ht="11.25">
      <c r="A453" s="174" t="s">
        <v>336</v>
      </c>
      <c r="B453" s="166"/>
      <c r="C453" s="166"/>
      <c r="D453" s="150"/>
      <c r="E453" s="150"/>
      <c r="F453" s="151"/>
      <c r="G453" s="150"/>
      <c r="H453" s="151"/>
      <c r="I453" s="151"/>
      <c r="J453" s="151"/>
      <c r="K453" s="151"/>
      <c r="L453" s="152"/>
      <c r="M453" s="150"/>
      <c r="N453" s="150"/>
      <c r="O453" s="150"/>
      <c r="P453" s="151"/>
    </row>
    <row r="454" spans="1:16" ht="37.5" customHeight="1">
      <c r="A454" s="173" t="s">
        <v>337</v>
      </c>
      <c r="B454" s="166"/>
      <c r="C454" s="166"/>
      <c r="D454" s="150"/>
      <c r="E454" s="150"/>
      <c r="F454" s="151"/>
      <c r="G454" s="150"/>
      <c r="H454" s="151">
        <v>199000</v>
      </c>
      <c r="I454" s="151"/>
      <c r="J454" s="151">
        <f>G454+H454</f>
        <v>199000</v>
      </c>
      <c r="K454" s="151"/>
      <c r="L454" s="152"/>
      <c r="M454" s="150"/>
      <c r="N454" s="150"/>
      <c r="O454" s="150"/>
      <c r="P454" s="151"/>
    </row>
    <row r="455" spans="1:235" s="172" customFormat="1" ht="16.5" customHeight="1">
      <c r="A455" s="210">
        <v>100302</v>
      </c>
      <c r="B455" s="210"/>
      <c r="C455" s="210"/>
      <c r="D455" s="233">
        <f>D456</f>
        <v>2172800</v>
      </c>
      <c r="E455" s="233">
        <f>E464</f>
        <v>13000</v>
      </c>
      <c r="F455" s="233">
        <f>D455+E455</f>
        <v>2185800</v>
      </c>
      <c r="G455" s="233">
        <f>G456</f>
        <v>400000</v>
      </c>
      <c r="H455" s="233"/>
      <c r="I455" s="233">
        <f>I456</f>
        <v>0</v>
      </c>
      <c r="J455" s="233">
        <f>G455</f>
        <v>400000</v>
      </c>
      <c r="K455" s="233" t="e">
        <f>#REF!+K456</f>
        <v>#REF!</v>
      </c>
      <c r="L455" s="233" t="e">
        <f>#REF!+L456</f>
        <v>#REF!</v>
      </c>
      <c r="M455" s="233" t="e">
        <f>#REF!+M456</f>
        <v>#REF!</v>
      </c>
      <c r="N455" s="233">
        <f>N456</f>
        <v>300000</v>
      </c>
      <c r="O455" s="233"/>
      <c r="P455" s="233">
        <f>N455</f>
        <v>300000</v>
      </c>
      <c r="Q455" s="258"/>
      <c r="R455" s="258"/>
      <c r="S455" s="258"/>
      <c r="T455" s="258"/>
      <c r="U455" s="258"/>
      <c r="V455" s="258"/>
      <c r="W455" s="258"/>
      <c r="X455" s="258"/>
      <c r="Y455" s="258"/>
      <c r="Z455" s="258"/>
      <c r="AA455" s="258"/>
      <c r="AB455" s="258"/>
      <c r="AC455" s="258"/>
      <c r="AD455" s="258"/>
      <c r="AE455" s="258"/>
      <c r="AF455" s="258"/>
      <c r="AG455" s="258"/>
      <c r="AH455" s="258"/>
      <c r="AI455" s="258"/>
      <c r="AJ455" s="258"/>
      <c r="AK455" s="258"/>
      <c r="AL455" s="258"/>
      <c r="AM455" s="258"/>
      <c r="AN455" s="258"/>
      <c r="AO455" s="258"/>
      <c r="AP455" s="258"/>
      <c r="AQ455" s="258"/>
      <c r="AR455" s="258"/>
      <c r="AS455" s="258"/>
      <c r="AT455" s="258"/>
      <c r="AU455" s="258"/>
      <c r="AV455" s="258"/>
      <c r="AW455" s="258"/>
      <c r="AX455" s="258"/>
      <c r="AY455" s="258"/>
      <c r="AZ455" s="258"/>
      <c r="BA455" s="258"/>
      <c r="BB455" s="258"/>
      <c r="BC455" s="258"/>
      <c r="BD455" s="258"/>
      <c r="BE455" s="258"/>
      <c r="BF455" s="258"/>
      <c r="BG455" s="258"/>
      <c r="BH455" s="258"/>
      <c r="BI455" s="258"/>
      <c r="BJ455" s="258"/>
      <c r="BK455" s="258"/>
      <c r="BL455" s="258"/>
      <c r="BM455" s="258"/>
      <c r="BN455" s="258"/>
      <c r="BO455" s="258"/>
      <c r="BP455" s="258"/>
      <c r="BQ455" s="258"/>
      <c r="BR455" s="258"/>
      <c r="BS455" s="258"/>
      <c r="BT455" s="258"/>
      <c r="BU455" s="258"/>
      <c r="BV455" s="258"/>
      <c r="BW455" s="258"/>
      <c r="BX455" s="258"/>
      <c r="BY455" s="258"/>
      <c r="BZ455" s="258"/>
      <c r="CA455" s="258"/>
      <c r="CB455" s="258"/>
      <c r="CC455" s="258"/>
      <c r="CD455" s="258"/>
      <c r="CE455" s="258"/>
      <c r="CF455" s="258"/>
      <c r="CG455" s="258"/>
      <c r="CH455" s="258"/>
      <c r="CI455" s="258"/>
      <c r="CJ455" s="258"/>
      <c r="CK455" s="258"/>
      <c r="CL455" s="258"/>
      <c r="CM455" s="258"/>
      <c r="CN455" s="258"/>
      <c r="CO455" s="258"/>
      <c r="CP455" s="258"/>
      <c r="CQ455" s="258"/>
      <c r="CR455" s="258"/>
      <c r="CS455" s="258"/>
      <c r="CT455" s="258"/>
      <c r="CU455" s="258"/>
      <c r="CV455" s="258"/>
      <c r="CW455" s="258"/>
      <c r="CX455" s="258"/>
      <c r="CY455" s="258"/>
      <c r="CZ455" s="258"/>
      <c r="DA455" s="258"/>
      <c r="DB455" s="258"/>
      <c r="DC455" s="258"/>
      <c r="DD455" s="258"/>
      <c r="DE455" s="258"/>
      <c r="DF455" s="258"/>
      <c r="DG455" s="258"/>
      <c r="DH455" s="258"/>
      <c r="DI455" s="258"/>
      <c r="DJ455" s="258"/>
      <c r="DK455" s="258"/>
      <c r="DL455" s="258"/>
      <c r="DM455" s="258"/>
      <c r="DN455" s="258"/>
      <c r="DO455" s="258"/>
      <c r="DP455" s="258"/>
      <c r="DQ455" s="258"/>
      <c r="DR455" s="258"/>
      <c r="DS455" s="258"/>
      <c r="DT455" s="258"/>
      <c r="DU455" s="258"/>
      <c r="DV455" s="258"/>
      <c r="DW455" s="258"/>
      <c r="DX455" s="258"/>
      <c r="DY455" s="258"/>
      <c r="DZ455" s="258"/>
      <c r="EA455" s="258"/>
      <c r="EB455" s="258"/>
      <c r="EC455" s="258"/>
      <c r="ED455" s="258"/>
      <c r="EE455" s="258"/>
      <c r="EF455" s="258"/>
      <c r="EG455" s="258"/>
      <c r="EH455" s="258"/>
      <c r="EI455" s="258"/>
      <c r="EJ455" s="258"/>
      <c r="EK455" s="258"/>
      <c r="EL455" s="258"/>
      <c r="EM455" s="258"/>
      <c r="EN455" s="258"/>
      <c r="EO455" s="258"/>
      <c r="EP455" s="258"/>
      <c r="EQ455" s="258"/>
      <c r="ER455" s="258"/>
      <c r="ES455" s="258"/>
      <c r="ET455" s="258"/>
      <c r="EU455" s="258"/>
      <c r="EV455" s="258"/>
      <c r="EW455" s="258"/>
      <c r="EX455" s="258"/>
      <c r="EY455" s="258"/>
      <c r="EZ455" s="258"/>
      <c r="FA455" s="258"/>
      <c r="FB455" s="258"/>
      <c r="FC455" s="258"/>
      <c r="FD455" s="258"/>
      <c r="FE455" s="258"/>
      <c r="FF455" s="258"/>
      <c r="FG455" s="258"/>
      <c r="FH455" s="258"/>
      <c r="FI455" s="258"/>
      <c r="FJ455" s="258"/>
      <c r="FK455" s="258"/>
      <c r="FL455" s="258"/>
      <c r="FM455" s="258"/>
      <c r="FN455" s="258"/>
      <c r="FO455" s="258"/>
      <c r="FP455" s="258"/>
      <c r="FQ455" s="258"/>
      <c r="FR455" s="258"/>
      <c r="FS455" s="258"/>
      <c r="FT455" s="258"/>
      <c r="FU455" s="258"/>
      <c r="FV455" s="258"/>
      <c r="FW455" s="258"/>
      <c r="FX455" s="258"/>
      <c r="FY455" s="258"/>
      <c r="FZ455" s="258"/>
      <c r="GA455" s="258"/>
      <c r="GB455" s="258"/>
      <c r="GC455" s="258"/>
      <c r="GD455" s="258"/>
      <c r="GE455" s="258"/>
      <c r="GF455" s="258"/>
      <c r="GG455" s="258"/>
      <c r="GH455" s="258"/>
      <c r="GI455" s="258"/>
      <c r="GJ455" s="258"/>
      <c r="GK455" s="258"/>
      <c r="GL455" s="258"/>
      <c r="GM455" s="258"/>
      <c r="GN455" s="258"/>
      <c r="GO455" s="258"/>
      <c r="GP455" s="258"/>
      <c r="GQ455" s="258"/>
      <c r="GR455" s="258"/>
      <c r="GS455" s="258"/>
      <c r="GT455" s="258"/>
      <c r="GU455" s="258"/>
      <c r="GV455" s="258"/>
      <c r="GW455" s="258"/>
      <c r="GX455" s="258"/>
      <c r="GY455" s="258"/>
      <c r="GZ455" s="258"/>
      <c r="HA455" s="258"/>
      <c r="HB455" s="258"/>
      <c r="HC455" s="258"/>
      <c r="HD455" s="258"/>
      <c r="HE455" s="258"/>
      <c r="HF455" s="258"/>
      <c r="HG455" s="258"/>
      <c r="HH455" s="258"/>
      <c r="HI455" s="258"/>
      <c r="HJ455" s="258"/>
      <c r="HK455" s="258"/>
      <c r="HL455" s="258"/>
      <c r="HM455" s="258"/>
      <c r="HN455" s="258"/>
      <c r="HO455" s="258"/>
      <c r="HP455" s="258"/>
      <c r="HQ455" s="258"/>
      <c r="HR455" s="258"/>
      <c r="HS455" s="258"/>
      <c r="HT455" s="258"/>
      <c r="HU455" s="258"/>
      <c r="HV455" s="258"/>
      <c r="HW455" s="258"/>
      <c r="HX455" s="258"/>
      <c r="HY455" s="258"/>
      <c r="HZ455" s="258"/>
      <c r="IA455" s="258"/>
    </row>
    <row r="456" spans="1:235" s="180" customFormat="1" ht="29.25" customHeight="1">
      <c r="A456" s="167" t="s">
        <v>365</v>
      </c>
      <c r="B456" s="176"/>
      <c r="C456" s="176"/>
      <c r="D456" s="178">
        <f>D459</f>
        <v>2172800</v>
      </c>
      <c r="E456" s="178"/>
      <c r="F456" s="178">
        <f>D456</f>
        <v>2172800</v>
      </c>
      <c r="G456" s="178">
        <f>G459</f>
        <v>400000</v>
      </c>
      <c r="H456" s="178"/>
      <c r="I456" s="178">
        <f>I459</f>
        <v>0</v>
      </c>
      <c r="J456" s="178">
        <f>G456</f>
        <v>400000</v>
      </c>
      <c r="K456" s="178"/>
      <c r="L456" s="178"/>
      <c r="M456" s="178"/>
      <c r="N456" s="178">
        <f>N459</f>
        <v>300000</v>
      </c>
      <c r="O456" s="178"/>
      <c r="P456" s="178">
        <f>N456</f>
        <v>300000</v>
      </c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79"/>
      <c r="AT456" s="179"/>
      <c r="AU456" s="179"/>
      <c r="AV456" s="179"/>
      <c r="AW456" s="179"/>
      <c r="AX456" s="179"/>
      <c r="AY456" s="179"/>
      <c r="AZ456" s="179"/>
      <c r="BA456" s="179"/>
      <c r="BB456" s="179"/>
      <c r="BC456" s="179"/>
      <c r="BD456" s="179"/>
      <c r="BE456" s="179"/>
      <c r="BF456" s="179"/>
      <c r="BG456" s="179"/>
      <c r="BH456" s="179"/>
      <c r="BI456" s="179"/>
      <c r="BJ456" s="179"/>
      <c r="BK456" s="179"/>
      <c r="BL456" s="179"/>
      <c r="BM456" s="179"/>
      <c r="BN456" s="179"/>
      <c r="BO456" s="179"/>
      <c r="BP456" s="179"/>
      <c r="BQ456" s="179"/>
      <c r="BR456" s="179"/>
      <c r="BS456" s="179"/>
      <c r="BT456" s="179"/>
      <c r="BU456" s="179"/>
      <c r="BV456" s="179"/>
      <c r="BW456" s="179"/>
      <c r="BX456" s="179"/>
      <c r="BY456" s="179"/>
      <c r="BZ456" s="179"/>
      <c r="CA456" s="179"/>
      <c r="CB456" s="179"/>
      <c r="CC456" s="179"/>
      <c r="CD456" s="179"/>
      <c r="CE456" s="179"/>
      <c r="CF456" s="179"/>
      <c r="CG456" s="179"/>
      <c r="CH456" s="179"/>
      <c r="CI456" s="179"/>
      <c r="CJ456" s="179"/>
      <c r="CK456" s="179"/>
      <c r="CL456" s="179"/>
      <c r="CM456" s="179"/>
      <c r="CN456" s="179"/>
      <c r="CO456" s="179"/>
      <c r="CP456" s="179"/>
      <c r="CQ456" s="179"/>
      <c r="CR456" s="179"/>
      <c r="CS456" s="179"/>
      <c r="CT456" s="179"/>
      <c r="CU456" s="179"/>
      <c r="CV456" s="179"/>
      <c r="CW456" s="179"/>
      <c r="CX456" s="179"/>
      <c r="CY456" s="179"/>
      <c r="CZ456" s="179"/>
      <c r="DA456" s="179"/>
      <c r="DB456" s="179"/>
      <c r="DC456" s="179"/>
      <c r="DD456" s="179"/>
      <c r="DE456" s="179"/>
      <c r="DF456" s="179"/>
      <c r="DG456" s="179"/>
      <c r="DH456" s="179"/>
      <c r="DI456" s="179"/>
      <c r="DJ456" s="179"/>
      <c r="DK456" s="179"/>
      <c r="DL456" s="179"/>
      <c r="DM456" s="179"/>
      <c r="DN456" s="179"/>
      <c r="DO456" s="179"/>
      <c r="DP456" s="179"/>
      <c r="DQ456" s="179"/>
      <c r="DR456" s="179"/>
      <c r="DS456" s="179"/>
      <c r="DT456" s="179"/>
      <c r="DU456" s="179"/>
      <c r="DV456" s="179"/>
      <c r="DW456" s="179"/>
      <c r="DX456" s="179"/>
      <c r="DY456" s="179"/>
      <c r="DZ456" s="179"/>
      <c r="EA456" s="179"/>
      <c r="EB456" s="179"/>
      <c r="EC456" s="179"/>
      <c r="ED456" s="179"/>
      <c r="EE456" s="179"/>
      <c r="EF456" s="179"/>
      <c r="EG456" s="179"/>
      <c r="EH456" s="179"/>
      <c r="EI456" s="179"/>
      <c r="EJ456" s="179"/>
      <c r="EK456" s="179"/>
      <c r="EL456" s="179"/>
      <c r="EM456" s="179"/>
      <c r="EN456" s="179"/>
      <c r="EO456" s="179"/>
      <c r="EP456" s="179"/>
      <c r="EQ456" s="179"/>
      <c r="ER456" s="179"/>
      <c r="ES456" s="179"/>
      <c r="ET456" s="179"/>
      <c r="EU456" s="179"/>
      <c r="EV456" s="179"/>
      <c r="EW456" s="179"/>
      <c r="EX456" s="179"/>
      <c r="EY456" s="179"/>
      <c r="EZ456" s="179"/>
      <c r="FA456" s="179"/>
      <c r="FB456" s="179"/>
      <c r="FC456" s="179"/>
      <c r="FD456" s="179"/>
      <c r="FE456" s="179"/>
      <c r="FF456" s="179"/>
      <c r="FG456" s="179"/>
      <c r="FH456" s="179"/>
      <c r="FI456" s="179"/>
      <c r="FJ456" s="179"/>
      <c r="FK456" s="179"/>
      <c r="FL456" s="179"/>
      <c r="FM456" s="179"/>
      <c r="FN456" s="179"/>
      <c r="FO456" s="179"/>
      <c r="FP456" s="179"/>
      <c r="FQ456" s="179"/>
      <c r="FR456" s="179"/>
      <c r="FS456" s="179"/>
      <c r="FT456" s="179"/>
      <c r="FU456" s="179"/>
      <c r="FV456" s="179"/>
      <c r="FW456" s="179"/>
      <c r="FX456" s="179"/>
      <c r="FY456" s="179"/>
      <c r="FZ456" s="179"/>
      <c r="GA456" s="179"/>
      <c r="GB456" s="179"/>
      <c r="GC456" s="179"/>
      <c r="GD456" s="179"/>
      <c r="GE456" s="179"/>
      <c r="GF456" s="179"/>
      <c r="GG456" s="179"/>
      <c r="GH456" s="179"/>
      <c r="GI456" s="179"/>
      <c r="GJ456" s="179"/>
      <c r="GK456" s="179"/>
      <c r="GL456" s="179"/>
      <c r="GM456" s="179"/>
      <c r="GN456" s="179"/>
      <c r="GO456" s="179"/>
      <c r="GP456" s="179"/>
      <c r="GQ456" s="179"/>
      <c r="GR456" s="179"/>
      <c r="GS456" s="179"/>
      <c r="GT456" s="179"/>
      <c r="GU456" s="179"/>
      <c r="GV456" s="179"/>
      <c r="GW456" s="179"/>
      <c r="GX456" s="179"/>
      <c r="GY456" s="179"/>
      <c r="GZ456" s="179"/>
      <c r="HA456" s="179"/>
      <c r="HB456" s="179"/>
      <c r="HC456" s="179"/>
      <c r="HD456" s="179"/>
      <c r="HE456" s="179"/>
      <c r="HF456" s="179"/>
      <c r="HG456" s="179"/>
      <c r="HH456" s="179"/>
      <c r="HI456" s="179"/>
      <c r="HJ456" s="179"/>
      <c r="HK456" s="179"/>
      <c r="HL456" s="179"/>
      <c r="HM456" s="179"/>
      <c r="HN456" s="179"/>
      <c r="HO456" s="179"/>
      <c r="HP456" s="179"/>
      <c r="HQ456" s="179"/>
      <c r="HR456" s="179"/>
      <c r="HS456" s="179"/>
      <c r="HT456" s="179"/>
      <c r="HU456" s="179"/>
      <c r="HV456" s="179"/>
      <c r="HW456" s="179"/>
      <c r="HX456" s="179"/>
      <c r="HY456" s="179"/>
      <c r="HZ456" s="179"/>
      <c r="IA456" s="179"/>
    </row>
    <row r="457" spans="1:16" ht="26.25" customHeight="1">
      <c r="A457" s="75" t="s">
        <v>217</v>
      </c>
      <c r="B457" s="8"/>
      <c r="C457" s="8"/>
      <c r="D457" s="91"/>
      <c r="E457" s="91"/>
      <c r="F457" s="91"/>
      <c r="G457" s="91"/>
      <c r="H457" s="91"/>
      <c r="I457" s="91"/>
      <c r="J457" s="91"/>
      <c r="K457" s="7"/>
      <c r="L457" s="7"/>
      <c r="M457" s="7"/>
      <c r="N457" s="91"/>
      <c r="O457" s="91"/>
      <c r="P457" s="91"/>
    </row>
    <row r="458" spans="1:16" ht="11.25">
      <c r="A458" s="31" t="s">
        <v>4</v>
      </c>
      <c r="B458" s="8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90" t="s">
        <v>279</v>
      </c>
      <c r="B459" s="96"/>
      <c r="C459" s="96"/>
      <c r="D459" s="99">
        <f>458700+125100+1589000</f>
        <v>2172800</v>
      </c>
      <c r="E459" s="99"/>
      <c r="F459" s="99">
        <f>D459</f>
        <v>2172800</v>
      </c>
      <c r="G459" s="7">
        <f>300000+100000</f>
        <v>400000</v>
      </c>
      <c r="H459" s="7"/>
      <c r="I459" s="7"/>
      <c r="J459" s="7">
        <f>G459</f>
        <v>400000</v>
      </c>
      <c r="K459" s="7"/>
      <c r="L459" s="7"/>
      <c r="M459" s="7"/>
      <c r="N459" s="7">
        <v>300000</v>
      </c>
      <c r="O459" s="7"/>
      <c r="P459" s="7">
        <f>N459</f>
        <v>300000</v>
      </c>
    </row>
    <row r="460" spans="1:16" ht="11.25">
      <c r="A460" s="89" t="s">
        <v>5</v>
      </c>
      <c r="B460" s="96"/>
      <c r="C460" s="96"/>
      <c r="D460" s="99"/>
      <c r="E460" s="99"/>
      <c r="F460" s="99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27" customHeight="1">
      <c r="A461" s="90" t="s">
        <v>248</v>
      </c>
      <c r="B461" s="96"/>
      <c r="C461" s="96"/>
      <c r="D461" s="97">
        <v>3</v>
      </c>
      <c r="E461" s="99"/>
      <c r="F461" s="97">
        <f>D461</f>
        <v>3</v>
      </c>
      <c r="G461" s="10">
        <v>3</v>
      </c>
      <c r="H461" s="10"/>
      <c r="I461" s="10"/>
      <c r="J461" s="10">
        <f>G461</f>
        <v>3</v>
      </c>
      <c r="K461" s="10"/>
      <c r="L461" s="10"/>
      <c r="M461" s="10"/>
      <c r="N461" s="10">
        <v>2</v>
      </c>
      <c r="O461" s="10"/>
      <c r="P461" s="10">
        <f>N461</f>
        <v>2</v>
      </c>
    </row>
    <row r="462" spans="1:16" ht="11.25">
      <c r="A462" s="89" t="s">
        <v>7</v>
      </c>
      <c r="B462" s="96"/>
      <c r="C462" s="96"/>
      <c r="D462" s="99"/>
      <c r="E462" s="99"/>
      <c r="F462" s="99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24.75" customHeight="1">
      <c r="A463" s="32" t="s">
        <v>220</v>
      </c>
      <c r="B463" s="8"/>
      <c r="C463" s="8"/>
      <c r="D463" s="99">
        <f>D459/D461</f>
        <v>724266.6666666666</v>
      </c>
      <c r="E463" s="99"/>
      <c r="F463" s="99">
        <f>F459/F461</f>
        <v>724266.6666666666</v>
      </c>
      <c r="G463" s="7">
        <f>G459/G461</f>
        <v>133333.33333333334</v>
      </c>
      <c r="H463" s="7"/>
      <c r="I463" s="7"/>
      <c r="J463" s="7">
        <f>J459/J461</f>
        <v>133333.33333333334</v>
      </c>
      <c r="K463" s="7"/>
      <c r="L463" s="7"/>
      <c r="M463" s="7"/>
      <c r="N463" s="7">
        <f>N459/N461</f>
        <v>150000</v>
      </c>
      <c r="O463" s="7"/>
      <c r="P463" s="7">
        <f>P459/P461</f>
        <v>150000</v>
      </c>
    </row>
    <row r="464" spans="1:235" s="180" customFormat="1" ht="33.75">
      <c r="A464" s="167" t="s">
        <v>366</v>
      </c>
      <c r="B464" s="176"/>
      <c r="C464" s="176"/>
      <c r="D464" s="178" t="str">
        <f>D466</f>
        <v> </v>
      </c>
      <c r="E464" s="178">
        <f>E466</f>
        <v>13000</v>
      </c>
      <c r="F464" s="178">
        <f>E464</f>
        <v>13000</v>
      </c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79"/>
      <c r="AT464" s="179"/>
      <c r="AU464" s="179"/>
      <c r="AV464" s="179"/>
      <c r="AW464" s="179"/>
      <c r="AX464" s="179"/>
      <c r="AY464" s="179"/>
      <c r="AZ464" s="179"/>
      <c r="BA464" s="179"/>
      <c r="BB464" s="179"/>
      <c r="BC464" s="179"/>
      <c r="BD464" s="179"/>
      <c r="BE464" s="179"/>
      <c r="BF464" s="179"/>
      <c r="BG464" s="179"/>
      <c r="BH464" s="179"/>
      <c r="BI464" s="179"/>
      <c r="BJ464" s="179"/>
      <c r="BK464" s="179"/>
      <c r="BL464" s="179"/>
      <c r="BM464" s="179"/>
      <c r="BN464" s="179"/>
      <c r="BO464" s="179"/>
      <c r="BP464" s="179"/>
      <c r="BQ464" s="179"/>
      <c r="BR464" s="179"/>
      <c r="BS464" s="179"/>
      <c r="BT464" s="179"/>
      <c r="BU464" s="179"/>
      <c r="BV464" s="179"/>
      <c r="BW464" s="179"/>
      <c r="BX464" s="179"/>
      <c r="BY464" s="179"/>
      <c r="BZ464" s="179"/>
      <c r="CA464" s="179"/>
      <c r="CB464" s="179"/>
      <c r="CC464" s="179"/>
      <c r="CD464" s="179"/>
      <c r="CE464" s="179"/>
      <c r="CF464" s="179"/>
      <c r="CG464" s="179"/>
      <c r="CH464" s="179"/>
      <c r="CI464" s="179"/>
      <c r="CJ464" s="179"/>
      <c r="CK464" s="179"/>
      <c r="CL464" s="179"/>
      <c r="CM464" s="179"/>
      <c r="CN464" s="179"/>
      <c r="CO464" s="179"/>
      <c r="CP464" s="179"/>
      <c r="CQ464" s="179"/>
      <c r="CR464" s="179"/>
      <c r="CS464" s="179"/>
      <c r="CT464" s="179"/>
      <c r="CU464" s="179"/>
      <c r="CV464" s="179"/>
      <c r="CW464" s="179"/>
      <c r="CX464" s="179"/>
      <c r="CY464" s="179"/>
      <c r="CZ464" s="179"/>
      <c r="DA464" s="179"/>
      <c r="DB464" s="179"/>
      <c r="DC464" s="179"/>
      <c r="DD464" s="179"/>
      <c r="DE464" s="179"/>
      <c r="DF464" s="179"/>
      <c r="DG464" s="179"/>
      <c r="DH464" s="179"/>
      <c r="DI464" s="179"/>
      <c r="DJ464" s="179"/>
      <c r="DK464" s="179"/>
      <c r="DL464" s="179"/>
      <c r="DM464" s="179"/>
      <c r="DN464" s="179"/>
      <c r="DO464" s="179"/>
      <c r="DP464" s="179"/>
      <c r="DQ464" s="179"/>
      <c r="DR464" s="179"/>
      <c r="DS464" s="179"/>
      <c r="DT464" s="179"/>
      <c r="DU464" s="179"/>
      <c r="DV464" s="179"/>
      <c r="DW464" s="179"/>
      <c r="DX464" s="179"/>
      <c r="DY464" s="179"/>
      <c r="DZ464" s="179"/>
      <c r="EA464" s="179"/>
      <c r="EB464" s="179"/>
      <c r="EC464" s="179"/>
      <c r="ED464" s="179"/>
      <c r="EE464" s="179"/>
      <c r="EF464" s="179"/>
      <c r="EG464" s="179"/>
      <c r="EH464" s="179"/>
      <c r="EI464" s="179"/>
      <c r="EJ464" s="179"/>
      <c r="EK464" s="179"/>
      <c r="EL464" s="179"/>
      <c r="EM464" s="179"/>
      <c r="EN464" s="179"/>
      <c r="EO464" s="179"/>
      <c r="EP464" s="179"/>
      <c r="EQ464" s="179"/>
      <c r="ER464" s="179"/>
      <c r="ES464" s="179"/>
      <c r="ET464" s="179"/>
      <c r="EU464" s="179"/>
      <c r="EV464" s="179"/>
      <c r="EW464" s="179"/>
      <c r="EX464" s="179"/>
      <c r="EY464" s="179"/>
      <c r="EZ464" s="179"/>
      <c r="FA464" s="179"/>
      <c r="FB464" s="179"/>
      <c r="FC464" s="179"/>
      <c r="FD464" s="179"/>
      <c r="FE464" s="179"/>
      <c r="FF464" s="179"/>
      <c r="FG464" s="179"/>
      <c r="FH464" s="179"/>
      <c r="FI464" s="179"/>
      <c r="FJ464" s="179"/>
      <c r="FK464" s="179"/>
      <c r="FL464" s="179"/>
      <c r="FM464" s="179"/>
      <c r="FN464" s="179"/>
      <c r="FO464" s="179"/>
      <c r="FP464" s="179"/>
      <c r="FQ464" s="179"/>
      <c r="FR464" s="179"/>
      <c r="FS464" s="179"/>
      <c r="FT464" s="179"/>
      <c r="FU464" s="179"/>
      <c r="FV464" s="179"/>
      <c r="FW464" s="179"/>
      <c r="FX464" s="179"/>
      <c r="FY464" s="179"/>
      <c r="FZ464" s="179"/>
      <c r="GA464" s="179"/>
      <c r="GB464" s="179"/>
      <c r="GC464" s="179"/>
      <c r="GD464" s="179"/>
      <c r="GE464" s="179"/>
      <c r="GF464" s="179"/>
      <c r="GG464" s="179"/>
      <c r="GH464" s="179"/>
      <c r="GI464" s="179"/>
      <c r="GJ464" s="179"/>
      <c r="GK464" s="179"/>
      <c r="GL464" s="179"/>
      <c r="GM464" s="179"/>
      <c r="GN464" s="179"/>
      <c r="GO464" s="179"/>
      <c r="GP464" s="179"/>
      <c r="GQ464" s="179"/>
      <c r="GR464" s="179"/>
      <c r="GS464" s="179"/>
      <c r="GT464" s="179"/>
      <c r="GU464" s="179"/>
      <c r="GV464" s="179"/>
      <c r="GW464" s="179"/>
      <c r="GX464" s="179"/>
      <c r="GY464" s="179"/>
      <c r="GZ464" s="179"/>
      <c r="HA464" s="179"/>
      <c r="HB464" s="179"/>
      <c r="HC464" s="179"/>
      <c r="HD464" s="179"/>
      <c r="HE464" s="179"/>
      <c r="HF464" s="179"/>
      <c r="HG464" s="179"/>
      <c r="HH464" s="179"/>
      <c r="HI464" s="179"/>
      <c r="HJ464" s="179"/>
      <c r="HK464" s="179"/>
      <c r="HL464" s="179"/>
      <c r="HM464" s="179"/>
      <c r="HN464" s="179"/>
      <c r="HO464" s="179"/>
      <c r="HP464" s="179"/>
      <c r="HQ464" s="179"/>
      <c r="HR464" s="179"/>
      <c r="HS464" s="179"/>
      <c r="HT464" s="179"/>
      <c r="HU464" s="179"/>
      <c r="HV464" s="179"/>
      <c r="HW464" s="179"/>
      <c r="HX464" s="179"/>
      <c r="HY464" s="179"/>
      <c r="HZ464" s="179"/>
      <c r="IA464" s="179"/>
    </row>
    <row r="465" spans="1:16" ht="11.25">
      <c r="A465" s="89" t="s">
        <v>4</v>
      </c>
      <c r="B465" s="8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90" t="s">
        <v>63</v>
      </c>
      <c r="B466" s="8"/>
      <c r="C466" s="8"/>
      <c r="D466" s="7" t="s">
        <v>280</v>
      </c>
      <c r="E466" s="7">
        <v>13000</v>
      </c>
      <c r="F466" s="7">
        <f>E466</f>
        <v>13000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1.25">
      <c r="A467" s="89" t="s">
        <v>5</v>
      </c>
      <c r="B467" s="8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41.25" customHeight="1">
      <c r="A468" s="90" t="s">
        <v>269</v>
      </c>
      <c r="B468" s="8"/>
      <c r="C468" s="8"/>
      <c r="D468" s="7" t="s">
        <v>280</v>
      </c>
      <c r="E468" s="7">
        <v>1</v>
      </c>
      <c r="F468" s="7">
        <f>E468</f>
        <v>1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1.25">
      <c r="A469" s="89" t="s">
        <v>7</v>
      </c>
      <c r="B469" s="8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35.25" customHeight="1">
      <c r="A470" s="90" t="s">
        <v>270</v>
      </c>
      <c r="B470" s="8"/>
      <c r="C470" s="8"/>
      <c r="D470" s="7" t="s">
        <v>280</v>
      </c>
      <c r="E470" s="7">
        <v>13000</v>
      </c>
      <c r="F470" s="7">
        <f>E470</f>
        <v>13000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235" s="172" customFormat="1" ht="15" customHeight="1">
      <c r="A471" s="210">
        <v>100202</v>
      </c>
      <c r="B471" s="159"/>
      <c r="C471" s="159"/>
      <c r="D471" s="177">
        <f>D473+D480+D487+D496+D503</f>
        <v>2702500</v>
      </c>
      <c r="E471" s="177"/>
      <c r="F471" s="177">
        <f>D471</f>
        <v>2702500</v>
      </c>
      <c r="G471" s="177">
        <f>G473+G480+G496+G510+G517+G487+G503+G524</f>
        <v>2470200</v>
      </c>
      <c r="H471" s="177">
        <f>H473+H480+H496+H510+H517+H487+H503+H524</f>
        <v>4269334</v>
      </c>
      <c r="I471" s="177">
        <f>I473+I480+I496+I510+I517+I487+I503+I524</f>
        <v>0</v>
      </c>
      <c r="J471" s="177">
        <f>G471+H471</f>
        <v>6739534</v>
      </c>
      <c r="K471" s="177"/>
      <c r="L471" s="177"/>
      <c r="M471" s="177"/>
      <c r="N471" s="177"/>
      <c r="O471" s="177"/>
      <c r="P471" s="177"/>
      <c r="Q471" s="258"/>
      <c r="R471" s="258"/>
      <c r="S471" s="258"/>
      <c r="T471" s="258"/>
      <c r="U471" s="258"/>
      <c r="V471" s="258"/>
      <c r="W471" s="258"/>
      <c r="X471" s="258"/>
      <c r="Y471" s="258"/>
      <c r="Z471" s="258"/>
      <c r="AA471" s="258"/>
      <c r="AB471" s="258"/>
      <c r="AC471" s="258"/>
      <c r="AD471" s="258"/>
      <c r="AE471" s="258"/>
      <c r="AF471" s="258"/>
      <c r="AG471" s="258"/>
      <c r="AH471" s="258"/>
      <c r="AI471" s="258"/>
      <c r="AJ471" s="258"/>
      <c r="AK471" s="258"/>
      <c r="AL471" s="258"/>
      <c r="AM471" s="258"/>
      <c r="AN471" s="258"/>
      <c r="AO471" s="258"/>
      <c r="AP471" s="258"/>
      <c r="AQ471" s="258"/>
      <c r="AR471" s="258"/>
      <c r="AS471" s="258"/>
      <c r="AT471" s="258"/>
      <c r="AU471" s="258"/>
      <c r="AV471" s="258"/>
      <c r="AW471" s="258"/>
      <c r="AX471" s="258"/>
      <c r="AY471" s="258"/>
      <c r="AZ471" s="258"/>
      <c r="BA471" s="258"/>
      <c r="BB471" s="258"/>
      <c r="BC471" s="258"/>
      <c r="BD471" s="258"/>
      <c r="BE471" s="258"/>
      <c r="BF471" s="258"/>
      <c r="BG471" s="258"/>
      <c r="BH471" s="258"/>
      <c r="BI471" s="258"/>
      <c r="BJ471" s="258"/>
      <c r="BK471" s="258"/>
      <c r="BL471" s="258"/>
      <c r="BM471" s="258"/>
      <c r="BN471" s="258"/>
      <c r="BO471" s="258"/>
      <c r="BP471" s="258"/>
      <c r="BQ471" s="258"/>
      <c r="BR471" s="258"/>
      <c r="BS471" s="258"/>
      <c r="BT471" s="258"/>
      <c r="BU471" s="258"/>
      <c r="BV471" s="258"/>
      <c r="BW471" s="258"/>
      <c r="BX471" s="258"/>
      <c r="BY471" s="258"/>
      <c r="BZ471" s="258"/>
      <c r="CA471" s="258"/>
      <c r="CB471" s="258"/>
      <c r="CC471" s="258"/>
      <c r="CD471" s="258"/>
      <c r="CE471" s="258"/>
      <c r="CF471" s="258"/>
      <c r="CG471" s="258"/>
      <c r="CH471" s="258"/>
      <c r="CI471" s="258"/>
      <c r="CJ471" s="258"/>
      <c r="CK471" s="258"/>
      <c r="CL471" s="258"/>
      <c r="CM471" s="258"/>
      <c r="CN471" s="258"/>
      <c r="CO471" s="258"/>
      <c r="CP471" s="258"/>
      <c r="CQ471" s="258"/>
      <c r="CR471" s="258"/>
      <c r="CS471" s="258"/>
      <c r="CT471" s="258"/>
      <c r="CU471" s="258"/>
      <c r="CV471" s="258"/>
      <c r="CW471" s="258"/>
      <c r="CX471" s="258"/>
      <c r="CY471" s="258"/>
      <c r="CZ471" s="258"/>
      <c r="DA471" s="258"/>
      <c r="DB471" s="258"/>
      <c r="DC471" s="258"/>
      <c r="DD471" s="258"/>
      <c r="DE471" s="258"/>
      <c r="DF471" s="258"/>
      <c r="DG471" s="258"/>
      <c r="DH471" s="258"/>
      <c r="DI471" s="258"/>
      <c r="DJ471" s="258"/>
      <c r="DK471" s="258"/>
      <c r="DL471" s="258"/>
      <c r="DM471" s="258"/>
      <c r="DN471" s="258"/>
      <c r="DO471" s="258"/>
      <c r="DP471" s="258"/>
      <c r="DQ471" s="258"/>
      <c r="DR471" s="258"/>
      <c r="DS471" s="258"/>
      <c r="DT471" s="258"/>
      <c r="DU471" s="258"/>
      <c r="DV471" s="258"/>
      <c r="DW471" s="258"/>
      <c r="DX471" s="258"/>
      <c r="DY471" s="258"/>
      <c r="DZ471" s="258"/>
      <c r="EA471" s="258"/>
      <c r="EB471" s="258"/>
      <c r="EC471" s="258"/>
      <c r="ED471" s="258"/>
      <c r="EE471" s="258"/>
      <c r="EF471" s="258"/>
      <c r="EG471" s="258"/>
      <c r="EH471" s="258"/>
      <c r="EI471" s="258"/>
      <c r="EJ471" s="258"/>
      <c r="EK471" s="258"/>
      <c r="EL471" s="258"/>
      <c r="EM471" s="258"/>
      <c r="EN471" s="258"/>
      <c r="EO471" s="258"/>
      <c r="EP471" s="258"/>
      <c r="EQ471" s="258"/>
      <c r="ER471" s="258"/>
      <c r="ES471" s="258"/>
      <c r="ET471" s="258"/>
      <c r="EU471" s="258"/>
      <c r="EV471" s="258"/>
      <c r="EW471" s="258"/>
      <c r="EX471" s="258"/>
      <c r="EY471" s="258"/>
      <c r="EZ471" s="258"/>
      <c r="FA471" s="258"/>
      <c r="FB471" s="258"/>
      <c r="FC471" s="258"/>
      <c r="FD471" s="258"/>
      <c r="FE471" s="258"/>
      <c r="FF471" s="258"/>
      <c r="FG471" s="258"/>
      <c r="FH471" s="258"/>
      <c r="FI471" s="258"/>
      <c r="FJ471" s="258"/>
      <c r="FK471" s="258"/>
      <c r="FL471" s="258"/>
      <c r="FM471" s="258"/>
      <c r="FN471" s="258"/>
      <c r="FO471" s="258"/>
      <c r="FP471" s="258"/>
      <c r="FQ471" s="258"/>
      <c r="FR471" s="258"/>
      <c r="FS471" s="258"/>
      <c r="FT471" s="258"/>
      <c r="FU471" s="258"/>
      <c r="FV471" s="258"/>
      <c r="FW471" s="258"/>
      <c r="FX471" s="258"/>
      <c r="FY471" s="258"/>
      <c r="FZ471" s="258"/>
      <c r="GA471" s="258"/>
      <c r="GB471" s="258"/>
      <c r="GC471" s="258"/>
      <c r="GD471" s="258"/>
      <c r="GE471" s="258"/>
      <c r="GF471" s="258"/>
      <c r="GG471" s="258"/>
      <c r="GH471" s="258"/>
      <c r="GI471" s="258"/>
      <c r="GJ471" s="258"/>
      <c r="GK471" s="258"/>
      <c r="GL471" s="258"/>
      <c r="GM471" s="258"/>
      <c r="GN471" s="258"/>
      <c r="GO471" s="258"/>
      <c r="GP471" s="258"/>
      <c r="GQ471" s="258"/>
      <c r="GR471" s="258"/>
      <c r="GS471" s="258"/>
      <c r="GT471" s="258"/>
      <c r="GU471" s="258"/>
      <c r="GV471" s="258"/>
      <c r="GW471" s="258"/>
      <c r="GX471" s="258"/>
      <c r="GY471" s="258"/>
      <c r="GZ471" s="258"/>
      <c r="HA471" s="258"/>
      <c r="HB471" s="258"/>
      <c r="HC471" s="258"/>
      <c r="HD471" s="258"/>
      <c r="HE471" s="258"/>
      <c r="HF471" s="258"/>
      <c r="HG471" s="258"/>
      <c r="HH471" s="258"/>
      <c r="HI471" s="258"/>
      <c r="HJ471" s="258"/>
      <c r="HK471" s="258"/>
      <c r="HL471" s="258"/>
      <c r="HM471" s="258"/>
      <c r="HN471" s="258"/>
      <c r="HO471" s="258"/>
      <c r="HP471" s="258"/>
      <c r="HQ471" s="258"/>
      <c r="HR471" s="258"/>
      <c r="HS471" s="258"/>
      <c r="HT471" s="258"/>
      <c r="HU471" s="258"/>
      <c r="HV471" s="258"/>
      <c r="HW471" s="258"/>
      <c r="HX471" s="258"/>
      <c r="HY471" s="258"/>
      <c r="HZ471" s="258"/>
      <c r="IA471" s="258"/>
    </row>
    <row r="472" spans="1:16" ht="23.25" customHeight="1">
      <c r="A472" s="32" t="s">
        <v>218</v>
      </c>
      <c r="B472" s="8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235" s="180" customFormat="1" ht="27.75" customHeight="1">
      <c r="A473" s="167" t="s">
        <v>367</v>
      </c>
      <c r="B473" s="176"/>
      <c r="C473" s="176"/>
      <c r="D473" s="177">
        <f>D475</f>
        <v>2200000</v>
      </c>
      <c r="E473" s="178"/>
      <c r="F473" s="178">
        <f>D473</f>
        <v>2200000</v>
      </c>
      <c r="G473" s="178">
        <f>G475</f>
        <v>2100000</v>
      </c>
      <c r="H473" s="178"/>
      <c r="I473" s="178"/>
      <c r="J473" s="178">
        <f>G473</f>
        <v>2100000</v>
      </c>
      <c r="K473" s="178"/>
      <c r="L473" s="178"/>
      <c r="M473" s="178"/>
      <c r="N473" s="178"/>
      <c r="O473" s="178"/>
      <c r="P473" s="178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179"/>
      <c r="BN473" s="179"/>
      <c r="BO473" s="179"/>
      <c r="BP473" s="179"/>
      <c r="BQ473" s="179"/>
      <c r="BR473" s="179"/>
      <c r="BS473" s="179"/>
      <c r="BT473" s="179"/>
      <c r="BU473" s="179"/>
      <c r="BV473" s="179"/>
      <c r="BW473" s="179"/>
      <c r="BX473" s="179"/>
      <c r="BY473" s="179"/>
      <c r="BZ473" s="179"/>
      <c r="CA473" s="179"/>
      <c r="CB473" s="179"/>
      <c r="CC473" s="179"/>
      <c r="CD473" s="179"/>
      <c r="CE473" s="179"/>
      <c r="CF473" s="179"/>
      <c r="CG473" s="179"/>
      <c r="CH473" s="179"/>
      <c r="CI473" s="179"/>
      <c r="CJ473" s="179"/>
      <c r="CK473" s="179"/>
      <c r="CL473" s="179"/>
      <c r="CM473" s="179"/>
      <c r="CN473" s="179"/>
      <c r="CO473" s="179"/>
      <c r="CP473" s="179"/>
      <c r="CQ473" s="179"/>
      <c r="CR473" s="179"/>
      <c r="CS473" s="179"/>
      <c r="CT473" s="179"/>
      <c r="CU473" s="179"/>
      <c r="CV473" s="179"/>
      <c r="CW473" s="179"/>
      <c r="CX473" s="179"/>
      <c r="CY473" s="179"/>
      <c r="CZ473" s="179"/>
      <c r="DA473" s="179"/>
      <c r="DB473" s="179"/>
      <c r="DC473" s="179"/>
      <c r="DD473" s="179"/>
      <c r="DE473" s="179"/>
      <c r="DF473" s="179"/>
      <c r="DG473" s="179"/>
      <c r="DH473" s="179"/>
      <c r="DI473" s="179"/>
      <c r="DJ473" s="179"/>
      <c r="DK473" s="179"/>
      <c r="DL473" s="179"/>
      <c r="DM473" s="179"/>
      <c r="DN473" s="179"/>
      <c r="DO473" s="179"/>
      <c r="DP473" s="179"/>
      <c r="DQ473" s="179"/>
      <c r="DR473" s="179"/>
      <c r="DS473" s="179"/>
      <c r="DT473" s="179"/>
      <c r="DU473" s="179"/>
      <c r="DV473" s="179"/>
      <c r="DW473" s="179"/>
      <c r="DX473" s="179"/>
      <c r="DY473" s="179"/>
      <c r="DZ473" s="179"/>
      <c r="EA473" s="179"/>
      <c r="EB473" s="179"/>
      <c r="EC473" s="179"/>
      <c r="ED473" s="179"/>
      <c r="EE473" s="179"/>
      <c r="EF473" s="179"/>
      <c r="EG473" s="179"/>
      <c r="EH473" s="179"/>
      <c r="EI473" s="179"/>
      <c r="EJ473" s="179"/>
      <c r="EK473" s="179"/>
      <c r="EL473" s="179"/>
      <c r="EM473" s="179"/>
      <c r="EN473" s="179"/>
      <c r="EO473" s="179"/>
      <c r="EP473" s="179"/>
      <c r="EQ473" s="179"/>
      <c r="ER473" s="179"/>
      <c r="ES473" s="179"/>
      <c r="ET473" s="179"/>
      <c r="EU473" s="179"/>
      <c r="EV473" s="179"/>
      <c r="EW473" s="179"/>
      <c r="EX473" s="179"/>
      <c r="EY473" s="179"/>
      <c r="EZ473" s="179"/>
      <c r="FA473" s="179"/>
      <c r="FB473" s="179"/>
      <c r="FC473" s="179"/>
      <c r="FD473" s="179"/>
      <c r="FE473" s="179"/>
      <c r="FF473" s="179"/>
      <c r="FG473" s="179"/>
      <c r="FH473" s="179"/>
      <c r="FI473" s="179"/>
      <c r="FJ473" s="179"/>
      <c r="FK473" s="179"/>
      <c r="FL473" s="179"/>
      <c r="FM473" s="179"/>
      <c r="FN473" s="179"/>
      <c r="FO473" s="179"/>
      <c r="FP473" s="179"/>
      <c r="FQ473" s="179"/>
      <c r="FR473" s="179"/>
      <c r="FS473" s="179"/>
      <c r="FT473" s="179"/>
      <c r="FU473" s="179"/>
      <c r="FV473" s="179"/>
      <c r="FW473" s="179"/>
      <c r="FX473" s="179"/>
      <c r="FY473" s="179"/>
      <c r="FZ473" s="179"/>
      <c r="GA473" s="179"/>
      <c r="GB473" s="179"/>
      <c r="GC473" s="179"/>
      <c r="GD473" s="179"/>
      <c r="GE473" s="179"/>
      <c r="GF473" s="179"/>
      <c r="GG473" s="179"/>
      <c r="GH473" s="179"/>
      <c r="GI473" s="179"/>
      <c r="GJ473" s="179"/>
      <c r="GK473" s="179"/>
      <c r="GL473" s="179"/>
      <c r="GM473" s="179"/>
      <c r="GN473" s="179"/>
      <c r="GO473" s="179"/>
      <c r="GP473" s="179"/>
      <c r="GQ473" s="179"/>
      <c r="GR473" s="179"/>
      <c r="GS473" s="179"/>
      <c r="GT473" s="179"/>
      <c r="GU473" s="179"/>
      <c r="GV473" s="179"/>
      <c r="GW473" s="179"/>
      <c r="GX473" s="179"/>
      <c r="GY473" s="179"/>
      <c r="GZ473" s="179"/>
      <c r="HA473" s="179"/>
      <c r="HB473" s="179"/>
      <c r="HC473" s="179"/>
      <c r="HD473" s="179"/>
      <c r="HE473" s="179"/>
      <c r="HF473" s="179"/>
      <c r="HG473" s="179"/>
      <c r="HH473" s="179"/>
      <c r="HI473" s="179"/>
      <c r="HJ473" s="179"/>
      <c r="HK473" s="179"/>
      <c r="HL473" s="179"/>
      <c r="HM473" s="179"/>
      <c r="HN473" s="179"/>
      <c r="HO473" s="179"/>
      <c r="HP473" s="179"/>
      <c r="HQ473" s="179"/>
      <c r="HR473" s="179"/>
      <c r="HS473" s="179"/>
      <c r="HT473" s="179"/>
      <c r="HU473" s="179"/>
      <c r="HV473" s="179"/>
      <c r="HW473" s="179"/>
      <c r="HX473" s="179"/>
      <c r="HY473" s="179"/>
      <c r="HZ473" s="179"/>
      <c r="IA473" s="179"/>
    </row>
    <row r="474" spans="1:16" ht="12" customHeight="1">
      <c r="A474" s="31" t="s">
        <v>4</v>
      </c>
      <c r="B474" s="8"/>
      <c r="C474" s="8"/>
      <c r="D474" s="1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3.5" customHeight="1">
      <c r="A475" s="32" t="s">
        <v>63</v>
      </c>
      <c r="B475" s="8"/>
      <c r="C475" s="8"/>
      <c r="D475" s="19">
        <v>2200000</v>
      </c>
      <c r="E475" s="7"/>
      <c r="F475" s="7">
        <f>D475</f>
        <v>2200000</v>
      </c>
      <c r="G475" s="7">
        <f>1600000+500000</f>
        <v>2100000</v>
      </c>
      <c r="H475" s="7"/>
      <c r="I475" s="7"/>
      <c r="J475" s="7">
        <f>G475</f>
        <v>2100000</v>
      </c>
      <c r="K475" s="7"/>
      <c r="L475" s="7"/>
      <c r="M475" s="7"/>
      <c r="N475" s="7"/>
      <c r="O475" s="7"/>
      <c r="P475" s="7"/>
    </row>
    <row r="476" spans="1:16" ht="12" customHeight="1">
      <c r="A476" s="31" t="s">
        <v>5</v>
      </c>
      <c r="B476" s="8"/>
      <c r="C476" s="8"/>
      <c r="D476" s="1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33" customHeight="1">
      <c r="A477" s="32" t="s">
        <v>64</v>
      </c>
      <c r="B477" s="8"/>
      <c r="C477" s="8"/>
      <c r="D477" s="19">
        <v>1</v>
      </c>
      <c r="E477" s="7"/>
      <c r="F477" s="7">
        <v>1</v>
      </c>
      <c r="G477" s="10">
        <v>1</v>
      </c>
      <c r="H477" s="10"/>
      <c r="I477" s="10"/>
      <c r="J477" s="10">
        <v>1</v>
      </c>
      <c r="K477" s="10"/>
      <c r="L477" s="10"/>
      <c r="M477" s="10"/>
      <c r="N477" s="10"/>
      <c r="O477" s="10"/>
      <c r="P477" s="10"/>
    </row>
    <row r="478" spans="1:16" ht="11.25">
      <c r="A478" s="31" t="s">
        <v>7</v>
      </c>
      <c r="B478" s="8"/>
      <c r="C478" s="8"/>
      <c r="D478" s="1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21" customHeight="1">
      <c r="A479" s="32" t="s">
        <v>220</v>
      </c>
      <c r="B479" s="8"/>
      <c r="C479" s="8"/>
      <c r="D479" s="19">
        <f>D475/D477</f>
        <v>2200000</v>
      </c>
      <c r="E479" s="7"/>
      <c r="F479" s="7">
        <f>D479</f>
        <v>2200000</v>
      </c>
      <c r="G479" s="7">
        <f>G473/G477</f>
        <v>2100000</v>
      </c>
      <c r="H479" s="7"/>
      <c r="I479" s="7"/>
      <c r="J479" s="7">
        <f>G479</f>
        <v>2100000</v>
      </c>
      <c r="K479" s="7"/>
      <c r="L479" s="7"/>
      <c r="M479" s="7"/>
      <c r="N479" s="7"/>
      <c r="O479" s="7"/>
      <c r="P479" s="7"/>
    </row>
    <row r="480" spans="1:235" s="180" customFormat="1" ht="25.5" customHeight="1">
      <c r="A480" s="167" t="s">
        <v>368</v>
      </c>
      <c r="B480" s="176"/>
      <c r="C480" s="176"/>
      <c r="D480" s="177"/>
      <c r="E480" s="178"/>
      <c r="F480" s="178"/>
      <c r="G480" s="177">
        <f>G482</f>
        <v>120000</v>
      </c>
      <c r="H480" s="178"/>
      <c r="I480" s="178"/>
      <c r="J480" s="178">
        <f>G480</f>
        <v>120000</v>
      </c>
      <c r="K480" s="178"/>
      <c r="L480" s="178"/>
      <c r="M480" s="178"/>
      <c r="N480" s="178"/>
      <c r="O480" s="178"/>
      <c r="P480" s="178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79"/>
      <c r="AT480" s="179"/>
      <c r="AU480" s="179"/>
      <c r="AV480" s="179"/>
      <c r="AW480" s="179"/>
      <c r="AX480" s="179"/>
      <c r="AY480" s="179"/>
      <c r="AZ480" s="179"/>
      <c r="BA480" s="179"/>
      <c r="BB480" s="179"/>
      <c r="BC480" s="179"/>
      <c r="BD480" s="179"/>
      <c r="BE480" s="179"/>
      <c r="BF480" s="179"/>
      <c r="BG480" s="179"/>
      <c r="BH480" s="179"/>
      <c r="BI480" s="179"/>
      <c r="BJ480" s="179"/>
      <c r="BK480" s="179"/>
      <c r="BL480" s="179"/>
      <c r="BM480" s="179"/>
      <c r="BN480" s="179"/>
      <c r="BO480" s="179"/>
      <c r="BP480" s="179"/>
      <c r="BQ480" s="179"/>
      <c r="BR480" s="179"/>
      <c r="BS480" s="179"/>
      <c r="BT480" s="179"/>
      <c r="BU480" s="179"/>
      <c r="BV480" s="179"/>
      <c r="BW480" s="179"/>
      <c r="BX480" s="179"/>
      <c r="BY480" s="179"/>
      <c r="BZ480" s="179"/>
      <c r="CA480" s="179"/>
      <c r="CB480" s="179"/>
      <c r="CC480" s="179"/>
      <c r="CD480" s="179"/>
      <c r="CE480" s="179"/>
      <c r="CF480" s="179"/>
      <c r="CG480" s="179"/>
      <c r="CH480" s="179"/>
      <c r="CI480" s="179"/>
      <c r="CJ480" s="179"/>
      <c r="CK480" s="179"/>
      <c r="CL480" s="179"/>
      <c r="CM480" s="179"/>
      <c r="CN480" s="179"/>
      <c r="CO480" s="179"/>
      <c r="CP480" s="179"/>
      <c r="CQ480" s="179"/>
      <c r="CR480" s="179"/>
      <c r="CS480" s="179"/>
      <c r="CT480" s="179"/>
      <c r="CU480" s="179"/>
      <c r="CV480" s="179"/>
      <c r="CW480" s="179"/>
      <c r="CX480" s="179"/>
      <c r="CY480" s="179"/>
      <c r="CZ480" s="179"/>
      <c r="DA480" s="179"/>
      <c r="DB480" s="179"/>
      <c r="DC480" s="179"/>
      <c r="DD480" s="179"/>
      <c r="DE480" s="179"/>
      <c r="DF480" s="179"/>
      <c r="DG480" s="179"/>
      <c r="DH480" s="179"/>
      <c r="DI480" s="179"/>
      <c r="DJ480" s="179"/>
      <c r="DK480" s="179"/>
      <c r="DL480" s="179"/>
      <c r="DM480" s="179"/>
      <c r="DN480" s="179"/>
      <c r="DO480" s="179"/>
      <c r="DP480" s="179"/>
      <c r="DQ480" s="179"/>
      <c r="DR480" s="179"/>
      <c r="DS480" s="179"/>
      <c r="DT480" s="179"/>
      <c r="DU480" s="179"/>
      <c r="DV480" s="179"/>
      <c r="DW480" s="179"/>
      <c r="DX480" s="179"/>
      <c r="DY480" s="179"/>
      <c r="DZ480" s="179"/>
      <c r="EA480" s="179"/>
      <c r="EB480" s="179"/>
      <c r="EC480" s="179"/>
      <c r="ED480" s="179"/>
      <c r="EE480" s="179"/>
      <c r="EF480" s="179"/>
      <c r="EG480" s="179"/>
      <c r="EH480" s="179"/>
      <c r="EI480" s="179"/>
      <c r="EJ480" s="179"/>
      <c r="EK480" s="179"/>
      <c r="EL480" s="179"/>
      <c r="EM480" s="179"/>
      <c r="EN480" s="179"/>
      <c r="EO480" s="179"/>
      <c r="EP480" s="179"/>
      <c r="EQ480" s="179"/>
      <c r="ER480" s="179"/>
      <c r="ES480" s="179"/>
      <c r="ET480" s="179"/>
      <c r="EU480" s="179"/>
      <c r="EV480" s="179"/>
      <c r="EW480" s="179"/>
      <c r="EX480" s="179"/>
      <c r="EY480" s="179"/>
      <c r="EZ480" s="179"/>
      <c r="FA480" s="179"/>
      <c r="FB480" s="179"/>
      <c r="FC480" s="179"/>
      <c r="FD480" s="179"/>
      <c r="FE480" s="179"/>
      <c r="FF480" s="179"/>
      <c r="FG480" s="179"/>
      <c r="FH480" s="179"/>
      <c r="FI480" s="179"/>
      <c r="FJ480" s="179"/>
      <c r="FK480" s="179"/>
      <c r="FL480" s="179"/>
      <c r="FM480" s="179"/>
      <c r="FN480" s="179"/>
      <c r="FO480" s="179"/>
      <c r="FP480" s="179"/>
      <c r="FQ480" s="179"/>
      <c r="FR480" s="179"/>
      <c r="FS480" s="179"/>
      <c r="FT480" s="179"/>
      <c r="FU480" s="179"/>
      <c r="FV480" s="179"/>
      <c r="FW480" s="179"/>
      <c r="FX480" s="179"/>
      <c r="FY480" s="179"/>
      <c r="FZ480" s="179"/>
      <c r="GA480" s="179"/>
      <c r="GB480" s="179"/>
      <c r="GC480" s="179"/>
      <c r="GD480" s="179"/>
      <c r="GE480" s="179"/>
      <c r="GF480" s="179"/>
      <c r="GG480" s="179"/>
      <c r="GH480" s="179"/>
      <c r="GI480" s="179"/>
      <c r="GJ480" s="179"/>
      <c r="GK480" s="179"/>
      <c r="GL480" s="179"/>
      <c r="GM480" s="179"/>
      <c r="GN480" s="179"/>
      <c r="GO480" s="179"/>
      <c r="GP480" s="179"/>
      <c r="GQ480" s="179"/>
      <c r="GR480" s="179"/>
      <c r="GS480" s="179"/>
      <c r="GT480" s="179"/>
      <c r="GU480" s="179"/>
      <c r="GV480" s="179"/>
      <c r="GW480" s="179"/>
      <c r="GX480" s="179"/>
      <c r="GY480" s="179"/>
      <c r="GZ480" s="179"/>
      <c r="HA480" s="179"/>
      <c r="HB480" s="179"/>
      <c r="HC480" s="179"/>
      <c r="HD480" s="179"/>
      <c r="HE480" s="179"/>
      <c r="HF480" s="179"/>
      <c r="HG480" s="179"/>
      <c r="HH480" s="179"/>
      <c r="HI480" s="179"/>
      <c r="HJ480" s="179"/>
      <c r="HK480" s="179"/>
      <c r="HL480" s="179"/>
      <c r="HM480" s="179"/>
      <c r="HN480" s="179"/>
      <c r="HO480" s="179"/>
      <c r="HP480" s="179"/>
      <c r="HQ480" s="179"/>
      <c r="HR480" s="179"/>
      <c r="HS480" s="179"/>
      <c r="HT480" s="179"/>
      <c r="HU480" s="179"/>
      <c r="HV480" s="179"/>
      <c r="HW480" s="179"/>
      <c r="HX480" s="179"/>
      <c r="HY480" s="179"/>
      <c r="HZ480" s="179"/>
      <c r="IA480" s="179"/>
    </row>
    <row r="481" spans="1:16" ht="11.25">
      <c r="A481" s="31" t="s">
        <v>4</v>
      </c>
      <c r="B481" s="8"/>
      <c r="C481" s="8"/>
      <c r="D481" s="19"/>
      <c r="E481" s="7"/>
      <c r="F481" s="7"/>
      <c r="G481" s="19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4.25" customHeight="1">
      <c r="A482" s="32" t="s">
        <v>63</v>
      </c>
      <c r="B482" s="8"/>
      <c r="C482" s="8"/>
      <c r="D482" s="19"/>
      <c r="E482" s="7"/>
      <c r="F482" s="7"/>
      <c r="G482" s="19">
        <v>120000</v>
      </c>
      <c r="H482" s="7"/>
      <c r="I482" s="7"/>
      <c r="J482" s="7">
        <f>G482</f>
        <v>120000</v>
      </c>
      <c r="K482" s="7"/>
      <c r="L482" s="7"/>
      <c r="M482" s="7"/>
      <c r="N482" s="7"/>
      <c r="O482" s="7"/>
      <c r="P482" s="7"/>
    </row>
    <row r="483" spans="1:16" ht="11.25">
      <c r="A483" s="31" t="s">
        <v>5</v>
      </c>
      <c r="B483" s="8"/>
      <c r="C483" s="8"/>
      <c r="D483" s="19"/>
      <c r="E483" s="7"/>
      <c r="F483" s="7"/>
      <c r="G483" s="19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3.25" customHeight="1">
      <c r="A484" s="32" t="s">
        <v>219</v>
      </c>
      <c r="B484" s="8"/>
      <c r="C484" s="8"/>
      <c r="D484" s="10"/>
      <c r="E484" s="10"/>
      <c r="F484" s="10"/>
      <c r="G484" s="10">
        <v>2</v>
      </c>
      <c r="H484" s="10"/>
      <c r="I484" s="10"/>
      <c r="J484" s="10">
        <v>2</v>
      </c>
      <c r="K484" s="10"/>
      <c r="L484" s="10"/>
      <c r="M484" s="10"/>
      <c r="N484" s="10"/>
      <c r="O484" s="10"/>
      <c r="P484" s="10"/>
    </row>
    <row r="485" spans="1:16" ht="11.25">
      <c r="A485" s="31" t="s">
        <v>7</v>
      </c>
      <c r="B485" s="8"/>
      <c r="C485" s="8"/>
      <c r="D485" s="19"/>
      <c r="E485" s="7"/>
      <c r="F485" s="7"/>
      <c r="G485" s="19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24.75" customHeight="1">
      <c r="A486" s="32" t="s">
        <v>221</v>
      </c>
      <c r="B486" s="8"/>
      <c r="C486" s="8"/>
      <c r="D486" s="19"/>
      <c r="E486" s="7"/>
      <c r="F486" s="7"/>
      <c r="G486" s="19">
        <f>G482/G484</f>
        <v>60000</v>
      </c>
      <c r="H486" s="7"/>
      <c r="I486" s="7"/>
      <c r="J486" s="7">
        <f>G486</f>
        <v>60000</v>
      </c>
      <c r="K486" s="7"/>
      <c r="L486" s="7"/>
      <c r="M486" s="7"/>
      <c r="N486" s="7"/>
      <c r="O486" s="7"/>
      <c r="P486" s="7"/>
    </row>
    <row r="487" spans="1:235" s="180" customFormat="1" ht="11.25">
      <c r="A487" s="167" t="s">
        <v>369</v>
      </c>
      <c r="B487" s="176"/>
      <c r="C487" s="176"/>
      <c r="D487" s="177">
        <f>D489</f>
        <v>150400</v>
      </c>
      <c r="E487" s="178"/>
      <c r="F487" s="178">
        <f>D487</f>
        <v>150400</v>
      </c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  <c r="AA487" s="179"/>
      <c r="AB487" s="179"/>
      <c r="AC487" s="179"/>
      <c r="AD487" s="179"/>
      <c r="AE487" s="179"/>
      <c r="AF487" s="179"/>
      <c r="AG487" s="179"/>
      <c r="AH487" s="179"/>
      <c r="AI487" s="179"/>
      <c r="AJ487" s="179"/>
      <c r="AK487" s="179"/>
      <c r="AL487" s="179"/>
      <c r="AM487" s="179"/>
      <c r="AN487" s="179"/>
      <c r="AO487" s="179"/>
      <c r="AP487" s="179"/>
      <c r="AQ487" s="179"/>
      <c r="AR487" s="179"/>
      <c r="AS487" s="179"/>
      <c r="AT487" s="179"/>
      <c r="AU487" s="179"/>
      <c r="AV487" s="179"/>
      <c r="AW487" s="179"/>
      <c r="AX487" s="179"/>
      <c r="AY487" s="179"/>
      <c r="AZ487" s="179"/>
      <c r="BA487" s="179"/>
      <c r="BB487" s="179"/>
      <c r="BC487" s="179"/>
      <c r="BD487" s="179"/>
      <c r="BE487" s="179"/>
      <c r="BF487" s="179"/>
      <c r="BG487" s="179"/>
      <c r="BH487" s="179"/>
      <c r="BI487" s="179"/>
      <c r="BJ487" s="179"/>
      <c r="BK487" s="179"/>
      <c r="BL487" s="179"/>
      <c r="BM487" s="179"/>
      <c r="BN487" s="179"/>
      <c r="BO487" s="179"/>
      <c r="BP487" s="179"/>
      <c r="BQ487" s="179"/>
      <c r="BR487" s="179"/>
      <c r="BS487" s="179"/>
      <c r="BT487" s="179"/>
      <c r="BU487" s="179"/>
      <c r="BV487" s="179"/>
      <c r="BW487" s="179"/>
      <c r="BX487" s="179"/>
      <c r="BY487" s="179"/>
      <c r="BZ487" s="179"/>
      <c r="CA487" s="179"/>
      <c r="CB487" s="179"/>
      <c r="CC487" s="179"/>
      <c r="CD487" s="179"/>
      <c r="CE487" s="179"/>
      <c r="CF487" s="179"/>
      <c r="CG487" s="179"/>
      <c r="CH487" s="179"/>
      <c r="CI487" s="179"/>
      <c r="CJ487" s="179"/>
      <c r="CK487" s="179"/>
      <c r="CL487" s="179"/>
      <c r="CM487" s="179"/>
      <c r="CN487" s="179"/>
      <c r="CO487" s="179"/>
      <c r="CP487" s="179"/>
      <c r="CQ487" s="179"/>
      <c r="CR487" s="179"/>
      <c r="CS487" s="179"/>
      <c r="CT487" s="179"/>
      <c r="CU487" s="179"/>
      <c r="CV487" s="179"/>
      <c r="CW487" s="179"/>
      <c r="CX487" s="179"/>
      <c r="CY487" s="179"/>
      <c r="CZ487" s="179"/>
      <c r="DA487" s="179"/>
      <c r="DB487" s="179"/>
      <c r="DC487" s="179"/>
      <c r="DD487" s="179"/>
      <c r="DE487" s="179"/>
      <c r="DF487" s="179"/>
      <c r="DG487" s="179"/>
      <c r="DH487" s="179"/>
      <c r="DI487" s="179"/>
      <c r="DJ487" s="179"/>
      <c r="DK487" s="179"/>
      <c r="DL487" s="179"/>
      <c r="DM487" s="179"/>
      <c r="DN487" s="179"/>
      <c r="DO487" s="179"/>
      <c r="DP487" s="179"/>
      <c r="DQ487" s="179"/>
      <c r="DR487" s="179"/>
      <c r="DS487" s="179"/>
      <c r="DT487" s="179"/>
      <c r="DU487" s="179"/>
      <c r="DV487" s="179"/>
      <c r="DW487" s="179"/>
      <c r="DX487" s="179"/>
      <c r="DY487" s="179"/>
      <c r="DZ487" s="179"/>
      <c r="EA487" s="179"/>
      <c r="EB487" s="179"/>
      <c r="EC487" s="179"/>
      <c r="ED487" s="179"/>
      <c r="EE487" s="179"/>
      <c r="EF487" s="179"/>
      <c r="EG487" s="179"/>
      <c r="EH487" s="179"/>
      <c r="EI487" s="179"/>
      <c r="EJ487" s="179"/>
      <c r="EK487" s="179"/>
      <c r="EL487" s="179"/>
      <c r="EM487" s="179"/>
      <c r="EN487" s="179"/>
      <c r="EO487" s="179"/>
      <c r="EP487" s="179"/>
      <c r="EQ487" s="179"/>
      <c r="ER487" s="179"/>
      <c r="ES487" s="179"/>
      <c r="ET487" s="179"/>
      <c r="EU487" s="179"/>
      <c r="EV487" s="179"/>
      <c r="EW487" s="179"/>
      <c r="EX487" s="179"/>
      <c r="EY487" s="179"/>
      <c r="EZ487" s="179"/>
      <c r="FA487" s="179"/>
      <c r="FB487" s="179"/>
      <c r="FC487" s="179"/>
      <c r="FD487" s="179"/>
      <c r="FE487" s="179"/>
      <c r="FF487" s="179"/>
      <c r="FG487" s="179"/>
      <c r="FH487" s="179"/>
      <c r="FI487" s="179"/>
      <c r="FJ487" s="179"/>
      <c r="FK487" s="179"/>
      <c r="FL487" s="179"/>
      <c r="FM487" s="179"/>
      <c r="FN487" s="179"/>
      <c r="FO487" s="179"/>
      <c r="FP487" s="179"/>
      <c r="FQ487" s="179"/>
      <c r="FR487" s="179"/>
      <c r="FS487" s="179"/>
      <c r="FT487" s="179"/>
      <c r="FU487" s="179"/>
      <c r="FV487" s="179"/>
      <c r="FW487" s="179"/>
      <c r="FX487" s="179"/>
      <c r="FY487" s="179"/>
      <c r="FZ487" s="179"/>
      <c r="GA487" s="179"/>
      <c r="GB487" s="179"/>
      <c r="GC487" s="179"/>
      <c r="GD487" s="179"/>
      <c r="GE487" s="179"/>
      <c r="GF487" s="179"/>
      <c r="GG487" s="179"/>
      <c r="GH487" s="179"/>
      <c r="GI487" s="179"/>
      <c r="GJ487" s="179"/>
      <c r="GK487" s="179"/>
      <c r="GL487" s="179"/>
      <c r="GM487" s="179"/>
      <c r="GN487" s="179"/>
      <c r="GO487" s="179"/>
      <c r="GP487" s="179"/>
      <c r="GQ487" s="179"/>
      <c r="GR487" s="179"/>
      <c r="GS487" s="179"/>
      <c r="GT487" s="179"/>
      <c r="GU487" s="179"/>
      <c r="GV487" s="179"/>
      <c r="GW487" s="179"/>
      <c r="GX487" s="179"/>
      <c r="GY487" s="179"/>
      <c r="GZ487" s="179"/>
      <c r="HA487" s="179"/>
      <c r="HB487" s="179"/>
      <c r="HC487" s="179"/>
      <c r="HD487" s="179"/>
      <c r="HE487" s="179"/>
      <c r="HF487" s="179"/>
      <c r="HG487" s="179"/>
      <c r="HH487" s="179"/>
      <c r="HI487" s="179"/>
      <c r="HJ487" s="179"/>
      <c r="HK487" s="179"/>
      <c r="HL487" s="179"/>
      <c r="HM487" s="179"/>
      <c r="HN487" s="179"/>
      <c r="HO487" s="179"/>
      <c r="HP487" s="179"/>
      <c r="HQ487" s="179"/>
      <c r="HR487" s="179"/>
      <c r="HS487" s="179"/>
      <c r="HT487" s="179"/>
      <c r="HU487" s="179"/>
      <c r="HV487" s="179"/>
      <c r="HW487" s="179"/>
      <c r="HX487" s="179"/>
      <c r="HY487" s="179"/>
      <c r="HZ487" s="179"/>
      <c r="IA487" s="179"/>
    </row>
    <row r="488" spans="1:16" ht="12" customHeight="1">
      <c r="A488" s="31" t="s">
        <v>4</v>
      </c>
      <c r="B488" s="8"/>
      <c r="C488" s="8"/>
      <c r="D488" s="1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2" customHeight="1">
      <c r="A489" s="32" t="s">
        <v>63</v>
      </c>
      <c r="B489" s="8"/>
      <c r="C489" s="8"/>
      <c r="D489" s="19">
        <f>(D491*D494)+(D492*D495)-0.03</f>
        <v>150400</v>
      </c>
      <c r="E489" s="7"/>
      <c r="F489" s="7">
        <f>D489</f>
        <v>150400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2" customHeight="1">
      <c r="A490" s="31" t="s">
        <v>5</v>
      </c>
      <c r="B490" s="8"/>
      <c r="C490" s="8"/>
      <c r="D490" s="1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24.75" customHeight="1">
      <c r="A491" s="32" t="s">
        <v>251</v>
      </c>
      <c r="B491" s="8"/>
      <c r="C491" s="8"/>
      <c r="D491" s="10">
        <v>57</v>
      </c>
      <c r="E491" s="10"/>
      <c r="F491" s="10">
        <v>57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5.75" customHeight="1">
      <c r="A492" s="32" t="s">
        <v>249</v>
      </c>
      <c r="B492" s="8"/>
      <c r="C492" s="8"/>
      <c r="D492" s="10">
        <v>145</v>
      </c>
      <c r="E492" s="10"/>
      <c r="F492" s="10">
        <f>D492</f>
        <v>145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2.75" customHeight="1">
      <c r="A493" s="31" t="s">
        <v>7</v>
      </c>
      <c r="B493" s="8"/>
      <c r="C493" s="8"/>
      <c r="D493" s="1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24.75" customHeight="1">
      <c r="A494" s="32" t="s">
        <v>250</v>
      </c>
      <c r="B494" s="8"/>
      <c r="C494" s="8"/>
      <c r="D494" s="19">
        <v>1950.89</v>
      </c>
      <c r="E494" s="7"/>
      <c r="F494" s="7">
        <f>D494</f>
        <v>1950.89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24.75" customHeight="1">
      <c r="A495" s="32" t="s">
        <v>252</v>
      </c>
      <c r="B495" s="8"/>
      <c r="C495" s="8"/>
      <c r="D495" s="19">
        <v>270.34</v>
      </c>
      <c r="E495" s="7"/>
      <c r="F495" s="7">
        <f>D495</f>
        <v>270.34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235" s="180" customFormat="1" ht="41.25" customHeight="1">
      <c r="A496" s="167" t="s">
        <v>370</v>
      </c>
      <c r="B496" s="176"/>
      <c r="C496" s="176"/>
      <c r="D496" s="177">
        <v>127900</v>
      </c>
      <c r="E496" s="178"/>
      <c r="F496" s="178">
        <f>D496</f>
        <v>127900</v>
      </c>
      <c r="G496" s="178">
        <f>G498</f>
        <v>130000</v>
      </c>
      <c r="H496" s="178"/>
      <c r="I496" s="178"/>
      <c r="J496" s="178">
        <f>G496</f>
        <v>130000</v>
      </c>
      <c r="K496" s="178"/>
      <c r="L496" s="178"/>
      <c r="M496" s="178"/>
      <c r="N496" s="178"/>
      <c r="O496" s="178"/>
      <c r="P496" s="178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79"/>
      <c r="AT496" s="179"/>
      <c r="AU496" s="179"/>
      <c r="AV496" s="179"/>
      <c r="AW496" s="179"/>
      <c r="AX496" s="179"/>
      <c r="AY496" s="179"/>
      <c r="AZ496" s="179"/>
      <c r="BA496" s="179"/>
      <c r="BB496" s="179"/>
      <c r="BC496" s="179"/>
      <c r="BD496" s="179"/>
      <c r="BE496" s="179"/>
      <c r="BF496" s="179"/>
      <c r="BG496" s="179"/>
      <c r="BH496" s="179"/>
      <c r="BI496" s="179"/>
      <c r="BJ496" s="179"/>
      <c r="BK496" s="179"/>
      <c r="BL496" s="179"/>
      <c r="BM496" s="179"/>
      <c r="BN496" s="179"/>
      <c r="BO496" s="179"/>
      <c r="BP496" s="179"/>
      <c r="BQ496" s="179"/>
      <c r="BR496" s="179"/>
      <c r="BS496" s="179"/>
      <c r="BT496" s="179"/>
      <c r="BU496" s="179"/>
      <c r="BV496" s="179"/>
      <c r="BW496" s="179"/>
      <c r="BX496" s="179"/>
      <c r="BY496" s="179"/>
      <c r="BZ496" s="179"/>
      <c r="CA496" s="179"/>
      <c r="CB496" s="179"/>
      <c r="CC496" s="179"/>
      <c r="CD496" s="179"/>
      <c r="CE496" s="179"/>
      <c r="CF496" s="179"/>
      <c r="CG496" s="179"/>
      <c r="CH496" s="179"/>
      <c r="CI496" s="179"/>
      <c r="CJ496" s="179"/>
      <c r="CK496" s="179"/>
      <c r="CL496" s="179"/>
      <c r="CM496" s="179"/>
      <c r="CN496" s="179"/>
      <c r="CO496" s="179"/>
      <c r="CP496" s="179"/>
      <c r="CQ496" s="179"/>
      <c r="CR496" s="179"/>
      <c r="CS496" s="179"/>
      <c r="CT496" s="179"/>
      <c r="CU496" s="179"/>
      <c r="CV496" s="179"/>
      <c r="CW496" s="179"/>
      <c r="CX496" s="179"/>
      <c r="CY496" s="179"/>
      <c r="CZ496" s="179"/>
      <c r="DA496" s="179"/>
      <c r="DB496" s="179"/>
      <c r="DC496" s="179"/>
      <c r="DD496" s="179"/>
      <c r="DE496" s="179"/>
      <c r="DF496" s="179"/>
      <c r="DG496" s="179"/>
      <c r="DH496" s="179"/>
      <c r="DI496" s="179"/>
      <c r="DJ496" s="179"/>
      <c r="DK496" s="179"/>
      <c r="DL496" s="179"/>
      <c r="DM496" s="179"/>
      <c r="DN496" s="179"/>
      <c r="DO496" s="179"/>
      <c r="DP496" s="179"/>
      <c r="DQ496" s="179"/>
      <c r="DR496" s="179"/>
      <c r="DS496" s="179"/>
      <c r="DT496" s="179"/>
      <c r="DU496" s="179"/>
      <c r="DV496" s="179"/>
      <c r="DW496" s="179"/>
      <c r="DX496" s="179"/>
      <c r="DY496" s="179"/>
      <c r="DZ496" s="179"/>
      <c r="EA496" s="179"/>
      <c r="EB496" s="179"/>
      <c r="EC496" s="179"/>
      <c r="ED496" s="179"/>
      <c r="EE496" s="179"/>
      <c r="EF496" s="179"/>
      <c r="EG496" s="179"/>
      <c r="EH496" s="179"/>
      <c r="EI496" s="179"/>
      <c r="EJ496" s="179"/>
      <c r="EK496" s="179"/>
      <c r="EL496" s="179"/>
      <c r="EM496" s="179"/>
      <c r="EN496" s="179"/>
      <c r="EO496" s="179"/>
      <c r="EP496" s="179"/>
      <c r="EQ496" s="179"/>
      <c r="ER496" s="179"/>
      <c r="ES496" s="179"/>
      <c r="ET496" s="179"/>
      <c r="EU496" s="179"/>
      <c r="EV496" s="179"/>
      <c r="EW496" s="179"/>
      <c r="EX496" s="179"/>
      <c r="EY496" s="179"/>
      <c r="EZ496" s="179"/>
      <c r="FA496" s="179"/>
      <c r="FB496" s="179"/>
      <c r="FC496" s="179"/>
      <c r="FD496" s="179"/>
      <c r="FE496" s="179"/>
      <c r="FF496" s="179"/>
      <c r="FG496" s="179"/>
      <c r="FH496" s="179"/>
      <c r="FI496" s="179"/>
      <c r="FJ496" s="179"/>
      <c r="FK496" s="179"/>
      <c r="FL496" s="179"/>
      <c r="FM496" s="179"/>
      <c r="FN496" s="179"/>
      <c r="FO496" s="179"/>
      <c r="FP496" s="179"/>
      <c r="FQ496" s="179"/>
      <c r="FR496" s="179"/>
      <c r="FS496" s="179"/>
      <c r="FT496" s="179"/>
      <c r="FU496" s="179"/>
      <c r="FV496" s="179"/>
      <c r="FW496" s="179"/>
      <c r="FX496" s="179"/>
      <c r="FY496" s="179"/>
      <c r="FZ496" s="179"/>
      <c r="GA496" s="179"/>
      <c r="GB496" s="179"/>
      <c r="GC496" s="179"/>
      <c r="GD496" s="179"/>
      <c r="GE496" s="179"/>
      <c r="GF496" s="179"/>
      <c r="GG496" s="179"/>
      <c r="GH496" s="179"/>
      <c r="GI496" s="179"/>
      <c r="GJ496" s="179"/>
      <c r="GK496" s="179"/>
      <c r="GL496" s="179"/>
      <c r="GM496" s="179"/>
      <c r="GN496" s="179"/>
      <c r="GO496" s="179"/>
      <c r="GP496" s="179"/>
      <c r="GQ496" s="179"/>
      <c r="GR496" s="179"/>
      <c r="GS496" s="179"/>
      <c r="GT496" s="179"/>
      <c r="GU496" s="179"/>
      <c r="GV496" s="179"/>
      <c r="GW496" s="179"/>
      <c r="GX496" s="179"/>
      <c r="GY496" s="179"/>
      <c r="GZ496" s="179"/>
      <c r="HA496" s="179"/>
      <c r="HB496" s="179"/>
      <c r="HC496" s="179"/>
      <c r="HD496" s="179"/>
      <c r="HE496" s="179"/>
      <c r="HF496" s="179"/>
      <c r="HG496" s="179"/>
      <c r="HH496" s="179"/>
      <c r="HI496" s="179"/>
      <c r="HJ496" s="179"/>
      <c r="HK496" s="179"/>
      <c r="HL496" s="179"/>
      <c r="HM496" s="179"/>
      <c r="HN496" s="179"/>
      <c r="HO496" s="179"/>
      <c r="HP496" s="179"/>
      <c r="HQ496" s="179"/>
      <c r="HR496" s="179"/>
      <c r="HS496" s="179"/>
      <c r="HT496" s="179"/>
      <c r="HU496" s="179"/>
      <c r="HV496" s="179"/>
      <c r="HW496" s="179"/>
      <c r="HX496" s="179"/>
      <c r="HY496" s="179"/>
      <c r="HZ496" s="179"/>
      <c r="IA496" s="179"/>
    </row>
    <row r="497" spans="1:16" ht="11.25" customHeight="1">
      <c r="A497" s="31" t="s">
        <v>4</v>
      </c>
      <c r="B497" s="8"/>
      <c r="C497" s="8"/>
      <c r="D497" s="1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4.25" customHeight="1">
      <c r="A498" s="32" t="s">
        <v>63</v>
      </c>
      <c r="B498" s="8"/>
      <c r="C498" s="8"/>
      <c r="D498" s="104">
        <f>D496</f>
        <v>127900</v>
      </c>
      <c r="E498" s="7"/>
      <c r="F498" s="7">
        <f>D498</f>
        <v>127900</v>
      </c>
      <c r="G498" s="7">
        <v>130000</v>
      </c>
      <c r="H498" s="7"/>
      <c r="I498" s="7"/>
      <c r="J498" s="7">
        <f>G498</f>
        <v>130000</v>
      </c>
      <c r="K498" s="7"/>
      <c r="L498" s="7"/>
      <c r="M498" s="7"/>
      <c r="N498" s="7"/>
      <c r="O498" s="7"/>
      <c r="P498" s="7"/>
    </row>
    <row r="499" spans="1:16" ht="10.5" customHeight="1">
      <c r="A499" s="31" t="s">
        <v>5</v>
      </c>
      <c r="B499" s="8"/>
      <c r="C499" s="8"/>
      <c r="D499" s="104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24.75" customHeight="1">
      <c r="A500" s="32" t="s">
        <v>256</v>
      </c>
      <c r="B500" s="8"/>
      <c r="C500" s="8"/>
      <c r="D500" s="111">
        <v>4</v>
      </c>
      <c r="E500" s="132"/>
      <c r="F500" s="132">
        <f>D500</f>
        <v>4</v>
      </c>
      <c r="G500" s="7">
        <v>4</v>
      </c>
      <c r="H500" s="7"/>
      <c r="I500" s="7"/>
      <c r="J500" s="7">
        <v>4</v>
      </c>
      <c r="K500" s="7"/>
      <c r="L500" s="7"/>
      <c r="M500" s="7"/>
      <c r="N500" s="7"/>
      <c r="O500" s="7"/>
      <c r="P500" s="7"/>
    </row>
    <row r="501" spans="1:16" ht="11.25">
      <c r="A501" s="31" t="s">
        <v>7</v>
      </c>
      <c r="B501" s="8"/>
      <c r="C501" s="8"/>
      <c r="D501" s="104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24.75" customHeight="1">
      <c r="A502" s="32" t="s">
        <v>255</v>
      </c>
      <c r="B502" s="8"/>
      <c r="C502" s="8"/>
      <c r="D502" s="104">
        <f>D496/D500</f>
        <v>31975</v>
      </c>
      <c r="E502" s="7"/>
      <c r="F502" s="7">
        <f>D502</f>
        <v>31975</v>
      </c>
      <c r="G502" s="7">
        <f>G498/G500</f>
        <v>32500</v>
      </c>
      <c r="H502" s="7"/>
      <c r="I502" s="7"/>
      <c r="J502" s="7">
        <f>G502</f>
        <v>32500</v>
      </c>
      <c r="K502" s="7"/>
      <c r="L502" s="7"/>
      <c r="M502" s="7"/>
      <c r="N502" s="7"/>
      <c r="O502" s="7"/>
      <c r="P502" s="7"/>
    </row>
    <row r="503" spans="1:235" s="180" customFormat="1" ht="25.5" customHeight="1">
      <c r="A503" s="167" t="s">
        <v>371</v>
      </c>
      <c r="B503" s="176"/>
      <c r="C503" s="176"/>
      <c r="D503" s="177">
        <v>224200</v>
      </c>
      <c r="E503" s="178"/>
      <c r="F503" s="178">
        <f>D503</f>
        <v>224200</v>
      </c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  <c r="AA503" s="179"/>
      <c r="AB503" s="179"/>
      <c r="AC503" s="179"/>
      <c r="AD503" s="179"/>
      <c r="AE503" s="179"/>
      <c r="AF503" s="179"/>
      <c r="AG503" s="179"/>
      <c r="AH503" s="179"/>
      <c r="AI503" s="179"/>
      <c r="AJ503" s="179"/>
      <c r="AK503" s="179"/>
      <c r="AL503" s="179"/>
      <c r="AM503" s="179"/>
      <c r="AN503" s="179"/>
      <c r="AO503" s="179"/>
      <c r="AP503" s="179"/>
      <c r="AQ503" s="179"/>
      <c r="AR503" s="179"/>
      <c r="AS503" s="179"/>
      <c r="AT503" s="179"/>
      <c r="AU503" s="179"/>
      <c r="AV503" s="179"/>
      <c r="AW503" s="179"/>
      <c r="AX503" s="179"/>
      <c r="AY503" s="179"/>
      <c r="AZ503" s="179"/>
      <c r="BA503" s="179"/>
      <c r="BB503" s="179"/>
      <c r="BC503" s="179"/>
      <c r="BD503" s="179"/>
      <c r="BE503" s="179"/>
      <c r="BF503" s="179"/>
      <c r="BG503" s="179"/>
      <c r="BH503" s="179"/>
      <c r="BI503" s="179"/>
      <c r="BJ503" s="179"/>
      <c r="BK503" s="179"/>
      <c r="BL503" s="179"/>
      <c r="BM503" s="179"/>
      <c r="BN503" s="179"/>
      <c r="BO503" s="179"/>
      <c r="BP503" s="179"/>
      <c r="BQ503" s="179"/>
      <c r="BR503" s="179"/>
      <c r="BS503" s="179"/>
      <c r="BT503" s="179"/>
      <c r="BU503" s="179"/>
      <c r="BV503" s="179"/>
      <c r="BW503" s="179"/>
      <c r="BX503" s="179"/>
      <c r="BY503" s="179"/>
      <c r="BZ503" s="179"/>
      <c r="CA503" s="179"/>
      <c r="CB503" s="179"/>
      <c r="CC503" s="179"/>
      <c r="CD503" s="179"/>
      <c r="CE503" s="179"/>
      <c r="CF503" s="179"/>
      <c r="CG503" s="179"/>
      <c r="CH503" s="179"/>
      <c r="CI503" s="179"/>
      <c r="CJ503" s="179"/>
      <c r="CK503" s="179"/>
      <c r="CL503" s="179"/>
      <c r="CM503" s="179"/>
      <c r="CN503" s="179"/>
      <c r="CO503" s="179"/>
      <c r="CP503" s="179"/>
      <c r="CQ503" s="179"/>
      <c r="CR503" s="179"/>
      <c r="CS503" s="179"/>
      <c r="CT503" s="179"/>
      <c r="CU503" s="179"/>
      <c r="CV503" s="179"/>
      <c r="CW503" s="179"/>
      <c r="CX503" s="179"/>
      <c r="CY503" s="179"/>
      <c r="CZ503" s="179"/>
      <c r="DA503" s="179"/>
      <c r="DB503" s="179"/>
      <c r="DC503" s="179"/>
      <c r="DD503" s="179"/>
      <c r="DE503" s="179"/>
      <c r="DF503" s="179"/>
      <c r="DG503" s="179"/>
      <c r="DH503" s="179"/>
      <c r="DI503" s="179"/>
      <c r="DJ503" s="179"/>
      <c r="DK503" s="179"/>
      <c r="DL503" s="179"/>
      <c r="DM503" s="179"/>
      <c r="DN503" s="179"/>
      <c r="DO503" s="179"/>
      <c r="DP503" s="179"/>
      <c r="DQ503" s="179"/>
      <c r="DR503" s="179"/>
      <c r="DS503" s="179"/>
      <c r="DT503" s="179"/>
      <c r="DU503" s="179"/>
      <c r="DV503" s="179"/>
      <c r="DW503" s="179"/>
      <c r="DX503" s="179"/>
      <c r="DY503" s="179"/>
      <c r="DZ503" s="179"/>
      <c r="EA503" s="179"/>
      <c r="EB503" s="179"/>
      <c r="EC503" s="179"/>
      <c r="ED503" s="179"/>
      <c r="EE503" s="179"/>
      <c r="EF503" s="179"/>
      <c r="EG503" s="179"/>
      <c r="EH503" s="179"/>
      <c r="EI503" s="179"/>
      <c r="EJ503" s="179"/>
      <c r="EK503" s="179"/>
      <c r="EL503" s="179"/>
      <c r="EM503" s="179"/>
      <c r="EN503" s="179"/>
      <c r="EO503" s="179"/>
      <c r="EP503" s="179"/>
      <c r="EQ503" s="179"/>
      <c r="ER503" s="179"/>
      <c r="ES503" s="179"/>
      <c r="ET503" s="179"/>
      <c r="EU503" s="179"/>
      <c r="EV503" s="179"/>
      <c r="EW503" s="179"/>
      <c r="EX503" s="179"/>
      <c r="EY503" s="179"/>
      <c r="EZ503" s="179"/>
      <c r="FA503" s="179"/>
      <c r="FB503" s="179"/>
      <c r="FC503" s="179"/>
      <c r="FD503" s="179"/>
      <c r="FE503" s="179"/>
      <c r="FF503" s="179"/>
      <c r="FG503" s="179"/>
      <c r="FH503" s="179"/>
      <c r="FI503" s="179"/>
      <c r="FJ503" s="179"/>
      <c r="FK503" s="179"/>
      <c r="FL503" s="179"/>
      <c r="FM503" s="179"/>
      <c r="FN503" s="179"/>
      <c r="FO503" s="179"/>
      <c r="FP503" s="179"/>
      <c r="FQ503" s="179"/>
      <c r="FR503" s="179"/>
      <c r="FS503" s="179"/>
      <c r="FT503" s="179"/>
      <c r="FU503" s="179"/>
      <c r="FV503" s="179"/>
      <c r="FW503" s="179"/>
      <c r="FX503" s="179"/>
      <c r="FY503" s="179"/>
      <c r="FZ503" s="179"/>
      <c r="GA503" s="179"/>
      <c r="GB503" s="179"/>
      <c r="GC503" s="179"/>
      <c r="GD503" s="179"/>
      <c r="GE503" s="179"/>
      <c r="GF503" s="179"/>
      <c r="GG503" s="179"/>
      <c r="GH503" s="179"/>
      <c r="GI503" s="179"/>
      <c r="GJ503" s="179"/>
      <c r="GK503" s="179"/>
      <c r="GL503" s="179"/>
      <c r="GM503" s="179"/>
      <c r="GN503" s="179"/>
      <c r="GO503" s="179"/>
      <c r="GP503" s="179"/>
      <c r="GQ503" s="179"/>
      <c r="GR503" s="179"/>
      <c r="GS503" s="179"/>
      <c r="GT503" s="179"/>
      <c r="GU503" s="179"/>
      <c r="GV503" s="179"/>
      <c r="GW503" s="179"/>
      <c r="GX503" s="179"/>
      <c r="GY503" s="179"/>
      <c r="GZ503" s="179"/>
      <c r="HA503" s="179"/>
      <c r="HB503" s="179"/>
      <c r="HC503" s="179"/>
      <c r="HD503" s="179"/>
      <c r="HE503" s="179"/>
      <c r="HF503" s="179"/>
      <c r="HG503" s="179"/>
      <c r="HH503" s="179"/>
      <c r="HI503" s="179"/>
      <c r="HJ503" s="179"/>
      <c r="HK503" s="179"/>
      <c r="HL503" s="179"/>
      <c r="HM503" s="179"/>
      <c r="HN503" s="179"/>
      <c r="HO503" s="179"/>
      <c r="HP503" s="179"/>
      <c r="HQ503" s="179"/>
      <c r="HR503" s="179"/>
      <c r="HS503" s="179"/>
      <c r="HT503" s="179"/>
      <c r="HU503" s="179"/>
      <c r="HV503" s="179"/>
      <c r="HW503" s="179"/>
      <c r="HX503" s="179"/>
      <c r="HY503" s="179"/>
      <c r="HZ503" s="179"/>
      <c r="IA503" s="179"/>
    </row>
    <row r="504" spans="1:16" ht="11.25" customHeight="1">
      <c r="A504" s="31" t="s">
        <v>4</v>
      </c>
      <c r="B504" s="8"/>
      <c r="C504" s="8"/>
      <c r="D504" s="1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4.25" customHeight="1">
      <c r="A505" s="32" t="s">
        <v>63</v>
      </c>
      <c r="B505" s="8"/>
      <c r="C505" s="8"/>
      <c r="D505" s="104">
        <f>D503</f>
        <v>224200</v>
      </c>
      <c r="E505" s="7"/>
      <c r="F505" s="7">
        <v>224200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0.5" customHeight="1">
      <c r="A506" s="31" t="s">
        <v>5</v>
      </c>
      <c r="B506" s="8"/>
      <c r="C506" s="8"/>
      <c r="D506" s="104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24.75" customHeight="1">
      <c r="A507" s="32" t="s">
        <v>274</v>
      </c>
      <c r="B507" s="8"/>
      <c r="C507" s="8"/>
      <c r="D507" s="111">
        <v>398</v>
      </c>
      <c r="E507" s="132"/>
      <c r="F507" s="132">
        <f>D507</f>
        <v>398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31" t="s">
        <v>7</v>
      </c>
      <c r="B508" s="8"/>
      <c r="C508" s="8"/>
      <c r="D508" s="104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24.75" customHeight="1">
      <c r="A509" s="32" t="s">
        <v>275</v>
      </c>
      <c r="B509" s="8"/>
      <c r="C509" s="8"/>
      <c r="D509" s="104">
        <f>D503/D507</f>
        <v>563.3165829145729</v>
      </c>
      <c r="E509" s="7"/>
      <c r="F509" s="7">
        <f>D509</f>
        <v>563.3165829145729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235" s="180" customFormat="1" ht="45.75" customHeight="1">
      <c r="A510" s="167" t="s">
        <v>372</v>
      </c>
      <c r="B510" s="176"/>
      <c r="C510" s="176"/>
      <c r="D510" s="177"/>
      <c r="E510" s="178"/>
      <c r="F510" s="178"/>
      <c r="G510" s="178">
        <v>70100</v>
      </c>
      <c r="H510" s="178"/>
      <c r="I510" s="178"/>
      <c r="J510" s="178">
        <f>G510</f>
        <v>70100</v>
      </c>
      <c r="K510" s="178"/>
      <c r="L510" s="178"/>
      <c r="M510" s="178"/>
      <c r="N510" s="178"/>
      <c r="O510" s="178"/>
      <c r="P510" s="178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79"/>
      <c r="AT510" s="179"/>
      <c r="AU510" s="179"/>
      <c r="AV510" s="179"/>
      <c r="AW510" s="179"/>
      <c r="AX510" s="179"/>
      <c r="AY510" s="179"/>
      <c r="AZ510" s="179"/>
      <c r="BA510" s="179"/>
      <c r="BB510" s="179"/>
      <c r="BC510" s="179"/>
      <c r="BD510" s="179"/>
      <c r="BE510" s="179"/>
      <c r="BF510" s="179"/>
      <c r="BG510" s="179"/>
      <c r="BH510" s="179"/>
      <c r="BI510" s="179"/>
      <c r="BJ510" s="179"/>
      <c r="BK510" s="179"/>
      <c r="BL510" s="179"/>
      <c r="BM510" s="179"/>
      <c r="BN510" s="179"/>
      <c r="BO510" s="179"/>
      <c r="BP510" s="179"/>
      <c r="BQ510" s="179"/>
      <c r="BR510" s="179"/>
      <c r="BS510" s="179"/>
      <c r="BT510" s="179"/>
      <c r="BU510" s="179"/>
      <c r="BV510" s="179"/>
      <c r="BW510" s="179"/>
      <c r="BX510" s="179"/>
      <c r="BY510" s="179"/>
      <c r="BZ510" s="179"/>
      <c r="CA510" s="179"/>
      <c r="CB510" s="179"/>
      <c r="CC510" s="179"/>
      <c r="CD510" s="179"/>
      <c r="CE510" s="179"/>
      <c r="CF510" s="179"/>
      <c r="CG510" s="179"/>
      <c r="CH510" s="179"/>
      <c r="CI510" s="179"/>
      <c r="CJ510" s="179"/>
      <c r="CK510" s="179"/>
      <c r="CL510" s="179"/>
      <c r="CM510" s="179"/>
      <c r="CN510" s="179"/>
      <c r="CO510" s="179"/>
      <c r="CP510" s="179"/>
      <c r="CQ510" s="179"/>
      <c r="CR510" s="179"/>
      <c r="CS510" s="179"/>
      <c r="CT510" s="179"/>
      <c r="CU510" s="179"/>
      <c r="CV510" s="179"/>
      <c r="CW510" s="179"/>
      <c r="CX510" s="179"/>
      <c r="CY510" s="179"/>
      <c r="CZ510" s="179"/>
      <c r="DA510" s="179"/>
      <c r="DB510" s="179"/>
      <c r="DC510" s="179"/>
      <c r="DD510" s="179"/>
      <c r="DE510" s="179"/>
      <c r="DF510" s="179"/>
      <c r="DG510" s="179"/>
      <c r="DH510" s="179"/>
      <c r="DI510" s="179"/>
      <c r="DJ510" s="179"/>
      <c r="DK510" s="179"/>
      <c r="DL510" s="179"/>
      <c r="DM510" s="179"/>
      <c r="DN510" s="179"/>
      <c r="DO510" s="179"/>
      <c r="DP510" s="179"/>
      <c r="DQ510" s="179"/>
      <c r="DR510" s="179"/>
      <c r="DS510" s="179"/>
      <c r="DT510" s="179"/>
      <c r="DU510" s="179"/>
      <c r="DV510" s="179"/>
      <c r="DW510" s="179"/>
      <c r="DX510" s="179"/>
      <c r="DY510" s="179"/>
      <c r="DZ510" s="179"/>
      <c r="EA510" s="179"/>
      <c r="EB510" s="179"/>
      <c r="EC510" s="179"/>
      <c r="ED510" s="179"/>
      <c r="EE510" s="179"/>
      <c r="EF510" s="179"/>
      <c r="EG510" s="179"/>
      <c r="EH510" s="179"/>
      <c r="EI510" s="179"/>
      <c r="EJ510" s="179"/>
      <c r="EK510" s="179"/>
      <c r="EL510" s="179"/>
      <c r="EM510" s="179"/>
      <c r="EN510" s="179"/>
      <c r="EO510" s="179"/>
      <c r="EP510" s="179"/>
      <c r="EQ510" s="179"/>
      <c r="ER510" s="179"/>
      <c r="ES510" s="179"/>
      <c r="ET510" s="179"/>
      <c r="EU510" s="179"/>
      <c r="EV510" s="179"/>
      <c r="EW510" s="179"/>
      <c r="EX510" s="179"/>
      <c r="EY510" s="179"/>
      <c r="EZ510" s="179"/>
      <c r="FA510" s="179"/>
      <c r="FB510" s="179"/>
      <c r="FC510" s="179"/>
      <c r="FD510" s="179"/>
      <c r="FE510" s="179"/>
      <c r="FF510" s="179"/>
      <c r="FG510" s="179"/>
      <c r="FH510" s="179"/>
      <c r="FI510" s="179"/>
      <c r="FJ510" s="179"/>
      <c r="FK510" s="179"/>
      <c r="FL510" s="179"/>
      <c r="FM510" s="179"/>
      <c r="FN510" s="179"/>
      <c r="FO510" s="179"/>
      <c r="FP510" s="179"/>
      <c r="FQ510" s="179"/>
      <c r="FR510" s="179"/>
      <c r="FS510" s="179"/>
      <c r="FT510" s="179"/>
      <c r="FU510" s="179"/>
      <c r="FV510" s="179"/>
      <c r="FW510" s="179"/>
      <c r="FX510" s="179"/>
      <c r="FY510" s="179"/>
      <c r="FZ510" s="179"/>
      <c r="GA510" s="179"/>
      <c r="GB510" s="179"/>
      <c r="GC510" s="179"/>
      <c r="GD510" s="179"/>
      <c r="GE510" s="179"/>
      <c r="GF510" s="179"/>
      <c r="GG510" s="179"/>
      <c r="GH510" s="179"/>
      <c r="GI510" s="179"/>
      <c r="GJ510" s="179"/>
      <c r="GK510" s="179"/>
      <c r="GL510" s="179"/>
      <c r="GM510" s="179"/>
      <c r="GN510" s="179"/>
      <c r="GO510" s="179"/>
      <c r="GP510" s="179"/>
      <c r="GQ510" s="179"/>
      <c r="GR510" s="179"/>
      <c r="GS510" s="179"/>
      <c r="GT510" s="179"/>
      <c r="GU510" s="179"/>
      <c r="GV510" s="179"/>
      <c r="GW510" s="179"/>
      <c r="GX510" s="179"/>
      <c r="GY510" s="179"/>
      <c r="GZ510" s="179"/>
      <c r="HA510" s="179"/>
      <c r="HB510" s="179"/>
      <c r="HC510" s="179"/>
      <c r="HD510" s="179"/>
      <c r="HE510" s="179"/>
      <c r="HF510" s="179"/>
      <c r="HG510" s="179"/>
      <c r="HH510" s="179"/>
      <c r="HI510" s="179"/>
      <c r="HJ510" s="179"/>
      <c r="HK510" s="179"/>
      <c r="HL510" s="179"/>
      <c r="HM510" s="179"/>
      <c r="HN510" s="179"/>
      <c r="HO510" s="179"/>
      <c r="HP510" s="179"/>
      <c r="HQ510" s="179"/>
      <c r="HR510" s="179"/>
      <c r="HS510" s="179"/>
      <c r="HT510" s="179"/>
      <c r="HU510" s="179"/>
      <c r="HV510" s="179"/>
      <c r="HW510" s="179"/>
      <c r="HX510" s="179"/>
      <c r="HY510" s="179"/>
      <c r="HZ510" s="179"/>
      <c r="IA510" s="179"/>
    </row>
    <row r="511" spans="1:16" ht="12.75" customHeight="1">
      <c r="A511" s="31" t="s">
        <v>4</v>
      </c>
      <c r="B511" s="8"/>
      <c r="C511" s="8"/>
      <c r="D511" s="104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32" t="s">
        <v>63</v>
      </c>
      <c r="B512" s="8"/>
      <c r="C512" s="8"/>
      <c r="D512" s="104"/>
      <c r="E512" s="7"/>
      <c r="F512" s="7"/>
      <c r="G512" s="7">
        <v>70100</v>
      </c>
      <c r="H512" s="7"/>
      <c r="I512" s="7"/>
      <c r="J512" s="7">
        <f>G512</f>
        <v>70100</v>
      </c>
      <c r="K512" s="7"/>
      <c r="L512" s="7"/>
      <c r="M512" s="7"/>
      <c r="N512" s="7"/>
      <c r="O512" s="7"/>
      <c r="P512" s="7"/>
    </row>
    <row r="513" spans="1:16" ht="11.25">
      <c r="A513" s="31" t="s">
        <v>5</v>
      </c>
      <c r="B513" s="8"/>
      <c r="C513" s="8"/>
      <c r="D513" s="104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32" t="s">
        <v>313</v>
      </c>
      <c r="B514" s="8"/>
      <c r="C514" s="8"/>
      <c r="D514" s="104"/>
      <c r="E514" s="7"/>
      <c r="F514" s="7"/>
      <c r="G514" s="7">
        <v>1</v>
      </c>
      <c r="H514" s="7"/>
      <c r="I514" s="7"/>
      <c r="J514" s="7">
        <v>1</v>
      </c>
      <c r="K514" s="7"/>
      <c r="L514" s="7"/>
      <c r="M514" s="7"/>
      <c r="N514" s="7"/>
      <c r="O514" s="7"/>
      <c r="P514" s="7"/>
    </row>
    <row r="515" spans="1:16" ht="11.25">
      <c r="A515" s="31" t="s">
        <v>7</v>
      </c>
      <c r="B515" s="8"/>
      <c r="C515" s="8"/>
      <c r="D515" s="104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22.5">
      <c r="A516" s="32" t="s">
        <v>314</v>
      </c>
      <c r="B516" s="8"/>
      <c r="C516" s="8"/>
      <c r="D516" s="104"/>
      <c r="E516" s="7"/>
      <c r="F516" s="7"/>
      <c r="G516" s="7">
        <f>G512/G514</f>
        <v>70100</v>
      </c>
      <c r="H516" s="7"/>
      <c r="I516" s="7"/>
      <c r="J516" s="7">
        <f>G516</f>
        <v>70100</v>
      </c>
      <c r="K516" s="7"/>
      <c r="L516" s="7"/>
      <c r="M516" s="7"/>
      <c r="N516" s="7"/>
      <c r="O516" s="7"/>
      <c r="P516" s="7"/>
    </row>
    <row r="517" spans="1:235" s="180" customFormat="1" ht="24.75" customHeight="1">
      <c r="A517" s="167" t="s">
        <v>373</v>
      </c>
      <c r="B517" s="176"/>
      <c r="C517" s="176"/>
      <c r="D517" s="177"/>
      <c r="E517" s="178"/>
      <c r="F517" s="178"/>
      <c r="G517" s="178">
        <v>50100</v>
      </c>
      <c r="H517" s="178"/>
      <c r="I517" s="178"/>
      <c r="J517" s="178">
        <f>G517</f>
        <v>50100</v>
      </c>
      <c r="K517" s="178"/>
      <c r="L517" s="178"/>
      <c r="M517" s="178"/>
      <c r="N517" s="178"/>
      <c r="O517" s="178"/>
      <c r="P517" s="178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79"/>
      <c r="AT517" s="179"/>
      <c r="AU517" s="179"/>
      <c r="AV517" s="179"/>
      <c r="AW517" s="179"/>
      <c r="AX517" s="179"/>
      <c r="AY517" s="179"/>
      <c r="AZ517" s="179"/>
      <c r="BA517" s="179"/>
      <c r="BB517" s="179"/>
      <c r="BC517" s="179"/>
      <c r="BD517" s="179"/>
      <c r="BE517" s="179"/>
      <c r="BF517" s="179"/>
      <c r="BG517" s="179"/>
      <c r="BH517" s="179"/>
      <c r="BI517" s="179"/>
      <c r="BJ517" s="179"/>
      <c r="BK517" s="179"/>
      <c r="BL517" s="179"/>
      <c r="BM517" s="179"/>
      <c r="BN517" s="179"/>
      <c r="BO517" s="179"/>
      <c r="BP517" s="179"/>
      <c r="BQ517" s="179"/>
      <c r="BR517" s="179"/>
      <c r="BS517" s="179"/>
      <c r="BT517" s="179"/>
      <c r="BU517" s="179"/>
      <c r="BV517" s="179"/>
      <c r="BW517" s="179"/>
      <c r="BX517" s="179"/>
      <c r="BY517" s="179"/>
      <c r="BZ517" s="179"/>
      <c r="CA517" s="179"/>
      <c r="CB517" s="179"/>
      <c r="CC517" s="179"/>
      <c r="CD517" s="179"/>
      <c r="CE517" s="179"/>
      <c r="CF517" s="179"/>
      <c r="CG517" s="179"/>
      <c r="CH517" s="179"/>
      <c r="CI517" s="179"/>
      <c r="CJ517" s="179"/>
      <c r="CK517" s="179"/>
      <c r="CL517" s="179"/>
      <c r="CM517" s="179"/>
      <c r="CN517" s="179"/>
      <c r="CO517" s="179"/>
      <c r="CP517" s="179"/>
      <c r="CQ517" s="179"/>
      <c r="CR517" s="179"/>
      <c r="CS517" s="179"/>
      <c r="CT517" s="179"/>
      <c r="CU517" s="179"/>
      <c r="CV517" s="179"/>
      <c r="CW517" s="179"/>
      <c r="CX517" s="179"/>
      <c r="CY517" s="179"/>
      <c r="CZ517" s="179"/>
      <c r="DA517" s="179"/>
      <c r="DB517" s="179"/>
      <c r="DC517" s="179"/>
      <c r="DD517" s="179"/>
      <c r="DE517" s="179"/>
      <c r="DF517" s="179"/>
      <c r="DG517" s="179"/>
      <c r="DH517" s="179"/>
      <c r="DI517" s="179"/>
      <c r="DJ517" s="179"/>
      <c r="DK517" s="179"/>
      <c r="DL517" s="179"/>
      <c r="DM517" s="179"/>
      <c r="DN517" s="179"/>
      <c r="DO517" s="179"/>
      <c r="DP517" s="179"/>
      <c r="DQ517" s="179"/>
      <c r="DR517" s="179"/>
      <c r="DS517" s="179"/>
      <c r="DT517" s="179"/>
      <c r="DU517" s="179"/>
      <c r="DV517" s="179"/>
      <c r="DW517" s="179"/>
      <c r="DX517" s="179"/>
      <c r="DY517" s="179"/>
      <c r="DZ517" s="179"/>
      <c r="EA517" s="179"/>
      <c r="EB517" s="179"/>
      <c r="EC517" s="179"/>
      <c r="ED517" s="179"/>
      <c r="EE517" s="179"/>
      <c r="EF517" s="179"/>
      <c r="EG517" s="179"/>
      <c r="EH517" s="179"/>
      <c r="EI517" s="179"/>
      <c r="EJ517" s="179"/>
      <c r="EK517" s="179"/>
      <c r="EL517" s="179"/>
      <c r="EM517" s="179"/>
      <c r="EN517" s="179"/>
      <c r="EO517" s="179"/>
      <c r="EP517" s="179"/>
      <c r="EQ517" s="179"/>
      <c r="ER517" s="179"/>
      <c r="ES517" s="179"/>
      <c r="ET517" s="179"/>
      <c r="EU517" s="179"/>
      <c r="EV517" s="179"/>
      <c r="EW517" s="179"/>
      <c r="EX517" s="179"/>
      <c r="EY517" s="179"/>
      <c r="EZ517" s="179"/>
      <c r="FA517" s="179"/>
      <c r="FB517" s="179"/>
      <c r="FC517" s="179"/>
      <c r="FD517" s="179"/>
      <c r="FE517" s="179"/>
      <c r="FF517" s="179"/>
      <c r="FG517" s="179"/>
      <c r="FH517" s="179"/>
      <c r="FI517" s="179"/>
      <c r="FJ517" s="179"/>
      <c r="FK517" s="179"/>
      <c r="FL517" s="179"/>
      <c r="FM517" s="179"/>
      <c r="FN517" s="179"/>
      <c r="FO517" s="179"/>
      <c r="FP517" s="179"/>
      <c r="FQ517" s="179"/>
      <c r="FR517" s="179"/>
      <c r="FS517" s="179"/>
      <c r="FT517" s="179"/>
      <c r="FU517" s="179"/>
      <c r="FV517" s="179"/>
      <c r="FW517" s="179"/>
      <c r="FX517" s="179"/>
      <c r="FY517" s="179"/>
      <c r="FZ517" s="179"/>
      <c r="GA517" s="179"/>
      <c r="GB517" s="179"/>
      <c r="GC517" s="179"/>
      <c r="GD517" s="179"/>
      <c r="GE517" s="179"/>
      <c r="GF517" s="179"/>
      <c r="GG517" s="179"/>
      <c r="GH517" s="179"/>
      <c r="GI517" s="179"/>
      <c r="GJ517" s="179"/>
      <c r="GK517" s="179"/>
      <c r="GL517" s="179"/>
      <c r="GM517" s="179"/>
      <c r="GN517" s="179"/>
      <c r="GO517" s="179"/>
      <c r="GP517" s="179"/>
      <c r="GQ517" s="179"/>
      <c r="GR517" s="179"/>
      <c r="GS517" s="179"/>
      <c r="GT517" s="179"/>
      <c r="GU517" s="179"/>
      <c r="GV517" s="179"/>
      <c r="GW517" s="179"/>
      <c r="GX517" s="179"/>
      <c r="GY517" s="179"/>
      <c r="GZ517" s="179"/>
      <c r="HA517" s="179"/>
      <c r="HB517" s="179"/>
      <c r="HC517" s="179"/>
      <c r="HD517" s="179"/>
      <c r="HE517" s="179"/>
      <c r="HF517" s="179"/>
      <c r="HG517" s="179"/>
      <c r="HH517" s="179"/>
      <c r="HI517" s="179"/>
      <c r="HJ517" s="179"/>
      <c r="HK517" s="179"/>
      <c r="HL517" s="179"/>
      <c r="HM517" s="179"/>
      <c r="HN517" s="179"/>
      <c r="HO517" s="179"/>
      <c r="HP517" s="179"/>
      <c r="HQ517" s="179"/>
      <c r="HR517" s="179"/>
      <c r="HS517" s="179"/>
      <c r="HT517" s="179"/>
      <c r="HU517" s="179"/>
      <c r="HV517" s="179"/>
      <c r="HW517" s="179"/>
      <c r="HX517" s="179"/>
      <c r="HY517" s="179"/>
      <c r="HZ517" s="179"/>
      <c r="IA517" s="179"/>
    </row>
    <row r="518" spans="1:16" ht="11.25">
      <c r="A518" s="31" t="s">
        <v>4</v>
      </c>
      <c r="B518" s="8"/>
      <c r="C518" s="8"/>
      <c r="D518" s="104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1.25">
      <c r="A519" s="32" t="s">
        <v>63</v>
      </c>
      <c r="B519" s="8"/>
      <c r="C519" s="8"/>
      <c r="D519" s="104"/>
      <c r="E519" s="7"/>
      <c r="F519" s="7"/>
      <c r="G519" s="7">
        <v>50100</v>
      </c>
      <c r="H519" s="7"/>
      <c r="I519" s="7"/>
      <c r="J519" s="7">
        <f>G519</f>
        <v>50100</v>
      </c>
      <c r="K519" s="7"/>
      <c r="L519" s="7"/>
      <c r="M519" s="7"/>
      <c r="N519" s="7"/>
      <c r="O519" s="7"/>
      <c r="P519" s="7"/>
    </row>
    <row r="520" spans="1:16" ht="11.25">
      <c r="A520" s="31" t="s">
        <v>5</v>
      </c>
      <c r="B520" s="8"/>
      <c r="C520" s="8"/>
      <c r="D520" s="104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4.25" customHeight="1">
      <c r="A521" s="32" t="s">
        <v>313</v>
      </c>
      <c r="B521" s="8"/>
      <c r="C521" s="8"/>
      <c r="D521" s="104"/>
      <c r="E521" s="7"/>
      <c r="F521" s="7"/>
      <c r="G521" s="7">
        <v>1</v>
      </c>
      <c r="H521" s="7"/>
      <c r="I521" s="7"/>
      <c r="J521" s="7">
        <v>1</v>
      </c>
      <c r="K521" s="7"/>
      <c r="L521" s="7"/>
      <c r="M521" s="7"/>
      <c r="N521" s="7"/>
      <c r="O521" s="7"/>
      <c r="P521" s="7"/>
    </row>
    <row r="522" spans="1:16" ht="12" customHeight="1">
      <c r="A522" s="31" t="s">
        <v>7</v>
      </c>
      <c r="B522" s="8"/>
      <c r="C522" s="8"/>
      <c r="D522" s="104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24.75" customHeight="1">
      <c r="A523" s="32" t="s">
        <v>314</v>
      </c>
      <c r="B523" s="8"/>
      <c r="C523" s="8"/>
      <c r="D523" s="104"/>
      <c r="E523" s="7"/>
      <c r="F523" s="7"/>
      <c r="G523" s="7">
        <f>G519/G521</f>
        <v>50100</v>
      </c>
      <c r="H523" s="7"/>
      <c r="I523" s="7"/>
      <c r="J523" s="7">
        <f>G523</f>
        <v>50100</v>
      </c>
      <c r="K523" s="7"/>
      <c r="L523" s="7"/>
      <c r="M523" s="7"/>
      <c r="N523" s="7"/>
      <c r="O523" s="7"/>
      <c r="P523" s="7"/>
    </row>
    <row r="524" spans="1:235" s="180" customFormat="1" ht="24.75" customHeight="1">
      <c r="A524" s="167" t="s">
        <v>374</v>
      </c>
      <c r="B524" s="176"/>
      <c r="C524" s="176"/>
      <c r="D524" s="177"/>
      <c r="E524" s="178"/>
      <c r="F524" s="178"/>
      <c r="G524" s="178"/>
      <c r="H524" s="178">
        <f>H526</f>
        <v>4269334</v>
      </c>
      <c r="I524" s="178"/>
      <c r="J524" s="178">
        <f>G524+H524</f>
        <v>4269334</v>
      </c>
      <c r="K524" s="178"/>
      <c r="L524" s="178"/>
      <c r="M524" s="178"/>
      <c r="N524" s="178"/>
      <c r="O524" s="178"/>
      <c r="P524" s="178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  <c r="AA524" s="179"/>
      <c r="AB524" s="179"/>
      <c r="AC524" s="179"/>
      <c r="AD524" s="179"/>
      <c r="AE524" s="179"/>
      <c r="AF524" s="179"/>
      <c r="AG524" s="179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179"/>
      <c r="AR524" s="179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179"/>
      <c r="BC524" s="179"/>
      <c r="BD524" s="179"/>
      <c r="BE524" s="179"/>
      <c r="BF524" s="179"/>
      <c r="BG524" s="179"/>
      <c r="BH524" s="179"/>
      <c r="BI524" s="179"/>
      <c r="BJ524" s="179"/>
      <c r="BK524" s="179"/>
      <c r="BL524" s="179"/>
      <c r="BM524" s="179"/>
      <c r="BN524" s="179"/>
      <c r="BO524" s="179"/>
      <c r="BP524" s="179"/>
      <c r="BQ524" s="179"/>
      <c r="BR524" s="179"/>
      <c r="BS524" s="179"/>
      <c r="BT524" s="179"/>
      <c r="BU524" s="179"/>
      <c r="BV524" s="179"/>
      <c r="BW524" s="179"/>
      <c r="BX524" s="179"/>
      <c r="BY524" s="179"/>
      <c r="BZ524" s="179"/>
      <c r="CA524" s="179"/>
      <c r="CB524" s="179"/>
      <c r="CC524" s="179"/>
      <c r="CD524" s="179"/>
      <c r="CE524" s="179"/>
      <c r="CF524" s="179"/>
      <c r="CG524" s="179"/>
      <c r="CH524" s="179"/>
      <c r="CI524" s="179"/>
      <c r="CJ524" s="179"/>
      <c r="CK524" s="179"/>
      <c r="CL524" s="179"/>
      <c r="CM524" s="179"/>
      <c r="CN524" s="179"/>
      <c r="CO524" s="179"/>
      <c r="CP524" s="179"/>
      <c r="CQ524" s="179"/>
      <c r="CR524" s="179"/>
      <c r="CS524" s="179"/>
      <c r="CT524" s="179"/>
      <c r="CU524" s="179"/>
      <c r="CV524" s="179"/>
      <c r="CW524" s="179"/>
      <c r="CX524" s="179"/>
      <c r="CY524" s="179"/>
      <c r="CZ524" s="179"/>
      <c r="DA524" s="179"/>
      <c r="DB524" s="179"/>
      <c r="DC524" s="179"/>
      <c r="DD524" s="179"/>
      <c r="DE524" s="179"/>
      <c r="DF524" s="179"/>
      <c r="DG524" s="179"/>
      <c r="DH524" s="179"/>
      <c r="DI524" s="179"/>
      <c r="DJ524" s="179"/>
      <c r="DK524" s="179"/>
      <c r="DL524" s="179"/>
      <c r="DM524" s="179"/>
      <c r="DN524" s="179"/>
      <c r="DO524" s="179"/>
      <c r="DP524" s="179"/>
      <c r="DQ524" s="179"/>
      <c r="DR524" s="179"/>
      <c r="DS524" s="179"/>
      <c r="DT524" s="179"/>
      <c r="DU524" s="179"/>
      <c r="DV524" s="179"/>
      <c r="DW524" s="179"/>
      <c r="DX524" s="179"/>
      <c r="DY524" s="179"/>
      <c r="DZ524" s="179"/>
      <c r="EA524" s="179"/>
      <c r="EB524" s="179"/>
      <c r="EC524" s="179"/>
      <c r="ED524" s="179"/>
      <c r="EE524" s="179"/>
      <c r="EF524" s="179"/>
      <c r="EG524" s="179"/>
      <c r="EH524" s="179"/>
      <c r="EI524" s="179"/>
      <c r="EJ524" s="179"/>
      <c r="EK524" s="179"/>
      <c r="EL524" s="179"/>
      <c r="EM524" s="179"/>
      <c r="EN524" s="179"/>
      <c r="EO524" s="179"/>
      <c r="EP524" s="179"/>
      <c r="EQ524" s="179"/>
      <c r="ER524" s="179"/>
      <c r="ES524" s="179"/>
      <c r="ET524" s="179"/>
      <c r="EU524" s="179"/>
      <c r="EV524" s="179"/>
      <c r="EW524" s="179"/>
      <c r="EX524" s="179"/>
      <c r="EY524" s="179"/>
      <c r="EZ524" s="179"/>
      <c r="FA524" s="179"/>
      <c r="FB524" s="179"/>
      <c r="FC524" s="179"/>
      <c r="FD524" s="179"/>
      <c r="FE524" s="179"/>
      <c r="FF524" s="179"/>
      <c r="FG524" s="179"/>
      <c r="FH524" s="179"/>
      <c r="FI524" s="179"/>
      <c r="FJ524" s="179"/>
      <c r="FK524" s="179"/>
      <c r="FL524" s="179"/>
      <c r="FM524" s="179"/>
      <c r="FN524" s="179"/>
      <c r="FO524" s="179"/>
      <c r="FP524" s="179"/>
      <c r="FQ524" s="179"/>
      <c r="FR524" s="179"/>
      <c r="FS524" s="179"/>
      <c r="FT524" s="179"/>
      <c r="FU524" s="179"/>
      <c r="FV524" s="179"/>
      <c r="FW524" s="179"/>
      <c r="FX524" s="179"/>
      <c r="FY524" s="179"/>
      <c r="FZ524" s="179"/>
      <c r="GA524" s="179"/>
      <c r="GB524" s="179"/>
      <c r="GC524" s="179"/>
      <c r="GD524" s="179"/>
      <c r="GE524" s="179"/>
      <c r="GF524" s="179"/>
      <c r="GG524" s="179"/>
      <c r="GH524" s="179"/>
      <c r="GI524" s="179"/>
      <c r="GJ524" s="179"/>
      <c r="GK524" s="179"/>
      <c r="GL524" s="179"/>
      <c r="GM524" s="179"/>
      <c r="GN524" s="179"/>
      <c r="GO524" s="179"/>
      <c r="GP524" s="179"/>
      <c r="GQ524" s="179"/>
      <c r="GR524" s="179"/>
      <c r="GS524" s="179"/>
      <c r="GT524" s="179"/>
      <c r="GU524" s="179"/>
      <c r="GV524" s="179"/>
      <c r="GW524" s="179"/>
      <c r="GX524" s="179"/>
      <c r="GY524" s="179"/>
      <c r="GZ524" s="179"/>
      <c r="HA524" s="179"/>
      <c r="HB524" s="179"/>
      <c r="HC524" s="179"/>
      <c r="HD524" s="179"/>
      <c r="HE524" s="179"/>
      <c r="HF524" s="179"/>
      <c r="HG524" s="179"/>
      <c r="HH524" s="179"/>
      <c r="HI524" s="179"/>
      <c r="HJ524" s="179"/>
      <c r="HK524" s="179"/>
      <c r="HL524" s="179"/>
      <c r="HM524" s="179"/>
      <c r="HN524" s="179"/>
      <c r="HO524" s="179"/>
      <c r="HP524" s="179"/>
      <c r="HQ524" s="179"/>
      <c r="HR524" s="179"/>
      <c r="HS524" s="179"/>
      <c r="HT524" s="179"/>
      <c r="HU524" s="179"/>
      <c r="HV524" s="179"/>
      <c r="HW524" s="179"/>
      <c r="HX524" s="179"/>
      <c r="HY524" s="179"/>
      <c r="HZ524" s="179"/>
      <c r="IA524" s="179"/>
    </row>
    <row r="525" spans="1:16" ht="11.25">
      <c r="A525" s="31" t="s">
        <v>4</v>
      </c>
      <c r="B525" s="8"/>
      <c r="C525" s="8"/>
      <c r="D525" s="104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1.25">
      <c r="A526" s="32" t="s">
        <v>63</v>
      </c>
      <c r="B526" s="8"/>
      <c r="C526" s="8"/>
      <c r="D526" s="104"/>
      <c r="E526" s="7"/>
      <c r="F526" s="7"/>
      <c r="G526" s="7"/>
      <c r="H526" s="10">
        <f>3129500+300702+664532+174600</f>
        <v>4269334</v>
      </c>
      <c r="I526" s="10"/>
      <c r="J526" s="10">
        <f>G526+H526</f>
        <v>4269334</v>
      </c>
      <c r="K526" s="7"/>
      <c r="L526" s="7"/>
      <c r="M526" s="7"/>
      <c r="N526" s="7"/>
      <c r="O526" s="7"/>
      <c r="P526" s="7"/>
    </row>
    <row r="527" spans="1:16" ht="11.25">
      <c r="A527" s="31" t="s">
        <v>5</v>
      </c>
      <c r="B527" s="8"/>
      <c r="C527" s="8"/>
      <c r="D527" s="104"/>
      <c r="E527" s="7"/>
      <c r="F527" s="7"/>
      <c r="G527" s="7"/>
      <c r="H527" s="10"/>
      <c r="I527" s="10"/>
      <c r="J527" s="10"/>
      <c r="K527" s="7"/>
      <c r="L527" s="7"/>
      <c r="M527" s="7"/>
      <c r="N527" s="7"/>
      <c r="O527" s="7"/>
      <c r="P527" s="7"/>
    </row>
    <row r="528" spans="1:16" ht="22.5">
      <c r="A528" s="181" t="s">
        <v>338</v>
      </c>
      <c r="B528" s="8"/>
      <c r="C528" s="8"/>
      <c r="D528" s="104"/>
      <c r="E528" s="7"/>
      <c r="F528" s="7"/>
      <c r="G528" s="7"/>
      <c r="H528" s="10">
        <v>8</v>
      </c>
      <c r="I528" s="10"/>
      <c r="J528" s="10">
        <f>G528+H528</f>
        <v>8</v>
      </c>
      <c r="K528" s="7"/>
      <c r="L528" s="7"/>
      <c r="M528" s="7"/>
      <c r="N528" s="7"/>
      <c r="O528" s="7"/>
      <c r="P528" s="7"/>
    </row>
    <row r="529" spans="1:16" ht="11.25">
      <c r="A529" s="31" t="s">
        <v>7</v>
      </c>
      <c r="B529" s="8"/>
      <c r="C529" s="8"/>
      <c r="D529" s="104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22.5">
      <c r="A530" s="90" t="s">
        <v>180</v>
      </c>
      <c r="B530" s="8"/>
      <c r="C530" s="8"/>
      <c r="D530" s="104"/>
      <c r="E530" s="7"/>
      <c r="F530" s="7"/>
      <c r="G530" s="7"/>
      <c r="H530" s="7">
        <f>H526/H528</f>
        <v>533666.75</v>
      </c>
      <c r="I530" s="7"/>
      <c r="J530" s="7">
        <f>G530+H530</f>
        <v>533666.75</v>
      </c>
      <c r="K530" s="7"/>
      <c r="L530" s="7"/>
      <c r="M530" s="7"/>
      <c r="N530" s="7"/>
      <c r="O530" s="7"/>
      <c r="P530" s="7"/>
    </row>
    <row r="531" spans="1:235" s="172" customFormat="1" ht="13.5" customHeight="1">
      <c r="A531" s="210">
        <v>160101</v>
      </c>
      <c r="B531" s="159"/>
      <c r="C531" s="159"/>
      <c r="D531" s="177">
        <f>D534</f>
        <v>6000</v>
      </c>
      <c r="E531" s="177">
        <v>0</v>
      </c>
      <c r="F531" s="177">
        <f>D531</f>
        <v>6000</v>
      </c>
      <c r="G531" s="177">
        <f>G534</f>
        <v>4461000</v>
      </c>
      <c r="H531" s="177">
        <f>H534</f>
        <v>0</v>
      </c>
      <c r="I531" s="177">
        <f>I534</f>
        <v>0</v>
      </c>
      <c r="J531" s="177">
        <f>G531</f>
        <v>4461000</v>
      </c>
      <c r="K531" s="177"/>
      <c r="L531" s="177"/>
      <c r="M531" s="177"/>
      <c r="N531" s="177"/>
      <c r="O531" s="177"/>
      <c r="P531" s="177"/>
      <c r="Q531" s="177">
        <v>5500</v>
      </c>
      <c r="R531" s="258"/>
      <c r="S531" s="258"/>
      <c r="T531" s="258"/>
      <c r="U531" s="258"/>
      <c r="V531" s="258"/>
      <c r="W531" s="258"/>
      <c r="X531" s="258"/>
      <c r="Y531" s="258"/>
      <c r="Z531" s="258"/>
      <c r="AA531" s="258"/>
      <c r="AB531" s="258"/>
      <c r="AC531" s="258"/>
      <c r="AD531" s="258"/>
      <c r="AE531" s="258"/>
      <c r="AF531" s="258"/>
      <c r="AG531" s="258"/>
      <c r="AH531" s="258"/>
      <c r="AI531" s="258"/>
      <c r="AJ531" s="258"/>
      <c r="AK531" s="258"/>
      <c r="AL531" s="258"/>
      <c r="AM531" s="258"/>
      <c r="AN531" s="258"/>
      <c r="AO531" s="258"/>
      <c r="AP531" s="258"/>
      <c r="AQ531" s="258"/>
      <c r="AR531" s="258"/>
      <c r="AS531" s="258"/>
      <c r="AT531" s="258"/>
      <c r="AU531" s="258"/>
      <c r="AV531" s="258"/>
      <c r="AW531" s="258"/>
      <c r="AX531" s="258"/>
      <c r="AY531" s="258"/>
      <c r="AZ531" s="258"/>
      <c r="BA531" s="258"/>
      <c r="BB531" s="258"/>
      <c r="BC531" s="258"/>
      <c r="BD531" s="258"/>
      <c r="BE531" s="258"/>
      <c r="BF531" s="258"/>
      <c r="BG531" s="258"/>
      <c r="BH531" s="258"/>
      <c r="BI531" s="258"/>
      <c r="BJ531" s="258"/>
      <c r="BK531" s="258"/>
      <c r="BL531" s="258"/>
      <c r="BM531" s="258"/>
      <c r="BN531" s="258"/>
      <c r="BO531" s="258"/>
      <c r="BP531" s="258"/>
      <c r="BQ531" s="258"/>
      <c r="BR531" s="258"/>
      <c r="BS531" s="258"/>
      <c r="BT531" s="258"/>
      <c r="BU531" s="258"/>
      <c r="BV531" s="258"/>
      <c r="BW531" s="258"/>
      <c r="BX531" s="258"/>
      <c r="BY531" s="258"/>
      <c r="BZ531" s="258"/>
      <c r="CA531" s="258"/>
      <c r="CB531" s="258"/>
      <c r="CC531" s="258"/>
      <c r="CD531" s="258"/>
      <c r="CE531" s="258"/>
      <c r="CF531" s="258"/>
      <c r="CG531" s="258"/>
      <c r="CH531" s="258"/>
      <c r="CI531" s="258"/>
      <c r="CJ531" s="258"/>
      <c r="CK531" s="258"/>
      <c r="CL531" s="258"/>
      <c r="CM531" s="258"/>
      <c r="CN531" s="258"/>
      <c r="CO531" s="258"/>
      <c r="CP531" s="258"/>
      <c r="CQ531" s="258"/>
      <c r="CR531" s="258"/>
      <c r="CS531" s="258"/>
      <c r="CT531" s="258"/>
      <c r="CU531" s="258"/>
      <c r="CV531" s="258"/>
      <c r="CW531" s="258"/>
      <c r="CX531" s="258"/>
      <c r="CY531" s="258"/>
      <c r="CZ531" s="258"/>
      <c r="DA531" s="258"/>
      <c r="DB531" s="258"/>
      <c r="DC531" s="258"/>
      <c r="DD531" s="258"/>
      <c r="DE531" s="258"/>
      <c r="DF531" s="258"/>
      <c r="DG531" s="258"/>
      <c r="DH531" s="258"/>
      <c r="DI531" s="258"/>
      <c r="DJ531" s="258"/>
      <c r="DK531" s="258"/>
      <c r="DL531" s="258"/>
      <c r="DM531" s="258"/>
      <c r="DN531" s="258"/>
      <c r="DO531" s="258"/>
      <c r="DP531" s="258"/>
      <c r="DQ531" s="258"/>
      <c r="DR531" s="258"/>
      <c r="DS531" s="258"/>
      <c r="DT531" s="258"/>
      <c r="DU531" s="258"/>
      <c r="DV531" s="258"/>
      <c r="DW531" s="258"/>
      <c r="DX531" s="258"/>
      <c r="DY531" s="258"/>
      <c r="DZ531" s="258"/>
      <c r="EA531" s="258"/>
      <c r="EB531" s="258"/>
      <c r="EC531" s="258"/>
      <c r="ED531" s="258"/>
      <c r="EE531" s="258"/>
      <c r="EF531" s="258"/>
      <c r="EG531" s="258"/>
      <c r="EH531" s="258"/>
      <c r="EI531" s="258"/>
      <c r="EJ531" s="258"/>
      <c r="EK531" s="258"/>
      <c r="EL531" s="258"/>
      <c r="EM531" s="258"/>
      <c r="EN531" s="258"/>
      <c r="EO531" s="258"/>
      <c r="EP531" s="258"/>
      <c r="EQ531" s="258"/>
      <c r="ER531" s="258"/>
      <c r="ES531" s="258"/>
      <c r="ET531" s="258"/>
      <c r="EU531" s="258"/>
      <c r="EV531" s="258"/>
      <c r="EW531" s="258"/>
      <c r="EX531" s="258"/>
      <c r="EY531" s="258"/>
      <c r="EZ531" s="258"/>
      <c r="FA531" s="258"/>
      <c r="FB531" s="258"/>
      <c r="FC531" s="258"/>
      <c r="FD531" s="258"/>
      <c r="FE531" s="258"/>
      <c r="FF531" s="258"/>
      <c r="FG531" s="258"/>
      <c r="FH531" s="258"/>
      <c r="FI531" s="258"/>
      <c r="FJ531" s="258"/>
      <c r="FK531" s="258"/>
      <c r="FL531" s="258"/>
      <c r="FM531" s="258"/>
      <c r="FN531" s="258"/>
      <c r="FO531" s="258"/>
      <c r="FP531" s="258"/>
      <c r="FQ531" s="258"/>
      <c r="FR531" s="258"/>
      <c r="FS531" s="258"/>
      <c r="FT531" s="258"/>
      <c r="FU531" s="258"/>
      <c r="FV531" s="258"/>
      <c r="FW531" s="258"/>
      <c r="FX531" s="258"/>
      <c r="FY531" s="258"/>
      <c r="FZ531" s="258"/>
      <c r="GA531" s="258"/>
      <c r="GB531" s="258"/>
      <c r="GC531" s="258"/>
      <c r="GD531" s="258"/>
      <c r="GE531" s="258"/>
      <c r="GF531" s="258"/>
      <c r="GG531" s="258"/>
      <c r="GH531" s="258"/>
      <c r="GI531" s="258"/>
      <c r="GJ531" s="258"/>
      <c r="GK531" s="258"/>
      <c r="GL531" s="258"/>
      <c r="GM531" s="258"/>
      <c r="GN531" s="258"/>
      <c r="GO531" s="258"/>
      <c r="GP531" s="258"/>
      <c r="GQ531" s="258"/>
      <c r="GR531" s="258"/>
      <c r="GS531" s="258"/>
      <c r="GT531" s="258"/>
      <c r="GU531" s="258"/>
      <c r="GV531" s="258"/>
      <c r="GW531" s="258"/>
      <c r="GX531" s="258"/>
      <c r="GY531" s="258"/>
      <c r="GZ531" s="258"/>
      <c r="HA531" s="258"/>
      <c r="HB531" s="258"/>
      <c r="HC531" s="258"/>
      <c r="HD531" s="258"/>
      <c r="HE531" s="258"/>
      <c r="HF531" s="258"/>
      <c r="HG531" s="258"/>
      <c r="HH531" s="258"/>
      <c r="HI531" s="258"/>
      <c r="HJ531" s="258"/>
      <c r="HK531" s="258"/>
      <c r="HL531" s="258"/>
      <c r="HM531" s="258"/>
      <c r="HN531" s="258"/>
      <c r="HO531" s="258"/>
      <c r="HP531" s="258"/>
      <c r="HQ531" s="258"/>
      <c r="HR531" s="258"/>
      <c r="HS531" s="258"/>
      <c r="HT531" s="258"/>
      <c r="HU531" s="258"/>
      <c r="HV531" s="258"/>
      <c r="HW531" s="258"/>
      <c r="HX531" s="258"/>
      <c r="HY531" s="258"/>
      <c r="HZ531" s="258"/>
      <c r="IA531" s="258"/>
    </row>
    <row r="532" spans="1:17" ht="35.25" customHeight="1">
      <c r="A532" s="33" t="s">
        <v>257</v>
      </c>
      <c r="B532" s="8"/>
      <c r="C532" s="8"/>
      <c r="D532" s="1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4.75" customHeight="1">
      <c r="A533" s="32" t="s">
        <v>254</v>
      </c>
      <c r="B533" s="8"/>
      <c r="C533" s="8"/>
      <c r="D533" s="104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235" s="180" customFormat="1" ht="15" customHeight="1">
      <c r="A534" s="167" t="s">
        <v>375</v>
      </c>
      <c r="B534" s="176"/>
      <c r="C534" s="176"/>
      <c r="D534" s="206">
        <f>D536</f>
        <v>6000</v>
      </c>
      <c r="E534" s="207"/>
      <c r="F534" s="206">
        <f>D534</f>
        <v>6000</v>
      </c>
      <c r="G534" s="177">
        <f>G536</f>
        <v>4461000</v>
      </c>
      <c r="H534" s="178"/>
      <c r="I534" s="178"/>
      <c r="J534" s="178">
        <f>G534</f>
        <v>4461000</v>
      </c>
      <c r="K534" s="178"/>
      <c r="L534" s="178"/>
      <c r="M534" s="178"/>
      <c r="N534" s="178"/>
      <c r="O534" s="178"/>
      <c r="P534" s="178"/>
      <c r="Q534" s="178">
        <v>5500</v>
      </c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79"/>
      <c r="AT534" s="179"/>
      <c r="AU534" s="179"/>
      <c r="AV534" s="179"/>
      <c r="AW534" s="179"/>
      <c r="AX534" s="179"/>
      <c r="AY534" s="179"/>
      <c r="AZ534" s="179"/>
      <c r="BA534" s="179"/>
      <c r="BB534" s="179"/>
      <c r="BC534" s="179"/>
      <c r="BD534" s="179"/>
      <c r="BE534" s="179"/>
      <c r="BF534" s="179"/>
      <c r="BG534" s="179"/>
      <c r="BH534" s="179"/>
      <c r="BI534" s="179"/>
      <c r="BJ534" s="179"/>
      <c r="BK534" s="179"/>
      <c r="BL534" s="179"/>
      <c r="BM534" s="179"/>
      <c r="BN534" s="179"/>
      <c r="BO534" s="179"/>
      <c r="BP534" s="179"/>
      <c r="BQ534" s="179"/>
      <c r="BR534" s="179"/>
      <c r="BS534" s="179"/>
      <c r="BT534" s="179"/>
      <c r="BU534" s="179"/>
      <c r="BV534" s="179"/>
      <c r="BW534" s="179"/>
      <c r="BX534" s="179"/>
      <c r="BY534" s="179"/>
      <c r="BZ534" s="179"/>
      <c r="CA534" s="179"/>
      <c r="CB534" s="179"/>
      <c r="CC534" s="179"/>
      <c r="CD534" s="179"/>
      <c r="CE534" s="179"/>
      <c r="CF534" s="179"/>
      <c r="CG534" s="179"/>
      <c r="CH534" s="179"/>
      <c r="CI534" s="179"/>
      <c r="CJ534" s="179"/>
      <c r="CK534" s="179"/>
      <c r="CL534" s="179"/>
      <c r="CM534" s="179"/>
      <c r="CN534" s="179"/>
      <c r="CO534" s="179"/>
      <c r="CP534" s="179"/>
      <c r="CQ534" s="179"/>
      <c r="CR534" s="179"/>
      <c r="CS534" s="179"/>
      <c r="CT534" s="179"/>
      <c r="CU534" s="179"/>
      <c r="CV534" s="179"/>
      <c r="CW534" s="179"/>
      <c r="CX534" s="179"/>
      <c r="CY534" s="179"/>
      <c r="CZ534" s="179"/>
      <c r="DA534" s="179"/>
      <c r="DB534" s="179"/>
      <c r="DC534" s="179"/>
      <c r="DD534" s="179"/>
      <c r="DE534" s="179"/>
      <c r="DF534" s="179"/>
      <c r="DG534" s="179"/>
      <c r="DH534" s="179"/>
      <c r="DI534" s="179"/>
      <c r="DJ534" s="179"/>
      <c r="DK534" s="179"/>
      <c r="DL534" s="179"/>
      <c r="DM534" s="179"/>
      <c r="DN534" s="179"/>
      <c r="DO534" s="179"/>
      <c r="DP534" s="179"/>
      <c r="DQ534" s="179"/>
      <c r="DR534" s="179"/>
      <c r="DS534" s="179"/>
      <c r="DT534" s="179"/>
      <c r="DU534" s="179"/>
      <c r="DV534" s="179"/>
      <c r="DW534" s="179"/>
      <c r="DX534" s="179"/>
      <c r="DY534" s="179"/>
      <c r="DZ534" s="179"/>
      <c r="EA534" s="179"/>
      <c r="EB534" s="179"/>
      <c r="EC534" s="179"/>
      <c r="ED534" s="179"/>
      <c r="EE534" s="179"/>
      <c r="EF534" s="179"/>
      <c r="EG534" s="179"/>
      <c r="EH534" s="179"/>
      <c r="EI534" s="179"/>
      <c r="EJ534" s="179"/>
      <c r="EK534" s="179"/>
      <c r="EL534" s="179"/>
      <c r="EM534" s="179"/>
      <c r="EN534" s="179"/>
      <c r="EO534" s="179"/>
      <c r="EP534" s="179"/>
      <c r="EQ534" s="179"/>
      <c r="ER534" s="179"/>
      <c r="ES534" s="179"/>
      <c r="ET534" s="179"/>
      <c r="EU534" s="179"/>
      <c r="EV534" s="179"/>
      <c r="EW534" s="179"/>
      <c r="EX534" s="179"/>
      <c r="EY534" s="179"/>
      <c r="EZ534" s="179"/>
      <c r="FA534" s="179"/>
      <c r="FB534" s="179"/>
      <c r="FC534" s="179"/>
      <c r="FD534" s="179"/>
      <c r="FE534" s="179"/>
      <c r="FF534" s="179"/>
      <c r="FG534" s="179"/>
      <c r="FH534" s="179"/>
      <c r="FI534" s="179"/>
      <c r="FJ534" s="179"/>
      <c r="FK534" s="179"/>
      <c r="FL534" s="179"/>
      <c r="FM534" s="179"/>
      <c r="FN534" s="179"/>
      <c r="FO534" s="179"/>
      <c r="FP534" s="179"/>
      <c r="FQ534" s="179"/>
      <c r="FR534" s="179"/>
      <c r="FS534" s="179"/>
      <c r="FT534" s="179"/>
      <c r="FU534" s="179"/>
      <c r="FV534" s="179"/>
      <c r="FW534" s="179"/>
      <c r="FX534" s="179"/>
      <c r="FY534" s="179"/>
      <c r="FZ534" s="179"/>
      <c r="GA534" s="179"/>
      <c r="GB534" s="179"/>
      <c r="GC534" s="179"/>
      <c r="GD534" s="179"/>
      <c r="GE534" s="179"/>
      <c r="GF534" s="179"/>
      <c r="GG534" s="179"/>
      <c r="GH534" s="179"/>
      <c r="GI534" s="179"/>
      <c r="GJ534" s="179"/>
      <c r="GK534" s="179"/>
      <c r="GL534" s="179"/>
      <c r="GM534" s="179"/>
      <c r="GN534" s="179"/>
      <c r="GO534" s="179"/>
      <c r="GP534" s="179"/>
      <c r="GQ534" s="179"/>
      <c r="GR534" s="179"/>
      <c r="GS534" s="179"/>
      <c r="GT534" s="179"/>
      <c r="GU534" s="179"/>
      <c r="GV534" s="179"/>
      <c r="GW534" s="179"/>
      <c r="GX534" s="179"/>
      <c r="GY534" s="179"/>
      <c r="GZ534" s="179"/>
      <c r="HA534" s="179"/>
      <c r="HB534" s="179"/>
      <c r="HC534" s="179"/>
      <c r="HD534" s="179"/>
      <c r="HE534" s="179"/>
      <c r="HF534" s="179"/>
      <c r="HG534" s="179"/>
      <c r="HH534" s="179"/>
      <c r="HI534" s="179"/>
      <c r="HJ534" s="179"/>
      <c r="HK534" s="179"/>
      <c r="HL534" s="179"/>
      <c r="HM534" s="179"/>
      <c r="HN534" s="179"/>
      <c r="HO534" s="179"/>
      <c r="HP534" s="179"/>
      <c r="HQ534" s="179"/>
      <c r="HR534" s="179"/>
      <c r="HS534" s="179"/>
      <c r="HT534" s="179"/>
      <c r="HU534" s="179"/>
      <c r="HV534" s="179"/>
      <c r="HW534" s="179"/>
      <c r="HX534" s="179"/>
      <c r="HY534" s="179"/>
      <c r="HZ534" s="179"/>
      <c r="IA534" s="179"/>
    </row>
    <row r="535" spans="1:17" ht="12" customHeight="1">
      <c r="A535" s="31" t="s">
        <v>4</v>
      </c>
      <c r="B535" s="8"/>
      <c r="C535" s="8"/>
      <c r="D535" s="136"/>
      <c r="E535" s="133"/>
      <c r="F535" s="133"/>
      <c r="G535" s="19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" customHeight="1">
      <c r="A536" s="32" t="s">
        <v>63</v>
      </c>
      <c r="B536" s="8"/>
      <c r="C536" s="8"/>
      <c r="D536" s="135">
        <f>(D538*D542)+(D539*D543)</f>
        <v>6000</v>
      </c>
      <c r="E536" s="133"/>
      <c r="F536" s="134">
        <f>D536</f>
        <v>6000</v>
      </c>
      <c r="G536" s="19">
        <v>4461000</v>
      </c>
      <c r="H536" s="7"/>
      <c r="I536" s="7"/>
      <c r="J536" s="7">
        <f>G536</f>
        <v>4461000</v>
      </c>
      <c r="K536" s="7"/>
      <c r="L536" s="7"/>
      <c r="M536" s="7"/>
      <c r="N536" s="7"/>
      <c r="O536" s="7"/>
      <c r="P536" s="7"/>
      <c r="Q536" s="7">
        <v>5500</v>
      </c>
    </row>
    <row r="537" spans="1:17" ht="12.75" customHeight="1">
      <c r="A537" s="31" t="s">
        <v>5</v>
      </c>
      <c r="B537" s="8"/>
      <c r="C537" s="8"/>
      <c r="D537" s="136"/>
      <c r="E537" s="133"/>
      <c r="F537" s="133"/>
      <c r="G537" s="19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3.25" customHeight="1">
      <c r="A538" s="32" t="s">
        <v>259</v>
      </c>
      <c r="B538" s="8"/>
      <c r="C538" s="8"/>
      <c r="D538" s="136">
        <v>1</v>
      </c>
      <c r="E538" s="133"/>
      <c r="F538" s="133">
        <f>D538</f>
        <v>1</v>
      </c>
      <c r="G538" s="19"/>
      <c r="H538" s="7"/>
      <c r="I538" s="7"/>
      <c r="J538" s="7"/>
      <c r="K538" s="10"/>
      <c r="L538" s="10"/>
      <c r="M538" s="10"/>
      <c r="N538" s="10"/>
      <c r="O538" s="10"/>
      <c r="P538" s="10"/>
      <c r="Q538" s="10">
        <v>1</v>
      </c>
    </row>
    <row r="539" spans="1:17" ht="22.5">
      <c r="A539" s="32" t="s">
        <v>277</v>
      </c>
      <c r="B539" s="8"/>
      <c r="C539" s="8"/>
      <c r="D539" s="136">
        <v>1</v>
      </c>
      <c r="E539" s="133"/>
      <c r="F539" s="133">
        <v>1</v>
      </c>
      <c r="G539" s="19"/>
      <c r="H539" s="7"/>
      <c r="I539" s="7"/>
      <c r="J539" s="7"/>
      <c r="K539" s="10"/>
      <c r="L539" s="10"/>
      <c r="M539" s="10"/>
      <c r="N539" s="10"/>
      <c r="O539" s="10"/>
      <c r="P539" s="10"/>
      <c r="Q539" s="10"/>
    </row>
    <row r="540" spans="1:17" ht="22.5">
      <c r="A540" s="32" t="s">
        <v>311</v>
      </c>
      <c r="B540" s="8"/>
      <c r="C540" s="8"/>
      <c r="D540" s="136"/>
      <c r="E540" s="133"/>
      <c r="F540" s="133"/>
      <c r="G540" s="19">
        <v>1487</v>
      </c>
      <c r="H540" s="7"/>
      <c r="I540" s="7"/>
      <c r="J540" s="7">
        <f>G540</f>
        <v>1487</v>
      </c>
      <c r="K540" s="10"/>
      <c r="L540" s="10"/>
      <c r="M540" s="10"/>
      <c r="N540" s="10"/>
      <c r="O540" s="10"/>
      <c r="P540" s="10"/>
      <c r="Q540" s="10"/>
    </row>
    <row r="541" spans="1:17" ht="12.75" customHeight="1">
      <c r="A541" s="31" t="s">
        <v>7</v>
      </c>
      <c r="B541" s="8"/>
      <c r="C541" s="8"/>
      <c r="D541" s="136"/>
      <c r="E541" s="133"/>
      <c r="F541" s="133"/>
      <c r="G541" s="19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24" customHeight="1">
      <c r="A542" s="32" t="s">
        <v>258</v>
      </c>
      <c r="B542" s="8"/>
      <c r="C542" s="8"/>
      <c r="D542" s="135">
        <v>3000</v>
      </c>
      <c r="E542" s="133"/>
      <c r="F542" s="134">
        <f>D542</f>
        <v>3000</v>
      </c>
      <c r="G542" s="19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26.25" customHeight="1">
      <c r="A543" s="32" t="s">
        <v>278</v>
      </c>
      <c r="B543" s="8"/>
      <c r="C543" s="8"/>
      <c r="D543" s="140">
        <v>3000</v>
      </c>
      <c r="E543" s="87"/>
      <c r="F543" s="88">
        <f>D543</f>
        <v>3000</v>
      </c>
      <c r="G543" s="19"/>
      <c r="H543" s="7"/>
      <c r="I543" s="7"/>
      <c r="J543" s="7"/>
      <c r="K543" s="7"/>
      <c r="L543" s="7"/>
      <c r="M543" s="7"/>
      <c r="N543" s="7"/>
      <c r="O543" s="7"/>
      <c r="P543" s="7"/>
      <c r="Q543" s="7">
        <v>5500</v>
      </c>
    </row>
    <row r="544" spans="1:17" ht="22.5">
      <c r="A544" s="32" t="s">
        <v>312</v>
      </c>
      <c r="B544" s="8"/>
      <c r="C544" s="8"/>
      <c r="D544" s="140"/>
      <c r="E544" s="87"/>
      <c r="F544" s="88"/>
      <c r="G544" s="19">
        <v>3000</v>
      </c>
      <c r="H544" s="7"/>
      <c r="I544" s="7"/>
      <c r="J544" s="7">
        <f>G544</f>
        <v>3000</v>
      </c>
      <c r="K544" s="7"/>
      <c r="L544" s="7"/>
      <c r="M544" s="7"/>
      <c r="N544" s="7"/>
      <c r="O544" s="7"/>
      <c r="P544" s="7"/>
      <c r="Q544" s="146"/>
    </row>
    <row r="545" spans="1:235" s="172" customFormat="1" ht="12">
      <c r="A545" s="210">
        <v>250903</v>
      </c>
      <c r="B545" s="159"/>
      <c r="C545" s="159"/>
      <c r="D545" s="177">
        <f>D548</f>
        <v>1214000</v>
      </c>
      <c r="E545" s="177">
        <v>0</v>
      </c>
      <c r="F545" s="177">
        <f>D545</f>
        <v>1214000</v>
      </c>
      <c r="G545" s="177">
        <f>G548</f>
        <v>8080000</v>
      </c>
      <c r="H545" s="177"/>
      <c r="I545" s="177">
        <f>I548</f>
        <v>0</v>
      </c>
      <c r="J545" s="177">
        <f>J548</f>
        <v>8080000</v>
      </c>
      <c r="K545" s="177"/>
      <c r="L545" s="177"/>
      <c r="M545" s="177"/>
      <c r="N545" s="177"/>
      <c r="O545" s="177"/>
      <c r="P545" s="177"/>
      <c r="Q545" s="171"/>
      <c r="R545" s="258"/>
      <c r="S545" s="258"/>
      <c r="T545" s="258"/>
      <c r="U545" s="258"/>
      <c r="V545" s="258"/>
      <c r="W545" s="258"/>
      <c r="X545" s="258"/>
      <c r="Y545" s="258"/>
      <c r="Z545" s="258"/>
      <c r="AA545" s="258"/>
      <c r="AB545" s="258"/>
      <c r="AC545" s="258"/>
      <c r="AD545" s="258"/>
      <c r="AE545" s="258"/>
      <c r="AF545" s="258"/>
      <c r="AG545" s="258"/>
      <c r="AH545" s="258"/>
      <c r="AI545" s="258"/>
      <c r="AJ545" s="258"/>
      <c r="AK545" s="258"/>
      <c r="AL545" s="258"/>
      <c r="AM545" s="258"/>
      <c r="AN545" s="258"/>
      <c r="AO545" s="258"/>
      <c r="AP545" s="258"/>
      <c r="AQ545" s="258"/>
      <c r="AR545" s="258"/>
      <c r="AS545" s="258"/>
      <c r="AT545" s="258"/>
      <c r="AU545" s="258"/>
      <c r="AV545" s="258"/>
      <c r="AW545" s="258"/>
      <c r="AX545" s="258"/>
      <c r="AY545" s="258"/>
      <c r="AZ545" s="258"/>
      <c r="BA545" s="258"/>
      <c r="BB545" s="258"/>
      <c r="BC545" s="258"/>
      <c r="BD545" s="258"/>
      <c r="BE545" s="258"/>
      <c r="BF545" s="258"/>
      <c r="BG545" s="258"/>
      <c r="BH545" s="258"/>
      <c r="BI545" s="258"/>
      <c r="BJ545" s="258"/>
      <c r="BK545" s="258"/>
      <c r="BL545" s="258"/>
      <c r="BM545" s="258"/>
      <c r="BN545" s="258"/>
      <c r="BO545" s="258"/>
      <c r="BP545" s="258"/>
      <c r="BQ545" s="258"/>
      <c r="BR545" s="258"/>
      <c r="BS545" s="258"/>
      <c r="BT545" s="258"/>
      <c r="BU545" s="258"/>
      <c r="BV545" s="258"/>
      <c r="BW545" s="258"/>
      <c r="BX545" s="258"/>
      <c r="BY545" s="258"/>
      <c r="BZ545" s="258"/>
      <c r="CA545" s="258"/>
      <c r="CB545" s="258"/>
      <c r="CC545" s="258"/>
      <c r="CD545" s="258"/>
      <c r="CE545" s="258"/>
      <c r="CF545" s="258"/>
      <c r="CG545" s="258"/>
      <c r="CH545" s="258"/>
      <c r="CI545" s="258"/>
      <c r="CJ545" s="258"/>
      <c r="CK545" s="258"/>
      <c r="CL545" s="258"/>
      <c r="CM545" s="258"/>
      <c r="CN545" s="258"/>
      <c r="CO545" s="258"/>
      <c r="CP545" s="258"/>
      <c r="CQ545" s="258"/>
      <c r="CR545" s="258"/>
      <c r="CS545" s="258"/>
      <c r="CT545" s="258"/>
      <c r="CU545" s="258"/>
      <c r="CV545" s="258"/>
      <c r="CW545" s="258"/>
      <c r="CX545" s="258"/>
      <c r="CY545" s="258"/>
      <c r="CZ545" s="258"/>
      <c r="DA545" s="258"/>
      <c r="DB545" s="258"/>
      <c r="DC545" s="258"/>
      <c r="DD545" s="258"/>
      <c r="DE545" s="258"/>
      <c r="DF545" s="258"/>
      <c r="DG545" s="258"/>
      <c r="DH545" s="258"/>
      <c r="DI545" s="258"/>
      <c r="DJ545" s="258"/>
      <c r="DK545" s="258"/>
      <c r="DL545" s="258"/>
      <c r="DM545" s="258"/>
      <c r="DN545" s="258"/>
      <c r="DO545" s="258"/>
      <c r="DP545" s="258"/>
      <c r="DQ545" s="258"/>
      <c r="DR545" s="258"/>
      <c r="DS545" s="258"/>
      <c r="DT545" s="258"/>
      <c r="DU545" s="258"/>
      <c r="DV545" s="258"/>
      <c r="DW545" s="258"/>
      <c r="DX545" s="258"/>
      <c r="DY545" s="258"/>
      <c r="DZ545" s="258"/>
      <c r="EA545" s="258"/>
      <c r="EB545" s="258"/>
      <c r="EC545" s="258"/>
      <c r="ED545" s="258"/>
      <c r="EE545" s="258"/>
      <c r="EF545" s="258"/>
      <c r="EG545" s="258"/>
      <c r="EH545" s="258"/>
      <c r="EI545" s="258"/>
      <c r="EJ545" s="258"/>
      <c r="EK545" s="258"/>
      <c r="EL545" s="258"/>
      <c r="EM545" s="258"/>
      <c r="EN545" s="258"/>
      <c r="EO545" s="258"/>
      <c r="EP545" s="258"/>
      <c r="EQ545" s="258"/>
      <c r="ER545" s="258"/>
      <c r="ES545" s="258"/>
      <c r="ET545" s="258"/>
      <c r="EU545" s="258"/>
      <c r="EV545" s="258"/>
      <c r="EW545" s="258"/>
      <c r="EX545" s="258"/>
      <c r="EY545" s="258"/>
      <c r="EZ545" s="258"/>
      <c r="FA545" s="258"/>
      <c r="FB545" s="258"/>
      <c r="FC545" s="258"/>
      <c r="FD545" s="258"/>
      <c r="FE545" s="258"/>
      <c r="FF545" s="258"/>
      <c r="FG545" s="258"/>
      <c r="FH545" s="258"/>
      <c r="FI545" s="258"/>
      <c r="FJ545" s="258"/>
      <c r="FK545" s="258"/>
      <c r="FL545" s="258"/>
      <c r="FM545" s="258"/>
      <c r="FN545" s="258"/>
      <c r="FO545" s="258"/>
      <c r="FP545" s="258"/>
      <c r="FQ545" s="258"/>
      <c r="FR545" s="258"/>
      <c r="FS545" s="258"/>
      <c r="FT545" s="258"/>
      <c r="FU545" s="258"/>
      <c r="FV545" s="258"/>
      <c r="FW545" s="258"/>
      <c r="FX545" s="258"/>
      <c r="FY545" s="258"/>
      <c r="FZ545" s="258"/>
      <c r="GA545" s="258"/>
      <c r="GB545" s="258"/>
      <c r="GC545" s="258"/>
      <c r="GD545" s="258"/>
      <c r="GE545" s="258"/>
      <c r="GF545" s="258"/>
      <c r="GG545" s="258"/>
      <c r="GH545" s="258"/>
      <c r="GI545" s="258"/>
      <c r="GJ545" s="258"/>
      <c r="GK545" s="258"/>
      <c r="GL545" s="258"/>
      <c r="GM545" s="258"/>
      <c r="GN545" s="258"/>
      <c r="GO545" s="258"/>
      <c r="GP545" s="258"/>
      <c r="GQ545" s="258"/>
      <c r="GR545" s="258"/>
      <c r="GS545" s="258"/>
      <c r="GT545" s="258"/>
      <c r="GU545" s="258"/>
      <c r="GV545" s="258"/>
      <c r="GW545" s="258"/>
      <c r="GX545" s="258"/>
      <c r="GY545" s="258"/>
      <c r="GZ545" s="258"/>
      <c r="HA545" s="258"/>
      <c r="HB545" s="258"/>
      <c r="HC545" s="258"/>
      <c r="HD545" s="258"/>
      <c r="HE545" s="258"/>
      <c r="HF545" s="258"/>
      <c r="HG545" s="258"/>
      <c r="HH545" s="258"/>
      <c r="HI545" s="258"/>
      <c r="HJ545" s="258"/>
      <c r="HK545" s="258"/>
      <c r="HL545" s="258"/>
      <c r="HM545" s="258"/>
      <c r="HN545" s="258"/>
      <c r="HO545" s="258"/>
      <c r="HP545" s="258"/>
      <c r="HQ545" s="258"/>
      <c r="HR545" s="258"/>
      <c r="HS545" s="258"/>
      <c r="HT545" s="258"/>
      <c r="HU545" s="258"/>
      <c r="HV545" s="258"/>
      <c r="HW545" s="258"/>
      <c r="HX545" s="258"/>
      <c r="HY545" s="258"/>
      <c r="HZ545" s="258"/>
      <c r="IA545" s="258"/>
    </row>
    <row r="546" spans="1:17" ht="33.75">
      <c r="A546" s="33" t="s">
        <v>257</v>
      </c>
      <c r="B546" s="8"/>
      <c r="C546" s="8"/>
      <c r="D546" s="1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46"/>
    </row>
    <row r="547" spans="1:17" ht="67.5">
      <c r="A547" s="32" t="s">
        <v>339</v>
      </c>
      <c r="B547" s="8"/>
      <c r="C547" s="8"/>
      <c r="D547" s="104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146"/>
    </row>
    <row r="548" spans="1:17" ht="102.75" customHeight="1">
      <c r="A548" s="30" t="s">
        <v>376</v>
      </c>
      <c r="B548" s="40"/>
      <c r="C548" s="40"/>
      <c r="D548" s="168">
        <f>D550</f>
        <v>1214000</v>
      </c>
      <c r="E548" s="169"/>
      <c r="F548" s="168">
        <f>D548</f>
        <v>1214000</v>
      </c>
      <c r="G548" s="93">
        <f>G550</f>
        <v>8080000</v>
      </c>
      <c r="H548" s="85"/>
      <c r="I548" s="85"/>
      <c r="J548" s="85">
        <f>J550</f>
        <v>8080000</v>
      </c>
      <c r="K548" s="36"/>
      <c r="L548" s="36"/>
      <c r="M548" s="36"/>
      <c r="N548" s="85"/>
      <c r="O548" s="85"/>
      <c r="P548" s="85"/>
      <c r="Q548" s="146"/>
    </row>
    <row r="549" spans="1:17" ht="11.25">
      <c r="A549" s="31" t="s">
        <v>4</v>
      </c>
      <c r="B549" s="8"/>
      <c r="C549" s="8"/>
      <c r="D549" s="136"/>
      <c r="E549" s="133"/>
      <c r="F549" s="13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46"/>
    </row>
    <row r="550" spans="1:17" ht="11.25">
      <c r="A550" s="32" t="s">
        <v>63</v>
      </c>
      <c r="B550" s="8"/>
      <c r="C550" s="8"/>
      <c r="D550" s="135">
        <f>D555*D552</f>
        <v>1214000</v>
      </c>
      <c r="E550" s="133"/>
      <c r="F550" s="134">
        <f>D550</f>
        <v>1214000</v>
      </c>
      <c r="G550" s="7">
        <f>G555*G552</f>
        <v>8080000</v>
      </c>
      <c r="H550" s="7"/>
      <c r="I550" s="7"/>
      <c r="J550" s="7">
        <f>G550</f>
        <v>8080000</v>
      </c>
      <c r="K550" s="7"/>
      <c r="L550" s="7"/>
      <c r="M550" s="7"/>
      <c r="N550" s="7"/>
      <c r="O550" s="7"/>
      <c r="P550" s="7"/>
      <c r="Q550" s="146"/>
    </row>
    <row r="551" spans="1:17" ht="11.25">
      <c r="A551" s="31" t="s">
        <v>5</v>
      </c>
      <c r="B551" s="8"/>
      <c r="C551" s="8"/>
      <c r="D551" s="136"/>
      <c r="E551" s="133"/>
      <c r="F551" s="13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46"/>
    </row>
    <row r="552" spans="1:17" ht="22.5">
      <c r="A552" s="32" t="s">
        <v>328</v>
      </c>
      <c r="B552" s="8"/>
      <c r="C552" s="8"/>
      <c r="D552" s="136">
        <v>2</v>
      </c>
      <c r="E552" s="133"/>
      <c r="F552" s="133">
        <v>2</v>
      </c>
      <c r="G552" s="7">
        <v>2</v>
      </c>
      <c r="H552" s="7"/>
      <c r="I552" s="7"/>
      <c r="J552" s="7">
        <f>G552</f>
        <v>2</v>
      </c>
      <c r="K552" s="10"/>
      <c r="L552" s="10"/>
      <c r="M552" s="10"/>
      <c r="N552" s="10"/>
      <c r="O552" s="10"/>
      <c r="P552" s="10"/>
      <c r="Q552" s="146"/>
    </row>
    <row r="553" spans="1:17" ht="22.5" hidden="1">
      <c r="A553" s="32" t="s">
        <v>277</v>
      </c>
      <c r="B553" s="8"/>
      <c r="C553" s="8"/>
      <c r="D553" s="136"/>
      <c r="E553" s="133"/>
      <c r="F553" s="133"/>
      <c r="G553" s="7"/>
      <c r="H553" s="7"/>
      <c r="I553" s="7"/>
      <c r="J553" s="7"/>
      <c r="K553" s="10"/>
      <c r="L553" s="10"/>
      <c r="M553" s="10"/>
      <c r="N553" s="10"/>
      <c r="O553" s="10"/>
      <c r="P553" s="10"/>
      <c r="Q553" s="146"/>
    </row>
    <row r="554" spans="1:17" ht="11.25">
      <c r="A554" s="31" t="s">
        <v>7</v>
      </c>
      <c r="B554" s="8"/>
      <c r="C554" s="8"/>
      <c r="D554" s="136"/>
      <c r="E554" s="133"/>
      <c r="F554" s="13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46"/>
    </row>
    <row r="555" spans="1:17" ht="22.5">
      <c r="A555" s="32" t="s">
        <v>329</v>
      </c>
      <c r="B555" s="8"/>
      <c r="C555" s="8"/>
      <c r="D555" s="135">
        <v>607000</v>
      </c>
      <c r="E555" s="133"/>
      <c r="F555" s="134">
        <f>D555</f>
        <v>607000</v>
      </c>
      <c r="G555" s="7">
        <v>4040000</v>
      </c>
      <c r="H555" s="7"/>
      <c r="I555" s="7"/>
      <c r="J555" s="7">
        <f>G555</f>
        <v>4040000</v>
      </c>
      <c r="K555" s="7"/>
      <c r="L555" s="7"/>
      <c r="M555" s="7"/>
      <c r="N555" s="7"/>
      <c r="O555" s="7"/>
      <c r="P555" s="7"/>
      <c r="Q555" s="146"/>
    </row>
    <row r="556" spans="1:235" ht="33.75" hidden="1">
      <c r="A556" s="32" t="s">
        <v>278</v>
      </c>
      <c r="B556" s="8"/>
      <c r="C556" s="8"/>
      <c r="D556" s="140"/>
      <c r="E556" s="87"/>
      <c r="F556" s="8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14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</row>
    <row r="557" spans="1:17" s="172" customFormat="1" ht="12">
      <c r="A557" s="210">
        <v>180107</v>
      </c>
      <c r="B557" s="159"/>
      <c r="C557" s="159"/>
      <c r="D557" s="177">
        <f>D560</f>
        <v>0</v>
      </c>
      <c r="E557" s="177">
        <v>0</v>
      </c>
      <c r="F557" s="177">
        <f>D557</f>
        <v>0</v>
      </c>
      <c r="G557" s="177">
        <f>G560</f>
        <v>1200000</v>
      </c>
      <c r="H557" s="177"/>
      <c r="I557" s="177">
        <f>I560</f>
        <v>0</v>
      </c>
      <c r="J557" s="177">
        <f>J560</f>
        <v>1200000</v>
      </c>
      <c r="K557" s="177"/>
      <c r="L557" s="177"/>
      <c r="M557" s="177"/>
      <c r="N557" s="177">
        <f>N560</f>
        <v>500000</v>
      </c>
      <c r="O557" s="177"/>
      <c r="P557" s="177">
        <f>P560</f>
        <v>500000</v>
      </c>
      <c r="Q557" s="171"/>
    </row>
    <row r="558" spans="1:235" ht="33.75">
      <c r="A558" s="33" t="s">
        <v>257</v>
      </c>
      <c r="B558" s="8"/>
      <c r="C558" s="8"/>
      <c r="D558" s="1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146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</row>
    <row r="559" spans="1:235" ht="67.5">
      <c r="A559" s="32" t="s">
        <v>281</v>
      </c>
      <c r="B559" s="8"/>
      <c r="C559" s="8"/>
      <c r="D559" s="104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146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</row>
    <row r="560" spans="1:17" s="172" customFormat="1" ht="22.5">
      <c r="A560" s="167" t="s">
        <v>377</v>
      </c>
      <c r="B560" s="159"/>
      <c r="C560" s="159"/>
      <c r="D560" s="265">
        <f>200000-200000</f>
        <v>0</v>
      </c>
      <c r="E560" s="266"/>
      <c r="F560" s="265">
        <f>D560</f>
        <v>0</v>
      </c>
      <c r="G560" s="160">
        <f>500000+200000+500000</f>
        <v>1200000</v>
      </c>
      <c r="H560" s="161"/>
      <c r="I560" s="161"/>
      <c r="J560" s="161">
        <f>G560</f>
        <v>1200000</v>
      </c>
      <c r="K560" s="178"/>
      <c r="L560" s="178"/>
      <c r="M560" s="178"/>
      <c r="N560" s="161">
        <v>500000</v>
      </c>
      <c r="O560" s="161"/>
      <c r="P560" s="161">
        <f>N560</f>
        <v>500000</v>
      </c>
      <c r="Q560" s="171"/>
    </row>
    <row r="561" spans="1:235" ht="11.25">
      <c r="A561" s="31" t="s">
        <v>4</v>
      </c>
      <c r="B561" s="8"/>
      <c r="C561" s="8"/>
      <c r="D561" s="136"/>
      <c r="E561" s="133"/>
      <c r="F561" s="133"/>
      <c r="G561" s="19"/>
      <c r="H561" s="7"/>
      <c r="I561" s="7"/>
      <c r="J561" s="7"/>
      <c r="K561" s="7"/>
      <c r="L561" s="7"/>
      <c r="M561" s="7"/>
      <c r="N561" s="7"/>
      <c r="O561" s="7"/>
      <c r="P561" s="7"/>
      <c r="Q561" s="146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</row>
    <row r="562" spans="1:235" ht="33.75">
      <c r="A562" s="32" t="s">
        <v>288</v>
      </c>
      <c r="B562" s="8"/>
      <c r="C562" s="8"/>
      <c r="D562" s="147">
        <v>120</v>
      </c>
      <c r="E562" s="148"/>
      <c r="F562" s="148">
        <f>D562</f>
        <v>120</v>
      </c>
      <c r="G562" s="148">
        <v>120</v>
      </c>
      <c r="H562" s="148"/>
      <c r="I562" s="148"/>
      <c r="J562" s="148">
        <f>G562</f>
        <v>120</v>
      </c>
      <c r="K562" s="148">
        <f>H562</f>
        <v>0</v>
      </c>
      <c r="L562" s="148">
        <f>J562</f>
        <v>120</v>
      </c>
      <c r="M562" s="148">
        <f>K562</f>
        <v>0</v>
      </c>
      <c r="N562" s="148">
        <f>L562</f>
        <v>120</v>
      </c>
      <c r="O562" s="148"/>
      <c r="P562" s="148">
        <f>N562</f>
        <v>120</v>
      </c>
      <c r="Q562" s="146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</row>
    <row r="563" spans="1:235" ht="11.25">
      <c r="A563" s="31" t="s">
        <v>5</v>
      </c>
      <c r="B563" s="8"/>
      <c r="C563" s="8"/>
      <c r="D563" s="136"/>
      <c r="E563" s="133"/>
      <c r="F563" s="133"/>
      <c r="G563" s="19"/>
      <c r="H563" s="7"/>
      <c r="I563" s="7"/>
      <c r="J563" s="7"/>
      <c r="K563" s="7"/>
      <c r="L563" s="7"/>
      <c r="M563" s="7"/>
      <c r="N563" s="7"/>
      <c r="O563" s="7"/>
      <c r="P563" s="7"/>
      <c r="Q563" s="146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</row>
    <row r="564" spans="1:235" ht="32.25" customHeight="1">
      <c r="A564" s="32" t="s">
        <v>289</v>
      </c>
      <c r="B564" s="8"/>
      <c r="C564" s="8"/>
      <c r="D564" s="136">
        <v>120</v>
      </c>
      <c r="E564" s="133"/>
      <c r="F564" s="133">
        <v>120</v>
      </c>
      <c r="G564" s="10">
        <v>120</v>
      </c>
      <c r="H564" s="10"/>
      <c r="I564" s="10"/>
      <c r="J564" s="10">
        <f>G564</f>
        <v>120</v>
      </c>
      <c r="K564" s="10"/>
      <c r="L564" s="10"/>
      <c r="M564" s="10"/>
      <c r="N564" s="10">
        <v>120</v>
      </c>
      <c r="O564" s="10"/>
      <c r="P564" s="10">
        <f>N564</f>
        <v>120</v>
      </c>
      <c r="Q564" s="146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</row>
    <row r="565" spans="1:235" ht="22.5" hidden="1">
      <c r="A565" s="32" t="s">
        <v>277</v>
      </c>
      <c r="B565" s="8"/>
      <c r="C565" s="8"/>
      <c r="D565" s="136"/>
      <c r="E565" s="133"/>
      <c r="F565" s="133"/>
      <c r="G565" s="19"/>
      <c r="H565" s="7"/>
      <c r="I565" s="7"/>
      <c r="J565" s="7"/>
      <c r="K565" s="10"/>
      <c r="L565" s="10"/>
      <c r="M565" s="10"/>
      <c r="N565" s="10"/>
      <c r="O565" s="10"/>
      <c r="P565" s="10"/>
      <c r="Q565" s="146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</row>
    <row r="566" spans="1:235" ht="11.25">
      <c r="A566" s="31" t="s">
        <v>7</v>
      </c>
      <c r="B566" s="8"/>
      <c r="C566" s="8"/>
      <c r="D566" s="136"/>
      <c r="E566" s="133"/>
      <c r="F566" s="133"/>
      <c r="G566" s="19"/>
      <c r="H566" s="7"/>
      <c r="I566" s="7"/>
      <c r="J566" s="7"/>
      <c r="K566" s="7"/>
      <c r="L566" s="7"/>
      <c r="M566" s="7"/>
      <c r="N566" s="7"/>
      <c r="O566" s="7"/>
      <c r="P566" s="7"/>
      <c r="Q566" s="14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</row>
    <row r="567" spans="1:235" ht="22.5">
      <c r="A567" s="32" t="s">
        <v>290</v>
      </c>
      <c r="B567" s="8"/>
      <c r="C567" s="8"/>
      <c r="D567" s="135">
        <f>D560/D564</f>
        <v>0</v>
      </c>
      <c r="E567" s="133"/>
      <c r="F567" s="134">
        <f>D567</f>
        <v>0</v>
      </c>
      <c r="G567" s="19">
        <f>G560/G564</f>
        <v>10000</v>
      </c>
      <c r="H567" s="7"/>
      <c r="I567" s="7"/>
      <c r="J567" s="7">
        <f>G567</f>
        <v>10000</v>
      </c>
      <c r="K567" s="7"/>
      <c r="L567" s="7"/>
      <c r="M567" s="7"/>
      <c r="N567" s="7">
        <f>N560/N564</f>
        <v>4166.666666666667</v>
      </c>
      <c r="O567" s="7"/>
      <c r="P567" s="7">
        <f>N567</f>
        <v>4166.666666666667</v>
      </c>
      <c r="Q567" s="146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</row>
    <row r="568" spans="1:235" ht="11.25" hidden="1">
      <c r="A568" s="141"/>
      <c r="B568" s="84"/>
      <c r="C568" s="84"/>
      <c r="D568" s="142"/>
      <c r="E568" s="143"/>
      <c r="F568" s="144"/>
      <c r="G568" s="145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</row>
    <row r="569" spans="1:235" ht="11.25" hidden="1">
      <c r="A569" s="141"/>
      <c r="B569" s="84"/>
      <c r="C569" s="84"/>
      <c r="D569" s="142"/>
      <c r="E569" s="143"/>
      <c r="F569" s="144"/>
      <c r="G569" s="145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</row>
    <row r="570" spans="1:235" ht="11.25" hidden="1">
      <c r="A570" s="141"/>
      <c r="B570" s="84"/>
      <c r="C570" s="84"/>
      <c r="D570" s="142"/>
      <c r="E570" s="143"/>
      <c r="F570" s="144"/>
      <c r="G570" s="145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</row>
    <row r="571" spans="1:235" ht="11.25" hidden="1">
      <c r="A571" s="141"/>
      <c r="B571" s="84"/>
      <c r="C571" s="84"/>
      <c r="D571" s="142"/>
      <c r="E571" s="143"/>
      <c r="F571" s="144"/>
      <c r="G571" s="145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</row>
    <row r="572" spans="1:235" ht="12">
      <c r="A572" s="24">
        <v>100208</v>
      </c>
      <c r="B572" s="8"/>
      <c r="C572" s="8"/>
      <c r="D572" s="37">
        <f>D575</f>
        <v>0</v>
      </c>
      <c r="E572" s="37">
        <f>E575</f>
        <v>1084420</v>
      </c>
      <c r="F572" s="37">
        <f>D572+E572</f>
        <v>1084420</v>
      </c>
      <c r="G572" s="37"/>
      <c r="H572" s="37">
        <f>H575</f>
        <v>3700000</v>
      </c>
      <c r="I572" s="37">
        <f>I575</f>
        <v>0</v>
      </c>
      <c r="J572" s="224">
        <f>J575</f>
        <v>3700000</v>
      </c>
      <c r="K572" s="37"/>
      <c r="L572" s="37"/>
      <c r="M572" s="37"/>
      <c r="N572" s="37"/>
      <c r="O572" s="37"/>
      <c r="P572" s="37"/>
      <c r="Q572" s="146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</row>
    <row r="573" spans="1:235" ht="33.75">
      <c r="A573" s="33" t="s">
        <v>257</v>
      </c>
      <c r="B573" s="8"/>
      <c r="C573" s="8"/>
      <c r="D573" s="1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46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</row>
    <row r="574" spans="1:235" ht="22.5">
      <c r="A574" s="32" t="s">
        <v>291</v>
      </c>
      <c r="B574" s="8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146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</row>
    <row r="575" spans="1:17" s="180" customFormat="1" ht="22.5">
      <c r="A575" s="167" t="s">
        <v>378</v>
      </c>
      <c r="B575" s="176"/>
      <c r="C575" s="176"/>
      <c r="D575" s="177"/>
      <c r="E575" s="178">
        <v>1084420</v>
      </c>
      <c r="F575" s="178">
        <f>D575+E575</f>
        <v>1084420</v>
      </c>
      <c r="G575" s="178"/>
      <c r="H575" s="178">
        <v>3700000</v>
      </c>
      <c r="I575" s="178"/>
      <c r="J575" s="178">
        <f>H575</f>
        <v>3700000</v>
      </c>
      <c r="K575" s="178"/>
      <c r="L575" s="178"/>
      <c r="M575" s="178"/>
      <c r="N575" s="178"/>
      <c r="O575" s="178"/>
      <c r="P575" s="178"/>
      <c r="Q575" s="208"/>
    </row>
    <row r="576" spans="1:235" ht="11.25">
      <c r="A576" s="31" t="s">
        <v>4</v>
      </c>
      <c r="B576" s="8"/>
      <c r="C576" s="8"/>
      <c r="D576" s="1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4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</row>
    <row r="577" spans="1:235" ht="11.25">
      <c r="A577" s="32" t="s">
        <v>63</v>
      </c>
      <c r="B577" s="8"/>
      <c r="C577" s="8"/>
      <c r="D577" s="19"/>
      <c r="E577" s="7">
        <f>E575</f>
        <v>1084420</v>
      </c>
      <c r="F577" s="7">
        <f>D577+E577</f>
        <v>1084420</v>
      </c>
      <c r="G577" s="7"/>
      <c r="H577" s="7">
        <f>H575</f>
        <v>3700000</v>
      </c>
      <c r="I577" s="7"/>
      <c r="J577" s="7">
        <f>H577</f>
        <v>3700000</v>
      </c>
      <c r="K577" s="7"/>
      <c r="L577" s="7"/>
      <c r="M577" s="7"/>
      <c r="N577" s="7"/>
      <c r="O577" s="7"/>
      <c r="P577" s="7"/>
      <c r="Q577" s="146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</row>
    <row r="578" spans="1:235" ht="11.25">
      <c r="A578" s="31" t="s">
        <v>5</v>
      </c>
      <c r="B578" s="8"/>
      <c r="C578" s="8"/>
      <c r="D578" s="1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46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</row>
    <row r="579" spans="1:235" ht="26.25" customHeight="1">
      <c r="A579" s="32" t="s">
        <v>292</v>
      </c>
      <c r="B579" s="8"/>
      <c r="C579" s="8"/>
      <c r="D579" s="10"/>
      <c r="E579" s="10">
        <v>39</v>
      </c>
      <c r="F579" s="10">
        <f>D579+E579</f>
        <v>39</v>
      </c>
      <c r="G579" s="10"/>
      <c r="H579" s="10">
        <f>H577/H582</f>
        <v>133.06652894880318</v>
      </c>
      <c r="I579" s="10"/>
      <c r="J579" s="10">
        <f>H579</f>
        <v>133.06652894880318</v>
      </c>
      <c r="K579" s="10"/>
      <c r="L579" s="10"/>
      <c r="M579" s="10"/>
      <c r="N579" s="10"/>
      <c r="O579" s="10"/>
      <c r="P579" s="10"/>
      <c r="Q579" s="146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</row>
    <row r="580" spans="1:235" ht="11.25" hidden="1">
      <c r="A580" s="32" t="s">
        <v>249</v>
      </c>
      <c r="B580" s="8"/>
      <c r="C580" s="8"/>
      <c r="D580" s="10">
        <v>145</v>
      </c>
      <c r="E580" s="10"/>
      <c r="F580" s="10">
        <f>D580</f>
        <v>145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46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</row>
    <row r="581" spans="1:235" ht="11.25">
      <c r="A581" s="31" t="s">
        <v>7</v>
      </c>
      <c r="B581" s="8"/>
      <c r="C581" s="8"/>
      <c r="D581" s="1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46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</row>
    <row r="582" spans="1:235" ht="22.5">
      <c r="A582" s="32" t="s">
        <v>293</v>
      </c>
      <c r="B582" s="8"/>
      <c r="C582" s="8"/>
      <c r="D582" s="19"/>
      <c r="E582" s="7">
        <f>E577/E579</f>
        <v>27805.641025641027</v>
      </c>
      <c r="F582" s="7">
        <f>F577/F579</f>
        <v>27805.641025641027</v>
      </c>
      <c r="G582" s="7"/>
      <c r="H582" s="7">
        <v>27805.64</v>
      </c>
      <c r="I582" s="7"/>
      <c r="J582" s="7">
        <f>H582</f>
        <v>27805.64</v>
      </c>
      <c r="K582" s="7"/>
      <c r="L582" s="7"/>
      <c r="M582" s="7"/>
      <c r="N582" s="7"/>
      <c r="O582" s="7"/>
      <c r="P582" s="7"/>
      <c r="Q582" s="146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</row>
    <row r="583" spans="1:235" ht="22.5" hidden="1">
      <c r="A583" s="32" t="s">
        <v>252</v>
      </c>
      <c r="B583" s="8"/>
      <c r="C583" s="8"/>
      <c r="D583" s="19">
        <v>270.34</v>
      </c>
      <c r="E583" s="7"/>
      <c r="F583" s="7">
        <f>D583</f>
        <v>270.34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146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</row>
    <row r="584" spans="1:17" s="172" customFormat="1" ht="12">
      <c r="A584" s="210">
        <v>150202</v>
      </c>
      <c r="B584" s="159"/>
      <c r="C584" s="159"/>
      <c r="D584" s="177">
        <f>D587</f>
        <v>0</v>
      </c>
      <c r="E584" s="177">
        <v>0</v>
      </c>
      <c r="F584" s="177">
        <f>D584</f>
        <v>0</v>
      </c>
      <c r="G584" s="177">
        <f>G587+G602</f>
        <v>665000</v>
      </c>
      <c r="H584" s="177"/>
      <c r="I584" s="177">
        <f>I587</f>
        <v>0</v>
      </c>
      <c r="J584" s="177">
        <f>J587+J602</f>
        <v>665000</v>
      </c>
      <c r="K584" s="177"/>
      <c r="L584" s="177"/>
      <c r="M584" s="177"/>
      <c r="N584" s="177">
        <f>N587</f>
        <v>0</v>
      </c>
      <c r="O584" s="177"/>
      <c r="P584" s="177">
        <f>P587</f>
        <v>0</v>
      </c>
      <c r="Q584" s="171"/>
    </row>
    <row r="585" spans="1:235" ht="33.75">
      <c r="A585" s="33" t="s">
        <v>257</v>
      </c>
      <c r="B585" s="8"/>
      <c r="C585" s="8"/>
      <c r="D585" s="1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146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</row>
    <row r="586" spans="1:235" ht="11.25">
      <c r="A586" s="32" t="s">
        <v>316</v>
      </c>
      <c r="B586" s="8"/>
      <c r="C586" s="8"/>
      <c r="D586" s="104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14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</row>
    <row r="587" spans="1:17" s="180" customFormat="1" ht="22.5">
      <c r="A587" s="167" t="s">
        <v>379</v>
      </c>
      <c r="B587" s="176"/>
      <c r="C587" s="176"/>
      <c r="D587" s="206"/>
      <c r="E587" s="207"/>
      <c r="F587" s="206">
        <f>D587</f>
        <v>0</v>
      </c>
      <c r="G587" s="177">
        <f>465000</f>
        <v>465000</v>
      </c>
      <c r="H587" s="178"/>
      <c r="I587" s="178"/>
      <c r="J587" s="178">
        <f>G587</f>
        <v>465000</v>
      </c>
      <c r="K587" s="178"/>
      <c r="L587" s="178"/>
      <c r="M587" s="178"/>
      <c r="N587" s="178"/>
      <c r="O587" s="178"/>
      <c r="P587" s="178"/>
      <c r="Q587" s="208"/>
    </row>
    <row r="588" spans="1:235" ht="11.25">
      <c r="A588" s="31" t="s">
        <v>4</v>
      </c>
      <c r="B588" s="8"/>
      <c r="C588" s="8"/>
      <c r="D588" s="136"/>
      <c r="E588" s="133"/>
      <c r="F588" s="133"/>
      <c r="G588" s="19"/>
      <c r="H588" s="7"/>
      <c r="I588" s="7"/>
      <c r="J588" s="7"/>
      <c r="K588" s="7"/>
      <c r="L588" s="7"/>
      <c r="M588" s="7"/>
      <c r="N588" s="7"/>
      <c r="O588" s="7"/>
      <c r="P588" s="7"/>
      <c r="Q588" s="146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</row>
    <row r="589" spans="1:235" ht="10.5" customHeight="1">
      <c r="A589" s="32" t="s">
        <v>63</v>
      </c>
      <c r="B589" s="8"/>
      <c r="C589" s="8"/>
      <c r="D589" s="136"/>
      <c r="E589" s="133"/>
      <c r="F589" s="133"/>
      <c r="G589" s="19">
        <f>465000</f>
        <v>465000</v>
      </c>
      <c r="H589" s="7"/>
      <c r="I589" s="7"/>
      <c r="J589" s="7">
        <f>G589</f>
        <v>465000</v>
      </c>
      <c r="K589" s="7"/>
      <c r="L589" s="7"/>
      <c r="M589" s="7"/>
      <c r="N589" s="7"/>
      <c r="O589" s="7"/>
      <c r="P589" s="7"/>
      <c r="Q589" s="146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</row>
    <row r="590" spans="1:235" ht="11.25" hidden="1">
      <c r="A590" s="32" t="s">
        <v>63</v>
      </c>
      <c r="B590" s="8"/>
      <c r="C590" s="8"/>
      <c r="D590" s="136"/>
      <c r="E590" s="133"/>
      <c r="F590" s="133"/>
      <c r="G590" s="19"/>
      <c r="H590" s="7"/>
      <c r="I590" s="7"/>
      <c r="J590" s="7"/>
      <c r="K590" s="7"/>
      <c r="L590" s="7"/>
      <c r="M590" s="7"/>
      <c r="N590" s="7"/>
      <c r="O590" s="7"/>
      <c r="P590" s="7"/>
      <c r="Q590" s="146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</row>
    <row r="591" spans="1:235" ht="11.25">
      <c r="A591" s="31" t="s">
        <v>5</v>
      </c>
      <c r="B591" s="8"/>
      <c r="C591" s="8"/>
      <c r="D591" s="136"/>
      <c r="E591" s="133"/>
      <c r="F591" s="133"/>
      <c r="G591" s="19"/>
      <c r="H591" s="7"/>
      <c r="I591" s="7"/>
      <c r="J591" s="7"/>
      <c r="K591" s="7"/>
      <c r="L591" s="7"/>
      <c r="M591" s="7"/>
      <c r="N591" s="7"/>
      <c r="O591" s="7"/>
      <c r="P591" s="7"/>
      <c r="Q591" s="146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</row>
    <row r="592" spans="1:235" ht="10.5" customHeight="1">
      <c r="A592" s="32" t="s">
        <v>294</v>
      </c>
      <c r="B592" s="8"/>
      <c r="C592" s="8"/>
      <c r="D592" s="147"/>
      <c r="E592" s="148"/>
      <c r="F592" s="148">
        <f>D592</f>
        <v>0</v>
      </c>
      <c r="G592" s="148">
        <v>1</v>
      </c>
      <c r="H592" s="148"/>
      <c r="I592" s="148"/>
      <c r="J592" s="148">
        <f>G592</f>
        <v>1</v>
      </c>
      <c r="K592" s="148">
        <f>H592</f>
        <v>0</v>
      </c>
      <c r="L592" s="148">
        <f>J592</f>
        <v>1</v>
      </c>
      <c r="M592" s="148">
        <f>K592</f>
        <v>0</v>
      </c>
      <c r="N592" s="148"/>
      <c r="O592" s="148"/>
      <c r="P592" s="148"/>
      <c r="Q592" s="146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</row>
    <row r="593" spans="1:235" ht="11.25" hidden="1">
      <c r="A593" s="32" t="s">
        <v>309</v>
      </c>
      <c r="B593" s="8"/>
      <c r="C593" s="8"/>
      <c r="D593" s="147"/>
      <c r="E593" s="148"/>
      <c r="F593" s="148"/>
      <c r="G593" s="148">
        <v>1487</v>
      </c>
      <c r="H593" s="148"/>
      <c r="I593" s="148"/>
      <c r="J593" s="148">
        <f>G593</f>
        <v>1487</v>
      </c>
      <c r="K593" s="148"/>
      <c r="L593" s="148"/>
      <c r="M593" s="148"/>
      <c r="N593" s="148"/>
      <c r="O593" s="148"/>
      <c r="P593" s="148"/>
      <c r="Q593" s="146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</row>
    <row r="594" spans="1:235" ht="11.25">
      <c r="A594" s="31" t="s">
        <v>7</v>
      </c>
      <c r="B594" s="8"/>
      <c r="C594" s="8"/>
      <c r="D594" s="136"/>
      <c r="E594" s="133"/>
      <c r="F594" s="133"/>
      <c r="G594" s="19"/>
      <c r="H594" s="7"/>
      <c r="I594" s="7"/>
      <c r="J594" s="7"/>
      <c r="K594" s="7"/>
      <c r="L594" s="7"/>
      <c r="M594" s="7"/>
      <c r="N594" s="7"/>
      <c r="O594" s="7"/>
      <c r="P594" s="7"/>
      <c r="Q594" s="146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</row>
    <row r="595" spans="1:235" ht="11.25">
      <c r="A595" s="32" t="s">
        <v>295</v>
      </c>
      <c r="B595" s="8"/>
      <c r="C595" s="8"/>
      <c r="D595" s="135"/>
      <c r="E595" s="133"/>
      <c r="F595" s="134"/>
      <c r="G595" s="19">
        <v>465000</v>
      </c>
      <c r="H595" s="7"/>
      <c r="I595" s="7"/>
      <c r="J595" s="7">
        <f>G595</f>
        <v>465000</v>
      </c>
      <c r="K595" s="7"/>
      <c r="L595" s="7"/>
      <c r="M595" s="7"/>
      <c r="N595" s="7"/>
      <c r="O595" s="7"/>
      <c r="P595" s="7"/>
      <c r="Q595" s="146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</row>
    <row r="596" spans="1:235" ht="11.25" hidden="1">
      <c r="A596" s="32"/>
      <c r="B596" s="8"/>
      <c r="C596" s="8"/>
      <c r="D596" s="1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14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</row>
    <row r="597" spans="1:235" ht="11.25" hidden="1">
      <c r="A597" s="32"/>
      <c r="B597" s="8"/>
      <c r="C597" s="8"/>
      <c r="D597" s="1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146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</row>
    <row r="598" spans="1:235" ht="11.25" hidden="1">
      <c r="A598" s="32"/>
      <c r="B598" s="8"/>
      <c r="C598" s="8"/>
      <c r="D598" s="1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46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</row>
    <row r="599" spans="1:235" ht="11.25" hidden="1">
      <c r="A599" s="32"/>
      <c r="B599" s="8"/>
      <c r="C599" s="8"/>
      <c r="D599" s="1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146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</row>
    <row r="600" spans="1:235" ht="11.25" hidden="1">
      <c r="A600" s="32"/>
      <c r="B600" s="8"/>
      <c r="C600" s="8"/>
      <c r="D600" s="1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46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</row>
    <row r="601" spans="1:235" ht="21" customHeight="1" hidden="1">
      <c r="A601" s="32" t="s">
        <v>310</v>
      </c>
      <c r="B601" s="8"/>
      <c r="C601" s="8"/>
      <c r="D601" s="19"/>
      <c r="E601" s="7"/>
      <c r="F601" s="7"/>
      <c r="G601" s="7">
        <v>3000</v>
      </c>
      <c r="H601" s="7"/>
      <c r="I601" s="7"/>
      <c r="J601" s="7">
        <f>G601</f>
        <v>3000</v>
      </c>
      <c r="K601" s="7"/>
      <c r="L601" s="7"/>
      <c r="M601" s="7"/>
      <c r="N601" s="7"/>
      <c r="O601" s="7"/>
      <c r="P601" s="7"/>
      <c r="Q601" s="146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</row>
    <row r="602" spans="1:17" s="180" customFormat="1" ht="22.5">
      <c r="A602" s="167" t="s">
        <v>385</v>
      </c>
      <c r="B602" s="176"/>
      <c r="C602" s="176"/>
      <c r="D602" s="206"/>
      <c r="E602" s="207"/>
      <c r="F602" s="206">
        <f>D602</f>
        <v>0</v>
      </c>
      <c r="G602" s="177">
        <f>G604</f>
        <v>200000</v>
      </c>
      <c r="H602" s="178"/>
      <c r="I602" s="178"/>
      <c r="J602" s="178">
        <f>G602</f>
        <v>200000</v>
      </c>
      <c r="K602" s="178"/>
      <c r="L602" s="178"/>
      <c r="M602" s="178"/>
      <c r="N602" s="178"/>
      <c r="O602" s="178"/>
      <c r="P602" s="178"/>
      <c r="Q602" s="208"/>
    </row>
    <row r="603" spans="1:235" ht="11.25">
      <c r="A603" s="31" t="s">
        <v>4</v>
      </c>
      <c r="B603" s="8"/>
      <c r="C603" s="8"/>
      <c r="D603" s="136"/>
      <c r="E603" s="133"/>
      <c r="F603" s="133"/>
      <c r="G603" s="19"/>
      <c r="H603" s="7"/>
      <c r="I603" s="7"/>
      <c r="J603" s="7"/>
      <c r="K603" s="7"/>
      <c r="L603" s="7"/>
      <c r="M603" s="7"/>
      <c r="N603" s="7"/>
      <c r="O603" s="7"/>
      <c r="P603" s="7"/>
      <c r="Q603" s="146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</row>
    <row r="604" spans="1:235" ht="10.5" customHeight="1">
      <c r="A604" s="32" t="s">
        <v>63</v>
      </c>
      <c r="B604" s="8"/>
      <c r="C604" s="8"/>
      <c r="D604" s="136"/>
      <c r="E604" s="133"/>
      <c r="F604" s="133"/>
      <c r="G604" s="19">
        <f>G607*G610</f>
        <v>200000</v>
      </c>
      <c r="H604" s="7"/>
      <c r="I604" s="7"/>
      <c r="J604" s="7">
        <f>G604</f>
        <v>200000</v>
      </c>
      <c r="K604" s="7"/>
      <c r="L604" s="7"/>
      <c r="M604" s="7"/>
      <c r="N604" s="7"/>
      <c r="O604" s="7"/>
      <c r="P604" s="7"/>
      <c r="Q604" s="146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</row>
    <row r="605" spans="1:235" ht="11.25" hidden="1">
      <c r="A605" s="32" t="s">
        <v>63</v>
      </c>
      <c r="B605" s="8"/>
      <c r="C605" s="8"/>
      <c r="D605" s="136"/>
      <c r="E605" s="133"/>
      <c r="F605" s="133"/>
      <c r="G605" s="19"/>
      <c r="H605" s="7"/>
      <c r="I605" s="7"/>
      <c r="J605" s="7"/>
      <c r="K605" s="7"/>
      <c r="L605" s="7"/>
      <c r="M605" s="7"/>
      <c r="N605" s="7"/>
      <c r="O605" s="7"/>
      <c r="P605" s="7"/>
      <c r="Q605" s="146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</row>
    <row r="606" spans="1:235" ht="11.25">
      <c r="A606" s="31" t="s">
        <v>5</v>
      </c>
      <c r="B606" s="8"/>
      <c r="C606" s="8"/>
      <c r="D606" s="136"/>
      <c r="E606" s="133"/>
      <c r="F606" s="133"/>
      <c r="G606" s="19"/>
      <c r="H606" s="7"/>
      <c r="I606" s="7"/>
      <c r="J606" s="7"/>
      <c r="K606" s="7"/>
      <c r="L606" s="7"/>
      <c r="M606" s="7"/>
      <c r="N606" s="7"/>
      <c r="O606" s="7"/>
      <c r="P606" s="7"/>
      <c r="Q606" s="14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</row>
    <row r="607" spans="1:235" ht="10.5" customHeight="1">
      <c r="A607" s="32" t="s">
        <v>386</v>
      </c>
      <c r="B607" s="8"/>
      <c r="C607" s="8"/>
      <c r="D607" s="147"/>
      <c r="E607" s="148"/>
      <c r="F607" s="148">
        <f>D607</f>
        <v>0</v>
      </c>
      <c r="G607" s="148">
        <v>1</v>
      </c>
      <c r="H607" s="148"/>
      <c r="I607" s="148"/>
      <c r="J607" s="148">
        <f>G607</f>
        <v>1</v>
      </c>
      <c r="K607" s="148">
        <f>H607</f>
        <v>0</v>
      </c>
      <c r="L607" s="148">
        <f>J607</f>
        <v>1</v>
      </c>
      <c r="M607" s="148">
        <f>K607</f>
        <v>0</v>
      </c>
      <c r="N607" s="148"/>
      <c r="O607" s="148"/>
      <c r="P607" s="148"/>
      <c r="Q607" s="146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</row>
    <row r="608" spans="1:235" ht="11.25" hidden="1">
      <c r="A608" s="32" t="s">
        <v>309</v>
      </c>
      <c r="B608" s="8"/>
      <c r="C608" s="8"/>
      <c r="D608" s="147"/>
      <c r="E608" s="148"/>
      <c r="F608" s="148"/>
      <c r="G608" s="148">
        <v>1487</v>
      </c>
      <c r="H608" s="148"/>
      <c r="I608" s="148"/>
      <c r="J608" s="148">
        <f>G608</f>
        <v>1487</v>
      </c>
      <c r="K608" s="148"/>
      <c r="L608" s="148"/>
      <c r="M608" s="148"/>
      <c r="N608" s="148"/>
      <c r="O608" s="148"/>
      <c r="P608" s="148"/>
      <c r="Q608" s="146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</row>
    <row r="609" spans="1:235" ht="11.25">
      <c r="A609" s="31" t="s">
        <v>7</v>
      </c>
      <c r="B609" s="8"/>
      <c r="C609" s="8"/>
      <c r="D609" s="136"/>
      <c r="E609" s="133"/>
      <c r="F609" s="133"/>
      <c r="G609" s="19"/>
      <c r="H609" s="7"/>
      <c r="I609" s="7"/>
      <c r="J609" s="7"/>
      <c r="K609" s="7"/>
      <c r="L609" s="7"/>
      <c r="M609" s="7"/>
      <c r="N609" s="7"/>
      <c r="O609" s="7"/>
      <c r="P609" s="7"/>
      <c r="Q609" s="146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</row>
    <row r="610" spans="1:235" ht="22.5">
      <c r="A610" s="32" t="s">
        <v>387</v>
      </c>
      <c r="B610" s="8"/>
      <c r="C610" s="8"/>
      <c r="D610" s="135"/>
      <c r="E610" s="133"/>
      <c r="F610" s="134"/>
      <c r="G610" s="19">
        <v>200000</v>
      </c>
      <c r="H610" s="7"/>
      <c r="I610" s="7"/>
      <c r="J610" s="7">
        <f>G610</f>
        <v>200000</v>
      </c>
      <c r="K610" s="7"/>
      <c r="L610" s="7"/>
      <c r="M610" s="7"/>
      <c r="N610" s="7"/>
      <c r="O610" s="7"/>
      <c r="P610" s="7"/>
      <c r="Q610" s="146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</row>
    <row r="611" spans="1:17" s="172" customFormat="1" ht="12">
      <c r="A611" s="210">
        <v>180409</v>
      </c>
      <c r="B611" s="159"/>
      <c r="C611" s="159"/>
      <c r="D611" s="177">
        <f>D613+D627+D685+D694+D701</f>
        <v>0</v>
      </c>
      <c r="E611" s="177"/>
      <c r="F611" s="177">
        <f>D611</f>
        <v>0</v>
      </c>
      <c r="G611" s="177"/>
      <c r="H611" s="177">
        <f>H613</f>
        <v>70840231</v>
      </c>
      <c r="I611" s="177">
        <f>I613</f>
        <v>47000</v>
      </c>
      <c r="J611" s="177">
        <f>H611+I611</f>
        <v>70887231</v>
      </c>
      <c r="K611" s="177"/>
      <c r="L611" s="177"/>
      <c r="M611" s="177"/>
      <c r="N611" s="177"/>
      <c r="O611" s="177"/>
      <c r="P611" s="178"/>
      <c r="Q611" s="171"/>
    </row>
    <row r="612" spans="1:235" ht="22.5">
      <c r="A612" s="32" t="s">
        <v>296</v>
      </c>
      <c r="B612" s="8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146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</row>
    <row r="613" spans="1:17" s="180" customFormat="1" ht="33.75">
      <c r="A613" s="167" t="s">
        <v>388</v>
      </c>
      <c r="B613" s="176"/>
      <c r="C613" s="176"/>
      <c r="D613" s="177"/>
      <c r="E613" s="178"/>
      <c r="F613" s="178">
        <f>D613</f>
        <v>0</v>
      </c>
      <c r="G613" s="178"/>
      <c r="H613" s="178">
        <f>H615</f>
        <v>70840231</v>
      </c>
      <c r="I613" s="178">
        <f>I615</f>
        <v>47000</v>
      </c>
      <c r="J613" s="178">
        <f>H613+I613</f>
        <v>70887231</v>
      </c>
      <c r="K613" s="178"/>
      <c r="L613" s="178"/>
      <c r="M613" s="178"/>
      <c r="N613" s="178"/>
      <c r="O613" s="178"/>
      <c r="P613" s="178"/>
      <c r="Q613" s="208"/>
    </row>
    <row r="614" spans="1:235" ht="11.25">
      <c r="A614" s="31" t="s">
        <v>4</v>
      </c>
      <c r="B614" s="8"/>
      <c r="C614" s="8"/>
      <c r="D614" s="1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46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</row>
    <row r="615" spans="1:235" ht="11.25">
      <c r="A615" s="32" t="s">
        <v>63</v>
      </c>
      <c r="B615" s="8"/>
      <c r="C615" s="8"/>
      <c r="D615" s="19"/>
      <c r="E615" s="7"/>
      <c r="F615" s="7">
        <f>D615</f>
        <v>0</v>
      </c>
      <c r="G615" s="7"/>
      <c r="H615" s="7">
        <f>49855600+12000000+250000+1116250+339900+677700+277200+14159+17372+292000+50+5000+2725000+1800000+1470000</f>
        <v>70840231</v>
      </c>
      <c r="I615" s="7">
        <v>47000</v>
      </c>
      <c r="J615" s="7">
        <f>H615+I615</f>
        <v>70887231</v>
      </c>
      <c r="K615" s="7"/>
      <c r="L615" s="7"/>
      <c r="M615" s="7"/>
      <c r="N615" s="7"/>
      <c r="O615" s="7"/>
      <c r="P615" s="10"/>
      <c r="Q615" s="146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</row>
    <row r="616" spans="1:235" ht="11.25">
      <c r="A616" s="31" t="s">
        <v>5</v>
      </c>
      <c r="B616" s="8"/>
      <c r="C616" s="8"/>
      <c r="D616" s="1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10"/>
      <c r="Q616" s="14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</row>
    <row r="617" spans="1:235" ht="33.75">
      <c r="A617" s="32" t="s">
        <v>297</v>
      </c>
      <c r="B617" s="8"/>
      <c r="C617" s="8"/>
      <c r="D617" s="19"/>
      <c r="E617" s="7"/>
      <c r="F617" s="7"/>
      <c r="G617" s="10"/>
      <c r="H617" s="10">
        <v>7</v>
      </c>
      <c r="I617" s="10"/>
      <c r="J617" s="10">
        <v>7</v>
      </c>
      <c r="K617" s="10"/>
      <c r="L617" s="10"/>
      <c r="M617" s="10"/>
      <c r="N617" s="10"/>
      <c r="O617" s="10"/>
      <c r="P617" s="7"/>
      <c r="Q617" s="146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</row>
    <row r="618" spans="1:235" ht="11.25">
      <c r="A618" s="31" t="s">
        <v>7</v>
      </c>
      <c r="B618" s="8"/>
      <c r="C618" s="8"/>
      <c r="D618" s="1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146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</row>
    <row r="619" spans="1:235" ht="24.75" customHeight="1">
      <c r="A619" s="32" t="s">
        <v>298</v>
      </c>
      <c r="B619" s="8"/>
      <c r="C619" s="8"/>
      <c r="D619" s="19"/>
      <c r="E619" s="7"/>
      <c r="F619" s="7"/>
      <c r="G619" s="7"/>
      <c r="H619" s="7">
        <f>H615/H617</f>
        <v>10120033</v>
      </c>
      <c r="I619" s="7"/>
      <c r="J619" s="7">
        <f>J615/J617</f>
        <v>10126747.285714285</v>
      </c>
      <c r="K619" s="7"/>
      <c r="L619" s="7"/>
      <c r="M619" s="7"/>
      <c r="N619" s="7"/>
      <c r="O619" s="7"/>
      <c r="P619" s="146"/>
      <c r="Q619" s="146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</row>
    <row r="620" spans="1:235" ht="11.25" hidden="1">
      <c r="A620" s="32"/>
      <c r="B620" s="8"/>
      <c r="C620" s="8"/>
      <c r="D620" s="1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146"/>
      <c r="Q620" s="146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</row>
    <row r="621" spans="1:235" ht="11.25" hidden="1">
      <c r="A621" s="32"/>
      <c r="B621" s="8"/>
      <c r="C621" s="8"/>
      <c r="D621" s="1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146"/>
      <c r="Q621" s="146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</row>
    <row r="622" spans="1:235" ht="11.25" hidden="1">
      <c r="A622" s="32"/>
      <c r="B622" s="8"/>
      <c r="C622" s="8"/>
      <c r="D622" s="1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146"/>
      <c r="Q622" s="146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</row>
    <row r="623" spans="1:235" ht="11.25" hidden="1">
      <c r="A623" s="32"/>
      <c r="B623" s="8"/>
      <c r="C623" s="8"/>
      <c r="D623" s="1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146"/>
      <c r="Q623" s="146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</row>
    <row r="624" spans="1:235" ht="11.25" hidden="1">
      <c r="A624" s="32"/>
      <c r="B624" s="8"/>
      <c r="C624" s="8"/>
      <c r="D624" s="1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146"/>
      <c r="Q624" s="146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</row>
    <row r="625" spans="1:235" ht="11.25" hidden="1">
      <c r="A625" s="32"/>
      <c r="B625" s="8"/>
      <c r="C625" s="8"/>
      <c r="D625" s="1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146"/>
      <c r="Q625" s="146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</row>
    <row r="626" spans="1:235" ht="11.25" hidden="1">
      <c r="A626" s="32"/>
      <c r="B626" s="8"/>
      <c r="C626" s="8"/>
      <c r="D626" s="1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146"/>
      <c r="Q626" s="14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</row>
    <row r="627" spans="1:17" s="172" customFormat="1" ht="12">
      <c r="A627" s="210">
        <v>250380</v>
      </c>
      <c r="B627" s="159"/>
      <c r="C627" s="159"/>
      <c r="D627" s="177">
        <f>D629+D694+D703+D711</f>
        <v>0</v>
      </c>
      <c r="E627" s="177"/>
      <c r="F627" s="177">
        <f>D627</f>
        <v>0</v>
      </c>
      <c r="G627" s="177">
        <f>G629</f>
        <v>229500</v>
      </c>
      <c r="H627" s="177">
        <f>H629</f>
        <v>750500</v>
      </c>
      <c r="I627" s="177">
        <f>I629</f>
        <v>0</v>
      </c>
      <c r="J627" s="177">
        <f>G627+H627</f>
        <v>980000</v>
      </c>
      <c r="K627" s="177"/>
      <c r="L627" s="177"/>
      <c r="M627" s="177"/>
      <c r="N627" s="177"/>
      <c r="O627" s="177"/>
      <c r="P627" s="178"/>
      <c r="Q627" s="171"/>
    </row>
    <row r="628" spans="1:235" ht="56.25">
      <c r="A628" s="32" t="s">
        <v>323</v>
      </c>
      <c r="B628" s="8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146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</row>
    <row r="629" spans="1:17" s="180" customFormat="1" ht="36" customHeight="1">
      <c r="A629" s="167" t="s">
        <v>389</v>
      </c>
      <c r="B629" s="176"/>
      <c r="C629" s="176"/>
      <c r="D629" s="177"/>
      <c r="E629" s="178"/>
      <c r="F629" s="178">
        <f>D629</f>
        <v>0</v>
      </c>
      <c r="G629" s="178">
        <f>G631</f>
        <v>229500</v>
      </c>
      <c r="H629" s="178">
        <f>H631</f>
        <v>750500</v>
      </c>
      <c r="I629" s="178"/>
      <c r="J629" s="178">
        <f>G629+H629</f>
        <v>980000</v>
      </c>
      <c r="K629" s="178"/>
      <c r="L629" s="178"/>
      <c r="M629" s="178"/>
      <c r="N629" s="178"/>
      <c r="O629" s="178"/>
      <c r="P629" s="178"/>
      <c r="Q629" s="208"/>
    </row>
    <row r="630" spans="1:235" ht="11.25">
      <c r="A630" s="31" t="s">
        <v>4</v>
      </c>
      <c r="B630" s="8"/>
      <c r="C630" s="8"/>
      <c r="D630" s="1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146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</row>
    <row r="631" spans="1:235" ht="11.25">
      <c r="A631" s="32" t="s">
        <v>63</v>
      </c>
      <c r="B631" s="8"/>
      <c r="C631" s="8"/>
      <c r="D631" s="19"/>
      <c r="E631" s="7"/>
      <c r="F631" s="7">
        <f>D631</f>
        <v>0</v>
      </c>
      <c r="G631" s="7">
        <v>229500</v>
      </c>
      <c r="H631" s="7">
        <v>750500</v>
      </c>
      <c r="I631" s="7"/>
      <c r="J631" s="7">
        <f>G631+H631</f>
        <v>980000</v>
      </c>
      <c r="K631" s="7"/>
      <c r="L631" s="7"/>
      <c r="M631" s="7"/>
      <c r="N631" s="7"/>
      <c r="O631" s="7"/>
      <c r="P631" s="10"/>
      <c r="Q631" s="146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</row>
    <row r="632" spans="1:235" ht="11.25">
      <c r="A632" s="31" t="s">
        <v>5</v>
      </c>
      <c r="B632" s="8"/>
      <c r="C632" s="8"/>
      <c r="D632" s="1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10"/>
      <c r="Q632" s="146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</row>
    <row r="633" spans="1:235" ht="22.5">
      <c r="A633" s="32" t="s">
        <v>326</v>
      </c>
      <c r="B633" s="8"/>
      <c r="C633" s="8"/>
      <c r="D633" s="19"/>
      <c r="E633" s="7"/>
      <c r="F633" s="7"/>
      <c r="G633" s="10">
        <v>1</v>
      </c>
      <c r="H633" s="10">
        <v>1</v>
      </c>
      <c r="I633" s="10"/>
      <c r="J633" s="10">
        <v>1</v>
      </c>
      <c r="K633" s="10"/>
      <c r="L633" s="10"/>
      <c r="M633" s="10"/>
      <c r="N633" s="10"/>
      <c r="O633" s="10"/>
      <c r="P633" s="7"/>
      <c r="Q633" s="146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</row>
    <row r="634" spans="1:235" ht="11.25">
      <c r="A634" s="31" t="s">
        <v>7</v>
      </c>
      <c r="B634" s="8"/>
      <c r="C634" s="8"/>
      <c r="D634" s="1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46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</row>
    <row r="635" spans="1:235" ht="22.5">
      <c r="A635" s="32" t="s">
        <v>327</v>
      </c>
      <c r="B635" s="8"/>
      <c r="C635" s="8"/>
      <c r="D635" s="19"/>
      <c r="E635" s="7"/>
      <c r="F635" s="7"/>
      <c r="G635" s="7">
        <f>G631/G633</f>
        <v>229500</v>
      </c>
      <c r="H635" s="7">
        <f>H631/H633</f>
        <v>750500</v>
      </c>
      <c r="I635" s="162"/>
      <c r="J635" s="162">
        <f>J631/J633</f>
        <v>980000</v>
      </c>
      <c r="K635" s="162"/>
      <c r="L635" s="162"/>
      <c r="M635" s="162"/>
      <c r="N635" s="162"/>
      <c r="O635" s="162"/>
      <c r="P635" s="146"/>
      <c r="Q635" s="146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</row>
    <row r="636" spans="1:17" s="172" customFormat="1" ht="12">
      <c r="A636" s="210">
        <v>100101</v>
      </c>
      <c r="B636" s="159"/>
      <c r="C636" s="159"/>
      <c r="D636" s="177">
        <f>D639</f>
        <v>0</v>
      </c>
      <c r="E636" s="177">
        <v>0</v>
      </c>
      <c r="F636" s="177">
        <f>D636</f>
        <v>0</v>
      </c>
      <c r="G636" s="177">
        <f>G639</f>
        <v>4461000</v>
      </c>
      <c r="H636" s="177"/>
      <c r="I636" s="177">
        <f>I639</f>
        <v>0</v>
      </c>
      <c r="J636" s="177">
        <f>J639</f>
        <v>4461000</v>
      </c>
      <c r="K636" s="177"/>
      <c r="L636" s="177"/>
      <c r="M636" s="177"/>
      <c r="N636" s="177">
        <f>N639</f>
        <v>0</v>
      </c>
      <c r="O636" s="177"/>
      <c r="P636" s="177">
        <f>P639</f>
        <v>0</v>
      </c>
      <c r="Q636" s="171"/>
    </row>
    <row r="637" spans="1:235" ht="33.75">
      <c r="A637" s="33" t="s">
        <v>257</v>
      </c>
      <c r="B637" s="8"/>
      <c r="C637" s="8"/>
      <c r="D637" s="1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46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</row>
    <row r="638" spans="1:235" ht="22.5">
      <c r="A638" s="32" t="s">
        <v>315</v>
      </c>
      <c r="B638" s="8"/>
      <c r="C638" s="8"/>
      <c r="D638" s="104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46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</row>
    <row r="639" spans="1:17" s="180" customFormat="1" ht="37.5" customHeight="1">
      <c r="A639" s="167" t="s">
        <v>390</v>
      </c>
      <c r="B639" s="176"/>
      <c r="C639" s="176"/>
      <c r="D639" s="206"/>
      <c r="E639" s="207"/>
      <c r="F639" s="206">
        <f>D639</f>
        <v>0</v>
      </c>
      <c r="G639" s="177">
        <f>4461000</f>
        <v>4461000</v>
      </c>
      <c r="H639" s="178"/>
      <c r="I639" s="178"/>
      <c r="J639" s="178">
        <f>G639</f>
        <v>4461000</v>
      </c>
      <c r="K639" s="178"/>
      <c r="L639" s="178"/>
      <c r="M639" s="178"/>
      <c r="N639" s="178"/>
      <c r="O639" s="178"/>
      <c r="P639" s="178"/>
      <c r="Q639" s="208"/>
    </row>
    <row r="640" spans="1:235" ht="11.25">
      <c r="A640" s="31" t="s">
        <v>4</v>
      </c>
      <c r="B640" s="8"/>
      <c r="C640" s="8"/>
      <c r="D640" s="136"/>
      <c r="E640" s="133"/>
      <c r="F640" s="133"/>
      <c r="G640" s="19"/>
      <c r="H640" s="7"/>
      <c r="I640" s="7"/>
      <c r="J640" s="7"/>
      <c r="K640" s="7"/>
      <c r="L640" s="7"/>
      <c r="M640" s="7"/>
      <c r="N640" s="7"/>
      <c r="O640" s="7"/>
      <c r="P640" s="7"/>
      <c r="Q640" s="146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</row>
    <row r="641" spans="1:235" ht="10.5" customHeight="1">
      <c r="A641" s="32" t="s">
        <v>63</v>
      </c>
      <c r="B641" s="8"/>
      <c r="C641" s="8"/>
      <c r="D641" s="136"/>
      <c r="E641" s="133"/>
      <c r="F641" s="133"/>
      <c r="G641" s="19">
        <f>4461000</f>
        <v>4461000</v>
      </c>
      <c r="H641" s="7"/>
      <c r="I641" s="7"/>
      <c r="J641" s="7">
        <f>G641</f>
        <v>4461000</v>
      </c>
      <c r="K641" s="7"/>
      <c r="L641" s="7"/>
      <c r="M641" s="7"/>
      <c r="N641" s="7"/>
      <c r="O641" s="7"/>
      <c r="P641" s="7"/>
      <c r="Q641" s="146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</row>
    <row r="642" spans="1:235" ht="11.25" hidden="1">
      <c r="A642" s="32" t="s">
        <v>63</v>
      </c>
      <c r="B642" s="8"/>
      <c r="C642" s="8"/>
      <c r="D642" s="136"/>
      <c r="E642" s="133"/>
      <c r="F642" s="133"/>
      <c r="G642" s="19"/>
      <c r="H642" s="7"/>
      <c r="I642" s="7"/>
      <c r="J642" s="7"/>
      <c r="K642" s="7"/>
      <c r="L642" s="7"/>
      <c r="M642" s="7"/>
      <c r="N642" s="7"/>
      <c r="O642" s="7"/>
      <c r="P642" s="7"/>
      <c r="Q642" s="146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</row>
    <row r="643" spans="1:235" ht="11.25">
      <c r="A643" s="31" t="s">
        <v>5</v>
      </c>
      <c r="B643" s="8"/>
      <c r="C643" s="8"/>
      <c r="D643" s="136"/>
      <c r="E643" s="133"/>
      <c r="F643" s="133"/>
      <c r="G643" s="19"/>
      <c r="H643" s="7"/>
      <c r="I643" s="7"/>
      <c r="J643" s="7"/>
      <c r="K643" s="7"/>
      <c r="L643" s="7"/>
      <c r="M643" s="7"/>
      <c r="N643" s="7"/>
      <c r="O643" s="7"/>
      <c r="P643" s="7"/>
      <c r="Q643" s="146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</row>
    <row r="644" spans="1:235" ht="0.75" customHeight="1" hidden="1">
      <c r="A644" s="32" t="s">
        <v>294</v>
      </c>
      <c r="B644" s="8"/>
      <c r="C644" s="8"/>
      <c r="D644" s="147"/>
      <c r="E644" s="148"/>
      <c r="F644" s="148">
        <f>D644</f>
        <v>0</v>
      </c>
      <c r="G644" s="148">
        <v>1</v>
      </c>
      <c r="H644" s="148"/>
      <c r="I644" s="148"/>
      <c r="J644" s="148">
        <f>G644</f>
        <v>1</v>
      </c>
      <c r="K644" s="7"/>
      <c r="L644" s="7"/>
      <c r="M644" s="7"/>
      <c r="N644" s="7"/>
      <c r="O644" s="7"/>
      <c r="P644" s="7"/>
      <c r="Q644" s="146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</row>
    <row r="645" spans="1:235" ht="11.25">
      <c r="A645" s="32" t="s">
        <v>309</v>
      </c>
      <c r="B645" s="8"/>
      <c r="C645" s="8"/>
      <c r="D645" s="147"/>
      <c r="E645" s="148"/>
      <c r="F645" s="148"/>
      <c r="G645" s="148">
        <v>1487</v>
      </c>
      <c r="H645" s="148"/>
      <c r="I645" s="148"/>
      <c r="J645" s="148">
        <f>G645</f>
        <v>1487</v>
      </c>
      <c r="K645" s="7"/>
      <c r="L645" s="7"/>
      <c r="M645" s="7"/>
      <c r="N645" s="7"/>
      <c r="O645" s="7"/>
      <c r="P645" s="7"/>
      <c r="Q645" s="146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</row>
    <row r="646" spans="1:235" ht="10.5" customHeight="1">
      <c r="A646" s="31" t="s">
        <v>7</v>
      </c>
      <c r="B646" s="8"/>
      <c r="C646" s="8"/>
      <c r="D646" s="136"/>
      <c r="E646" s="133"/>
      <c r="F646" s="133"/>
      <c r="G646" s="19"/>
      <c r="H646" s="7"/>
      <c r="I646" s="7"/>
      <c r="J646" s="7"/>
      <c r="K646" s="7"/>
      <c r="L646" s="7"/>
      <c r="M646" s="7"/>
      <c r="N646" s="7"/>
      <c r="O646" s="7"/>
      <c r="P646" s="7"/>
      <c r="Q646" s="1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</row>
    <row r="647" spans="1:235" ht="15" customHeight="1" hidden="1">
      <c r="A647" s="32" t="s">
        <v>295</v>
      </c>
      <c r="B647" s="8"/>
      <c r="C647" s="8"/>
      <c r="D647" s="135"/>
      <c r="E647" s="133"/>
      <c r="F647" s="134"/>
      <c r="G647" s="19">
        <v>465000</v>
      </c>
      <c r="H647" s="7"/>
      <c r="I647" s="7"/>
      <c r="J647" s="7">
        <f>G647</f>
        <v>465000</v>
      </c>
      <c r="K647" s="7"/>
      <c r="L647" s="7"/>
      <c r="M647" s="7"/>
      <c r="N647" s="7"/>
      <c r="O647" s="7"/>
      <c r="P647" s="7"/>
      <c r="Q647" s="146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</row>
    <row r="648" spans="1:235" ht="11.25" hidden="1">
      <c r="A648" s="32"/>
      <c r="B648" s="8"/>
      <c r="C648" s="8"/>
      <c r="D648" s="1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146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</row>
    <row r="649" spans="1:235" ht="11.25" hidden="1">
      <c r="A649" s="32"/>
      <c r="B649" s="8"/>
      <c r="C649" s="8"/>
      <c r="D649" s="19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146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</row>
    <row r="650" spans="1:235" ht="11.25" hidden="1">
      <c r="A650" s="32"/>
      <c r="B650" s="8"/>
      <c r="C650" s="8"/>
      <c r="D650" s="1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146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</row>
    <row r="651" spans="1:235" ht="11.25" hidden="1">
      <c r="A651" s="32"/>
      <c r="B651" s="8"/>
      <c r="C651" s="8"/>
      <c r="D651" s="19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146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</row>
    <row r="652" spans="1:235" ht="11.25" hidden="1">
      <c r="A652" s="32"/>
      <c r="B652" s="8"/>
      <c r="C652" s="8"/>
      <c r="D652" s="19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146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</row>
    <row r="653" spans="1:235" ht="22.5">
      <c r="A653" s="32" t="s">
        <v>310</v>
      </c>
      <c r="B653" s="8"/>
      <c r="C653" s="8"/>
      <c r="D653" s="19"/>
      <c r="E653" s="7"/>
      <c r="F653" s="7"/>
      <c r="G653" s="7">
        <v>3000</v>
      </c>
      <c r="H653" s="7"/>
      <c r="I653" s="7"/>
      <c r="J653" s="7">
        <f>G653</f>
        <v>3000</v>
      </c>
      <c r="K653" s="7"/>
      <c r="L653" s="7"/>
      <c r="M653" s="7"/>
      <c r="N653" s="7"/>
      <c r="O653" s="7"/>
      <c r="P653" s="7"/>
      <c r="Q653" s="146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</row>
    <row r="654" spans="1:17" s="172" customFormat="1" ht="12.75">
      <c r="A654" s="170" t="s">
        <v>330</v>
      </c>
      <c r="B654" s="159"/>
      <c r="C654" s="159"/>
      <c r="D654" s="160"/>
      <c r="E654" s="161"/>
      <c r="F654" s="161"/>
      <c r="G654" s="211">
        <f>G655</f>
        <v>350000</v>
      </c>
      <c r="H654" s="211"/>
      <c r="I654" s="211">
        <f>I655</f>
        <v>0</v>
      </c>
      <c r="J654" s="161">
        <f>G654</f>
        <v>350000</v>
      </c>
      <c r="K654" s="161"/>
      <c r="L654" s="161"/>
      <c r="M654" s="161"/>
      <c r="N654" s="161"/>
      <c r="O654" s="161"/>
      <c r="P654" s="161"/>
      <c r="Q654" s="171"/>
    </row>
    <row r="655" spans="1:17" s="180" customFormat="1" ht="22.5">
      <c r="A655" s="167" t="s">
        <v>391</v>
      </c>
      <c r="B655" s="176"/>
      <c r="C655" s="176"/>
      <c r="D655" s="177"/>
      <c r="E655" s="178"/>
      <c r="F655" s="178"/>
      <c r="G655" s="178">
        <f>G657</f>
        <v>350000</v>
      </c>
      <c r="H655" s="178"/>
      <c r="I655" s="178"/>
      <c r="J655" s="178">
        <f>G655</f>
        <v>350000</v>
      </c>
      <c r="K655" s="178"/>
      <c r="L655" s="178"/>
      <c r="M655" s="178"/>
      <c r="N655" s="178"/>
      <c r="O655" s="178"/>
      <c r="P655" s="178"/>
      <c r="Q655" s="208"/>
    </row>
    <row r="656" spans="1:235" ht="11.25">
      <c r="A656" s="31" t="s">
        <v>4</v>
      </c>
      <c r="B656" s="8"/>
      <c r="C656" s="8"/>
      <c r="D656" s="19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14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</row>
    <row r="657" spans="1:235" ht="22.5">
      <c r="A657" s="90" t="s">
        <v>79</v>
      </c>
      <c r="B657" s="8"/>
      <c r="C657" s="8"/>
      <c r="D657" s="19"/>
      <c r="E657" s="7"/>
      <c r="F657" s="7"/>
      <c r="G657" s="7">
        <f>300000+50000</f>
        <v>350000</v>
      </c>
      <c r="H657" s="7"/>
      <c r="I657" s="7"/>
      <c r="J657" s="7">
        <f>G657</f>
        <v>350000</v>
      </c>
      <c r="K657" s="7"/>
      <c r="L657" s="7"/>
      <c r="M657" s="7"/>
      <c r="N657" s="7"/>
      <c r="O657" s="7"/>
      <c r="P657" s="7"/>
      <c r="Q657" s="146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</row>
    <row r="658" spans="1:235" ht="11.25">
      <c r="A658" s="31" t="s">
        <v>5</v>
      </c>
      <c r="B658" s="8"/>
      <c r="C658" s="8"/>
      <c r="D658" s="19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146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</row>
    <row r="659" spans="1:235" ht="27.75" customHeight="1">
      <c r="A659" s="90" t="s">
        <v>78</v>
      </c>
      <c r="B659" s="8"/>
      <c r="C659" s="8"/>
      <c r="D659" s="19"/>
      <c r="E659" s="7"/>
      <c r="F659" s="7"/>
      <c r="G659" s="7">
        <v>12</v>
      </c>
      <c r="H659" s="7"/>
      <c r="I659" s="7"/>
      <c r="J659" s="7">
        <f>G659</f>
        <v>12</v>
      </c>
      <c r="K659" s="7"/>
      <c r="L659" s="7"/>
      <c r="M659" s="7"/>
      <c r="N659" s="7"/>
      <c r="O659" s="7"/>
      <c r="P659" s="7"/>
      <c r="Q659" s="146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</row>
    <row r="660" spans="1:235" ht="11.25">
      <c r="A660" s="31" t="s">
        <v>7</v>
      </c>
      <c r="B660" s="8"/>
      <c r="C660" s="8"/>
      <c r="D660" s="19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146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</row>
    <row r="661" spans="1:235" ht="33.75">
      <c r="A661" s="90" t="s">
        <v>82</v>
      </c>
      <c r="B661" s="8"/>
      <c r="C661" s="8"/>
      <c r="D661" s="19"/>
      <c r="E661" s="7"/>
      <c r="F661" s="7"/>
      <c r="G661" s="7">
        <f>G657/G659</f>
        <v>29166.666666666668</v>
      </c>
      <c r="H661" s="7"/>
      <c r="I661" s="7"/>
      <c r="J661" s="7">
        <f>G661</f>
        <v>29166.666666666668</v>
      </c>
      <c r="K661" s="7"/>
      <c r="L661" s="7"/>
      <c r="M661" s="7"/>
      <c r="N661" s="7"/>
      <c r="O661" s="7"/>
      <c r="P661" s="7"/>
      <c r="Q661" s="146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</row>
    <row r="662" spans="1:17" s="172" customFormat="1" ht="12">
      <c r="A662" s="210">
        <v>150101</v>
      </c>
      <c r="B662" s="159"/>
      <c r="C662" s="159"/>
      <c r="D662" s="177">
        <f>D665</f>
        <v>0</v>
      </c>
      <c r="E662" s="177">
        <v>0</v>
      </c>
      <c r="F662" s="177">
        <f>D662</f>
        <v>0</v>
      </c>
      <c r="G662" s="177">
        <f>G665+G674</f>
        <v>1973000</v>
      </c>
      <c r="H662" s="177"/>
      <c r="I662" s="177">
        <f>I665</f>
        <v>0</v>
      </c>
      <c r="J662" s="177">
        <f>J665+J674</f>
        <v>1973000</v>
      </c>
      <c r="K662" s="177"/>
      <c r="L662" s="177"/>
      <c r="M662" s="177"/>
      <c r="N662" s="177">
        <f>N665</f>
        <v>0</v>
      </c>
      <c r="O662" s="177"/>
      <c r="P662" s="177">
        <f>P665</f>
        <v>0</v>
      </c>
      <c r="Q662" s="171"/>
    </row>
    <row r="663" spans="1:235" ht="33.75">
      <c r="A663" s="33" t="s">
        <v>257</v>
      </c>
      <c r="B663" s="8"/>
      <c r="C663" s="8"/>
      <c r="D663" s="19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146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</row>
    <row r="664" spans="1:235" ht="15" customHeight="1">
      <c r="A664" s="32" t="s">
        <v>392</v>
      </c>
      <c r="B664" s="8"/>
      <c r="C664" s="8"/>
      <c r="D664" s="104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146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</row>
    <row r="665" spans="1:17" s="180" customFormat="1" ht="33.75">
      <c r="A665" s="167" t="s">
        <v>395</v>
      </c>
      <c r="B665" s="176"/>
      <c r="C665" s="176"/>
      <c r="D665" s="206"/>
      <c r="E665" s="207"/>
      <c r="F665" s="206">
        <f>D665</f>
        <v>0</v>
      </c>
      <c r="G665" s="177">
        <f>G667</f>
        <v>500000</v>
      </c>
      <c r="H665" s="178"/>
      <c r="I665" s="178"/>
      <c r="J665" s="178">
        <f>G665</f>
        <v>500000</v>
      </c>
      <c r="K665" s="178"/>
      <c r="L665" s="178"/>
      <c r="M665" s="178"/>
      <c r="N665" s="178"/>
      <c r="O665" s="178"/>
      <c r="P665" s="178"/>
      <c r="Q665" s="208"/>
    </row>
    <row r="666" spans="1:235" ht="11.25">
      <c r="A666" s="31" t="s">
        <v>4</v>
      </c>
      <c r="B666" s="8"/>
      <c r="C666" s="8"/>
      <c r="D666" s="136"/>
      <c r="E666" s="133"/>
      <c r="F666" s="133"/>
      <c r="G666" s="19"/>
      <c r="H666" s="7"/>
      <c r="I666" s="7"/>
      <c r="J666" s="7"/>
      <c r="K666" s="7"/>
      <c r="L666" s="7"/>
      <c r="M666" s="7"/>
      <c r="N666" s="7"/>
      <c r="O666" s="7"/>
      <c r="P666" s="7"/>
      <c r="Q666" s="14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</row>
    <row r="667" spans="1:235" ht="10.5" customHeight="1">
      <c r="A667" s="32" t="s">
        <v>63</v>
      </c>
      <c r="B667" s="8"/>
      <c r="C667" s="8"/>
      <c r="D667" s="136"/>
      <c r="E667" s="133"/>
      <c r="F667" s="133"/>
      <c r="G667" s="19">
        <v>500000</v>
      </c>
      <c r="H667" s="7"/>
      <c r="I667" s="7"/>
      <c r="J667" s="7">
        <f>G667</f>
        <v>500000</v>
      </c>
      <c r="K667" s="7"/>
      <c r="L667" s="7"/>
      <c r="M667" s="7"/>
      <c r="N667" s="7"/>
      <c r="O667" s="7"/>
      <c r="P667" s="7"/>
      <c r="Q667" s="146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</row>
    <row r="668" spans="1:235" ht="11.25" hidden="1">
      <c r="A668" s="32" t="s">
        <v>63</v>
      </c>
      <c r="B668" s="8"/>
      <c r="C668" s="8"/>
      <c r="D668" s="136"/>
      <c r="E668" s="133"/>
      <c r="F668" s="133"/>
      <c r="G668" s="19"/>
      <c r="H668" s="7"/>
      <c r="I668" s="7"/>
      <c r="J668" s="7"/>
      <c r="K668" s="7"/>
      <c r="L668" s="7"/>
      <c r="M668" s="7"/>
      <c r="N668" s="7"/>
      <c r="O668" s="7"/>
      <c r="P668" s="7"/>
      <c r="Q668" s="146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</row>
    <row r="669" spans="1:235" ht="11.25">
      <c r="A669" s="31" t="s">
        <v>5</v>
      </c>
      <c r="B669" s="8"/>
      <c r="C669" s="8"/>
      <c r="D669" s="136"/>
      <c r="E669" s="133"/>
      <c r="F669" s="133"/>
      <c r="G669" s="19"/>
      <c r="H669" s="7"/>
      <c r="I669" s="7"/>
      <c r="J669" s="7"/>
      <c r="K669" s="7"/>
      <c r="L669" s="7"/>
      <c r="M669" s="7"/>
      <c r="N669" s="7"/>
      <c r="O669" s="7"/>
      <c r="P669" s="7"/>
      <c r="Q669" s="146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</row>
    <row r="670" spans="1:235" ht="10.5" customHeight="1">
      <c r="A670" s="32" t="s">
        <v>393</v>
      </c>
      <c r="B670" s="8"/>
      <c r="C670" s="8"/>
      <c r="D670" s="147"/>
      <c r="E670" s="148"/>
      <c r="F670" s="148">
        <f>D670</f>
        <v>0</v>
      </c>
      <c r="G670" s="148">
        <v>3</v>
      </c>
      <c r="H670" s="148"/>
      <c r="I670" s="148"/>
      <c r="J670" s="148">
        <f>G670</f>
        <v>3</v>
      </c>
      <c r="K670" s="148">
        <f>H670</f>
        <v>0</v>
      </c>
      <c r="L670" s="148">
        <f>J670</f>
        <v>3</v>
      </c>
      <c r="M670" s="148">
        <f>K670</f>
        <v>0</v>
      </c>
      <c r="N670" s="148"/>
      <c r="O670" s="148"/>
      <c r="P670" s="148"/>
      <c r="Q670" s="146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</row>
    <row r="671" spans="1:235" ht="11.25" hidden="1">
      <c r="A671" s="32" t="s">
        <v>309</v>
      </c>
      <c r="B671" s="8"/>
      <c r="C671" s="8"/>
      <c r="D671" s="147"/>
      <c r="E671" s="148"/>
      <c r="F671" s="148"/>
      <c r="G671" s="148">
        <v>1487</v>
      </c>
      <c r="H671" s="148"/>
      <c r="I671" s="148"/>
      <c r="J671" s="148">
        <f>G671</f>
        <v>1487</v>
      </c>
      <c r="K671" s="148"/>
      <c r="L671" s="148"/>
      <c r="M671" s="148"/>
      <c r="N671" s="148"/>
      <c r="O671" s="148"/>
      <c r="P671" s="148"/>
      <c r="Q671" s="146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</row>
    <row r="672" spans="1:235" ht="11.25">
      <c r="A672" s="31" t="s">
        <v>7</v>
      </c>
      <c r="B672" s="8"/>
      <c r="C672" s="8"/>
      <c r="D672" s="136"/>
      <c r="E672" s="133"/>
      <c r="F672" s="133"/>
      <c r="G672" s="19"/>
      <c r="H672" s="7"/>
      <c r="I672" s="7"/>
      <c r="J672" s="7"/>
      <c r="K672" s="7"/>
      <c r="L672" s="7"/>
      <c r="M672" s="7"/>
      <c r="N672" s="7"/>
      <c r="O672" s="7"/>
      <c r="P672" s="7"/>
      <c r="Q672" s="146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</row>
    <row r="673" spans="1:235" ht="22.5">
      <c r="A673" s="32" t="s">
        <v>394</v>
      </c>
      <c r="B673" s="8"/>
      <c r="C673" s="8"/>
      <c r="D673" s="135"/>
      <c r="E673" s="133"/>
      <c r="F673" s="134"/>
      <c r="G673" s="19">
        <f>G667/G670</f>
        <v>166666.66666666666</v>
      </c>
      <c r="H673" s="7"/>
      <c r="I673" s="7"/>
      <c r="J673" s="7">
        <f>G673</f>
        <v>166666.66666666666</v>
      </c>
      <c r="K673" s="7"/>
      <c r="L673" s="7"/>
      <c r="M673" s="7"/>
      <c r="N673" s="7"/>
      <c r="O673" s="7"/>
      <c r="P673" s="7"/>
      <c r="Q673" s="146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</row>
    <row r="674" spans="1:17" s="180" customFormat="1" ht="33.75">
      <c r="A674" s="167" t="s">
        <v>398</v>
      </c>
      <c r="B674" s="176"/>
      <c r="C674" s="176"/>
      <c r="D674" s="206"/>
      <c r="E674" s="207"/>
      <c r="F674" s="206">
        <f>D674</f>
        <v>0</v>
      </c>
      <c r="G674" s="177">
        <f>G676</f>
        <v>1473000</v>
      </c>
      <c r="H674" s="178"/>
      <c r="I674" s="178"/>
      <c r="J674" s="178">
        <f>G674</f>
        <v>1473000</v>
      </c>
      <c r="K674" s="178"/>
      <c r="L674" s="178"/>
      <c r="M674" s="178"/>
      <c r="N674" s="178"/>
      <c r="O674" s="178"/>
      <c r="P674" s="178"/>
      <c r="Q674" s="208"/>
    </row>
    <row r="675" spans="1:235" ht="11.25">
      <c r="A675" s="31" t="s">
        <v>4</v>
      </c>
      <c r="B675" s="8"/>
      <c r="C675" s="8"/>
      <c r="D675" s="136"/>
      <c r="E675" s="133"/>
      <c r="F675" s="133"/>
      <c r="G675" s="19"/>
      <c r="H675" s="7"/>
      <c r="I675" s="7"/>
      <c r="J675" s="7"/>
      <c r="K675" s="7"/>
      <c r="L675" s="7"/>
      <c r="M675" s="7"/>
      <c r="N675" s="7"/>
      <c r="O675" s="7"/>
      <c r="P675" s="7"/>
      <c r="Q675" s="146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</row>
    <row r="676" spans="1:235" ht="10.5" customHeight="1">
      <c r="A676" s="32" t="s">
        <v>63</v>
      </c>
      <c r="B676" s="8"/>
      <c r="C676" s="8"/>
      <c r="D676" s="136"/>
      <c r="E676" s="133"/>
      <c r="F676" s="133"/>
      <c r="G676" s="19">
        <v>1473000</v>
      </c>
      <c r="H676" s="7"/>
      <c r="I676" s="7"/>
      <c r="J676" s="7">
        <f>G676</f>
        <v>1473000</v>
      </c>
      <c r="K676" s="7"/>
      <c r="L676" s="7"/>
      <c r="M676" s="7"/>
      <c r="N676" s="7"/>
      <c r="O676" s="7"/>
      <c r="P676" s="7"/>
      <c r="Q676" s="14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</row>
    <row r="677" spans="1:235" ht="11.25" hidden="1">
      <c r="A677" s="32" t="s">
        <v>63</v>
      </c>
      <c r="B677" s="8"/>
      <c r="C677" s="8"/>
      <c r="D677" s="136"/>
      <c r="E677" s="133"/>
      <c r="F677" s="133"/>
      <c r="G677" s="19"/>
      <c r="H677" s="7"/>
      <c r="I677" s="7"/>
      <c r="J677" s="7"/>
      <c r="K677" s="7"/>
      <c r="L677" s="7"/>
      <c r="M677" s="7"/>
      <c r="N677" s="7"/>
      <c r="O677" s="7"/>
      <c r="P677" s="7"/>
      <c r="Q677" s="146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</row>
    <row r="678" spans="1:235" ht="11.25">
      <c r="A678" s="31" t="s">
        <v>5</v>
      </c>
      <c r="B678" s="8"/>
      <c r="C678" s="8"/>
      <c r="D678" s="136"/>
      <c r="E678" s="133"/>
      <c r="F678" s="133"/>
      <c r="G678" s="19"/>
      <c r="H678" s="7"/>
      <c r="I678" s="7"/>
      <c r="J678" s="7"/>
      <c r="K678" s="7"/>
      <c r="L678" s="7"/>
      <c r="M678" s="7"/>
      <c r="N678" s="7"/>
      <c r="O678" s="7"/>
      <c r="P678" s="7"/>
      <c r="Q678" s="146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</row>
    <row r="679" spans="1:235" ht="10.5" customHeight="1">
      <c r="A679" s="32" t="s">
        <v>393</v>
      </c>
      <c r="B679" s="8"/>
      <c r="C679" s="8"/>
      <c r="D679" s="147"/>
      <c r="E679" s="148"/>
      <c r="F679" s="148">
        <f>D679</f>
        <v>0</v>
      </c>
      <c r="G679" s="148">
        <v>1</v>
      </c>
      <c r="H679" s="148"/>
      <c r="I679" s="148"/>
      <c r="J679" s="148">
        <f>G679</f>
        <v>1</v>
      </c>
      <c r="K679" s="148">
        <f>H679</f>
        <v>0</v>
      </c>
      <c r="L679" s="148">
        <f>J679</f>
        <v>1</v>
      </c>
      <c r="M679" s="148">
        <f>K679</f>
        <v>0</v>
      </c>
      <c r="N679" s="148"/>
      <c r="O679" s="148"/>
      <c r="P679" s="148"/>
      <c r="Q679" s="146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</row>
    <row r="680" spans="1:235" ht="11.25" hidden="1">
      <c r="A680" s="32" t="s">
        <v>309</v>
      </c>
      <c r="B680" s="8"/>
      <c r="C680" s="8"/>
      <c r="D680" s="147"/>
      <c r="E680" s="148"/>
      <c r="F680" s="148"/>
      <c r="G680" s="148">
        <v>1487</v>
      </c>
      <c r="H680" s="148"/>
      <c r="I680" s="148"/>
      <c r="J680" s="148">
        <f>G680</f>
        <v>1487</v>
      </c>
      <c r="K680" s="148"/>
      <c r="L680" s="148"/>
      <c r="M680" s="148"/>
      <c r="N680" s="148"/>
      <c r="O680" s="148"/>
      <c r="P680" s="148"/>
      <c r="Q680" s="146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</row>
    <row r="681" spans="1:235" ht="11.25">
      <c r="A681" s="31" t="s">
        <v>7</v>
      </c>
      <c r="B681" s="8"/>
      <c r="C681" s="8"/>
      <c r="D681" s="136"/>
      <c r="E681" s="133"/>
      <c r="F681" s="133"/>
      <c r="G681" s="19"/>
      <c r="H681" s="7"/>
      <c r="I681" s="7"/>
      <c r="J681" s="7"/>
      <c r="K681" s="7"/>
      <c r="L681" s="7"/>
      <c r="M681" s="7"/>
      <c r="N681" s="7"/>
      <c r="O681" s="7"/>
      <c r="P681" s="7"/>
      <c r="Q681" s="146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</row>
    <row r="682" spans="1:235" ht="22.5">
      <c r="A682" s="32" t="s">
        <v>399</v>
      </c>
      <c r="B682" s="8"/>
      <c r="C682" s="8"/>
      <c r="D682" s="135"/>
      <c r="E682" s="133"/>
      <c r="F682" s="134"/>
      <c r="G682" s="19">
        <f>G676/G679</f>
        <v>1473000</v>
      </c>
      <c r="H682" s="7"/>
      <c r="I682" s="7"/>
      <c r="J682" s="7">
        <f>G682</f>
        <v>1473000</v>
      </c>
      <c r="K682" s="7"/>
      <c r="L682" s="7"/>
      <c r="M682" s="7"/>
      <c r="N682" s="7"/>
      <c r="O682" s="7"/>
      <c r="P682" s="7"/>
      <c r="Q682" s="146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</row>
    <row r="683" spans="1:235" ht="11.25">
      <c r="A683" s="141"/>
      <c r="B683" s="84"/>
      <c r="C683" s="84"/>
      <c r="D683" s="234"/>
      <c r="E683" s="235"/>
      <c r="F683" s="236"/>
      <c r="G683" s="145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</row>
    <row r="684" spans="1:235" ht="11.25" hidden="1">
      <c r="A684" s="141"/>
      <c r="B684" s="84"/>
      <c r="C684" s="84"/>
      <c r="D684" s="145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</row>
    <row r="685" spans="1:235" ht="11.25" hidden="1">
      <c r="A685" s="141"/>
      <c r="B685" s="84"/>
      <c r="C685" s="84"/>
      <c r="D685" s="145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</row>
    <row r="686" spans="1:235" ht="11.25" hidden="1">
      <c r="A686" s="141"/>
      <c r="B686" s="84"/>
      <c r="C686" s="84"/>
      <c r="D686" s="145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</row>
    <row r="687" spans="1:235" ht="11.25" hidden="1">
      <c r="A687" s="141"/>
      <c r="B687" s="84"/>
      <c r="C687" s="84"/>
      <c r="D687" s="145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</row>
    <row r="688" spans="1:235" ht="11.25" hidden="1">
      <c r="A688" s="141"/>
      <c r="B688" s="84"/>
      <c r="C688" s="84"/>
      <c r="D688" s="145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</row>
    <row r="689" spans="1:235" ht="11.25" hidden="1">
      <c r="A689" s="141"/>
      <c r="B689" s="84"/>
      <c r="C689" s="84"/>
      <c r="D689" s="145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</row>
    <row r="690" spans="1:235" ht="11.25" hidden="1">
      <c r="A690" s="141"/>
      <c r="B690" s="84"/>
      <c r="C690" s="84"/>
      <c r="D690" s="145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</row>
    <row r="691" spans="1:235" ht="11.25" hidden="1">
      <c r="A691" s="141"/>
      <c r="B691" s="84"/>
      <c r="C691" s="84"/>
      <c r="D691" s="145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</row>
    <row r="692" spans="1:235" ht="11.25" hidden="1">
      <c r="A692" s="141"/>
      <c r="B692" s="84"/>
      <c r="C692" s="84"/>
      <c r="D692" s="145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</row>
    <row r="693" spans="1:235" ht="10.5" customHeight="1" hidden="1">
      <c r="A693" s="141"/>
      <c r="B693" s="84"/>
      <c r="C693" s="84"/>
      <c r="D693" s="142"/>
      <c r="E693" s="143"/>
      <c r="F693" s="144"/>
      <c r="G693" s="145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</row>
    <row r="694" spans="1:235" ht="11.25" hidden="1">
      <c r="A694" s="141"/>
      <c r="B694" s="84"/>
      <c r="C694" s="84"/>
      <c r="D694" s="142"/>
      <c r="E694" s="143"/>
      <c r="F694" s="144"/>
      <c r="G694" s="145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</row>
    <row r="695" spans="1:235" ht="11.25" hidden="1">
      <c r="A695" s="141"/>
      <c r="B695" s="84"/>
      <c r="C695" s="84"/>
      <c r="D695" s="142"/>
      <c r="E695" s="143"/>
      <c r="F695" s="144"/>
      <c r="G695" s="145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</row>
    <row r="696" spans="1:235" ht="11.25" hidden="1">
      <c r="A696" s="141"/>
      <c r="B696" s="84"/>
      <c r="C696" s="84"/>
      <c r="D696" s="142"/>
      <c r="E696" s="143"/>
      <c r="F696" s="144"/>
      <c r="G696" s="145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</row>
    <row r="697" spans="1:235" ht="11.25" hidden="1">
      <c r="A697" s="141"/>
      <c r="B697" s="84"/>
      <c r="C697" s="84"/>
      <c r="D697" s="142"/>
      <c r="E697" s="143"/>
      <c r="F697" s="144"/>
      <c r="G697" s="145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</row>
    <row r="698" spans="1:235" ht="11.25" hidden="1">
      <c r="A698" s="141"/>
      <c r="B698" s="84"/>
      <c r="C698" s="84"/>
      <c r="D698" s="142"/>
      <c r="E698" s="143"/>
      <c r="F698" s="144"/>
      <c r="G698" s="145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</row>
    <row r="699" spans="1:235" ht="11.25" hidden="1">
      <c r="A699" s="141"/>
      <c r="B699" s="84"/>
      <c r="C699" s="84"/>
      <c r="D699" s="142"/>
      <c r="E699" s="143"/>
      <c r="F699" s="144"/>
      <c r="G699" s="145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</row>
    <row r="700" spans="1:235" ht="11.25" hidden="1">
      <c r="A700" s="141"/>
      <c r="B700" s="84"/>
      <c r="C700" s="84"/>
      <c r="D700" s="142"/>
      <c r="E700" s="143"/>
      <c r="F700" s="144"/>
      <c r="G700" s="145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</row>
    <row r="701" spans="1:235" ht="11.25" hidden="1">
      <c r="A701" s="141"/>
      <c r="B701" s="84"/>
      <c r="C701" s="84"/>
      <c r="D701" s="142"/>
      <c r="E701" s="143"/>
      <c r="F701" s="144"/>
      <c r="G701" s="145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</row>
    <row r="702" spans="1:235" ht="12" customHeight="1" hidden="1">
      <c r="A702" s="141"/>
      <c r="B702" s="84"/>
      <c r="C702" s="84"/>
      <c r="D702" s="142"/>
      <c r="E702" s="143"/>
      <c r="F702" s="144"/>
      <c r="G702" s="145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</row>
    <row r="703" spans="1:235" ht="11.25" hidden="1">
      <c r="A703" s="141"/>
      <c r="B703" s="84"/>
      <c r="C703" s="84"/>
      <c r="D703" s="142"/>
      <c r="E703" s="143"/>
      <c r="F703" s="144"/>
      <c r="G703" s="145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</row>
    <row r="704" spans="1:235" ht="29.25" customHeight="1" hidden="1">
      <c r="A704" s="128"/>
      <c r="B704" s="128"/>
      <c r="C704" s="128"/>
      <c r="D704" s="128"/>
      <c r="E704" s="124"/>
      <c r="F704" s="124"/>
      <c r="G704" s="124"/>
      <c r="H704" s="124"/>
      <c r="I704" s="124"/>
      <c r="J704" s="127"/>
      <c r="K704" s="127"/>
      <c r="L704" s="127"/>
      <c r="M704" s="127"/>
      <c r="N704" s="127"/>
      <c r="O704" s="127"/>
      <c r="P704" s="127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</row>
    <row r="705" spans="1:235" ht="20.25" customHeight="1">
      <c r="A705" s="255" t="s">
        <v>242</v>
      </c>
      <c r="B705" s="255"/>
      <c r="C705" s="255"/>
      <c r="D705" s="126"/>
      <c r="E705" s="126"/>
      <c r="F705" s="130"/>
      <c r="G705" s="158"/>
      <c r="H705" s="158"/>
      <c r="I705" s="158"/>
      <c r="J705" s="125"/>
      <c r="K705" s="125"/>
      <c r="L705" s="125"/>
      <c r="M705" s="125"/>
      <c r="N705" s="158"/>
      <c r="O705" s="239" t="s">
        <v>243</v>
      </c>
      <c r="P705" s="239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</row>
    <row r="706" spans="1:235" ht="12.75" customHeight="1">
      <c r="A706" s="182"/>
      <c r="B706" s="182"/>
      <c r="C706" s="182"/>
      <c r="D706" s="126"/>
      <c r="E706" s="126"/>
      <c r="F706" s="130"/>
      <c r="G706" s="158"/>
      <c r="H706" s="158"/>
      <c r="I706" s="158"/>
      <c r="J706" s="125"/>
      <c r="K706" s="125"/>
      <c r="L706" s="125"/>
      <c r="M706" s="125"/>
      <c r="N706" s="158"/>
      <c r="O706" s="183"/>
      <c r="P706" s="183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</row>
    <row r="707" spans="1:235" ht="18.75" customHeight="1">
      <c r="A707" s="254" t="s">
        <v>276</v>
      </c>
      <c r="B707" s="254"/>
      <c r="C707" s="129"/>
      <c r="D707" s="41"/>
      <c r="E707" s="126"/>
      <c r="F707" s="158"/>
      <c r="G707" s="126"/>
      <c r="H707" s="126"/>
      <c r="I707" s="126"/>
      <c r="J707" s="131"/>
      <c r="K707" s="131"/>
      <c r="L707" s="131"/>
      <c r="M707" s="131"/>
      <c r="N707" s="131"/>
      <c r="O707" s="131"/>
      <c r="P707" s="131"/>
      <c r="Q707" s="131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</row>
    <row r="708" spans="1:235" ht="27.75" customHeight="1">
      <c r="A708" s="79" t="s">
        <v>244</v>
      </c>
      <c r="B708" s="79"/>
      <c r="C708" s="44"/>
      <c r="D708" s="44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</row>
    <row r="709" spans="1:235" ht="28.5" customHeight="1">
      <c r="A709" s="42"/>
      <c r="B709" s="43"/>
      <c r="C709" s="35"/>
      <c r="D709" s="35"/>
      <c r="E709" s="35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</row>
    <row r="710" spans="1:235" ht="11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2"/>
      <c r="L710" s="2"/>
      <c r="M710" s="2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</row>
    <row r="711" spans="1:235" ht="11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2"/>
      <c r="L711" s="2"/>
      <c r="M711" s="2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</row>
    <row r="712" spans="1:235" ht="11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2"/>
      <c r="L712" s="2"/>
      <c r="M712" s="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</row>
    <row r="713" spans="1:235" ht="11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2"/>
      <c r="L713" s="2"/>
      <c r="M713" s="2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</row>
    <row r="714" spans="1:235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</row>
    <row r="715" spans="1:235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</row>
    <row r="716" spans="1:235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</row>
    <row r="717" spans="1:235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</row>
    <row r="718" spans="1:235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</row>
    <row r="719" spans="1:235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</row>
    <row r="720" spans="1:235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</row>
    <row r="721" spans="1:235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</row>
    <row r="722" spans="1:235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</row>
    <row r="723" spans="1:235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</row>
    <row r="724" spans="1:235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</row>
    <row r="725" spans="1:235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</row>
    <row r="726" spans="1:235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</row>
    <row r="727" spans="1:235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</row>
    <row r="728" spans="1:235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</row>
    <row r="729" spans="1:235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</row>
    <row r="730" spans="1:235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</row>
    <row r="731" spans="1:235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</row>
    <row r="732" spans="1:235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</row>
    <row r="733" spans="1:235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</row>
    <row r="734" spans="1:235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</row>
    <row r="735" spans="1:235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</row>
    <row r="736" spans="1:235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</row>
    <row r="737" spans="1:235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</row>
    <row r="738" spans="1:235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</row>
    <row r="739" spans="1:235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</row>
    <row r="740" spans="1:235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</row>
    <row r="741" spans="1:235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</row>
    <row r="742" spans="1:235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</row>
    <row r="743" spans="1:235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</row>
    <row r="744" spans="1:235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</row>
    <row r="745" spans="1:235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</row>
    <row r="746" spans="1:235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</row>
    <row r="747" spans="1:235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</row>
    <row r="748" spans="1:235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</row>
    <row r="749" spans="1:235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</row>
    <row r="750" spans="1:235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</row>
    <row r="751" spans="1:235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</row>
    <row r="752" spans="1:235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</row>
    <row r="753" spans="1:235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</row>
    <row r="754" spans="1:235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</row>
    <row r="755" spans="1:235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</row>
    <row r="756" spans="1:235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</row>
    <row r="757" spans="1:235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</row>
    <row r="758" spans="1:235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</row>
    <row r="759" spans="1:235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</row>
    <row r="760" spans="1:235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</row>
    <row r="761" spans="1:235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</row>
    <row r="762" spans="1:235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</row>
    <row r="763" spans="1:235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</row>
    <row r="764" spans="1:235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</row>
    <row r="765" spans="1:235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</row>
    <row r="766" spans="1:235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</row>
    <row r="767" spans="1:235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</row>
    <row r="768" spans="1:235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</row>
    <row r="769" spans="1:235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</row>
    <row r="770" spans="1:235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</row>
    <row r="771" spans="1:235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</row>
    <row r="772" spans="1:235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</row>
    <row r="773" spans="1:235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</row>
    <row r="774" spans="1:235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</row>
    <row r="775" spans="1:235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</row>
    <row r="776" spans="1:235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</row>
    <row r="777" spans="1:235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</row>
    <row r="778" spans="1:235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</row>
    <row r="779" spans="1:235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</row>
    <row r="780" spans="1:235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</row>
    <row r="781" spans="1:235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</row>
    <row r="782" spans="1:235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</row>
    <row r="783" spans="1:235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</row>
    <row r="784" spans="1:235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</row>
    <row r="785" spans="1:235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</row>
    <row r="786" spans="1:235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</row>
    <row r="787" spans="1:235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</row>
    <row r="788" spans="1:235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</row>
    <row r="789" spans="1:235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</row>
    <row r="790" spans="1:235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</row>
    <row r="791" spans="1:235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</row>
    <row r="792" spans="1:235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</row>
    <row r="793" spans="1:235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</row>
    <row r="794" spans="1:235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</row>
    <row r="795" spans="1:235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</row>
    <row r="796" spans="1:235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</row>
    <row r="797" spans="1:235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</row>
    <row r="798" spans="1:235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</row>
    <row r="799" spans="1:235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</row>
    <row r="800" spans="1:235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</row>
    <row r="801" spans="1:235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</row>
    <row r="802" spans="1:235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</row>
    <row r="803" spans="1:235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</row>
    <row r="804" spans="1:235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</row>
    <row r="805" spans="1:235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</row>
  </sheetData>
  <sheetProtection/>
  <mergeCells count="24">
    <mergeCell ref="C12:C14"/>
    <mergeCell ref="D13:E13"/>
    <mergeCell ref="G12:J12"/>
    <mergeCell ref="A707:B707"/>
    <mergeCell ref="A705:C705"/>
    <mergeCell ref="F13:F14"/>
    <mergeCell ref="D12:F12"/>
    <mergeCell ref="G13:I13"/>
    <mergeCell ref="A10:P10"/>
    <mergeCell ref="O705:P705"/>
    <mergeCell ref="N7:P7"/>
    <mergeCell ref="N12:P12"/>
    <mergeCell ref="N13:O13"/>
    <mergeCell ref="P13:P14"/>
    <mergeCell ref="J13:J14"/>
    <mergeCell ref="K13:M13"/>
    <mergeCell ref="A12:A14"/>
    <mergeCell ref="B12:B14"/>
    <mergeCell ref="N5:P5"/>
    <mergeCell ref="N6:P6"/>
    <mergeCell ref="N1:P1"/>
    <mergeCell ref="N2:P2"/>
    <mergeCell ref="N3:P3"/>
    <mergeCell ref="N4:P4"/>
  </mergeCells>
  <printOptions horizontalCentered="1"/>
  <pageMargins left="0.3937007874015748" right="0.3937007874015748" top="1.1811023622047245" bottom="0.3937007874015748" header="0" footer="0"/>
  <pageSetup fitToWidth="0" horizontalDpi="600" verticalDpi="600" orientation="landscape" paperSize="9" scale="71" r:id="rId1"/>
  <rowBreaks count="17" manualBreakCount="17">
    <brk id="37" max="15" man="1"/>
    <brk id="74" max="15" man="1"/>
    <brk id="105" max="16" man="1"/>
    <brk id="136" max="16" man="1"/>
    <brk id="164" max="16" man="1"/>
    <brk id="225" max="16" man="1"/>
    <brk id="257" max="16" man="1"/>
    <brk id="284" max="16" man="1"/>
    <brk id="311" max="16" man="1"/>
    <brk id="340" max="16" man="1"/>
    <brk id="388" max="16" man="1"/>
    <brk id="420" max="16" man="1"/>
    <brk id="450" max="16" man="1"/>
    <brk id="486" max="16" man="1"/>
    <brk id="526" max="16" man="1"/>
    <brk id="558" max="16" man="1"/>
    <brk id="6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2016-07-28T07:46:56Z</cp:lastPrinted>
  <dcterms:created xsi:type="dcterms:W3CDTF">2014-04-22T08:24:49Z</dcterms:created>
  <dcterms:modified xsi:type="dcterms:W3CDTF">2016-07-28T07:47:18Z</dcterms:modified>
  <cp:category/>
  <cp:version/>
  <cp:contentType/>
  <cp:contentStatus/>
</cp:coreProperties>
</file>