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95" windowHeight="11520" activeTab="0"/>
  </bookViews>
  <sheets>
    <sheet name="дод 6 (с) " sheetId="1" r:id="rId1"/>
  </sheets>
  <definedNames>
    <definedName name="_xlnm.Print_Area" localSheetId="0">'дод 6 (с) '!$A$1:$N$230</definedName>
  </definedNames>
  <calcPr fullCalcOnLoad="1"/>
</workbook>
</file>

<file path=xl/sharedStrings.xml><?xml version="1.0" encoding="utf-8"?>
<sst xmlns="http://schemas.openxmlformats.org/spreadsheetml/2006/main" count="493" uniqueCount="271">
  <si>
    <t>Назва  об’єктів  відповідно до проектно-кошторисної документації; тощо</t>
  </si>
  <si>
    <t xml:space="preserve">Загальний обсяг фінансування будівництва </t>
  </si>
  <si>
    <t>Всього видатків на завершення будівництва об’єктів на майбутні роки</t>
  </si>
  <si>
    <t>Разом видатків на поточний рік</t>
  </si>
  <si>
    <t>Капітальні вкладення</t>
  </si>
  <si>
    <t>1. Будівництво</t>
  </si>
  <si>
    <t>Будівництво кладовища в районі 40-ї підстанції</t>
  </si>
  <si>
    <t xml:space="preserve">3. Реконструкція інших об’єктів   </t>
  </si>
  <si>
    <t>Відсоток завершеності будівництва об’єктів на майбутні роки</t>
  </si>
  <si>
    <t>010116</t>
  </si>
  <si>
    <t>Органи місцевого самоврядування</t>
  </si>
  <si>
    <t>Капітальні видатки</t>
  </si>
  <si>
    <t>070101</t>
  </si>
  <si>
    <t>Дошкільні заклади освіти</t>
  </si>
  <si>
    <t>080101</t>
  </si>
  <si>
    <t>Лікарні</t>
  </si>
  <si>
    <t>Благоустрій міст, сіл, селищ</t>
  </si>
  <si>
    <t>Капітальний  ремонт житлового фонду місцевих органів влади</t>
  </si>
  <si>
    <t>Бібліотеки</t>
  </si>
  <si>
    <t xml:space="preserve">Капітальні видадки </t>
  </si>
  <si>
    <t>Інші субвенції</t>
  </si>
  <si>
    <t>160101</t>
  </si>
  <si>
    <t>130115</t>
  </si>
  <si>
    <t>091214</t>
  </si>
  <si>
    <t>Інші установи та заклади </t>
  </si>
  <si>
    <t>Будівля Реального училища (школа № 4), м.Суми - реконструкція</t>
  </si>
  <si>
    <t>Будівництво доріг та ліній освітлення 12 МР</t>
  </si>
  <si>
    <t>100203</t>
  </si>
  <si>
    <t>080203</t>
  </si>
  <si>
    <t>130107</t>
  </si>
  <si>
    <t>Утримання та навчально-тренувальна робота дитячо-юнацьких спортивних шкіл</t>
  </si>
  <si>
    <t>Капітальний  ремонт житлового фонду об"єднань співвласників багатоквартирних будинків</t>
  </si>
  <si>
    <t>Реконструкція дороги від Пришибської площі до вул. Прокоф'єва</t>
  </si>
  <si>
    <t>Перинатальні центри, пологові будинки</t>
  </si>
  <si>
    <t>Реконструкція будівлі під дитячий садок в районі Хіммістечка</t>
  </si>
  <si>
    <t>Центри «Спорт для всіх» та заходи з фізичної культури</t>
  </si>
  <si>
    <t>КП «Сумижилкомсервіс» Сумської міської ради</t>
  </si>
  <si>
    <t>Землеустрій</t>
  </si>
  <si>
    <t>Інші культурно-освітні заклади та заходи</t>
  </si>
  <si>
    <t>Будівництво глибоководної свердловини на Пришибському водозаборі</t>
  </si>
  <si>
    <t>Реконструкція ДНЗ № 22  «Джерельце»</t>
  </si>
  <si>
    <t>КП ЕЗО «Міськсвітло» Сумської міської ради</t>
  </si>
  <si>
    <t>080800</t>
  </si>
  <si>
    <t>Полігон для складування твердих побутових відходів на території В.Бобрицької сільської ради Краснопільського району  (3 черга)</t>
  </si>
  <si>
    <t>Центри первинної медичної (медико- санітарної) допомоги</t>
  </si>
  <si>
    <t>Заходи у сфері захисту населення і територій від надзвичайних ситуацій техногенного та природного характеру </t>
  </si>
  <si>
    <t>КП  «Зеленого будівництва» Сумської міської ради</t>
  </si>
  <si>
    <t>КП «Міськводоканал» Сумської міської ради</t>
  </si>
  <si>
    <t>Реконструкція спортивного залу КУ СЗОШ   № 23</t>
  </si>
  <si>
    <t>Реконструкція грального поля біля будинку 81б по вул. Ковпака</t>
  </si>
  <si>
    <t>Реконструкція будівлі ДНЗ № 2 по                    вул. Інтернаціоналістів, 39</t>
  </si>
  <si>
    <t>Реконструкція будівлі ССШ № 29 по                     вул. Заливній, 25</t>
  </si>
  <si>
    <t>Реконструкція тепломережі в районі будинку №107 по просп. Курський</t>
  </si>
  <si>
    <t>Реконструкція пішохідної доріжки біля                   оз. Чеха з влаштуванням лінії освітлення</t>
  </si>
  <si>
    <t>Реконструкція 2-го поверху нежитлового приміщення по вул. Горького, 21</t>
  </si>
  <si>
    <t>Реконструкція будівлі по вул. Г.Правда, 2 під архівний відділ</t>
  </si>
  <si>
    <t>Реконструкція будівлі молодіжного центру «Романтика»</t>
  </si>
  <si>
    <t>Реконструкція східців приймального відділення КУ «Сумський пологовий будинок № 1»</t>
  </si>
  <si>
    <t>Реконструкція стадіону «Авангард»</t>
  </si>
  <si>
    <t>КП Сумської міської ради «Електроавтотранс»</t>
  </si>
  <si>
    <t>110502</t>
  </si>
  <si>
    <t>Школи естетичного виховання дітей </t>
  </si>
  <si>
    <t>080500</t>
  </si>
  <si>
    <t>Реконструкція приміщень флюорографії поліклінічного відділення №1 КУ  «СМКЛ №1» по вул. 20 років Перемоги, 13</t>
  </si>
  <si>
    <t>Реконструкція рентгенологічного кабінету приймального відділення №1 КУ  «СМКЛ №1» по вул. 20 років Перемоги, 13</t>
  </si>
  <si>
    <t>Реконструкція дороги по вул. Праці</t>
  </si>
  <si>
    <t>070201</t>
  </si>
  <si>
    <t>070304</t>
  </si>
  <si>
    <t>070401</t>
  </si>
  <si>
    <t>070806</t>
  </si>
  <si>
    <t>081003</t>
  </si>
  <si>
    <t>Загальноосвітні школи (в т. ч. школа-дитячий садок, інтернат при школі), спеціалізовані школи, ліцеї, гімназії, колегіуми 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</si>
  <si>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</si>
  <si>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Позашкільні заклади освіти, заходи із позашкільної роботи з дітьми </t>
  </si>
  <si>
    <t>Інші заклади освіти </t>
  </si>
  <si>
    <t>Загальні і спеціалізовані стоматологічні поліклініки </t>
  </si>
  <si>
    <t>Будівництво тролейбусної лінії                           вул. Прокоф'єва - вул. Кірова</t>
  </si>
  <si>
    <t>Код тимчасової класифікації видатків та кредитування місцевого бюджету</t>
  </si>
  <si>
    <t>0111</t>
  </si>
  <si>
    <t>0829</t>
  </si>
  <si>
    <t>0810</t>
  </si>
  <si>
    <t>0490</t>
  </si>
  <si>
    <t>0220</t>
  </si>
  <si>
    <t>0910</t>
  </si>
  <si>
    <t>0921</t>
  </si>
  <si>
    <t>0922</t>
  </si>
  <si>
    <t>0960</t>
  </si>
  <si>
    <t>0990</t>
  </si>
  <si>
    <t>0731</t>
  </si>
  <si>
    <t>0733</t>
  </si>
  <si>
    <t>0722</t>
  </si>
  <si>
    <t>0726</t>
  </si>
  <si>
    <t>0763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</si>
  <si>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 </t>
  </si>
  <si>
    <t>1090</t>
  </si>
  <si>
    <t>0824</t>
  </si>
  <si>
    <t>0610</t>
  </si>
  <si>
    <t>0620</t>
  </si>
  <si>
    <t>0421</t>
  </si>
  <si>
    <t>0180</t>
  </si>
  <si>
    <t>грн.</t>
  </si>
  <si>
    <t xml:space="preserve">Код функціональної класифікації видатків та кредитування </t>
  </si>
  <si>
    <t>Будівництво водопроводу по                               пров. Запотоцького</t>
  </si>
  <si>
    <t>Внесено змін +, -</t>
  </si>
  <si>
    <t>Всього видатків з урахуванням змін</t>
  </si>
  <si>
    <t>Реконструкція будівлі школи в с. Піщане</t>
  </si>
  <si>
    <t>Реконструкція приміщень Ковпаківської районної в м. Суми адміністрації під ЦНАП (2 черга)</t>
  </si>
  <si>
    <t xml:space="preserve">Реконструкція будівлі туберкульозного відділення КУ  «Сумська міська дитяча лікарня Святої Зінаїди» </t>
  </si>
  <si>
    <t>Реконструкція будівлі КУ СЗОШ І-ІІІ ступенів № 22 по вул.Ковпака, 57</t>
  </si>
  <si>
    <t>Будівництво дитячих та спортивних майданчиків</t>
  </si>
  <si>
    <t>Реконструкція каналізаційного напірного колектора від діючої камери № 19 по                                          вул. Д. Коротченко до камери № 31 по                            вул. Криничній</t>
  </si>
  <si>
    <t>Будівництво «Меморіалу пам'яті» на центральному кладовищі</t>
  </si>
  <si>
    <t>КП «Сумикомунінвест»  Сумської міської ради</t>
  </si>
  <si>
    <t>Будівництво водогону по                                вул. Шкільна в с. Піщане</t>
  </si>
  <si>
    <t xml:space="preserve">Інші видатки </t>
  </si>
  <si>
    <t>0133</t>
  </si>
  <si>
    <t>Реконструкція системи опалення ДНЗ № 2 по вул. Інтернаціоналістів, 39</t>
  </si>
  <si>
    <t>Реконструкція системи опалення ДНЗ № 22 «Джерельце»</t>
  </si>
  <si>
    <t>Реконструкція вхідної групи в нежитлове приміщення по вул. Н. Холодногірська, 8</t>
  </si>
  <si>
    <t>091106</t>
  </si>
  <si>
    <t>Інші видатки</t>
  </si>
  <si>
    <t>1040</t>
  </si>
  <si>
    <t>Інженерні мережі 12 МР -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</si>
  <si>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</si>
  <si>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</si>
  <si>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дороги по вул. Р. Корсакова (від вул. Серпневої до меж житлового масиву)</t>
  </si>
  <si>
    <t>Реконструкція водолікувального комплексу по вул. Троїцька, 28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</si>
  <si>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іх сімей»</t>
  </si>
  <si>
    <t>Реконструкція мережі зовнішнього освітлення вулиць м.Суми</t>
  </si>
  <si>
    <t>Реконструкція підземного переходу на перехресті вулиць Героїв Сталінграду та Харківської</t>
  </si>
  <si>
    <t>Реконструкція контактної мережі по вул. Харківська</t>
  </si>
  <si>
    <t>Реконструкція Театральної площі</t>
  </si>
  <si>
    <t>Реконструкція будівлі КУ ''Сумська міська рятувально - водолазна служба'' по вул. Гагаріна, 11</t>
  </si>
  <si>
    <t>КП  «Спеціалізований комбінат» Сумської міської ради</t>
  </si>
  <si>
    <t>Будівництво дитячого садка у 12 МР</t>
  </si>
  <si>
    <t>Реконструкція грального поля по вул. Якіра</t>
  </si>
  <si>
    <t>Реконструкція будівлі по площі Покровська, 2</t>
  </si>
  <si>
    <t>Реконструкція 1-го поверху КУ  «Сумська міська дитяча лікарня Святої Зінаїди»  по вул. Троїцька, 28</t>
  </si>
  <si>
    <t>Реконструкція дороги по вул. Ковпака</t>
  </si>
  <si>
    <t>081002</t>
  </si>
  <si>
    <t>Інші заходи по охороні здоров'я </t>
  </si>
  <si>
    <t>070802</t>
  </si>
  <si>
    <t>070804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</si>
  <si>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</si>
  <si>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</si>
  <si>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091204</t>
  </si>
  <si>
    <t>1020</t>
  </si>
  <si>
    <t>Територіальні центри соціального обслуговування (надання соціальних послуг) </t>
  </si>
  <si>
    <t xml:space="preserve">Видатки на впровадження засобів обліку витрат та регулювання споживання води та теплової енергії </t>
  </si>
  <si>
    <t>КП «Шляхрембуд» Сумської міської ради</t>
  </si>
  <si>
    <t>Будівництво скейт - парку</t>
  </si>
  <si>
    <t>Будівництво велодоріжок</t>
  </si>
  <si>
    <t>Реконструкція будівлі комунальної установи 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поновлюваних джерелах енергії (біомаса))</t>
  </si>
  <si>
    <t>Будівництво зливної каналізації по вул. Комунарів</t>
  </si>
  <si>
    <t>Реконструкція системи опалення з установленням модульної котельні, що працює на поновлюваних джерелах енергії (біомаса) в комунальній установі «Сумська загальноосвітня школа І-ІІІ ступеня № 11 по вул. Шишкіна, 12»</t>
  </si>
  <si>
    <t>КП «Сумитеплоенергоцентраль»  Сумської міської ради</t>
  </si>
  <si>
    <t>Будівництво дитячого майданчика за адресою: м. Суми, вул. Декабристів,80 на території ЗОШ № 25</t>
  </si>
  <si>
    <t>Будівництво дитячого майданчика за адресою: м. Суми, вул. Генерала Чібісова в районі житлового будинку № 16</t>
  </si>
  <si>
    <t>Будівництво дитячого майданчика за адресою: м. Суми, вул. Ковпака в районі житлового будинку №75</t>
  </si>
  <si>
    <t>Реконструкція теплиць КП "Зелене будівництво" Сумської міської ради по вул. Пролетарська,77</t>
  </si>
  <si>
    <t>Реконструкція будівлі по вул. Г.Кондратьєва,159</t>
  </si>
  <si>
    <t>Реконструкція будівлі по вул. Петропавлівська,91</t>
  </si>
  <si>
    <t>Реконструкція системи електропостачання приміщень головного та гінекологічного корпусів, що розміщені за адресою: м. Суми, вул.20 років Перемоги,13 КУ  «Сумська клінічна лікарня №1»</t>
  </si>
  <si>
    <t>Реконструкція КУ "Міський центр військово-патріотичного виховання" по вул. Петропавлівська,96"</t>
  </si>
  <si>
    <t>Будівництво дитячого майданчика за адресою: м. Суми, вул.40 р. Жовтня в районі житлового будинку №69</t>
  </si>
  <si>
    <t>Будівництво дитячого майданчика за адресою: м. Суми, вул.Ковпака,81</t>
  </si>
  <si>
    <t>Будівництво дитячого майданчика за адресою: м. Суми, вул. Поліська</t>
  </si>
  <si>
    <t>Будівництво скверу за адресою :м.Суми, вул. Декабристів, 80 на території ЗОШ № 25</t>
  </si>
  <si>
    <t>Реконструкція водоводу Д500 мм від Тополянського водозабору до пр.Курський</t>
  </si>
  <si>
    <t>Будівництво спортивних майданчиків біля озера Чеха</t>
  </si>
  <si>
    <t>Реконструкція грального поля селища Ганнівка</t>
  </si>
  <si>
    <t>Реконструкція ліній освітлення селища Ганнівка</t>
  </si>
  <si>
    <t>Реконструкція ліній освітлення селища Веретенівка</t>
  </si>
  <si>
    <t xml:space="preserve">Водопровідно-каналізаційне господарство </t>
  </si>
  <si>
    <t>Реконструкція самопливного каналізаційного колектору Д 600 мм по вул. СКД</t>
  </si>
  <si>
    <t>Реконструкція будівлі Ковпаківського районного суду по вул. Першотравнева,12</t>
  </si>
  <si>
    <t>Реконструкція операційних блоків КУ  «Сумська міська клінічна лікарня №1» по вул. 20 років Перемоги,13</t>
  </si>
  <si>
    <t>Будівництво лінії зовнішнього освітлення по просп. Козацький</t>
  </si>
  <si>
    <t>Будівництво дитячого майданчика в районі житлового будинку №9-А по вул. Леніна в с. В. Піщане</t>
  </si>
  <si>
    <t>Будівництво дитячо-спортивного майданчика в районі житлового будинку №51 по вул. Вигонопоселенська в с. Піщане</t>
  </si>
  <si>
    <t>250380</t>
  </si>
  <si>
    <t>Реконструкція будівлі по вул.Металургів,17</t>
  </si>
  <si>
    <t>180409</t>
  </si>
  <si>
    <t>Будівництво інженерних мереж житлового масиву "Університетський"</t>
  </si>
  <si>
    <t>Реконструкція ДНЗ № 31  «Ягідка»</t>
  </si>
  <si>
    <t>Будівництво дитячого майданчика в районі будинку №79 по вул. Поліська</t>
  </si>
  <si>
    <t>КП «Архітектура. Будівництво. Контроль» Сумської міської ради</t>
  </si>
  <si>
    <t>Реставрація будівлі по вул. Троїцька, 8</t>
  </si>
  <si>
    <t>Будівництво дитячого майданчика по пров. Березовий, 30</t>
  </si>
  <si>
    <t>Реконструкція (термомодернізація) ДНЗ          № 5  «Снігуронька»</t>
  </si>
  <si>
    <t>Реконструкція (термомодернізація) ДНЗ (ясла-садок) № 1  «Ромашка»</t>
  </si>
  <si>
    <t>Реконструкція (термомодернізація) ДНЗ          № 8  (ясла-садок) «Космічний»</t>
  </si>
  <si>
    <t>Реконструкція (термомодернізація) ДНЗ          № 21  (ясла-садок) «Волошка»</t>
  </si>
  <si>
    <t>Реконструкція (термомодернізація) ДНЗ          № 33  «Маринка»</t>
  </si>
  <si>
    <t>Реконструкція (термомодернізація) КУ Сумський НВК № 34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</si>
  <si>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</si>
  <si>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</si>
  <si>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Реконструкція грального поля з влаштуванням штучного покриття на території ЗОШ № 11</t>
  </si>
  <si>
    <t xml:space="preserve"> ____________  </t>
  </si>
  <si>
    <t>Виконавець: Липова С.А.</t>
  </si>
  <si>
    <t>Будівництво зливної каналізації по вул. Прокоф'єва</t>
  </si>
  <si>
    <t>Реконструкція сталевого водопроводу 400 мм від вул. Південної до пров. Громадянського</t>
  </si>
  <si>
    <t>Будівництво дитячого майданчика в районі житлового будинку № 21 по вул. Гамалія</t>
  </si>
  <si>
    <t>Будівництво спортивного майданчика між центральним корпусом Сумського національного аграрного університету та житловими будинками №154, 154/1</t>
  </si>
  <si>
    <t>Будівництво дитячого майданчика за адресою: м. Суми, вул. Новомістенська, 35</t>
  </si>
  <si>
    <t>Будівництво дитячого майданчика за адресою: м. Суми, вул. Кутова</t>
  </si>
  <si>
    <t>Будівництво дитячого майданчика за адресою: м. Суми, вул. Родини Линтварьових, 70</t>
  </si>
  <si>
    <t>Будівництво спортивного майданчика за адресою: м. Суми, вул. Зарічна</t>
  </si>
  <si>
    <t>Будівництво контактної фігури  «Я люблю Суми» на вході до парку культури і відпочинку ім. Кожедуба</t>
  </si>
  <si>
    <t>Реконструкція покрівлі адміністративно-побутового корпуса, депо, майстерень КП СМР "Електроавтотракс"</t>
  </si>
  <si>
    <t>Реконструкція підвального приміщення ССШ І-ІІІ ступенів ім. Д. Косаренка</t>
  </si>
  <si>
    <t>Реконструкція дитячо-юнацького клубу "Сучасник" по вул. Охтирська, 21/1</t>
  </si>
  <si>
    <t>170603</t>
  </si>
  <si>
    <t>Інші заходи у сфері електротранспорту</t>
  </si>
  <si>
    <t>0455</t>
  </si>
  <si>
    <t>Будівництво теплиці для розміщення колекції рідкісних видів тропічних рослин та кактучів на території об'єкту природно-заповідного фонду ботанічного саду місцевого значення "Юннатівський"</t>
  </si>
  <si>
    <t>Реконструкція каналізаційного залізобетонного самотічного колектора Д-1000 мм , який проходить по яру між пров. Степана Тимошенка (пров.Урицького) та вул. Панфілова</t>
  </si>
  <si>
    <t>Реконструкція каналізаційного залізобетонного самотічного колектора Д-600-1000 мм , який проходить по вул. Пушкіна, Садова, Засумська та Пролетарська до КНС-2 від вул. Баумана  до вул. Лугової</t>
  </si>
  <si>
    <t>Реконструкція каналізаційного залізобетонного самотічного колектора              Д-600 мм по вул. Сєчєнова від залізничної дороги (вул. Київська) до перехрестя вул. Слобідської та вул. Вигонопоселенської</t>
  </si>
  <si>
    <t xml:space="preserve">Виконавчий комітет Сумської міської ради </t>
  </si>
  <si>
    <t>Управління освіти і науки Сумської міської ради</t>
  </si>
  <si>
    <t xml:space="preserve"> Відділ охорони здоров'я Сумської міської ради</t>
  </si>
  <si>
    <t>Департамент  соціального захисту населення Сумської міської ради</t>
  </si>
  <si>
    <t>Відділ культури та туризму Сумської міської ради</t>
  </si>
  <si>
    <t>Департамент інфраструктури міста Сумської міської ради</t>
  </si>
  <si>
    <t>Департамент забезпечення ресурсних платежів Сумської міської ради</t>
  </si>
  <si>
    <t>Управління «Інспекція державного архітектурно - будівельного контролю»  Сумської міської ради</t>
  </si>
  <si>
    <t>Управління капітального будівництва та дорожнього господарства Сумської міської ради</t>
  </si>
  <si>
    <t xml:space="preserve"> Департамент містобудування та земельних відносин Сумської міської ради</t>
  </si>
  <si>
    <t>Управління архітектури та містобудування Сумської міської ради</t>
  </si>
  <si>
    <t>Управління «Інспекція з благоустрою міста Суми» Сумської міської ради</t>
  </si>
  <si>
    <t xml:space="preserve">Департамент фінансів, економіки та інвестицій Сумської міської ради </t>
  </si>
  <si>
    <t xml:space="preserve">Департамент фінансів, економіки та інвестицій Сумської міської ради (в частині міжбюджетних трансфертів, резервного фонду) </t>
  </si>
  <si>
    <t>Будівництво водопроводу по пров. Запотоцького</t>
  </si>
  <si>
    <t>Будівництво водогону по вул. Шкільна в с. Піщане</t>
  </si>
  <si>
    <t>Будівництво тролейбусної лінії вул. Прокоф'єва - вул. Кірова</t>
  </si>
  <si>
    <t>Реконструкція будівлі ДНЗ № 2 по вул. Інтернаціоналістів, 39</t>
  </si>
  <si>
    <t>Реконструкція будівлі ССШ № 29 по вул. Заливній, 25</t>
  </si>
  <si>
    <t>Реконструкція (термомодернізація) ДНЗ № 5  «Снігуронька»</t>
  </si>
  <si>
    <t>Реконструкція (термомодернізація) ДНЗ № 8  (ясла-садок) «Космічний»</t>
  </si>
  <si>
    <t>Реконструкція (термомодернізація) ДНЗ № 21  (ясла-садок) «Волошка»</t>
  </si>
  <si>
    <t>Реконструкція (термомодернізація) ДНЗ № 33  «Маринка»</t>
  </si>
  <si>
    <t>Реконструкція каналізаційного напірного колектора від діючої камери № 19 по вул. Д. Коротченко до камери № 31 по вул. Криничній</t>
  </si>
  <si>
    <t>Реконструкція пішохідної доріжки біля оз. Чеха з влаштуванням лінії освітлення</t>
  </si>
  <si>
    <t>Всього за рахунок коштів бюджету розвитку міського бюджету:</t>
  </si>
  <si>
    <t>Видатки передбачені на проведення природоохоронних заходів:</t>
  </si>
  <si>
    <t>Перелік об'єктів, видатки на які у 2016 році</t>
  </si>
  <si>
    <t>будуть проводитися за рахунок коштів бюджету розвитку та інших коштів міського бюджету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</si>
  <si>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діяльності, в т.ч.:</t>
  </si>
  <si>
    <t>Збереження, розвиток, реконструкція та реставрація пам'яток історії та культури, в т.ч.: </t>
  </si>
  <si>
    <t>Назва головного розпорядника бюджетних коштів, об’єктів  відповідно до проектно-кошторисної документації та найменування коду тимчасової класифікації видатків та кредитування місцевих бюджетів тощо</t>
  </si>
  <si>
    <t>тис. грн.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</si>
  <si>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</si>
  <si>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Реконструкція каналізаційного залізобетонного самотічного колектора Д-600 мм по вул. Сєчєнова від залізничної дороги (вул. Київська) до перехрестя вул. Слобідської та вул. Вигонопоселенської</t>
  </si>
  <si>
    <t>Реконструкція І черги полігону для складування твердих побутових відходів на території В.Бобрицької сільської ради Краснопільського району</t>
  </si>
  <si>
    <t>Будівництво спортивного майданчику в районі школи № 11</t>
  </si>
  <si>
    <t>Будівництво дитячого майданчика біля будинку №12 по вул.Д.Коротченко</t>
  </si>
  <si>
    <t>Будівництво дитячого майданчика біля будинку №18 по вул.Д.Коротченко</t>
  </si>
  <si>
    <t>Будівництво дитячого майданчика в районі житлового будинку №37 по вул.Романа Атаманюка</t>
  </si>
  <si>
    <t>Будівництво дитячого майданчика в районі житлового будинку №53 по вул.Ковпака</t>
  </si>
  <si>
    <t>Будівництво дитячого майданчика в районі житлового будинку №23 по вул.Ковпака</t>
  </si>
  <si>
    <t>Будівництво дитячого майданчика в районі житлового будинку №125 по просп. Курський</t>
  </si>
  <si>
    <t>Сумський міський голова</t>
  </si>
  <si>
    <t>О.М. Лисенко</t>
  </si>
  <si>
    <t>__________</t>
  </si>
  <si>
    <t>Додаток  2</t>
  </si>
  <si>
    <t>до рішення Сумської міської ради «Про внесення змін до</t>
  </si>
  <si>
    <t>рішення Сумської міської  ради  від  24 грудня 2015 року</t>
  </si>
  <si>
    <t xml:space="preserve">№ 144-МР «Про  Програму   економічного і  соціального  </t>
  </si>
  <si>
    <t>від   27 липня  2016  року    № 1033-МР</t>
  </si>
  <si>
    <t>розвитку   м.  Суми   на   2016  рік» (зі змінами)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</si>
</sst>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-* #,##0\ _г_р_н_._-;\-* #,##0\ _г_р_н_._-;_-* &quot;-&quot;??\ _г_р_н_._-;_-@_-"/>
    <numFmt numFmtId="194" formatCode="#,##0.0"/>
    <numFmt numFmtId="195" formatCode="[$-422]d\ mmmm\ yyyy&quot; р.&quot;"/>
    <numFmt numFmtId="196" formatCode="#,##0.000"/>
    <numFmt numFmtId="197" formatCode="_-* #,##0.0\ _г_р_н_._-;\-* #,##0.0\ _г_р_н_._-;_-* &quot;-&quot;??\ _г_р_н_._-;_-@_-"/>
    <numFmt numFmtId="198" formatCode="#,##0.00_ ;\-#,##0.00\ "/>
    <numFmt numFmtId="199" formatCode="#,##0.0_ ;\-#,##0.0\ "/>
    <numFmt numFmtId="200" formatCode="#,##0_ ;\-#,##0\ "/>
    <numFmt numFmtId="201" formatCode="#,##0.0000"/>
  </numFmts>
  <fonts count="3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9" fillId="0" borderId="0" xfId="0" applyFont="1" applyFill="1" applyBorder="1" applyAlignment="1">
      <alignment vertical="center" textRotation="180"/>
    </xf>
    <xf numFmtId="0" fontId="9" fillId="0" borderId="0" xfId="0" applyFont="1" applyFill="1" applyBorder="1" applyAlignment="1">
      <alignment horizontal="center" vertical="center" textRotation="180"/>
    </xf>
    <xf numFmtId="0" fontId="5" fillId="0" borderId="0" xfId="0" applyFont="1" applyFill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vertical="center"/>
    </xf>
    <xf numFmtId="4" fontId="29" fillId="0" borderId="10" xfId="0" applyNumberFormat="1" applyFont="1" applyFill="1" applyBorder="1" applyAlignment="1">
      <alignment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textRotation="180"/>
    </xf>
    <xf numFmtId="0" fontId="29" fillId="0" borderId="11" xfId="0" applyFont="1" applyFill="1" applyBorder="1" applyAlignment="1">
      <alignment horizontal="left" wrapText="1"/>
    </xf>
    <xf numFmtId="4" fontId="28" fillId="0" borderId="10" xfId="0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right" vertical="center"/>
    </xf>
    <xf numFmtId="4" fontId="28" fillId="0" borderId="10" xfId="0" applyNumberFormat="1" applyFont="1" applyFill="1" applyBorder="1" applyAlignment="1">
      <alignment horizontal="right" vertical="center" wrapText="1"/>
    </xf>
    <xf numFmtId="4" fontId="31" fillId="0" borderId="1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 textRotation="180"/>
    </xf>
    <xf numFmtId="0" fontId="2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distributed" wrapText="1"/>
    </xf>
    <xf numFmtId="0" fontId="4" fillId="0" borderId="0" xfId="0" applyFont="1" applyFill="1" applyBorder="1" applyAlignment="1">
      <alignment/>
    </xf>
    <xf numFmtId="19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distributed" wrapText="1"/>
    </xf>
    <xf numFmtId="0" fontId="4" fillId="0" borderId="0" xfId="0" applyFont="1" applyFill="1" applyAlignment="1">
      <alignment/>
    </xf>
    <xf numFmtId="3" fontId="2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 textRotation="180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 textRotation="180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3" fontId="9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10" xfId="0" applyFont="1" applyFill="1" applyBorder="1" applyAlignment="1">
      <alignment horizontal="left" vertical="center"/>
    </xf>
    <xf numFmtId="3" fontId="29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vertical="center"/>
    </xf>
    <xf numFmtId="3" fontId="31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3" fontId="28" fillId="0" borderId="10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left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194" fontId="29" fillId="0" borderId="10" xfId="0" applyNumberFormat="1" applyFont="1" applyFill="1" applyBorder="1" applyAlignment="1">
      <alignment horizontal="center" vertical="center" wrapText="1"/>
    </xf>
    <xf numFmtId="194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3" fontId="28" fillId="0" borderId="10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justify" vertical="center" wrapText="1"/>
    </xf>
    <xf numFmtId="0" fontId="28" fillId="0" borderId="10" xfId="0" applyFont="1" applyFill="1" applyBorder="1" applyAlignment="1">
      <alignment wrapText="1"/>
    </xf>
    <xf numFmtId="194" fontId="29" fillId="0" borderId="10" xfId="0" applyNumberFormat="1" applyFont="1" applyFill="1" applyBorder="1" applyAlignment="1">
      <alignment horizontal="center" vertical="center"/>
    </xf>
    <xf numFmtId="194" fontId="28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justify" vertical="center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/>
    </xf>
    <xf numFmtId="194" fontId="29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3" fontId="28" fillId="0" borderId="10" xfId="0" applyNumberFormat="1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 horizontal="justify" vertical="center" wrapText="1"/>
    </xf>
    <xf numFmtId="194" fontId="28" fillId="0" borderId="10" xfId="0" applyNumberFormat="1" applyFont="1" applyFill="1" applyBorder="1" applyAlignment="1">
      <alignment vertical="center"/>
    </xf>
    <xf numFmtId="194" fontId="28" fillId="0" borderId="10" xfId="0" applyNumberFormat="1" applyFont="1" applyFill="1" applyBorder="1" applyAlignment="1">
      <alignment horizontal="right" vertical="center"/>
    </xf>
    <xf numFmtId="194" fontId="29" fillId="0" borderId="10" xfId="0" applyNumberFormat="1" applyFont="1" applyFill="1" applyBorder="1" applyAlignment="1">
      <alignment horizontal="right" vertical="center"/>
    </xf>
    <xf numFmtId="194" fontId="28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distributed" wrapText="1"/>
    </xf>
    <xf numFmtId="0" fontId="4" fillId="0" borderId="0" xfId="0" applyFont="1" applyFill="1" applyBorder="1" applyAlignment="1">
      <alignment horizontal="center" vertical="distributed" wrapText="1"/>
    </xf>
    <xf numFmtId="3" fontId="28" fillId="0" borderId="1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distributed" wrapText="1"/>
    </xf>
    <xf numFmtId="14" fontId="1" fillId="0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 horizontal="left"/>
    </xf>
    <xf numFmtId="14" fontId="9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FA329"/>
  <sheetViews>
    <sheetView showZeros="0" tabSelected="1" view="pageBreakPreview" zoomScale="60" zoomScaleNormal="75" zoomScalePageLayoutView="0" workbookViewId="0" topLeftCell="C16">
      <selection activeCell="F3" sqref="F3:M3"/>
    </sheetView>
  </sheetViews>
  <sheetFormatPr defaultColWidth="9.125" defaultRowHeight="12.75"/>
  <cols>
    <col min="1" max="1" width="15.75390625" style="49" hidden="1" customWidth="1"/>
    <col min="2" max="2" width="19.375" style="49" hidden="1" customWidth="1"/>
    <col min="3" max="3" width="144.125" style="49" customWidth="1"/>
    <col min="4" max="4" width="51.25390625" style="49" hidden="1" customWidth="1"/>
    <col min="5" max="5" width="20.375" style="49" hidden="1" customWidth="1"/>
    <col min="6" max="6" width="34.125" style="49" customWidth="1"/>
    <col min="7" max="7" width="27.875" style="49" customWidth="1"/>
    <col min="8" max="8" width="20.25390625" style="49" hidden="1" customWidth="1"/>
    <col min="9" max="9" width="26.25390625" style="49" customWidth="1"/>
    <col min="10" max="10" width="16.125" style="111" hidden="1" customWidth="1"/>
    <col min="11" max="11" width="19.625" style="3" hidden="1" customWidth="1"/>
    <col min="12" max="12" width="23.625" style="51" hidden="1" customWidth="1"/>
    <col min="13" max="13" width="23.75390625" style="51" customWidth="1"/>
    <col min="14" max="14" width="10.25390625" style="51" customWidth="1"/>
    <col min="15" max="156" width="9.125" style="51" customWidth="1"/>
    <col min="157" max="16384" width="9.125" style="49" customWidth="1"/>
  </cols>
  <sheetData>
    <row r="1" spans="5:13" ht="27.75">
      <c r="E1" s="50"/>
      <c r="F1" s="129" t="s">
        <v>265</v>
      </c>
      <c r="G1" s="129"/>
      <c r="H1" s="129"/>
      <c r="I1" s="129"/>
      <c r="J1" s="129"/>
      <c r="K1" s="129"/>
      <c r="L1" s="129"/>
      <c r="M1" s="129"/>
    </row>
    <row r="2" spans="5:13" ht="27.75">
      <c r="E2" s="50"/>
      <c r="F2" s="130" t="s">
        <v>266</v>
      </c>
      <c r="G2" s="130"/>
      <c r="H2" s="130"/>
      <c r="I2" s="130"/>
      <c r="J2" s="130"/>
      <c r="K2" s="130"/>
      <c r="L2" s="130"/>
      <c r="M2" s="130"/>
    </row>
    <row r="3" spans="5:13" ht="27.75">
      <c r="E3" s="50"/>
      <c r="F3" s="130" t="s">
        <v>267</v>
      </c>
      <c r="G3" s="130"/>
      <c r="H3" s="130"/>
      <c r="I3" s="130"/>
      <c r="J3" s="130"/>
      <c r="K3" s="130"/>
      <c r="L3" s="130"/>
      <c r="M3" s="130"/>
    </row>
    <row r="4" spans="5:13" ht="27.75">
      <c r="E4" s="50"/>
      <c r="F4" s="130" t="s">
        <v>268</v>
      </c>
      <c r="G4" s="130"/>
      <c r="H4" s="130"/>
      <c r="I4" s="130"/>
      <c r="J4" s="130"/>
      <c r="K4" s="130"/>
      <c r="L4" s="130"/>
      <c r="M4" s="130"/>
    </row>
    <row r="5" spans="6:13" ht="27.75">
      <c r="F5" s="130" t="s">
        <v>270</v>
      </c>
      <c r="G5" s="130"/>
      <c r="H5" s="130"/>
      <c r="I5" s="130"/>
      <c r="J5" s="130"/>
      <c r="K5" s="130"/>
      <c r="L5" s="130"/>
      <c r="M5" s="130"/>
    </row>
    <row r="6" spans="6:13" ht="27.75">
      <c r="F6" s="130" t="s">
        <v>269</v>
      </c>
      <c r="G6" s="130"/>
      <c r="H6" s="130"/>
      <c r="I6" s="130"/>
      <c r="J6" s="130"/>
      <c r="K6" s="130"/>
      <c r="L6" s="130"/>
      <c r="M6" s="130"/>
    </row>
    <row r="7" spans="7:12" ht="33">
      <c r="G7" s="1"/>
      <c r="H7" s="1"/>
      <c r="I7" s="1"/>
      <c r="J7" s="1"/>
      <c r="K7" s="1"/>
      <c r="L7" s="1"/>
    </row>
    <row r="8" spans="1:156" s="53" customFormat="1" ht="27">
      <c r="A8" s="123" t="s">
        <v>246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</row>
    <row r="9" spans="1:156" s="53" customFormat="1" ht="27">
      <c r="A9" s="124" t="s">
        <v>247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</row>
    <row r="10" spans="3:156" s="53" customFormat="1" ht="27">
      <c r="C10" s="30"/>
      <c r="D10" s="30"/>
      <c r="E10" s="30"/>
      <c r="F10" s="30"/>
      <c r="G10" s="30"/>
      <c r="H10" s="30"/>
      <c r="I10" s="30"/>
      <c r="J10" s="54"/>
      <c r="K10" s="2"/>
      <c r="L10" s="55" t="s">
        <v>100</v>
      </c>
      <c r="M10" s="52" t="s">
        <v>251</v>
      </c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</row>
    <row r="11" spans="1:156" s="56" customFormat="1" ht="38.25" customHeight="1">
      <c r="A11" s="121" t="s">
        <v>77</v>
      </c>
      <c r="B11" s="121" t="s">
        <v>101</v>
      </c>
      <c r="C11" s="121" t="s">
        <v>250</v>
      </c>
      <c r="D11" s="121" t="s">
        <v>0</v>
      </c>
      <c r="E11" s="121" t="s">
        <v>1</v>
      </c>
      <c r="F11" s="121" t="s">
        <v>1</v>
      </c>
      <c r="G11" s="121" t="s">
        <v>8</v>
      </c>
      <c r="H11" s="121" t="s">
        <v>2</v>
      </c>
      <c r="I11" s="121" t="s">
        <v>2</v>
      </c>
      <c r="J11" s="122" t="s">
        <v>3</v>
      </c>
      <c r="K11" s="121" t="s">
        <v>103</v>
      </c>
      <c r="L11" s="121" t="s">
        <v>104</v>
      </c>
      <c r="M11" s="122" t="s">
        <v>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</row>
    <row r="12" spans="1:156" s="58" customFormat="1" ht="121.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2"/>
      <c r="K12" s="121"/>
      <c r="L12" s="121"/>
      <c r="M12" s="122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</row>
    <row r="13" spans="1:156" s="58" customFormat="1" ht="20.25">
      <c r="A13" s="59">
        <v>1</v>
      </c>
      <c r="B13" s="59">
        <v>2</v>
      </c>
      <c r="C13" s="59">
        <v>1</v>
      </c>
      <c r="D13" s="59">
        <v>4</v>
      </c>
      <c r="E13" s="59">
        <v>5</v>
      </c>
      <c r="F13" s="59">
        <v>2</v>
      </c>
      <c r="G13" s="59">
        <v>3</v>
      </c>
      <c r="H13" s="59">
        <v>7</v>
      </c>
      <c r="I13" s="59">
        <v>4</v>
      </c>
      <c r="J13" s="5">
        <v>8</v>
      </c>
      <c r="K13" s="5">
        <v>9</v>
      </c>
      <c r="L13" s="5">
        <v>10</v>
      </c>
      <c r="M13" s="60">
        <v>5</v>
      </c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</row>
    <row r="14" spans="1:156" s="66" customFormat="1" ht="20.25">
      <c r="A14" s="61"/>
      <c r="B14" s="61"/>
      <c r="C14" s="62" t="s">
        <v>219</v>
      </c>
      <c r="D14" s="63"/>
      <c r="E14" s="64"/>
      <c r="F14" s="64">
        <f>ROUND(E14/1000,1)</f>
        <v>0</v>
      </c>
      <c r="G14" s="64"/>
      <c r="H14" s="64"/>
      <c r="I14" s="64">
        <f>ROUND(H14/1000,1)</f>
        <v>0</v>
      </c>
      <c r="J14" s="6">
        <f>SUM(J15:J22)+J24+J25</f>
        <v>58360564</v>
      </c>
      <c r="K14" s="6">
        <f>SUM(K15:K22)+K24+K25</f>
        <v>1952900</v>
      </c>
      <c r="L14" s="6">
        <f>SUM(L15:L22)+L24+L25</f>
        <v>60313464</v>
      </c>
      <c r="M14" s="114">
        <f>SUM(M15:M22)+M24+M25+M26</f>
        <v>59529.4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</row>
    <row r="15" spans="1:156" s="66" customFormat="1" ht="20.25">
      <c r="A15" s="8" t="s">
        <v>9</v>
      </c>
      <c r="B15" s="8" t="s">
        <v>78</v>
      </c>
      <c r="C15" s="63" t="s">
        <v>10</v>
      </c>
      <c r="D15" s="67" t="s">
        <v>11</v>
      </c>
      <c r="E15" s="64"/>
      <c r="F15" s="64">
        <f aca="true" t="shared" si="0" ref="F15:F80">ROUND(E15/1000,1)</f>
        <v>0</v>
      </c>
      <c r="G15" s="64"/>
      <c r="H15" s="64"/>
      <c r="I15" s="64">
        <f aca="true" t="shared" si="1" ref="I15:I80">ROUND(H15/1000,1)</f>
        <v>0</v>
      </c>
      <c r="J15" s="7">
        <f>4043480+1612806</f>
        <v>5656286</v>
      </c>
      <c r="K15" s="7"/>
      <c r="L15" s="7">
        <f aca="true" t="shared" si="2" ref="L15:L21">K15+J15</f>
        <v>5656286</v>
      </c>
      <c r="M15" s="115">
        <f aca="true" t="shared" si="3" ref="M15:M79">ROUND(L15/1000,1)</f>
        <v>5656.3</v>
      </c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</row>
    <row r="16" spans="1:156" s="66" customFormat="1" ht="20.25">
      <c r="A16" s="8" t="s">
        <v>119</v>
      </c>
      <c r="B16" s="8" t="s">
        <v>121</v>
      </c>
      <c r="C16" s="63" t="s">
        <v>120</v>
      </c>
      <c r="D16" s="67" t="s">
        <v>11</v>
      </c>
      <c r="E16" s="64"/>
      <c r="F16" s="64">
        <f t="shared" si="0"/>
        <v>0</v>
      </c>
      <c r="G16" s="64"/>
      <c r="H16" s="64"/>
      <c r="I16" s="64">
        <f t="shared" si="1"/>
        <v>0</v>
      </c>
      <c r="J16" s="7">
        <v>9645</v>
      </c>
      <c r="K16" s="7"/>
      <c r="L16" s="7">
        <f t="shared" si="2"/>
        <v>9645</v>
      </c>
      <c r="M16" s="115">
        <f t="shared" si="3"/>
        <v>9.6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</row>
    <row r="17" spans="1:156" s="66" customFormat="1" ht="20.25">
      <c r="A17" s="8" t="s">
        <v>60</v>
      </c>
      <c r="B17" s="8" t="s">
        <v>79</v>
      </c>
      <c r="C17" s="63" t="s">
        <v>38</v>
      </c>
      <c r="D17" s="67" t="s">
        <v>11</v>
      </c>
      <c r="E17" s="64"/>
      <c r="F17" s="64">
        <f t="shared" si="0"/>
        <v>0</v>
      </c>
      <c r="G17" s="64"/>
      <c r="H17" s="64"/>
      <c r="I17" s="64">
        <f t="shared" si="1"/>
        <v>0</v>
      </c>
      <c r="J17" s="7">
        <f>74759+42000</f>
        <v>116759</v>
      </c>
      <c r="K17" s="7"/>
      <c r="L17" s="7">
        <f t="shared" si="2"/>
        <v>116759</v>
      </c>
      <c r="M17" s="115">
        <f t="shared" si="3"/>
        <v>116.8</v>
      </c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</row>
    <row r="18" spans="1:156" s="66" customFormat="1" ht="20.25">
      <c r="A18" s="8" t="s">
        <v>29</v>
      </c>
      <c r="B18" s="8" t="s">
        <v>80</v>
      </c>
      <c r="C18" s="63" t="s">
        <v>30</v>
      </c>
      <c r="D18" s="67" t="s">
        <v>11</v>
      </c>
      <c r="E18" s="64"/>
      <c r="F18" s="64">
        <f t="shared" si="0"/>
        <v>0</v>
      </c>
      <c r="G18" s="64"/>
      <c r="H18" s="64"/>
      <c r="I18" s="64">
        <f t="shared" si="1"/>
        <v>0</v>
      </c>
      <c r="J18" s="7">
        <f>210000-13000</f>
        <v>197000</v>
      </c>
      <c r="K18" s="7"/>
      <c r="L18" s="7">
        <f t="shared" si="2"/>
        <v>197000</v>
      </c>
      <c r="M18" s="115">
        <f t="shared" si="3"/>
        <v>197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</row>
    <row r="19" spans="1:156" s="66" customFormat="1" ht="20.25">
      <c r="A19" s="8" t="s">
        <v>22</v>
      </c>
      <c r="B19" s="8" t="s">
        <v>80</v>
      </c>
      <c r="C19" s="63" t="s">
        <v>35</v>
      </c>
      <c r="D19" s="67" t="s">
        <v>11</v>
      </c>
      <c r="E19" s="68"/>
      <c r="F19" s="64">
        <f t="shared" si="0"/>
        <v>0</v>
      </c>
      <c r="G19" s="68"/>
      <c r="H19" s="68"/>
      <c r="I19" s="64">
        <f t="shared" si="1"/>
        <v>0</v>
      </c>
      <c r="J19" s="7">
        <v>500000</v>
      </c>
      <c r="K19" s="7"/>
      <c r="L19" s="7">
        <f t="shared" si="2"/>
        <v>500000</v>
      </c>
      <c r="M19" s="115">
        <f t="shared" si="3"/>
        <v>500</v>
      </c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</row>
    <row r="20" spans="1:156" s="66" customFormat="1" ht="40.5">
      <c r="A20" s="8" t="s">
        <v>195</v>
      </c>
      <c r="B20" s="8" t="s">
        <v>80</v>
      </c>
      <c r="C20" s="63" t="s">
        <v>196</v>
      </c>
      <c r="D20" s="67" t="s">
        <v>11</v>
      </c>
      <c r="E20" s="68"/>
      <c r="F20" s="64">
        <f t="shared" si="0"/>
        <v>0</v>
      </c>
      <c r="G20" s="68"/>
      <c r="H20" s="68"/>
      <c r="I20" s="64">
        <f t="shared" si="1"/>
        <v>0</v>
      </c>
      <c r="J20" s="7">
        <f>12000+11000</f>
        <v>23000</v>
      </c>
      <c r="K20" s="7"/>
      <c r="L20" s="7">
        <f t="shared" si="2"/>
        <v>23000</v>
      </c>
      <c r="M20" s="115">
        <f t="shared" si="3"/>
        <v>23</v>
      </c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</row>
    <row r="21" spans="1:156" s="66" customFormat="1" ht="20.25">
      <c r="A21" s="8" t="s">
        <v>212</v>
      </c>
      <c r="B21" s="8" t="s">
        <v>214</v>
      </c>
      <c r="C21" s="63" t="s">
        <v>213</v>
      </c>
      <c r="D21" s="67" t="s">
        <v>11</v>
      </c>
      <c r="E21" s="68"/>
      <c r="F21" s="64">
        <f t="shared" si="0"/>
        <v>0</v>
      </c>
      <c r="G21" s="68"/>
      <c r="H21" s="68"/>
      <c r="I21" s="64">
        <f t="shared" si="1"/>
        <v>0</v>
      </c>
      <c r="J21" s="7"/>
      <c r="K21" s="7">
        <v>650000</v>
      </c>
      <c r="L21" s="7">
        <f t="shared" si="2"/>
        <v>650000</v>
      </c>
      <c r="M21" s="115">
        <f t="shared" si="3"/>
        <v>650</v>
      </c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</row>
    <row r="22" spans="1:156" s="76" customFormat="1" ht="40.5">
      <c r="A22" s="69">
        <v>180409</v>
      </c>
      <c r="B22" s="70" t="s">
        <v>81</v>
      </c>
      <c r="C22" s="71" t="s">
        <v>248</v>
      </c>
      <c r="D22" s="72" t="s">
        <v>11</v>
      </c>
      <c r="E22" s="73"/>
      <c r="F22" s="74">
        <f t="shared" si="0"/>
        <v>0</v>
      </c>
      <c r="G22" s="73"/>
      <c r="H22" s="73"/>
      <c r="I22" s="74">
        <f t="shared" si="1"/>
        <v>0</v>
      </c>
      <c r="J22" s="14">
        <f>J23</f>
        <v>51400000</v>
      </c>
      <c r="K22" s="14">
        <f>K23</f>
        <v>1302900</v>
      </c>
      <c r="L22" s="14">
        <f>L23</f>
        <v>52702900</v>
      </c>
      <c r="M22" s="115">
        <f>ROUND(L22/1000,1)-1302.9</f>
        <v>51400</v>
      </c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</row>
    <row r="23" spans="1:156" s="76" customFormat="1" ht="40.5">
      <c r="A23" s="69"/>
      <c r="B23" s="69"/>
      <c r="C23" s="71" t="s">
        <v>59</v>
      </c>
      <c r="D23" s="71" t="s">
        <v>59</v>
      </c>
      <c r="E23" s="73"/>
      <c r="F23" s="74">
        <f t="shared" si="0"/>
        <v>0</v>
      </c>
      <c r="G23" s="73"/>
      <c r="H23" s="73"/>
      <c r="I23" s="74">
        <f t="shared" si="1"/>
        <v>0</v>
      </c>
      <c r="J23" s="14">
        <f>50000000-4000000+5400000</f>
        <v>51400000</v>
      </c>
      <c r="K23" s="14">
        <f>1287500+15400</f>
        <v>1302900</v>
      </c>
      <c r="L23" s="14">
        <f>K23+J23</f>
        <v>52702900</v>
      </c>
      <c r="M23" s="115">
        <f>ROUND(L23/1000,1)-1302.9</f>
        <v>51400</v>
      </c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</row>
    <row r="24" spans="1:156" s="66" customFormat="1" ht="40.5">
      <c r="A24" s="5">
        <v>210106</v>
      </c>
      <c r="B24" s="8" t="s">
        <v>82</v>
      </c>
      <c r="C24" s="63" t="s">
        <v>45</v>
      </c>
      <c r="D24" s="67" t="s">
        <v>11</v>
      </c>
      <c r="E24" s="64"/>
      <c r="F24" s="64">
        <f t="shared" si="0"/>
        <v>0</v>
      </c>
      <c r="G24" s="64"/>
      <c r="H24" s="64"/>
      <c r="I24" s="64">
        <f t="shared" si="1"/>
        <v>0</v>
      </c>
      <c r="J24" s="7">
        <f>500000-156126</f>
        <v>343874</v>
      </c>
      <c r="K24" s="9"/>
      <c r="L24" s="7">
        <f>K24+J24</f>
        <v>343874</v>
      </c>
      <c r="M24" s="115">
        <f t="shared" si="3"/>
        <v>343.9</v>
      </c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</row>
    <row r="25" spans="1:156" s="66" customFormat="1" ht="20.25">
      <c r="A25" s="5">
        <v>250404</v>
      </c>
      <c r="B25" s="8" t="s">
        <v>115</v>
      </c>
      <c r="C25" s="63" t="s">
        <v>114</v>
      </c>
      <c r="D25" s="67" t="s">
        <v>11</v>
      </c>
      <c r="E25" s="64"/>
      <c r="F25" s="64">
        <f t="shared" si="0"/>
        <v>0</v>
      </c>
      <c r="G25" s="64"/>
      <c r="H25" s="64"/>
      <c r="I25" s="64">
        <f t="shared" si="1"/>
        <v>0</v>
      </c>
      <c r="J25" s="7">
        <v>114000</v>
      </c>
      <c r="K25" s="7"/>
      <c r="L25" s="7">
        <f>K25+J25</f>
        <v>114000</v>
      </c>
      <c r="M25" s="115">
        <f t="shared" si="3"/>
        <v>114</v>
      </c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</row>
    <row r="26" spans="1:156" s="66" customFormat="1" ht="40.5">
      <c r="A26" s="5"/>
      <c r="B26" s="8"/>
      <c r="C26" s="63" t="s">
        <v>252</v>
      </c>
      <c r="D26" s="67"/>
      <c r="E26" s="64"/>
      <c r="F26" s="64"/>
      <c r="G26" s="64"/>
      <c r="H26" s="64"/>
      <c r="I26" s="64"/>
      <c r="J26" s="7"/>
      <c r="K26" s="7"/>
      <c r="L26" s="7"/>
      <c r="M26" s="115">
        <v>518.8</v>
      </c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</row>
    <row r="27" spans="1:156" s="66" customFormat="1" ht="20.25">
      <c r="A27" s="61"/>
      <c r="B27" s="61"/>
      <c r="C27" s="62" t="s">
        <v>220</v>
      </c>
      <c r="D27" s="67"/>
      <c r="E27" s="64"/>
      <c r="F27" s="64">
        <f t="shared" si="0"/>
        <v>0</v>
      </c>
      <c r="G27" s="64"/>
      <c r="H27" s="64"/>
      <c r="I27" s="64">
        <f t="shared" si="1"/>
        <v>0</v>
      </c>
      <c r="J27" s="6">
        <f>SUM(J28:J35)</f>
        <v>17413544.45</v>
      </c>
      <c r="K27" s="6">
        <f>SUM(K28:K35)</f>
        <v>1641407</v>
      </c>
      <c r="L27" s="6">
        <f>SUM(L28:L35)</f>
        <v>19054951.45</v>
      </c>
      <c r="M27" s="114">
        <f>SUM(M28:M35)</f>
        <v>20809.8</v>
      </c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</row>
    <row r="28" spans="1:156" s="66" customFormat="1" ht="20.25">
      <c r="A28" s="8" t="s">
        <v>9</v>
      </c>
      <c r="B28" s="8" t="s">
        <v>78</v>
      </c>
      <c r="C28" s="63" t="s">
        <v>10</v>
      </c>
      <c r="D28" s="67" t="s">
        <v>11</v>
      </c>
      <c r="E28" s="64"/>
      <c r="F28" s="64">
        <f t="shared" si="0"/>
        <v>0</v>
      </c>
      <c r="G28" s="64"/>
      <c r="H28" s="64"/>
      <c r="I28" s="64">
        <f t="shared" si="1"/>
        <v>0</v>
      </c>
      <c r="J28" s="7">
        <f>170000+18000+6600</f>
        <v>194600</v>
      </c>
      <c r="K28" s="7"/>
      <c r="L28" s="7">
        <f aca="true" t="shared" si="4" ref="L28:L35">K28+J28</f>
        <v>194600</v>
      </c>
      <c r="M28" s="115">
        <f t="shared" si="3"/>
        <v>194.6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</row>
    <row r="29" spans="1:156" s="66" customFormat="1" ht="20.25">
      <c r="A29" s="8" t="s">
        <v>12</v>
      </c>
      <c r="B29" s="8" t="s">
        <v>83</v>
      </c>
      <c r="C29" s="63" t="s">
        <v>13</v>
      </c>
      <c r="D29" s="67" t="s">
        <v>11</v>
      </c>
      <c r="E29" s="64"/>
      <c r="F29" s="64">
        <f t="shared" si="0"/>
        <v>0</v>
      </c>
      <c r="G29" s="64"/>
      <c r="H29" s="64"/>
      <c r="I29" s="64">
        <f t="shared" si="1"/>
        <v>0</v>
      </c>
      <c r="J29" s="7">
        <f>3832900+120392+2400</f>
        <v>3955692</v>
      </c>
      <c r="K29" s="7">
        <f>9000-2750</f>
        <v>6250</v>
      </c>
      <c r="L29" s="7">
        <f t="shared" si="4"/>
        <v>3961942</v>
      </c>
      <c r="M29" s="115">
        <f>ROUND(L29/1000,1)+84+892.9</f>
        <v>4938.8</v>
      </c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</row>
    <row r="30" spans="1:156" s="66" customFormat="1" ht="40.5">
      <c r="A30" s="8" t="s">
        <v>66</v>
      </c>
      <c r="B30" s="8" t="s">
        <v>84</v>
      </c>
      <c r="C30" s="63" t="s">
        <v>71</v>
      </c>
      <c r="D30" s="67" t="s">
        <v>11</v>
      </c>
      <c r="E30" s="64"/>
      <c r="F30" s="64">
        <f t="shared" si="0"/>
        <v>0</v>
      </c>
      <c r="G30" s="64"/>
      <c r="H30" s="64"/>
      <c r="I30" s="64">
        <f t="shared" si="1"/>
        <v>0</v>
      </c>
      <c r="J30" s="7">
        <f>11144755+712693.45+471241</f>
        <v>12328689.45</v>
      </c>
      <c r="K30" s="7">
        <v>1635157</v>
      </c>
      <c r="L30" s="7">
        <f t="shared" si="4"/>
        <v>13963846.45</v>
      </c>
      <c r="M30" s="115">
        <f>ROUND(L30/1000,1)+140+168+20+450</f>
        <v>14741.8</v>
      </c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</row>
    <row r="31" spans="1:156" s="66" customFormat="1" ht="40.5">
      <c r="A31" s="8" t="s">
        <v>67</v>
      </c>
      <c r="B31" s="8" t="s">
        <v>85</v>
      </c>
      <c r="C31" s="63" t="s">
        <v>72</v>
      </c>
      <c r="D31" s="67" t="s">
        <v>11</v>
      </c>
      <c r="E31" s="64"/>
      <c r="F31" s="64">
        <f t="shared" si="0"/>
        <v>0</v>
      </c>
      <c r="G31" s="64"/>
      <c r="H31" s="64"/>
      <c r="I31" s="64">
        <f t="shared" si="1"/>
        <v>0</v>
      </c>
      <c r="J31" s="7">
        <f>150000-26417</f>
        <v>123583</v>
      </c>
      <c r="K31" s="7"/>
      <c r="L31" s="7">
        <f t="shared" si="4"/>
        <v>123583</v>
      </c>
      <c r="M31" s="115">
        <f t="shared" si="3"/>
        <v>123.6</v>
      </c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</row>
    <row r="32" spans="1:156" s="66" customFormat="1" ht="20.25">
      <c r="A32" s="8" t="s">
        <v>68</v>
      </c>
      <c r="B32" s="8" t="s">
        <v>86</v>
      </c>
      <c r="C32" s="63" t="s">
        <v>73</v>
      </c>
      <c r="D32" s="67" t="s">
        <v>11</v>
      </c>
      <c r="E32" s="64"/>
      <c r="F32" s="64">
        <f t="shared" si="0"/>
        <v>0</v>
      </c>
      <c r="G32" s="64"/>
      <c r="H32" s="64"/>
      <c r="I32" s="64">
        <f t="shared" si="1"/>
        <v>0</v>
      </c>
      <c r="J32" s="7">
        <f>525000-75000</f>
        <v>450000</v>
      </c>
      <c r="K32" s="7"/>
      <c r="L32" s="7">
        <f t="shared" si="4"/>
        <v>450000</v>
      </c>
      <c r="M32" s="115">
        <f t="shared" si="3"/>
        <v>450</v>
      </c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</row>
    <row r="33" spans="1:156" s="66" customFormat="1" ht="20.25">
      <c r="A33" s="8" t="s">
        <v>141</v>
      </c>
      <c r="B33" s="8" t="s">
        <v>87</v>
      </c>
      <c r="C33" s="63" t="s">
        <v>143</v>
      </c>
      <c r="D33" s="67" t="s">
        <v>11</v>
      </c>
      <c r="E33" s="64"/>
      <c r="F33" s="64">
        <f t="shared" si="0"/>
        <v>0</v>
      </c>
      <c r="G33" s="64"/>
      <c r="H33" s="64"/>
      <c r="I33" s="64">
        <f t="shared" si="1"/>
        <v>0</v>
      </c>
      <c r="J33" s="7">
        <f>121000-2270</f>
        <v>118730</v>
      </c>
      <c r="K33" s="7"/>
      <c r="L33" s="7">
        <f t="shared" si="4"/>
        <v>118730</v>
      </c>
      <c r="M33" s="115">
        <f t="shared" si="3"/>
        <v>118.7</v>
      </c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</row>
    <row r="34" spans="1:156" s="66" customFormat="1" ht="20.25">
      <c r="A34" s="8" t="s">
        <v>142</v>
      </c>
      <c r="B34" s="8" t="s">
        <v>87</v>
      </c>
      <c r="C34" s="63" t="s">
        <v>144</v>
      </c>
      <c r="D34" s="67" t="s">
        <v>11</v>
      </c>
      <c r="E34" s="64"/>
      <c r="F34" s="64">
        <f t="shared" si="0"/>
        <v>0</v>
      </c>
      <c r="G34" s="64"/>
      <c r="H34" s="64"/>
      <c r="I34" s="64">
        <f t="shared" si="1"/>
        <v>0</v>
      </c>
      <c r="J34" s="7">
        <f>75000+18000-750</f>
        <v>92250</v>
      </c>
      <c r="K34" s="7"/>
      <c r="L34" s="7">
        <f t="shared" si="4"/>
        <v>92250</v>
      </c>
      <c r="M34" s="115">
        <f t="shared" si="3"/>
        <v>92.3</v>
      </c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</row>
    <row r="35" spans="1:156" s="66" customFormat="1" ht="20.25">
      <c r="A35" s="8" t="s">
        <v>69</v>
      </c>
      <c r="B35" s="8" t="s">
        <v>87</v>
      </c>
      <c r="C35" s="63" t="s">
        <v>74</v>
      </c>
      <c r="D35" s="67" t="s">
        <v>11</v>
      </c>
      <c r="E35" s="64"/>
      <c r="F35" s="64">
        <f t="shared" si="0"/>
        <v>0</v>
      </c>
      <c r="G35" s="64"/>
      <c r="H35" s="64"/>
      <c r="I35" s="64">
        <f t="shared" si="1"/>
        <v>0</v>
      </c>
      <c r="J35" s="7">
        <v>150000</v>
      </c>
      <c r="K35" s="7"/>
      <c r="L35" s="7">
        <f t="shared" si="4"/>
        <v>150000</v>
      </c>
      <c r="M35" s="115">
        <f t="shared" si="3"/>
        <v>150</v>
      </c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</row>
    <row r="36" spans="1:156" s="66" customFormat="1" ht="20.25">
      <c r="A36" s="61"/>
      <c r="B36" s="61"/>
      <c r="C36" s="62" t="s">
        <v>221</v>
      </c>
      <c r="D36" s="67"/>
      <c r="E36" s="64"/>
      <c r="F36" s="64">
        <f t="shared" si="0"/>
        <v>0</v>
      </c>
      <c r="G36" s="64"/>
      <c r="H36" s="64"/>
      <c r="I36" s="64">
        <f t="shared" si="1"/>
        <v>0</v>
      </c>
      <c r="J36" s="6">
        <f>SUM(J37:J43)</f>
        <v>23637564</v>
      </c>
      <c r="K36" s="6">
        <f>SUM(K37:K43)</f>
        <v>566200</v>
      </c>
      <c r="L36" s="6">
        <f>SUM(L37:L43)</f>
        <v>24203764</v>
      </c>
      <c r="M36" s="114">
        <f>SUM(M37:M43)</f>
        <v>24203.8</v>
      </c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</row>
    <row r="37" spans="1:156" s="66" customFormat="1" ht="20.25">
      <c r="A37" s="8" t="s">
        <v>9</v>
      </c>
      <c r="B37" s="8" t="s">
        <v>78</v>
      </c>
      <c r="C37" s="63" t="s">
        <v>10</v>
      </c>
      <c r="D37" s="67" t="s">
        <v>11</v>
      </c>
      <c r="E37" s="64"/>
      <c r="F37" s="64">
        <f t="shared" si="0"/>
        <v>0</v>
      </c>
      <c r="G37" s="64"/>
      <c r="H37" s="64"/>
      <c r="I37" s="64">
        <f t="shared" si="1"/>
        <v>0</v>
      </c>
      <c r="J37" s="7">
        <f>333200+114700</f>
        <v>447900</v>
      </c>
      <c r="K37" s="7"/>
      <c r="L37" s="7">
        <f aca="true" t="shared" si="5" ref="L37:L43">K37+J37</f>
        <v>447900</v>
      </c>
      <c r="M37" s="115">
        <f t="shared" si="3"/>
        <v>447.9</v>
      </c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</row>
    <row r="38" spans="1:156" s="66" customFormat="1" ht="20.25">
      <c r="A38" s="8" t="s">
        <v>14</v>
      </c>
      <c r="B38" s="8" t="s">
        <v>88</v>
      </c>
      <c r="C38" s="63" t="s">
        <v>15</v>
      </c>
      <c r="D38" s="67" t="s">
        <v>11</v>
      </c>
      <c r="E38" s="64"/>
      <c r="F38" s="64">
        <f t="shared" si="0"/>
        <v>0</v>
      </c>
      <c r="G38" s="64"/>
      <c r="H38" s="64"/>
      <c r="I38" s="64">
        <f t="shared" si="1"/>
        <v>0</v>
      </c>
      <c r="J38" s="7">
        <f>16431400+350200+35000</f>
        <v>16816600</v>
      </c>
      <c r="K38" s="7">
        <f>548200+5000</f>
        <v>553200</v>
      </c>
      <c r="L38" s="7">
        <f t="shared" si="5"/>
        <v>17369800</v>
      </c>
      <c r="M38" s="115">
        <f t="shared" si="3"/>
        <v>17369.8</v>
      </c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</row>
    <row r="39" spans="1:156" s="66" customFormat="1" ht="20.25">
      <c r="A39" s="8" t="s">
        <v>28</v>
      </c>
      <c r="B39" s="8" t="s">
        <v>89</v>
      </c>
      <c r="C39" s="63" t="s">
        <v>33</v>
      </c>
      <c r="D39" s="67" t="s">
        <v>11</v>
      </c>
      <c r="E39" s="64"/>
      <c r="F39" s="64">
        <f t="shared" si="0"/>
        <v>0</v>
      </c>
      <c r="G39" s="64"/>
      <c r="H39" s="64"/>
      <c r="I39" s="64">
        <f t="shared" si="1"/>
        <v>0</v>
      </c>
      <c r="J39" s="7">
        <v>2894064</v>
      </c>
      <c r="K39" s="7"/>
      <c r="L39" s="7">
        <f t="shared" si="5"/>
        <v>2894064</v>
      </c>
      <c r="M39" s="115">
        <f t="shared" si="3"/>
        <v>2894.1</v>
      </c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</row>
    <row r="40" spans="1:156" s="66" customFormat="1" ht="20.25">
      <c r="A40" s="8" t="s">
        <v>62</v>
      </c>
      <c r="B40" s="8" t="s">
        <v>90</v>
      </c>
      <c r="C40" s="63" t="s">
        <v>75</v>
      </c>
      <c r="D40" s="67"/>
      <c r="E40" s="64"/>
      <c r="F40" s="64">
        <f t="shared" si="0"/>
        <v>0</v>
      </c>
      <c r="G40" s="64"/>
      <c r="H40" s="64"/>
      <c r="I40" s="64">
        <f t="shared" si="1"/>
        <v>0</v>
      </c>
      <c r="J40" s="7">
        <v>1000000</v>
      </c>
      <c r="K40" s="7"/>
      <c r="L40" s="7">
        <f t="shared" si="5"/>
        <v>1000000</v>
      </c>
      <c r="M40" s="115">
        <f t="shared" si="3"/>
        <v>1000</v>
      </c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</row>
    <row r="41" spans="1:156" s="66" customFormat="1" ht="20.25">
      <c r="A41" s="8" t="s">
        <v>42</v>
      </c>
      <c r="B41" s="8" t="s">
        <v>91</v>
      </c>
      <c r="C41" s="63" t="s">
        <v>44</v>
      </c>
      <c r="D41" s="67" t="s">
        <v>11</v>
      </c>
      <c r="E41" s="64"/>
      <c r="F41" s="64">
        <f t="shared" si="0"/>
        <v>0</v>
      </c>
      <c r="G41" s="64"/>
      <c r="H41" s="64"/>
      <c r="I41" s="64">
        <f t="shared" si="1"/>
        <v>0</v>
      </c>
      <c r="J41" s="7">
        <v>2419000</v>
      </c>
      <c r="K41" s="7">
        <v>13000</v>
      </c>
      <c r="L41" s="7">
        <f t="shared" si="5"/>
        <v>2432000</v>
      </c>
      <c r="M41" s="115">
        <f t="shared" si="3"/>
        <v>2432</v>
      </c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</row>
    <row r="42" spans="1:156" s="66" customFormat="1" ht="20.25">
      <c r="A42" s="8" t="s">
        <v>139</v>
      </c>
      <c r="B42" s="8" t="s">
        <v>92</v>
      </c>
      <c r="C42" s="63" t="s">
        <v>140</v>
      </c>
      <c r="D42" s="67" t="s">
        <v>11</v>
      </c>
      <c r="E42" s="64"/>
      <c r="F42" s="64">
        <f t="shared" si="0"/>
        <v>0</v>
      </c>
      <c r="G42" s="64"/>
      <c r="H42" s="64"/>
      <c r="I42" s="64">
        <f t="shared" si="1"/>
        <v>0</v>
      </c>
      <c r="J42" s="7">
        <v>20000</v>
      </c>
      <c r="K42" s="7"/>
      <c r="L42" s="7">
        <f t="shared" si="5"/>
        <v>20000</v>
      </c>
      <c r="M42" s="115">
        <f t="shared" si="3"/>
        <v>20</v>
      </c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</row>
    <row r="43" spans="1:156" s="66" customFormat="1" ht="40.5">
      <c r="A43" s="8" t="s">
        <v>70</v>
      </c>
      <c r="B43" s="8" t="s">
        <v>92</v>
      </c>
      <c r="C43" s="63" t="s">
        <v>93</v>
      </c>
      <c r="D43" s="67"/>
      <c r="E43" s="64"/>
      <c r="F43" s="64">
        <f t="shared" si="0"/>
        <v>0</v>
      </c>
      <c r="G43" s="64"/>
      <c r="H43" s="64"/>
      <c r="I43" s="64">
        <f t="shared" si="1"/>
        <v>0</v>
      </c>
      <c r="J43" s="7">
        <v>40000</v>
      </c>
      <c r="K43" s="7"/>
      <c r="L43" s="7">
        <f t="shared" si="5"/>
        <v>40000</v>
      </c>
      <c r="M43" s="115">
        <f t="shared" si="3"/>
        <v>40</v>
      </c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</row>
    <row r="44" spans="1:156" s="66" customFormat="1" ht="20.25">
      <c r="A44" s="61"/>
      <c r="B44" s="61"/>
      <c r="C44" s="62" t="s">
        <v>222</v>
      </c>
      <c r="D44" s="67"/>
      <c r="E44" s="64"/>
      <c r="F44" s="64">
        <f t="shared" si="0"/>
        <v>0</v>
      </c>
      <c r="G44" s="64"/>
      <c r="H44" s="64"/>
      <c r="I44" s="64">
        <f t="shared" si="1"/>
        <v>0</v>
      </c>
      <c r="J44" s="6">
        <f>SUM(J45:J47)</f>
        <v>880403</v>
      </c>
      <c r="K44" s="6">
        <f>SUM(K45:K47)</f>
        <v>142500</v>
      </c>
      <c r="L44" s="6">
        <f>SUM(L45:L47)</f>
        <v>1022903</v>
      </c>
      <c r="M44" s="114">
        <f>SUM(M45:M47)</f>
        <v>1022.9</v>
      </c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</row>
    <row r="45" spans="1:156" s="66" customFormat="1" ht="20.25">
      <c r="A45" s="8" t="s">
        <v>9</v>
      </c>
      <c r="B45" s="8" t="s">
        <v>78</v>
      </c>
      <c r="C45" s="63" t="s">
        <v>10</v>
      </c>
      <c r="D45" s="67" t="s">
        <v>11</v>
      </c>
      <c r="E45" s="64"/>
      <c r="F45" s="64">
        <f t="shared" si="0"/>
        <v>0</v>
      </c>
      <c r="G45" s="64"/>
      <c r="H45" s="64"/>
      <c r="I45" s="64">
        <f t="shared" si="1"/>
        <v>0</v>
      </c>
      <c r="J45" s="7">
        <f>80000+120000</f>
        <v>200000</v>
      </c>
      <c r="K45" s="7">
        <v>142500</v>
      </c>
      <c r="L45" s="7">
        <f>K45+J45</f>
        <v>342500</v>
      </c>
      <c r="M45" s="115">
        <f t="shared" si="3"/>
        <v>342.5</v>
      </c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</row>
    <row r="46" spans="1:156" s="66" customFormat="1" ht="20.25">
      <c r="A46" s="8" t="s">
        <v>145</v>
      </c>
      <c r="B46" s="8" t="s">
        <v>146</v>
      </c>
      <c r="C46" s="63" t="s">
        <v>147</v>
      </c>
      <c r="D46" s="67" t="s">
        <v>11</v>
      </c>
      <c r="E46" s="64"/>
      <c r="F46" s="64">
        <f t="shared" si="0"/>
        <v>0</v>
      </c>
      <c r="G46" s="64"/>
      <c r="H46" s="64"/>
      <c r="I46" s="64">
        <f t="shared" si="1"/>
        <v>0</v>
      </c>
      <c r="J46" s="7">
        <f>308000+132000-3097</f>
        <v>436903</v>
      </c>
      <c r="K46" s="7"/>
      <c r="L46" s="7">
        <f>K46+J46</f>
        <v>436903</v>
      </c>
      <c r="M46" s="115">
        <f t="shared" si="3"/>
        <v>436.9</v>
      </c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</row>
    <row r="47" spans="1:156" s="66" customFormat="1" ht="20.25">
      <c r="A47" s="8" t="s">
        <v>23</v>
      </c>
      <c r="B47" s="8" t="s">
        <v>94</v>
      </c>
      <c r="C47" s="67" t="s">
        <v>24</v>
      </c>
      <c r="D47" s="67" t="s">
        <v>11</v>
      </c>
      <c r="E47" s="64"/>
      <c r="F47" s="64">
        <f t="shared" si="0"/>
        <v>0</v>
      </c>
      <c r="G47" s="64"/>
      <c r="H47" s="64"/>
      <c r="I47" s="64">
        <f t="shared" si="1"/>
        <v>0</v>
      </c>
      <c r="J47" s="7">
        <v>243500</v>
      </c>
      <c r="K47" s="7"/>
      <c r="L47" s="7">
        <f>K47+J47</f>
        <v>243500</v>
      </c>
      <c r="M47" s="115">
        <f t="shared" si="3"/>
        <v>243.5</v>
      </c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</row>
    <row r="48" spans="1:157" s="79" customFormat="1" ht="20.25">
      <c r="A48" s="18"/>
      <c r="B48" s="18"/>
      <c r="C48" s="62" t="s">
        <v>223</v>
      </c>
      <c r="D48" s="67"/>
      <c r="E48" s="77"/>
      <c r="F48" s="64">
        <f t="shared" si="0"/>
        <v>0</v>
      </c>
      <c r="G48" s="77"/>
      <c r="H48" s="77"/>
      <c r="I48" s="64">
        <f t="shared" si="1"/>
        <v>0</v>
      </c>
      <c r="J48" s="6">
        <f>SUM(J49:J52)</f>
        <v>1160000</v>
      </c>
      <c r="K48" s="6">
        <f>SUM(K49:K52)</f>
        <v>0</v>
      </c>
      <c r="L48" s="6">
        <f>SUM(L49:L52)</f>
        <v>1160000</v>
      </c>
      <c r="M48" s="114">
        <f>SUM(M49:M52)</f>
        <v>1165</v>
      </c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78"/>
    </row>
    <row r="49" spans="1:157" s="79" customFormat="1" ht="20.25">
      <c r="A49" s="8" t="s">
        <v>9</v>
      </c>
      <c r="B49" s="8" t="s">
        <v>78</v>
      </c>
      <c r="C49" s="63" t="s">
        <v>10</v>
      </c>
      <c r="D49" s="67" t="s">
        <v>11</v>
      </c>
      <c r="E49" s="77"/>
      <c r="F49" s="64">
        <f t="shared" si="0"/>
        <v>0</v>
      </c>
      <c r="G49" s="77"/>
      <c r="H49" s="77"/>
      <c r="I49" s="64">
        <f t="shared" si="1"/>
        <v>0</v>
      </c>
      <c r="J49" s="7">
        <v>20000</v>
      </c>
      <c r="K49" s="7"/>
      <c r="L49" s="7">
        <f>K49+J49</f>
        <v>20000</v>
      </c>
      <c r="M49" s="115">
        <f t="shared" si="3"/>
        <v>20</v>
      </c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78"/>
    </row>
    <row r="50" spans="1:157" s="79" customFormat="1" ht="20.25">
      <c r="A50" s="5">
        <v>110201</v>
      </c>
      <c r="B50" s="8" t="s">
        <v>95</v>
      </c>
      <c r="C50" s="67" t="s">
        <v>18</v>
      </c>
      <c r="D50" s="67" t="s">
        <v>11</v>
      </c>
      <c r="E50" s="77"/>
      <c r="F50" s="64">
        <f t="shared" si="0"/>
        <v>0</v>
      </c>
      <c r="G50" s="77"/>
      <c r="H50" s="77"/>
      <c r="I50" s="64">
        <f t="shared" si="1"/>
        <v>0</v>
      </c>
      <c r="J50" s="7">
        <f>678000+1500</f>
        <v>679500</v>
      </c>
      <c r="K50" s="7"/>
      <c r="L50" s="7">
        <f>K50+J50</f>
        <v>679500</v>
      </c>
      <c r="M50" s="115">
        <f>ROUND(L50/1000,1)+5</f>
        <v>684.5</v>
      </c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78"/>
    </row>
    <row r="51" spans="1:13" s="65" customFormat="1" ht="20.25">
      <c r="A51" s="5">
        <v>110205</v>
      </c>
      <c r="B51" s="8" t="s">
        <v>86</v>
      </c>
      <c r="C51" s="67" t="s">
        <v>61</v>
      </c>
      <c r="D51" s="67" t="s">
        <v>11</v>
      </c>
      <c r="E51" s="77"/>
      <c r="F51" s="64">
        <f t="shared" si="0"/>
        <v>0</v>
      </c>
      <c r="G51" s="77"/>
      <c r="H51" s="77"/>
      <c r="I51" s="64">
        <f t="shared" si="1"/>
        <v>0</v>
      </c>
      <c r="J51" s="7">
        <f>435500+2000</f>
        <v>437500</v>
      </c>
      <c r="K51" s="7"/>
      <c r="L51" s="7">
        <f>K51+J51</f>
        <v>437500</v>
      </c>
      <c r="M51" s="115">
        <f t="shared" si="3"/>
        <v>437.5</v>
      </c>
    </row>
    <row r="52" spans="1:13" s="65" customFormat="1" ht="20.25">
      <c r="A52" s="5">
        <v>110502</v>
      </c>
      <c r="B52" s="8" t="s">
        <v>79</v>
      </c>
      <c r="C52" s="63" t="s">
        <v>38</v>
      </c>
      <c r="D52" s="67" t="s">
        <v>11</v>
      </c>
      <c r="E52" s="77"/>
      <c r="F52" s="64">
        <f t="shared" si="0"/>
        <v>0</v>
      </c>
      <c r="G52" s="77"/>
      <c r="H52" s="77"/>
      <c r="I52" s="64">
        <f t="shared" si="1"/>
        <v>0</v>
      </c>
      <c r="J52" s="7">
        <f>30000-7000</f>
        <v>23000</v>
      </c>
      <c r="K52" s="7"/>
      <c r="L52" s="7">
        <f>K52+J52</f>
        <v>23000</v>
      </c>
      <c r="M52" s="115">
        <f t="shared" si="3"/>
        <v>23</v>
      </c>
    </row>
    <row r="53" spans="1:156" s="83" customFormat="1" ht="20.25">
      <c r="A53" s="18"/>
      <c r="B53" s="18"/>
      <c r="C53" s="62" t="s">
        <v>224</v>
      </c>
      <c r="D53" s="80"/>
      <c r="E53" s="81"/>
      <c r="F53" s="64">
        <f t="shared" si="0"/>
        <v>0</v>
      </c>
      <c r="G53" s="81"/>
      <c r="H53" s="81"/>
      <c r="I53" s="64">
        <f t="shared" si="1"/>
        <v>0</v>
      </c>
      <c r="J53" s="6">
        <f>SUM(J54:J74)-J66-J60-J61</f>
        <v>107018147.34</v>
      </c>
      <c r="K53" s="6">
        <f>SUM(K54:K74)-K66-K60-K61</f>
        <v>8987666</v>
      </c>
      <c r="L53" s="6">
        <f>SUM(L54:L74)-L66-L60-L61</f>
        <v>116005813.34</v>
      </c>
      <c r="M53" s="114">
        <f>SUM(M54:M74)-M66-M60-M61</f>
        <v>120691.79999999999</v>
      </c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</row>
    <row r="54" spans="1:156" s="66" customFormat="1" ht="20.25">
      <c r="A54" s="8" t="s">
        <v>9</v>
      </c>
      <c r="B54" s="8" t="s">
        <v>78</v>
      </c>
      <c r="C54" s="63" t="s">
        <v>10</v>
      </c>
      <c r="D54" s="67" t="s">
        <v>11</v>
      </c>
      <c r="E54" s="64"/>
      <c r="F54" s="64">
        <f t="shared" si="0"/>
        <v>0</v>
      </c>
      <c r="G54" s="64"/>
      <c r="H54" s="64"/>
      <c r="I54" s="64">
        <f t="shared" si="1"/>
        <v>0</v>
      </c>
      <c r="J54" s="7">
        <v>30000</v>
      </c>
      <c r="K54" s="7"/>
      <c r="L54" s="7">
        <f aca="true" t="shared" si="6" ref="L54:L60">K54+J54</f>
        <v>30000</v>
      </c>
      <c r="M54" s="115">
        <f t="shared" si="3"/>
        <v>30</v>
      </c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</row>
    <row r="55" spans="1:156" s="66" customFormat="1" ht="20.25">
      <c r="A55" s="5">
        <v>100102</v>
      </c>
      <c r="B55" s="8" t="s">
        <v>96</v>
      </c>
      <c r="C55" s="63" t="s">
        <v>17</v>
      </c>
      <c r="D55" s="67" t="s">
        <v>11</v>
      </c>
      <c r="E55" s="77"/>
      <c r="F55" s="64">
        <f t="shared" si="0"/>
        <v>0</v>
      </c>
      <c r="G55" s="77"/>
      <c r="H55" s="77"/>
      <c r="I55" s="64">
        <f t="shared" si="1"/>
        <v>0</v>
      </c>
      <c r="J55" s="7">
        <f>51271723.14+1543208+2219502</f>
        <v>55034433.14</v>
      </c>
      <c r="K55" s="7">
        <f>2000000+80000</f>
        <v>2080000</v>
      </c>
      <c r="L55" s="7">
        <f t="shared" si="6"/>
        <v>57114433.14</v>
      </c>
      <c r="M55" s="115">
        <f>ROUND(L55/1000,1)+2000+201</f>
        <v>59315.4</v>
      </c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</row>
    <row r="56" spans="1:156" s="66" customFormat="1" ht="20.25">
      <c r="A56" s="5">
        <v>100106</v>
      </c>
      <c r="B56" s="8" t="s">
        <v>96</v>
      </c>
      <c r="C56" s="63" t="s">
        <v>31</v>
      </c>
      <c r="D56" s="67" t="s">
        <v>11</v>
      </c>
      <c r="E56" s="77"/>
      <c r="F56" s="64">
        <f t="shared" si="0"/>
        <v>0</v>
      </c>
      <c r="G56" s="77"/>
      <c r="H56" s="77"/>
      <c r="I56" s="64">
        <f t="shared" si="1"/>
        <v>0</v>
      </c>
      <c r="J56" s="7">
        <v>6000000</v>
      </c>
      <c r="K56" s="7">
        <v>1000000</v>
      </c>
      <c r="L56" s="7">
        <f t="shared" si="6"/>
        <v>7000000</v>
      </c>
      <c r="M56" s="115">
        <f t="shared" si="3"/>
        <v>7000</v>
      </c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</row>
    <row r="57" spans="1:156" s="66" customFormat="1" ht="20.25">
      <c r="A57" s="5">
        <v>100202</v>
      </c>
      <c r="B57" s="8" t="s">
        <v>97</v>
      </c>
      <c r="C57" s="63" t="s">
        <v>173</v>
      </c>
      <c r="D57" s="67" t="s">
        <v>11</v>
      </c>
      <c r="E57" s="77"/>
      <c r="F57" s="64">
        <f t="shared" si="0"/>
        <v>0</v>
      </c>
      <c r="G57" s="77"/>
      <c r="H57" s="77"/>
      <c r="I57" s="64">
        <f t="shared" si="1"/>
        <v>0</v>
      </c>
      <c r="J57" s="7">
        <f>3430202+664532+174600</f>
        <v>4269334</v>
      </c>
      <c r="K57" s="7"/>
      <c r="L57" s="7">
        <f t="shared" si="6"/>
        <v>4269334</v>
      </c>
      <c r="M57" s="115">
        <f t="shared" si="3"/>
        <v>4269.3</v>
      </c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</row>
    <row r="58" spans="1:156" s="66" customFormat="1" ht="20.25">
      <c r="A58" s="5">
        <v>100203</v>
      </c>
      <c r="B58" s="8" t="s">
        <v>97</v>
      </c>
      <c r="C58" s="63" t="s">
        <v>16</v>
      </c>
      <c r="D58" s="67" t="s">
        <v>11</v>
      </c>
      <c r="E58" s="77"/>
      <c r="F58" s="64">
        <f t="shared" si="0"/>
        <v>0</v>
      </c>
      <c r="G58" s="77"/>
      <c r="H58" s="77"/>
      <c r="I58" s="64">
        <f t="shared" si="1"/>
        <v>0</v>
      </c>
      <c r="J58" s="7">
        <f>21022929.2-391391-343105</f>
        <v>20288433.2</v>
      </c>
      <c r="K58" s="7">
        <f>-317234+755000</f>
        <v>437766</v>
      </c>
      <c r="L58" s="7">
        <f t="shared" si="6"/>
        <v>20726199.2</v>
      </c>
      <c r="M58" s="115">
        <f>ROUND(L58/1000,1)-206-232-20</f>
        <v>20268.2</v>
      </c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</row>
    <row r="59" spans="1:156" s="66" customFormat="1" ht="20.25">
      <c r="A59" s="5">
        <v>100208</v>
      </c>
      <c r="B59" s="8" t="s">
        <v>97</v>
      </c>
      <c r="C59" s="63" t="s">
        <v>148</v>
      </c>
      <c r="D59" s="67" t="s">
        <v>11</v>
      </c>
      <c r="E59" s="77"/>
      <c r="F59" s="64">
        <f t="shared" si="0"/>
        <v>0</v>
      </c>
      <c r="G59" s="77"/>
      <c r="H59" s="77"/>
      <c r="I59" s="64">
        <f t="shared" si="1"/>
        <v>0</v>
      </c>
      <c r="J59" s="7">
        <v>845938</v>
      </c>
      <c r="K59" s="7"/>
      <c r="L59" s="7">
        <f t="shared" si="6"/>
        <v>845938</v>
      </c>
      <c r="M59" s="115">
        <f t="shared" si="3"/>
        <v>845.9</v>
      </c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</row>
    <row r="60" spans="1:156" s="66" customFormat="1" ht="20.25">
      <c r="A60" s="5">
        <v>150101</v>
      </c>
      <c r="B60" s="8" t="s">
        <v>81</v>
      </c>
      <c r="C60" s="62" t="s">
        <v>4</v>
      </c>
      <c r="D60" s="67"/>
      <c r="E60" s="77"/>
      <c r="F60" s="64">
        <f t="shared" si="0"/>
        <v>0</v>
      </c>
      <c r="G60" s="77"/>
      <c r="H60" s="77"/>
      <c r="I60" s="64">
        <f t="shared" si="1"/>
        <v>0</v>
      </c>
      <c r="J60" s="7"/>
      <c r="K60" s="7">
        <v>500000</v>
      </c>
      <c r="L60" s="7">
        <f t="shared" si="6"/>
        <v>500000</v>
      </c>
      <c r="M60" s="115">
        <f>ROUND(L60/1000,1)+M65</f>
        <v>1973</v>
      </c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</row>
    <row r="61" spans="1:156" s="66" customFormat="1" ht="20.25">
      <c r="A61" s="5"/>
      <c r="B61" s="8"/>
      <c r="C61" s="62" t="s">
        <v>7</v>
      </c>
      <c r="D61" s="62" t="s">
        <v>7</v>
      </c>
      <c r="E61" s="77"/>
      <c r="F61" s="64">
        <f t="shared" si="0"/>
        <v>0</v>
      </c>
      <c r="G61" s="77"/>
      <c r="H61" s="77"/>
      <c r="I61" s="64">
        <f t="shared" si="1"/>
        <v>0</v>
      </c>
      <c r="J61" s="7"/>
      <c r="K61" s="7">
        <f>K62+K63+K64</f>
        <v>500000</v>
      </c>
      <c r="L61" s="7">
        <f>L62+L63+L64</f>
        <v>500000</v>
      </c>
      <c r="M61" s="115">
        <f>ROUND(L61/1000,1)+M65</f>
        <v>1973</v>
      </c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</row>
    <row r="62" spans="1:156" s="66" customFormat="1" ht="65.25" customHeight="1">
      <c r="A62" s="5"/>
      <c r="B62" s="8"/>
      <c r="C62" s="10" t="s">
        <v>253</v>
      </c>
      <c r="D62" s="10" t="s">
        <v>218</v>
      </c>
      <c r="E62" s="77"/>
      <c r="F62" s="64">
        <f t="shared" si="0"/>
        <v>0</v>
      </c>
      <c r="G62" s="77"/>
      <c r="H62" s="77"/>
      <c r="I62" s="64">
        <f t="shared" si="1"/>
        <v>0</v>
      </c>
      <c r="J62" s="7"/>
      <c r="K62" s="7">
        <v>167000</v>
      </c>
      <c r="L62" s="7">
        <f>K62+J62</f>
        <v>167000</v>
      </c>
      <c r="M62" s="115">
        <f t="shared" si="3"/>
        <v>167</v>
      </c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</row>
    <row r="63" spans="1:156" s="66" customFormat="1" ht="48" customHeight="1">
      <c r="A63" s="5"/>
      <c r="B63" s="8"/>
      <c r="C63" s="10" t="s">
        <v>216</v>
      </c>
      <c r="D63" s="10" t="s">
        <v>216</v>
      </c>
      <c r="E63" s="77"/>
      <c r="F63" s="64">
        <f t="shared" si="0"/>
        <v>0</v>
      </c>
      <c r="G63" s="77"/>
      <c r="H63" s="77"/>
      <c r="I63" s="64">
        <f t="shared" si="1"/>
        <v>0</v>
      </c>
      <c r="J63" s="7"/>
      <c r="K63" s="7">
        <v>167000</v>
      </c>
      <c r="L63" s="7">
        <f>K63+J63</f>
        <v>167000</v>
      </c>
      <c r="M63" s="115">
        <f t="shared" si="3"/>
        <v>167</v>
      </c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</row>
    <row r="64" spans="1:156" s="66" customFormat="1" ht="54" customHeight="1">
      <c r="A64" s="5"/>
      <c r="B64" s="8"/>
      <c r="C64" s="10" t="s">
        <v>217</v>
      </c>
      <c r="D64" s="10" t="s">
        <v>217</v>
      </c>
      <c r="E64" s="77"/>
      <c r="F64" s="64">
        <f t="shared" si="0"/>
        <v>0</v>
      </c>
      <c r="G64" s="77"/>
      <c r="H64" s="77"/>
      <c r="I64" s="64">
        <f t="shared" si="1"/>
        <v>0</v>
      </c>
      <c r="J64" s="7"/>
      <c r="K64" s="7">
        <v>166000</v>
      </c>
      <c r="L64" s="7">
        <f>K64+J64</f>
        <v>166000</v>
      </c>
      <c r="M64" s="115">
        <f t="shared" si="3"/>
        <v>166</v>
      </c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</row>
    <row r="65" spans="1:156" s="66" customFormat="1" ht="45" customHeight="1">
      <c r="A65" s="5"/>
      <c r="B65" s="8"/>
      <c r="C65" s="10" t="s">
        <v>254</v>
      </c>
      <c r="D65" s="10"/>
      <c r="E65" s="77"/>
      <c r="F65" s="64"/>
      <c r="G65" s="77"/>
      <c r="H65" s="77"/>
      <c r="I65" s="64"/>
      <c r="J65" s="7"/>
      <c r="K65" s="7"/>
      <c r="L65" s="7"/>
      <c r="M65" s="115">
        <v>1473</v>
      </c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</row>
    <row r="66" spans="1:156" s="66" customFormat="1" ht="40.5">
      <c r="A66" s="5">
        <v>180409</v>
      </c>
      <c r="B66" s="8" t="s">
        <v>81</v>
      </c>
      <c r="C66" s="71" t="s">
        <v>248</v>
      </c>
      <c r="D66" s="79"/>
      <c r="E66" s="29"/>
      <c r="F66" s="64">
        <f t="shared" si="0"/>
        <v>0</v>
      </c>
      <c r="G66" s="29"/>
      <c r="H66" s="29"/>
      <c r="I66" s="64">
        <f t="shared" si="1"/>
        <v>0</v>
      </c>
      <c r="J66" s="7">
        <f>J67+J68+J69+J70+J71+J73+J72</f>
        <v>19799509</v>
      </c>
      <c r="K66" s="7">
        <f>K67+K68+K69+K70+K71+K73+K72</f>
        <v>4969900</v>
      </c>
      <c r="L66" s="7">
        <f>L67+L68+L69+L70+L71+L73+L72</f>
        <v>24769409</v>
      </c>
      <c r="M66" s="115">
        <f>M67+M68+M69+M70+M71+M73+M72</f>
        <v>26239.5</v>
      </c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</row>
    <row r="67" spans="1:156" s="66" customFormat="1" ht="36" customHeight="1">
      <c r="A67" s="5"/>
      <c r="B67" s="5"/>
      <c r="C67" s="71" t="s">
        <v>46</v>
      </c>
      <c r="D67" s="63" t="s">
        <v>46</v>
      </c>
      <c r="E67" s="29"/>
      <c r="F67" s="64">
        <f t="shared" si="0"/>
        <v>0</v>
      </c>
      <c r="G67" s="29"/>
      <c r="H67" s="29"/>
      <c r="I67" s="64">
        <f t="shared" si="1"/>
        <v>0</v>
      </c>
      <c r="J67" s="7">
        <f>4311200+292000</f>
        <v>4603200</v>
      </c>
      <c r="K67" s="7"/>
      <c r="L67" s="7">
        <f aca="true" t="shared" si="7" ref="L67:L74">K67+J67</f>
        <v>4603200</v>
      </c>
      <c r="M67" s="115">
        <f t="shared" si="3"/>
        <v>4603.2</v>
      </c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</row>
    <row r="68" spans="1:156" s="66" customFormat="1" ht="36" customHeight="1">
      <c r="A68" s="5"/>
      <c r="B68" s="5"/>
      <c r="C68" s="71" t="s">
        <v>133</v>
      </c>
      <c r="D68" s="63" t="s">
        <v>133</v>
      </c>
      <c r="E68" s="29"/>
      <c r="F68" s="64">
        <f t="shared" si="0"/>
        <v>0</v>
      </c>
      <c r="G68" s="29"/>
      <c r="H68" s="29"/>
      <c r="I68" s="64">
        <f t="shared" si="1"/>
        <v>0</v>
      </c>
      <c r="J68" s="7">
        <v>1600000</v>
      </c>
      <c r="K68" s="7"/>
      <c r="L68" s="7">
        <f t="shared" si="7"/>
        <v>1600000</v>
      </c>
      <c r="M68" s="115">
        <f t="shared" si="3"/>
        <v>1600</v>
      </c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</row>
    <row r="69" spans="1:156" s="66" customFormat="1" ht="36" customHeight="1">
      <c r="A69" s="5"/>
      <c r="B69" s="5"/>
      <c r="C69" s="71" t="s">
        <v>36</v>
      </c>
      <c r="D69" s="63" t="s">
        <v>36</v>
      </c>
      <c r="E69" s="29"/>
      <c r="F69" s="64">
        <f t="shared" si="0"/>
        <v>0</v>
      </c>
      <c r="G69" s="29"/>
      <c r="H69" s="29"/>
      <c r="I69" s="64">
        <f t="shared" si="1"/>
        <v>0</v>
      </c>
      <c r="J69" s="7">
        <v>2188500</v>
      </c>
      <c r="K69" s="7"/>
      <c r="L69" s="7">
        <f t="shared" si="7"/>
        <v>2188500</v>
      </c>
      <c r="M69" s="115">
        <f>ROUND(L69/1000,1)+1470</f>
        <v>3658.5</v>
      </c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</row>
    <row r="70" spans="1:156" s="66" customFormat="1" ht="36" customHeight="1">
      <c r="A70" s="5"/>
      <c r="B70" s="5"/>
      <c r="C70" s="71" t="s">
        <v>41</v>
      </c>
      <c r="D70" s="63" t="s">
        <v>41</v>
      </c>
      <c r="E70" s="29"/>
      <c r="F70" s="64">
        <f t="shared" si="0"/>
        <v>0</v>
      </c>
      <c r="G70" s="29"/>
      <c r="H70" s="29"/>
      <c r="I70" s="64">
        <f t="shared" si="1"/>
        <v>0</v>
      </c>
      <c r="J70" s="7">
        <v>2500000</v>
      </c>
      <c r="K70" s="7"/>
      <c r="L70" s="7">
        <f t="shared" si="7"/>
        <v>2500000</v>
      </c>
      <c r="M70" s="115">
        <f t="shared" si="3"/>
        <v>2500</v>
      </c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</row>
    <row r="71" spans="1:156" s="66" customFormat="1" ht="36" customHeight="1">
      <c r="A71" s="5"/>
      <c r="B71" s="5"/>
      <c r="C71" s="71" t="s">
        <v>112</v>
      </c>
      <c r="D71" s="63" t="s">
        <v>112</v>
      </c>
      <c r="E71" s="29"/>
      <c r="F71" s="64">
        <f t="shared" si="0"/>
        <v>0</v>
      </c>
      <c r="G71" s="29"/>
      <c r="H71" s="29"/>
      <c r="I71" s="64">
        <f t="shared" si="1"/>
        <v>0</v>
      </c>
      <c r="J71" s="7">
        <f>8200+14159</f>
        <v>22359</v>
      </c>
      <c r="K71" s="7"/>
      <c r="L71" s="7">
        <f t="shared" si="7"/>
        <v>22359</v>
      </c>
      <c r="M71" s="115">
        <f t="shared" si="3"/>
        <v>22.4</v>
      </c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</row>
    <row r="72" spans="1:156" s="66" customFormat="1" ht="36" customHeight="1">
      <c r="A72" s="5"/>
      <c r="B72" s="5"/>
      <c r="C72" s="71" t="s">
        <v>155</v>
      </c>
      <c r="D72" s="63" t="s">
        <v>155</v>
      </c>
      <c r="E72" s="29"/>
      <c r="F72" s="64">
        <f t="shared" si="0"/>
        <v>0</v>
      </c>
      <c r="G72" s="29"/>
      <c r="H72" s="29"/>
      <c r="I72" s="64">
        <f t="shared" si="1"/>
        <v>0</v>
      </c>
      <c r="J72" s="7">
        <v>1116250</v>
      </c>
      <c r="K72" s="7"/>
      <c r="L72" s="7">
        <f t="shared" si="7"/>
        <v>1116250</v>
      </c>
      <c r="M72" s="115">
        <f t="shared" si="3"/>
        <v>1116.3</v>
      </c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</row>
    <row r="73" spans="1:156" s="66" customFormat="1" ht="36" customHeight="1">
      <c r="A73" s="5"/>
      <c r="B73" s="5"/>
      <c r="C73" s="71" t="s">
        <v>47</v>
      </c>
      <c r="D73" s="63" t="s">
        <v>47</v>
      </c>
      <c r="E73" s="29"/>
      <c r="F73" s="64">
        <f t="shared" si="0"/>
        <v>0</v>
      </c>
      <c r="G73" s="29"/>
      <c r="H73" s="29"/>
      <c r="I73" s="64">
        <f t="shared" si="1"/>
        <v>0</v>
      </c>
      <c r="J73" s="7">
        <v>7769200</v>
      </c>
      <c r="K73" s="7">
        <f>4525000+444900</f>
        <v>4969900</v>
      </c>
      <c r="L73" s="7">
        <f t="shared" si="7"/>
        <v>12739100</v>
      </c>
      <c r="M73" s="115">
        <f t="shared" si="3"/>
        <v>12739.1</v>
      </c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</row>
    <row r="74" spans="1:156" s="66" customFormat="1" ht="20.25">
      <c r="A74" s="5">
        <v>250380</v>
      </c>
      <c r="B74" s="8" t="s">
        <v>99</v>
      </c>
      <c r="C74" s="67" t="s">
        <v>20</v>
      </c>
      <c r="D74" s="67" t="s">
        <v>11</v>
      </c>
      <c r="E74" s="29"/>
      <c r="F74" s="64">
        <f t="shared" si="0"/>
        <v>0</v>
      </c>
      <c r="G74" s="29"/>
      <c r="H74" s="29"/>
      <c r="I74" s="64">
        <f t="shared" si="1"/>
        <v>0</v>
      </c>
      <c r="J74" s="7">
        <v>750500</v>
      </c>
      <c r="K74" s="7"/>
      <c r="L74" s="7">
        <f t="shared" si="7"/>
        <v>750500</v>
      </c>
      <c r="M74" s="115">
        <f t="shared" si="3"/>
        <v>750.5</v>
      </c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</row>
    <row r="75" spans="1:156" s="66" customFormat="1" ht="20.25">
      <c r="A75" s="61"/>
      <c r="B75" s="61"/>
      <c r="C75" s="62" t="s">
        <v>225</v>
      </c>
      <c r="D75" s="67"/>
      <c r="E75" s="29"/>
      <c r="F75" s="64">
        <f t="shared" si="0"/>
        <v>0</v>
      </c>
      <c r="G75" s="29"/>
      <c r="H75" s="29"/>
      <c r="I75" s="64">
        <f t="shared" si="1"/>
        <v>0</v>
      </c>
      <c r="J75" s="6">
        <f>J76+J77</f>
        <v>381000</v>
      </c>
      <c r="K75" s="6">
        <f>K76+K77</f>
        <v>0</v>
      </c>
      <c r="L75" s="6">
        <f>L76+L77</f>
        <v>381000</v>
      </c>
      <c r="M75" s="114">
        <f>M76+M77</f>
        <v>481</v>
      </c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</row>
    <row r="76" spans="1:156" s="66" customFormat="1" ht="20.25">
      <c r="A76" s="8" t="s">
        <v>9</v>
      </c>
      <c r="B76" s="8" t="s">
        <v>78</v>
      </c>
      <c r="C76" s="63" t="s">
        <v>10</v>
      </c>
      <c r="D76" s="67" t="s">
        <v>11</v>
      </c>
      <c r="E76" s="29"/>
      <c r="F76" s="64">
        <f t="shared" si="0"/>
        <v>0</v>
      </c>
      <c r="G76" s="29"/>
      <c r="H76" s="29"/>
      <c r="I76" s="64">
        <f t="shared" si="1"/>
        <v>0</v>
      </c>
      <c r="J76" s="7">
        <v>240000</v>
      </c>
      <c r="K76" s="9"/>
      <c r="L76" s="7">
        <f>K76+J76</f>
        <v>240000</v>
      </c>
      <c r="M76" s="115">
        <f>ROUND(L76/1000,1)+100</f>
        <v>340</v>
      </c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</row>
    <row r="77" spans="1:13" s="65" customFormat="1" ht="20.25">
      <c r="A77" s="8" t="s">
        <v>21</v>
      </c>
      <c r="B77" s="8" t="s">
        <v>98</v>
      </c>
      <c r="C77" s="63" t="s">
        <v>37</v>
      </c>
      <c r="D77" s="67" t="s">
        <v>11</v>
      </c>
      <c r="E77" s="64"/>
      <c r="F77" s="64">
        <f t="shared" si="0"/>
        <v>0</v>
      </c>
      <c r="G77" s="84"/>
      <c r="H77" s="64"/>
      <c r="I77" s="64">
        <f t="shared" si="1"/>
        <v>0</v>
      </c>
      <c r="J77" s="7">
        <v>141000</v>
      </c>
      <c r="K77" s="9"/>
      <c r="L77" s="7">
        <f>K77+J77</f>
        <v>141000</v>
      </c>
      <c r="M77" s="115">
        <f t="shared" si="3"/>
        <v>141</v>
      </c>
    </row>
    <row r="78" spans="1:13" s="65" customFormat="1" ht="20.25">
      <c r="A78" s="8"/>
      <c r="B78" s="8"/>
      <c r="C78" s="62" t="s">
        <v>226</v>
      </c>
      <c r="D78" s="67"/>
      <c r="E78" s="64"/>
      <c r="F78" s="64">
        <f t="shared" si="0"/>
        <v>0</v>
      </c>
      <c r="G78" s="84"/>
      <c r="H78" s="64"/>
      <c r="I78" s="64">
        <f t="shared" si="1"/>
        <v>0</v>
      </c>
      <c r="J78" s="6">
        <f>J79</f>
        <v>182700</v>
      </c>
      <c r="K78" s="6">
        <f>K79</f>
        <v>0</v>
      </c>
      <c r="L78" s="6">
        <f>L79</f>
        <v>182700</v>
      </c>
      <c r="M78" s="114">
        <f>M79</f>
        <v>182.7</v>
      </c>
    </row>
    <row r="79" spans="1:13" s="65" customFormat="1" ht="20.25">
      <c r="A79" s="8" t="s">
        <v>9</v>
      </c>
      <c r="B79" s="8" t="s">
        <v>78</v>
      </c>
      <c r="C79" s="63" t="s">
        <v>10</v>
      </c>
      <c r="D79" s="67" t="s">
        <v>11</v>
      </c>
      <c r="E79" s="64"/>
      <c r="F79" s="64">
        <f t="shared" si="0"/>
        <v>0</v>
      </c>
      <c r="G79" s="84"/>
      <c r="H79" s="64"/>
      <c r="I79" s="64">
        <f t="shared" si="1"/>
        <v>0</v>
      </c>
      <c r="J79" s="7">
        <f>134100+48600</f>
        <v>182700</v>
      </c>
      <c r="K79" s="7"/>
      <c r="L79" s="7">
        <f>K79+J79</f>
        <v>182700</v>
      </c>
      <c r="M79" s="115">
        <f t="shared" si="3"/>
        <v>182.7</v>
      </c>
    </row>
    <row r="80" spans="1:156" s="58" customFormat="1" ht="20.25">
      <c r="A80" s="61"/>
      <c r="B80" s="61"/>
      <c r="C80" s="62" t="s">
        <v>227</v>
      </c>
      <c r="D80" s="67"/>
      <c r="E80" s="77"/>
      <c r="F80" s="64">
        <f t="shared" si="0"/>
        <v>0</v>
      </c>
      <c r="G80" s="77"/>
      <c r="H80" s="77"/>
      <c r="I80" s="64">
        <f t="shared" si="1"/>
        <v>0</v>
      </c>
      <c r="J80" s="6">
        <f>J81+J82+J83+J201+J199</f>
        <v>226356284.94</v>
      </c>
      <c r="K80" s="6">
        <f>K81+K82+K83+K201+K199</f>
        <v>5623234</v>
      </c>
      <c r="L80" s="6">
        <f>L81+L82+L83+L201+L199</f>
        <v>231979518.94</v>
      </c>
      <c r="M80" s="114">
        <f>M81+M82+M83+M201+M199</f>
        <v>231011.5</v>
      </c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</row>
    <row r="81" spans="1:156" s="58" customFormat="1" ht="20.25">
      <c r="A81" s="8" t="s">
        <v>14</v>
      </c>
      <c r="B81" s="8" t="s">
        <v>88</v>
      </c>
      <c r="C81" s="63" t="s">
        <v>15</v>
      </c>
      <c r="D81" s="67"/>
      <c r="E81" s="77"/>
      <c r="F81" s="64">
        <f aca="true" t="shared" si="8" ref="F81:F151">ROUND(E81/1000,1)</f>
        <v>0</v>
      </c>
      <c r="G81" s="77"/>
      <c r="H81" s="77"/>
      <c r="I81" s="64">
        <f aca="true" t="shared" si="9" ref="I81:I151">ROUND(H81/1000,1)</f>
        <v>0</v>
      </c>
      <c r="J81" s="7">
        <v>1724000</v>
      </c>
      <c r="K81" s="7"/>
      <c r="L81" s="7">
        <f>K81+J81</f>
        <v>1724000</v>
      </c>
      <c r="M81" s="115">
        <f aca="true" t="shared" si="10" ref="M81:M151">ROUND(L81/1000,1)</f>
        <v>1724</v>
      </c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</row>
    <row r="82" spans="1:156" s="58" customFormat="1" ht="20.25">
      <c r="A82" s="8" t="s">
        <v>27</v>
      </c>
      <c r="B82" s="8" t="s">
        <v>97</v>
      </c>
      <c r="C82" s="63" t="s">
        <v>16</v>
      </c>
      <c r="D82" s="67" t="s">
        <v>11</v>
      </c>
      <c r="E82" s="77"/>
      <c r="F82" s="64">
        <f t="shared" si="8"/>
        <v>0</v>
      </c>
      <c r="G82" s="77"/>
      <c r="H82" s="77"/>
      <c r="I82" s="64">
        <f t="shared" si="9"/>
        <v>0</v>
      </c>
      <c r="J82" s="7">
        <v>71252200</v>
      </c>
      <c r="K82" s="7">
        <v>2000000</v>
      </c>
      <c r="L82" s="7">
        <f>K82+J82</f>
        <v>73252200</v>
      </c>
      <c r="M82" s="115">
        <f>ROUND(L82/1000,1)+2000</f>
        <v>75252.2</v>
      </c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</row>
    <row r="83" spans="1:156" s="58" customFormat="1" ht="20.25">
      <c r="A83" s="59">
        <v>150101</v>
      </c>
      <c r="B83" s="8" t="s">
        <v>81</v>
      </c>
      <c r="C83" s="62" t="s">
        <v>4</v>
      </c>
      <c r="D83" s="67"/>
      <c r="E83" s="77">
        <f>E84+E133</f>
        <v>176430628</v>
      </c>
      <c r="F83" s="85">
        <f>F84+F133</f>
        <v>176430.6</v>
      </c>
      <c r="G83" s="77"/>
      <c r="H83" s="77">
        <f aca="true" t="shared" si="11" ref="H83:M83">H84+H133</f>
        <v>125582977</v>
      </c>
      <c r="I83" s="85">
        <f t="shared" si="11"/>
        <v>125582.9</v>
      </c>
      <c r="J83" s="11">
        <f t="shared" si="11"/>
        <v>141180084.94</v>
      </c>
      <c r="K83" s="11">
        <f t="shared" si="11"/>
        <v>723234</v>
      </c>
      <c r="L83" s="11">
        <f t="shared" si="11"/>
        <v>141903318.94</v>
      </c>
      <c r="M83" s="114">
        <f t="shared" si="11"/>
        <v>141835.3</v>
      </c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</row>
    <row r="84" spans="1:156" s="58" customFormat="1" ht="20.25">
      <c r="A84" s="59"/>
      <c r="B84" s="59"/>
      <c r="C84" s="86" t="s">
        <v>5</v>
      </c>
      <c r="D84" s="86" t="s">
        <v>5</v>
      </c>
      <c r="E84" s="87">
        <f>SUM(E85:E132)</f>
        <v>93694358</v>
      </c>
      <c r="F84" s="85">
        <f>SUM(F85:F132)</f>
        <v>93694.3</v>
      </c>
      <c r="G84" s="87"/>
      <c r="H84" s="87">
        <f aca="true" t="shared" si="12" ref="H84:M84">SUM(H85:H132)</f>
        <v>64427563</v>
      </c>
      <c r="I84" s="85">
        <f t="shared" si="12"/>
        <v>64427.600000000006</v>
      </c>
      <c r="J84" s="12">
        <f t="shared" si="12"/>
        <v>45811798</v>
      </c>
      <c r="K84" s="12">
        <f t="shared" si="12"/>
        <v>213234</v>
      </c>
      <c r="L84" s="12">
        <f t="shared" si="12"/>
        <v>46025032</v>
      </c>
      <c r="M84" s="114">
        <f t="shared" si="12"/>
        <v>46306.99999999999</v>
      </c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</row>
    <row r="85" spans="1:156" s="58" customFormat="1" ht="40.5">
      <c r="A85" s="63"/>
      <c r="B85" s="63"/>
      <c r="C85" s="88" t="s">
        <v>6</v>
      </c>
      <c r="D85" s="88" t="s">
        <v>6</v>
      </c>
      <c r="E85" s="64">
        <v>28556946</v>
      </c>
      <c r="F85" s="84">
        <f t="shared" si="8"/>
        <v>28556.9</v>
      </c>
      <c r="G85" s="5">
        <v>86</v>
      </c>
      <c r="H85" s="68">
        <v>24569887</v>
      </c>
      <c r="I85" s="84">
        <f t="shared" si="9"/>
        <v>24569.9</v>
      </c>
      <c r="J85" s="7">
        <f>1000000+850000</f>
        <v>1850000</v>
      </c>
      <c r="K85" s="7"/>
      <c r="L85" s="7">
        <f aca="true" t="shared" si="13" ref="L85:L132">K85+J85</f>
        <v>1850000</v>
      </c>
      <c r="M85" s="115">
        <f t="shared" si="10"/>
        <v>1850</v>
      </c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</row>
    <row r="86" spans="1:156" s="58" customFormat="1" ht="34.5" customHeight="1">
      <c r="A86" s="89"/>
      <c r="B86" s="89"/>
      <c r="C86" s="88" t="s">
        <v>111</v>
      </c>
      <c r="D86" s="88" t="s">
        <v>111</v>
      </c>
      <c r="E86" s="64"/>
      <c r="F86" s="84">
        <f t="shared" si="8"/>
        <v>0</v>
      </c>
      <c r="G86" s="84"/>
      <c r="H86" s="64"/>
      <c r="I86" s="84">
        <f t="shared" si="9"/>
        <v>0</v>
      </c>
      <c r="J86" s="7">
        <v>2500000</v>
      </c>
      <c r="K86" s="7"/>
      <c r="L86" s="7">
        <f t="shared" si="13"/>
        <v>2500000</v>
      </c>
      <c r="M86" s="115">
        <f t="shared" si="10"/>
        <v>2500</v>
      </c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</row>
    <row r="87" spans="1:156" s="58" customFormat="1" ht="54" customHeight="1">
      <c r="A87" s="89"/>
      <c r="B87" s="89"/>
      <c r="C87" s="88" t="s">
        <v>43</v>
      </c>
      <c r="D87" s="88" t="s">
        <v>43</v>
      </c>
      <c r="E87" s="64"/>
      <c r="F87" s="84">
        <f t="shared" si="8"/>
        <v>0</v>
      </c>
      <c r="G87" s="84"/>
      <c r="H87" s="64"/>
      <c r="I87" s="84">
        <f t="shared" si="9"/>
        <v>0</v>
      </c>
      <c r="J87" s="7">
        <f>3198625-110000-2575000</f>
        <v>513625</v>
      </c>
      <c r="K87" s="7"/>
      <c r="L87" s="7">
        <f t="shared" si="13"/>
        <v>513625</v>
      </c>
      <c r="M87" s="115">
        <f t="shared" si="10"/>
        <v>513.6</v>
      </c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</row>
    <row r="88" spans="1:156" s="58" customFormat="1" ht="39" customHeight="1">
      <c r="A88" s="59"/>
      <c r="B88" s="59"/>
      <c r="C88" s="88" t="s">
        <v>233</v>
      </c>
      <c r="D88" s="88" t="s">
        <v>102</v>
      </c>
      <c r="E88" s="68">
        <v>680490</v>
      </c>
      <c r="F88" s="84">
        <f t="shared" si="8"/>
        <v>680.5</v>
      </c>
      <c r="G88" s="90">
        <v>55.9</v>
      </c>
      <c r="H88" s="68">
        <v>380490</v>
      </c>
      <c r="I88" s="84">
        <f t="shared" si="9"/>
        <v>380.5</v>
      </c>
      <c r="J88" s="7">
        <f>380000-89000-230000</f>
        <v>61000</v>
      </c>
      <c r="K88" s="7"/>
      <c r="L88" s="7">
        <f t="shared" si="13"/>
        <v>61000</v>
      </c>
      <c r="M88" s="115">
        <f t="shared" si="10"/>
        <v>61</v>
      </c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</row>
    <row r="89" spans="1:156" s="58" customFormat="1" ht="40.5">
      <c r="A89" s="89"/>
      <c r="B89" s="89"/>
      <c r="C89" s="88" t="s">
        <v>234</v>
      </c>
      <c r="D89" s="88" t="s">
        <v>113</v>
      </c>
      <c r="E89" s="64"/>
      <c r="F89" s="84">
        <f t="shared" si="8"/>
        <v>0</v>
      </c>
      <c r="G89" s="84"/>
      <c r="H89" s="64"/>
      <c r="I89" s="84">
        <f t="shared" si="9"/>
        <v>0</v>
      </c>
      <c r="J89" s="7">
        <v>250000</v>
      </c>
      <c r="K89" s="7"/>
      <c r="L89" s="7">
        <f t="shared" si="13"/>
        <v>250000</v>
      </c>
      <c r="M89" s="115">
        <f t="shared" si="10"/>
        <v>250</v>
      </c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</row>
    <row r="90" spans="1:156" s="58" customFormat="1" ht="28.5" customHeight="1">
      <c r="A90" s="63"/>
      <c r="B90" s="63"/>
      <c r="C90" s="88" t="s">
        <v>39</v>
      </c>
      <c r="D90" s="88" t="s">
        <v>39</v>
      </c>
      <c r="E90" s="64">
        <v>12997832</v>
      </c>
      <c r="F90" s="84">
        <f t="shared" si="8"/>
        <v>12997.8</v>
      </c>
      <c r="G90" s="5">
        <v>47.7</v>
      </c>
      <c r="H90" s="68">
        <v>6200933</v>
      </c>
      <c r="I90" s="84">
        <f t="shared" si="9"/>
        <v>6200.9</v>
      </c>
      <c r="J90" s="7">
        <f>3000000+2000000-320000</f>
        <v>4680000</v>
      </c>
      <c r="K90" s="7">
        <v>-500000</v>
      </c>
      <c r="L90" s="7">
        <f t="shared" si="13"/>
        <v>4180000</v>
      </c>
      <c r="M90" s="115">
        <f t="shared" si="10"/>
        <v>4180</v>
      </c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</row>
    <row r="91" spans="1:156" s="58" customFormat="1" ht="28.5" customHeight="1">
      <c r="A91" s="89"/>
      <c r="B91" s="89"/>
      <c r="C91" s="88" t="s">
        <v>123</v>
      </c>
      <c r="D91" s="88" t="s">
        <v>123</v>
      </c>
      <c r="E91" s="64"/>
      <c r="F91" s="84">
        <f t="shared" si="8"/>
        <v>0</v>
      </c>
      <c r="G91" s="84"/>
      <c r="H91" s="64"/>
      <c r="I91" s="84">
        <f t="shared" si="9"/>
        <v>0</v>
      </c>
      <c r="J91" s="7">
        <v>2000000</v>
      </c>
      <c r="K91" s="7"/>
      <c r="L91" s="7">
        <f t="shared" si="13"/>
        <v>2000000</v>
      </c>
      <c r="M91" s="115">
        <f t="shared" si="10"/>
        <v>2000</v>
      </c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</row>
    <row r="92" spans="1:156" s="58" customFormat="1" ht="28.5" customHeight="1">
      <c r="A92" s="89"/>
      <c r="B92" s="89"/>
      <c r="C92" s="88" t="s">
        <v>183</v>
      </c>
      <c r="D92" s="88" t="s">
        <v>183</v>
      </c>
      <c r="E92" s="64"/>
      <c r="F92" s="84">
        <f t="shared" si="8"/>
        <v>0</v>
      </c>
      <c r="G92" s="84"/>
      <c r="H92" s="64"/>
      <c r="I92" s="84">
        <f t="shared" si="9"/>
        <v>0</v>
      </c>
      <c r="J92" s="7">
        <v>50000</v>
      </c>
      <c r="K92" s="7"/>
      <c r="L92" s="7">
        <f t="shared" si="13"/>
        <v>50000</v>
      </c>
      <c r="M92" s="115">
        <f t="shared" si="10"/>
        <v>50</v>
      </c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</row>
    <row r="93" spans="1:156" s="58" customFormat="1" ht="40.5">
      <c r="A93" s="89"/>
      <c r="B93" s="89"/>
      <c r="C93" s="88" t="s">
        <v>153</v>
      </c>
      <c r="D93" s="88" t="s">
        <v>153</v>
      </c>
      <c r="E93" s="64"/>
      <c r="F93" s="84">
        <f t="shared" si="8"/>
        <v>0</v>
      </c>
      <c r="G93" s="84"/>
      <c r="H93" s="64"/>
      <c r="I93" s="84">
        <f t="shared" si="9"/>
        <v>0</v>
      </c>
      <c r="J93" s="7">
        <v>800000</v>
      </c>
      <c r="K93" s="7"/>
      <c r="L93" s="7">
        <f t="shared" si="13"/>
        <v>800000</v>
      </c>
      <c r="M93" s="115">
        <f t="shared" si="10"/>
        <v>800</v>
      </c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</row>
    <row r="94" spans="1:156" s="58" customFormat="1" ht="40.5">
      <c r="A94" s="89"/>
      <c r="B94" s="89"/>
      <c r="C94" s="88" t="s">
        <v>200</v>
      </c>
      <c r="D94" s="88" t="s">
        <v>200</v>
      </c>
      <c r="E94" s="64"/>
      <c r="F94" s="84">
        <f t="shared" si="8"/>
        <v>0</v>
      </c>
      <c r="G94" s="84"/>
      <c r="H94" s="64"/>
      <c r="I94" s="84">
        <f t="shared" si="9"/>
        <v>0</v>
      </c>
      <c r="J94" s="7">
        <v>100000</v>
      </c>
      <c r="K94" s="7"/>
      <c r="L94" s="7">
        <f t="shared" si="13"/>
        <v>100000</v>
      </c>
      <c r="M94" s="115">
        <f t="shared" si="10"/>
        <v>100</v>
      </c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</row>
    <row r="95" spans="1:156" s="58" customFormat="1" ht="40.5">
      <c r="A95" s="89"/>
      <c r="B95" s="89"/>
      <c r="C95" s="88" t="s">
        <v>124</v>
      </c>
      <c r="D95" s="88" t="s">
        <v>124</v>
      </c>
      <c r="E95" s="64"/>
      <c r="F95" s="84">
        <f t="shared" si="8"/>
        <v>0</v>
      </c>
      <c r="G95" s="84"/>
      <c r="H95" s="64"/>
      <c r="I95" s="84">
        <f t="shared" si="9"/>
        <v>0</v>
      </c>
      <c r="J95" s="7">
        <v>1000000</v>
      </c>
      <c r="K95" s="7"/>
      <c r="L95" s="7">
        <f t="shared" si="13"/>
        <v>1000000</v>
      </c>
      <c r="M95" s="115">
        <f t="shared" si="10"/>
        <v>1000</v>
      </c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</row>
    <row r="96" spans="1:156" s="58" customFormat="1" ht="40.5">
      <c r="A96" s="89"/>
      <c r="B96" s="89"/>
      <c r="C96" s="88" t="s">
        <v>122</v>
      </c>
      <c r="D96" s="88" t="s">
        <v>122</v>
      </c>
      <c r="E96" s="64">
        <v>19937315</v>
      </c>
      <c r="F96" s="84">
        <f t="shared" si="8"/>
        <v>19937.3</v>
      </c>
      <c r="G96" s="84">
        <v>98.3</v>
      </c>
      <c r="H96" s="64">
        <v>19595302</v>
      </c>
      <c r="I96" s="84">
        <f t="shared" si="9"/>
        <v>19595.3</v>
      </c>
      <c r="J96" s="7">
        <v>500000</v>
      </c>
      <c r="K96" s="7"/>
      <c r="L96" s="7">
        <f t="shared" si="13"/>
        <v>500000</v>
      </c>
      <c r="M96" s="115">
        <f t="shared" si="10"/>
        <v>500</v>
      </c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</row>
    <row r="97" spans="1:156" s="58" customFormat="1" ht="40.5">
      <c r="A97" s="89"/>
      <c r="B97" s="89"/>
      <c r="C97" s="88" t="s">
        <v>26</v>
      </c>
      <c r="D97" s="88" t="s">
        <v>26</v>
      </c>
      <c r="E97" s="64">
        <v>27952784</v>
      </c>
      <c r="F97" s="84">
        <f t="shared" si="8"/>
        <v>27952.8</v>
      </c>
      <c r="G97" s="84">
        <v>36.5</v>
      </c>
      <c r="H97" s="64">
        <v>10189981</v>
      </c>
      <c r="I97" s="84">
        <f t="shared" si="9"/>
        <v>10190</v>
      </c>
      <c r="J97" s="7">
        <v>5000000</v>
      </c>
      <c r="K97" s="7"/>
      <c r="L97" s="7">
        <f t="shared" si="13"/>
        <v>5000000</v>
      </c>
      <c r="M97" s="115">
        <f t="shared" si="10"/>
        <v>5000</v>
      </c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</row>
    <row r="98" spans="1:156" s="58" customFormat="1" ht="39.75" customHeight="1">
      <c r="A98" s="89"/>
      <c r="B98" s="89"/>
      <c r="C98" s="88" t="s">
        <v>125</v>
      </c>
      <c r="D98" s="88" t="s">
        <v>125</v>
      </c>
      <c r="E98" s="64">
        <v>3568991</v>
      </c>
      <c r="F98" s="84">
        <f t="shared" si="8"/>
        <v>3569</v>
      </c>
      <c r="G98" s="84">
        <v>97.8</v>
      </c>
      <c r="H98" s="64">
        <v>3490970</v>
      </c>
      <c r="I98" s="84">
        <f t="shared" si="9"/>
        <v>3491</v>
      </c>
      <c r="J98" s="7">
        <f>5400000-500000</f>
        <v>4900000</v>
      </c>
      <c r="K98" s="7"/>
      <c r="L98" s="7">
        <f t="shared" si="13"/>
        <v>4900000</v>
      </c>
      <c r="M98" s="115">
        <f t="shared" si="10"/>
        <v>4900</v>
      </c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</row>
    <row r="99" spans="1:156" s="58" customFormat="1" ht="40.5">
      <c r="A99" s="89"/>
      <c r="B99" s="89"/>
      <c r="C99" s="88" t="s">
        <v>235</v>
      </c>
      <c r="D99" s="88" t="s">
        <v>76</v>
      </c>
      <c r="E99" s="64"/>
      <c r="F99" s="84">
        <f t="shared" si="8"/>
        <v>0</v>
      </c>
      <c r="G99" s="84"/>
      <c r="H99" s="64"/>
      <c r="I99" s="84">
        <f t="shared" si="9"/>
        <v>0</v>
      </c>
      <c r="J99" s="7">
        <f>9000000+8000000</f>
        <v>17000000</v>
      </c>
      <c r="K99" s="7"/>
      <c r="L99" s="7">
        <f t="shared" si="13"/>
        <v>17000000</v>
      </c>
      <c r="M99" s="115">
        <f t="shared" si="10"/>
        <v>17000</v>
      </c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</row>
    <row r="100" spans="1:156" s="58" customFormat="1" ht="20.25">
      <c r="A100" s="89"/>
      <c r="B100" s="89"/>
      <c r="C100" s="88" t="s">
        <v>134</v>
      </c>
      <c r="D100" s="88" t="s">
        <v>134</v>
      </c>
      <c r="E100" s="64"/>
      <c r="F100" s="84">
        <f t="shared" si="8"/>
        <v>0</v>
      </c>
      <c r="G100" s="84"/>
      <c r="H100" s="64"/>
      <c r="I100" s="84">
        <f t="shared" si="9"/>
        <v>0</v>
      </c>
      <c r="J100" s="7">
        <v>500000</v>
      </c>
      <c r="K100" s="7"/>
      <c r="L100" s="7">
        <f t="shared" si="13"/>
        <v>500000</v>
      </c>
      <c r="M100" s="115">
        <f t="shared" si="10"/>
        <v>500</v>
      </c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</row>
    <row r="101" spans="1:156" s="58" customFormat="1" ht="20.25">
      <c r="A101" s="89"/>
      <c r="B101" s="89"/>
      <c r="C101" s="88" t="s">
        <v>150</v>
      </c>
      <c r="D101" s="88" t="s">
        <v>150</v>
      </c>
      <c r="E101" s="64"/>
      <c r="F101" s="84">
        <f t="shared" si="8"/>
        <v>0</v>
      </c>
      <c r="G101" s="84"/>
      <c r="H101" s="64"/>
      <c r="I101" s="84">
        <f t="shared" si="9"/>
        <v>0</v>
      </c>
      <c r="J101" s="7">
        <v>500000</v>
      </c>
      <c r="K101" s="7"/>
      <c r="L101" s="7">
        <f t="shared" si="13"/>
        <v>500000</v>
      </c>
      <c r="M101" s="115">
        <f t="shared" si="10"/>
        <v>500</v>
      </c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</row>
    <row r="102" spans="1:156" s="58" customFormat="1" ht="20.25">
      <c r="A102" s="89"/>
      <c r="B102" s="89"/>
      <c r="C102" s="88" t="s">
        <v>151</v>
      </c>
      <c r="D102" s="88" t="s">
        <v>151</v>
      </c>
      <c r="E102" s="64"/>
      <c r="F102" s="84">
        <f t="shared" si="8"/>
        <v>0</v>
      </c>
      <c r="G102" s="84"/>
      <c r="H102" s="64"/>
      <c r="I102" s="84">
        <f t="shared" si="9"/>
        <v>0</v>
      </c>
      <c r="J102" s="7">
        <v>1000000</v>
      </c>
      <c r="K102" s="7"/>
      <c r="L102" s="7">
        <f t="shared" si="13"/>
        <v>1000000</v>
      </c>
      <c r="M102" s="115">
        <f t="shared" si="10"/>
        <v>1000</v>
      </c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</row>
    <row r="103" spans="1:156" s="58" customFormat="1" ht="40.5">
      <c r="A103" s="89"/>
      <c r="B103" s="89"/>
      <c r="C103" s="88" t="s">
        <v>177</v>
      </c>
      <c r="D103" s="88" t="s">
        <v>177</v>
      </c>
      <c r="E103" s="64"/>
      <c r="F103" s="84">
        <f t="shared" si="8"/>
        <v>0</v>
      </c>
      <c r="G103" s="84"/>
      <c r="H103" s="64"/>
      <c r="I103" s="84">
        <f t="shared" si="9"/>
        <v>0</v>
      </c>
      <c r="J103" s="7">
        <v>50000</v>
      </c>
      <c r="K103" s="7"/>
      <c r="L103" s="7">
        <f t="shared" si="13"/>
        <v>50000</v>
      </c>
      <c r="M103" s="115">
        <f t="shared" si="10"/>
        <v>50</v>
      </c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</row>
    <row r="104" spans="1:156" s="58" customFormat="1" ht="55.5" customHeight="1">
      <c r="A104" s="89"/>
      <c r="B104" s="89"/>
      <c r="C104" s="88" t="s">
        <v>215</v>
      </c>
      <c r="D104" s="88" t="s">
        <v>215</v>
      </c>
      <c r="E104" s="64"/>
      <c r="F104" s="84">
        <f t="shared" si="8"/>
        <v>0</v>
      </c>
      <c r="G104" s="84"/>
      <c r="H104" s="64"/>
      <c r="I104" s="84">
        <f t="shared" si="9"/>
        <v>0</v>
      </c>
      <c r="J104" s="7"/>
      <c r="K104" s="7">
        <v>490000</v>
      </c>
      <c r="L104" s="7">
        <f t="shared" si="13"/>
        <v>490000</v>
      </c>
      <c r="M104" s="115">
        <f t="shared" si="10"/>
        <v>490</v>
      </c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</row>
    <row r="105" spans="1:156" s="58" customFormat="1" ht="33" customHeight="1">
      <c r="A105" s="89"/>
      <c r="B105" s="89"/>
      <c r="C105" s="88" t="s">
        <v>169</v>
      </c>
      <c r="D105" s="88" t="s">
        <v>169</v>
      </c>
      <c r="E105" s="64"/>
      <c r="F105" s="84">
        <f t="shared" si="8"/>
        <v>0</v>
      </c>
      <c r="G105" s="84"/>
      <c r="H105" s="64"/>
      <c r="I105" s="84">
        <f t="shared" si="9"/>
        <v>0</v>
      </c>
      <c r="J105" s="7">
        <f>300000-15000</f>
        <v>285000</v>
      </c>
      <c r="K105" s="7"/>
      <c r="L105" s="7">
        <f t="shared" si="13"/>
        <v>285000</v>
      </c>
      <c r="M105" s="115">
        <f t="shared" si="10"/>
        <v>285</v>
      </c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</row>
    <row r="106" spans="1:156" s="58" customFormat="1" ht="42.75" customHeight="1">
      <c r="A106" s="89"/>
      <c r="B106" s="89"/>
      <c r="C106" s="88" t="s">
        <v>178</v>
      </c>
      <c r="D106" s="88" t="s">
        <v>178</v>
      </c>
      <c r="E106" s="64"/>
      <c r="F106" s="84">
        <f t="shared" si="8"/>
        <v>0</v>
      </c>
      <c r="G106" s="84"/>
      <c r="H106" s="64"/>
      <c r="I106" s="84">
        <f t="shared" si="9"/>
        <v>0</v>
      </c>
      <c r="J106" s="7">
        <v>80000</v>
      </c>
      <c r="K106" s="7"/>
      <c r="L106" s="7">
        <f t="shared" si="13"/>
        <v>80000</v>
      </c>
      <c r="M106" s="115">
        <f t="shared" si="10"/>
        <v>80</v>
      </c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</row>
    <row r="107" spans="1:156" s="58" customFormat="1" ht="58.5" customHeight="1">
      <c r="A107" s="89"/>
      <c r="B107" s="89"/>
      <c r="C107" s="88" t="s">
        <v>179</v>
      </c>
      <c r="D107" s="88" t="s">
        <v>179</v>
      </c>
      <c r="E107" s="64"/>
      <c r="F107" s="84">
        <f t="shared" si="8"/>
        <v>0</v>
      </c>
      <c r="G107" s="84"/>
      <c r="H107" s="64"/>
      <c r="I107" s="84">
        <f t="shared" si="9"/>
        <v>0</v>
      </c>
      <c r="J107" s="7">
        <v>100000</v>
      </c>
      <c r="K107" s="7"/>
      <c r="L107" s="7">
        <f t="shared" si="13"/>
        <v>100000</v>
      </c>
      <c r="M107" s="115">
        <f t="shared" si="10"/>
        <v>100</v>
      </c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</row>
    <row r="108" spans="1:156" s="58" customFormat="1" ht="28.5" customHeight="1">
      <c r="A108" s="89"/>
      <c r="B108" s="89"/>
      <c r="C108" s="88" t="s">
        <v>188</v>
      </c>
      <c r="D108" s="88" t="s">
        <v>188</v>
      </c>
      <c r="E108" s="64"/>
      <c r="F108" s="84">
        <f t="shared" si="8"/>
        <v>0</v>
      </c>
      <c r="G108" s="84"/>
      <c r="H108" s="64"/>
      <c r="I108" s="84">
        <f t="shared" si="9"/>
        <v>0</v>
      </c>
      <c r="J108" s="7">
        <v>57000</v>
      </c>
      <c r="K108" s="7"/>
      <c r="L108" s="7">
        <f t="shared" si="13"/>
        <v>57000</v>
      </c>
      <c r="M108" s="115">
        <f t="shared" si="10"/>
        <v>57</v>
      </c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</row>
    <row r="109" spans="1:156" s="58" customFormat="1" ht="28.5" customHeight="1">
      <c r="A109" s="89"/>
      <c r="B109" s="89"/>
      <c r="C109" s="88" t="s">
        <v>255</v>
      </c>
      <c r="D109" s="88"/>
      <c r="E109" s="64"/>
      <c r="F109" s="84"/>
      <c r="G109" s="84"/>
      <c r="H109" s="64"/>
      <c r="I109" s="84"/>
      <c r="J109" s="7"/>
      <c r="K109" s="7"/>
      <c r="L109" s="7"/>
      <c r="M109" s="115">
        <v>50</v>
      </c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</row>
    <row r="110" spans="1:156" s="58" customFormat="1" ht="28.5" customHeight="1">
      <c r="A110" s="89"/>
      <c r="B110" s="89"/>
      <c r="C110" s="88" t="s">
        <v>109</v>
      </c>
      <c r="D110" s="88" t="s">
        <v>109</v>
      </c>
      <c r="E110" s="64"/>
      <c r="F110" s="84">
        <f t="shared" si="8"/>
        <v>0</v>
      </c>
      <c r="G110" s="84"/>
      <c r="H110" s="64"/>
      <c r="I110" s="84">
        <f t="shared" si="9"/>
        <v>0</v>
      </c>
      <c r="J110" s="7">
        <f>1000000+40000+120000</f>
        <v>1160000</v>
      </c>
      <c r="K110" s="7"/>
      <c r="L110" s="7">
        <f t="shared" si="13"/>
        <v>1160000</v>
      </c>
      <c r="M110" s="115">
        <f t="shared" si="10"/>
        <v>1160</v>
      </c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</row>
    <row r="111" spans="1:156" s="58" customFormat="1" ht="28.5" customHeight="1" hidden="1">
      <c r="A111" s="89"/>
      <c r="B111" s="89"/>
      <c r="C111" s="88"/>
      <c r="D111" s="88"/>
      <c r="E111" s="64"/>
      <c r="F111" s="84">
        <f t="shared" si="8"/>
        <v>0</v>
      </c>
      <c r="G111" s="84"/>
      <c r="H111" s="64"/>
      <c r="I111" s="84">
        <f t="shared" si="9"/>
        <v>0</v>
      </c>
      <c r="J111" s="7"/>
      <c r="K111" s="7"/>
      <c r="L111" s="7"/>
      <c r="M111" s="115">
        <f t="shared" si="10"/>
        <v>0</v>
      </c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  <c r="EQ111" s="57"/>
      <c r="ER111" s="57"/>
      <c r="ES111" s="57"/>
      <c r="ET111" s="57"/>
      <c r="EU111" s="57"/>
      <c r="EV111" s="57"/>
      <c r="EW111" s="57"/>
      <c r="EX111" s="57"/>
      <c r="EY111" s="57"/>
      <c r="EZ111" s="57"/>
    </row>
    <row r="112" spans="1:156" s="58" customFormat="1" ht="28.5" customHeight="1">
      <c r="A112" s="89"/>
      <c r="B112" s="89"/>
      <c r="C112" s="88" t="s">
        <v>166</v>
      </c>
      <c r="D112" s="88" t="s">
        <v>166</v>
      </c>
      <c r="E112" s="64"/>
      <c r="F112" s="84">
        <f t="shared" si="8"/>
        <v>0</v>
      </c>
      <c r="G112" s="84"/>
      <c r="H112" s="64"/>
      <c r="I112" s="84">
        <f t="shared" si="9"/>
        <v>0</v>
      </c>
      <c r="J112" s="7">
        <v>150000</v>
      </c>
      <c r="K112" s="7"/>
      <c r="L112" s="7">
        <f t="shared" si="13"/>
        <v>150000</v>
      </c>
      <c r="M112" s="115">
        <f t="shared" si="10"/>
        <v>150</v>
      </c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  <c r="EI112" s="57"/>
      <c r="EJ112" s="57"/>
      <c r="EK112" s="57"/>
      <c r="EL112" s="57"/>
      <c r="EM112" s="57"/>
      <c r="EN112" s="57"/>
      <c r="EO112" s="57"/>
      <c r="EP112" s="57"/>
      <c r="EQ112" s="57"/>
      <c r="ER112" s="57"/>
      <c r="ES112" s="57"/>
      <c r="ET112" s="57"/>
      <c r="EU112" s="57"/>
      <c r="EV112" s="57"/>
      <c r="EW112" s="57"/>
      <c r="EX112" s="57"/>
      <c r="EY112" s="57"/>
      <c r="EZ112" s="57"/>
    </row>
    <row r="113" spans="1:156" s="58" customFormat="1" ht="28.5" customHeight="1">
      <c r="A113" s="89"/>
      <c r="B113" s="89"/>
      <c r="C113" s="88" t="s">
        <v>165</v>
      </c>
      <c r="D113" s="88" t="s">
        <v>165</v>
      </c>
      <c r="E113" s="64"/>
      <c r="F113" s="84">
        <f t="shared" si="8"/>
        <v>0</v>
      </c>
      <c r="G113" s="84"/>
      <c r="H113" s="64"/>
      <c r="I113" s="84">
        <f t="shared" si="9"/>
        <v>0</v>
      </c>
      <c r="J113" s="7">
        <f>50000+15000</f>
        <v>65000</v>
      </c>
      <c r="K113" s="7"/>
      <c r="L113" s="7">
        <f t="shared" si="13"/>
        <v>65000</v>
      </c>
      <c r="M113" s="115">
        <f t="shared" si="10"/>
        <v>65</v>
      </c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7"/>
      <c r="EY113" s="57"/>
      <c r="EZ113" s="57"/>
    </row>
    <row r="114" spans="1:156" s="58" customFormat="1" ht="40.5" customHeight="1">
      <c r="A114" s="89"/>
      <c r="B114" s="89"/>
      <c r="C114" s="88" t="s">
        <v>164</v>
      </c>
      <c r="D114" s="88" t="s">
        <v>164</v>
      </c>
      <c r="E114" s="64"/>
      <c r="F114" s="84">
        <f t="shared" si="8"/>
        <v>0</v>
      </c>
      <c r="G114" s="84"/>
      <c r="H114" s="64"/>
      <c r="I114" s="84">
        <f t="shared" si="9"/>
        <v>0</v>
      </c>
      <c r="J114" s="7">
        <v>57000</v>
      </c>
      <c r="K114" s="7"/>
      <c r="L114" s="7">
        <f t="shared" si="13"/>
        <v>57000</v>
      </c>
      <c r="M114" s="115">
        <f t="shared" si="10"/>
        <v>57</v>
      </c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  <c r="EJ114" s="57"/>
      <c r="EK114" s="57"/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7"/>
      <c r="EY114" s="57"/>
      <c r="EZ114" s="57"/>
    </row>
    <row r="115" spans="1:156" s="58" customFormat="1" ht="28.5" customHeight="1">
      <c r="A115" s="89"/>
      <c r="B115" s="89"/>
      <c r="C115" s="88" t="s">
        <v>158</v>
      </c>
      <c r="D115" s="88" t="s">
        <v>158</v>
      </c>
      <c r="E115" s="64"/>
      <c r="F115" s="84">
        <f t="shared" si="8"/>
        <v>0</v>
      </c>
      <c r="G115" s="84"/>
      <c r="H115" s="64"/>
      <c r="I115" s="84">
        <f t="shared" si="9"/>
        <v>0</v>
      </c>
      <c r="J115" s="7">
        <v>57000</v>
      </c>
      <c r="K115" s="7"/>
      <c r="L115" s="7">
        <f t="shared" si="13"/>
        <v>57000</v>
      </c>
      <c r="M115" s="115">
        <f t="shared" si="10"/>
        <v>57</v>
      </c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/>
      <c r="EF115" s="57"/>
      <c r="EG115" s="57"/>
      <c r="EH115" s="57"/>
      <c r="EI115" s="57"/>
      <c r="EJ115" s="57"/>
      <c r="EK115" s="57"/>
      <c r="EL115" s="57"/>
      <c r="EM115" s="57"/>
      <c r="EN115" s="57"/>
      <c r="EO115" s="57"/>
      <c r="EP115" s="57"/>
      <c r="EQ115" s="57"/>
      <c r="ER115" s="57"/>
      <c r="ES115" s="57"/>
      <c r="ET115" s="57"/>
      <c r="EU115" s="57"/>
      <c r="EV115" s="57"/>
      <c r="EW115" s="57"/>
      <c r="EX115" s="57"/>
      <c r="EY115" s="57"/>
      <c r="EZ115" s="57"/>
    </row>
    <row r="116" spans="1:156" s="58" customFormat="1" ht="48" customHeight="1">
      <c r="A116" s="89"/>
      <c r="B116" s="89"/>
      <c r="C116" s="88" t="s">
        <v>157</v>
      </c>
      <c r="D116" s="88" t="s">
        <v>157</v>
      </c>
      <c r="E116" s="64"/>
      <c r="F116" s="84">
        <f t="shared" si="8"/>
        <v>0</v>
      </c>
      <c r="G116" s="84"/>
      <c r="H116" s="64"/>
      <c r="I116" s="84">
        <f t="shared" si="9"/>
        <v>0</v>
      </c>
      <c r="J116" s="7">
        <v>57000</v>
      </c>
      <c r="K116" s="7"/>
      <c r="L116" s="7">
        <f t="shared" si="13"/>
        <v>57000</v>
      </c>
      <c r="M116" s="115">
        <f t="shared" si="10"/>
        <v>57</v>
      </c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/>
      <c r="EF116" s="57"/>
      <c r="EG116" s="57"/>
      <c r="EH116" s="57"/>
      <c r="EI116" s="57"/>
      <c r="EJ116" s="57"/>
      <c r="EK116" s="57"/>
      <c r="EL116" s="57"/>
      <c r="EM116" s="57"/>
      <c r="EN116" s="57"/>
      <c r="EO116" s="57"/>
      <c r="EP116" s="57"/>
      <c r="EQ116" s="57"/>
      <c r="ER116" s="57"/>
      <c r="ES116" s="57"/>
      <c r="ET116" s="57"/>
      <c r="EU116" s="57"/>
      <c r="EV116" s="57"/>
      <c r="EW116" s="57"/>
      <c r="EX116" s="57"/>
      <c r="EY116" s="57"/>
      <c r="EZ116" s="57"/>
    </row>
    <row r="117" spans="1:156" s="58" customFormat="1" ht="28.5" customHeight="1">
      <c r="A117" s="89"/>
      <c r="B117" s="89"/>
      <c r="C117" s="88" t="s">
        <v>202</v>
      </c>
      <c r="D117" s="88" t="s">
        <v>202</v>
      </c>
      <c r="E117" s="64"/>
      <c r="F117" s="84">
        <f t="shared" si="8"/>
        <v>0</v>
      </c>
      <c r="G117" s="84"/>
      <c r="H117" s="64"/>
      <c r="I117" s="84">
        <f t="shared" si="9"/>
        <v>0</v>
      </c>
      <c r="J117" s="7">
        <v>45000</v>
      </c>
      <c r="K117" s="7"/>
      <c r="L117" s="7">
        <f t="shared" si="13"/>
        <v>45000</v>
      </c>
      <c r="M117" s="115">
        <f t="shared" si="10"/>
        <v>45</v>
      </c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  <c r="EI117" s="57"/>
      <c r="EJ117" s="57"/>
      <c r="EK117" s="57"/>
      <c r="EL117" s="57"/>
      <c r="EM117" s="57"/>
      <c r="EN117" s="57"/>
      <c r="EO117" s="57"/>
      <c r="EP117" s="57"/>
      <c r="EQ117" s="57"/>
      <c r="ER117" s="57"/>
      <c r="ES117" s="57"/>
      <c r="ET117" s="57"/>
      <c r="EU117" s="57"/>
      <c r="EV117" s="57"/>
      <c r="EW117" s="57"/>
      <c r="EX117" s="57"/>
      <c r="EY117" s="57"/>
      <c r="EZ117" s="57"/>
    </row>
    <row r="118" spans="1:156" s="58" customFormat="1" ht="28.5" customHeight="1">
      <c r="A118" s="89"/>
      <c r="B118" s="89"/>
      <c r="C118" s="88" t="s">
        <v>204</v>
      </c>
      <c r="D118" s="88" t="s">
        <v>204</v>
      </c>
      <c r="E118" s="64"/>
      <c r="F118" s="84">
        <f t="shared" si="8"/>
        <v>0</v>
      </c>
      <c r="G118" s="84"/>
      <c r="H118" s="64"/>
      <c r="I118" s="84">
        <f t="shared" si="9"/>
        <v>0</v>
      </c>
      <c r="J118" s="7"/>
      <c r="K118" s="7">
        <v>47628</v>
      </c>
      <c r="L118" s="7">
        <f t="shared" si="13"/>
        <v>47628</v>
      </c>
      <c r="M118" s="115">
        <f t="shared" si="10"/>
        <v>47.6</v>
      </c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57"/>
      <c r="EF118" s="57"/>
      <c r="EG118" s="57"/>
      <c r="EH118" s="57"/>
      <c r="EI118" s="57"/>
      <c r="EJ118" s="57"/>
      <c r="EK118" s="57"/>
      <c r="EL118" s="57"/>
      <c r="EM118" s="57"/>
      <c r="EN118" s="57"/>
      <c r="EO118" s="57"/>
      <c r="EP118" s="57"/>
      <c r="EQ118" s="57"/>
      <c r="ER118" s="57"/>
      <c r="ES118" s="57"/>
      <c r="ET118" s="57"/>
      <c r="EU118" s="57"/>
      <c r="EV118" s="57"/>
      <c r="EW118" s="57"/>
      <c r="EX118" s="57"/>
      <c r="EY118" s="57"/>
      <c r="EZ118" s="57"/>
    </row>
    <row r="119" spans="1:156" s="58" customFormat="1" ht="28.5" customHeight="1">
      <c r="A119" s="89"/>
      <c r="B119" s="89"/>
      <c r="C119" s="88" t="s">
        <v>205</v>
      </c>
      <c r="D119" s="88" t="s">
        <v>205</v>
      </c>
      <c r="E119" s="64"/>
      <c r="F119" s="84">
        <f t="shared" si="8"/>
        <v>0</v>
      </c>
      <c r="G119" s="84"/>
      <c r="H119" s="64"/>
      <c r="I119" s="84">
        <f t="shared" si="9"/>
        <v>0</v>
      </c>
      <c r="J119" s="7"/>
      <c r="K119" s="7">
        <v>44565</v>
      </c>
      <c r="L119" s="7">
        <f t="shared" si="13"/>
        <v>44565</v>
      </c>
      <c r="M119" s="115">
        <f t="shared" si="10"/>
        <v>44.6</v>
      </c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  <c r="DU119" s="57"/>
      <c r="DV119" s="57"/>
      <c r="DW119" s="57"/>
      <c r="DX119" s="57"/>
      <c r="DY119" s="57"/>
      <c r="DZ119" s="57"/>
      <c r="EA119" s="57"/>
      <c r="EB119" s="57"/>
      <c r="EC119" s="57"/>
      <c r="ED119" s="57"/>
      <c r="EE119" s="57"/>
      <c r="EF119" s="57"/>
      <c r="EG119" s="57"/>
      <c r="EH119" s="57"/>
      <c r="EI119" s="57"/>
      <c r="EJ119" s="57"/>
      <c r="EK119" s="57"/>
      <c r="EL119" s="57"/>
      <c r="EM119" s="57"/>
      <c r="EN119" s="57"/>
      <c r="EO119" s="57"/>
      <c r="EP119" s="57"/>
      <c r="EQ119" s="57"/>
      <c r="ER119" s="57"/>
      <c r="ES119" s="57"/>
      <c r="ET119" s="57"/>
      <c r="EU119" s="57"/>
      <c r="EV119" s="57"/>
      <c r="EW119" s="57"/>
      <c r="EX119" s="57"/>
      <c r="EY119" s="57"/>
      <c r="EZ119" s="57"/>
    </row>
    <row r="120" spans="1:156" s="58" customFormat="1" ht="28.5" customHeight="1">
      <c r="A120" s="89"/>
      <c r="B120" s="89"/>
      <c r="C120" s="88" t="s">
        <v>206</v>
      </c>
      <c r="D120" s="88" t="s">
        <v>206</v>
      </c>
      <c r="E120" s="64"/>
      <c r="F120" s="84">
        <f t="shared" si="8"/>
        <v>0</v>
      </c>
      <c r="G120" s="84"/>
      <c r="H120" s="64"/>
      <c r="I120" s="84">
        <f t="shared" si="9"/>
        <v>0</v>
      </c>
      <c r="J120" s="7"/>
      <c r="K120" s="7">
        <v>29703</v>
      </c>
      <c r="L120" s="7">
        <f t="shared" si="13"/>
        <v>29703</v>
      </c>
      <c r="M120" s="115">
        <f t="shared" si="10"/>
        <v>29.7</v>
      </c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  <c r="EI120" s="57"/>
      <c r="EJ120" s="57"/>
      <c r="EK120" s="57"/>
      <c r="EL120" s="57"/>
      <c r="EM120" s="57"/>
      <c r="EN120" s="57"/>
      <c r="EO120" s="57"/>
      <c r="EP120" s="57"/>
      <c r="EQ120" s="57"/>
      <c r="ER120" s="57"/>
      <c r="ES120" s="57"/>
      <c r="ET120" s="57"/>
      <c r="EU120" s="57"/>
      <c r="EV120" s="57"/>
      <c r="EW120" s="57"/>
      <c r="EX120" s="57"/>
      <c r="EY120" s="57"/>
      <c r="EZ120" s="57"/>
    </row>
    <row r="121" spans="1:156" s="58" customFormat="1" ht="28.5" customHeight="1">
      <c r="A121" s="89"/>
      <c r="B121" s="89"/>
      <c r="C121" s="88" t="s">
        <v>207</v>
      </c>
      <c r="D121" s="88" t="s">
        <v>207</v>
      </c>
      <c r="E121" s="64"/>
      <c r="F121" s="84">
        <f t="shared" si="8"/>
        <v>0</v>
      </c>
      <c r="G121" s="84"/>
      <c r="H121" s="64"/>
      <c r="I121" s="84">
        <f t="shared" si="9"/>
        <v>0</v>
      </c>
      <c r="J121" s="7"/>
      <c r="K121" s="7">
        <v>41338</v>
      </c>
      <c r="L121" s="7">
        <f t="shared" si="13"/>
        <v>41338</v>
      </c>
      <c r="M121" s="115">
        <f t="shared" si="10"/>
        <v>41.3</v>
      </c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57"/>
      <c r="ET121" s="57"/>
      <c r="EU121" s="57"/>
      <c r="EV121" s="57"/>
      <c r="EW121" s="57"/>
      <c r="EX121" s="57"/>
      <c r="EY121" s="57"/>
      <c r="EZ121" s="57"/>
    </row>
    <row r="122" spans="1:156" s="58" customFormat="1" ht="65.25" customHeight="1">
      <c r="A122" s="89"/>
      <c r="B122" s="89"/>
      <c r="C122" s="88" t="s">
        <v>203</v>
      </c>
      <c r="D122" s="88" t="s">
        <v>203</v>
      </c>
      <c r="E122" s="64"/>
      <c r="F122" s="84">
        <f t="shared" si="8"/>
        <v>0</v>
      </c>
      <c r="G122" s="84"/>
      <c r="H122" s="64"/>
      <c r="I122" s="84">
        <f t="shared" si="9"/>
        <v>0</v>
      </c>
      <c r="J122" s="7">
        <v>70000</v>
      </c>
      <c r="K122" s="7"/>
      <c r="L122" s="7">
        <f t="shared" si="13"/>
        <v>70000</v>
      </c>
      <c r="M122" s="115">
        <f t="shared" si="10"/>
        <v>70</v>
      </c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/>
      <c r="DT122" s="57"/>
      <c r="DU122" s="57"/>
      <c r="DV122" s="57"/>
      <c r="DW122" s="57"/>
      <c r="DX122" s="57"/>
      <c r="DY122" s="57"/>
      <c r="DZ122" s="57"/>
      <c r="EA122" s="57"/>
      <c r="EB122" s="57"/>
      <c r="EC122" s="57"/>
      <c r="ED122" s="57"/>
      <c r="EE122" s="57"/>
      <c r="EF122" s="57"/>
      <c r="EG122" s="57"/>
      <c r="EH122" s="57"/>
      <c r="EI122" s="57"/>
      <c r="EJ122" s="57"/>
      <c r="EK122" s="57"/>
      <c r="EL122" s="57"/>
      <c r="EM122" s="57"/>
      <c r="EN122" s="57"/>
      <c r="EO122" s="57"/>
      <c r="EP122" s="57"/>
      <c r="EQ122" s="57"/>
      <c r="ER122" s="57"/>
      <c r="ES122" s="57"/>
      <c r="ET122" s="57"/>
      <c r="EU122" s="57"/>
      <c r="EV122" s="57"/>
      <c r="EW122" s="57"/>
      <c r="EX122" s="57"/>
      <c r="EY122" s="57"/>
      <c r="EZ122" s="57"/>
    </row>
    <row r="123" spans="1:156" s="58" customFormat="1" ht="41.25" customHeight="1">
      <c r="A123" s="89"/>
      <c r="B123" s="89"/>
      <c r="C123" s="88" t="s">
        <v>156</v>
      </c>
      <c r="D123" s="88" t="s">
        <v>156</v>
      </c>
      <c r="E123" s="64"/>
      <c r="F123" s="84">
        <f t="shared" si="8"/>
        <v>0</v>
      </c>
      <c r="G123" s="84"/>
      <c r="H123" s="64"/>
      <c r="I123" s="84">
        <f t="shared" si="9"/>
        <v>0</v>
      </c>
      <c r="J123" s="7">
        <v>122173</v>
      </c>
      <c r="K123" s="7"/>
      <c r="L123" s="7">
        <f t="shared" si="13"/>
        <v>122173</v>
      </c>
      <c r="M123" s="115">
        <f t="shared" si="10"/>
        <v>122.2</v>
      </c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7"/>
      <c r="DX123" s="57"/>
      <c r="DY123" s="57"/>
      <c r="DZ123" s="57"/>
      <c r="EA123" s="57"/>
      <c r="EB123" s="57"/>
      <c r="EC123" s="57"/>
      <c r="ED123" s="57"/>
      <c r="EE123" s="57"/>
      <c r="EF123" s="57"/>
      <c r="EG123" s="57"/>
      <c r="EH123" s="57"/>
      <c r="EI123" s="57"/>
      <c r="EJ123" s="57"/>
      <c r="EK123" s="57"/>
      <c r="EL123" s="57"/>
      <c r="EM123" s="57"/>
      <c r="EN123" s="57"/>
      <c r="EO123" s="57"/>
      <c r="EP123" s="57"/>
      <c r="EQ123" s="57"/>
      <c r="ER123" s="57"/>
      <c r="ES123" s="57"/>
      <c r="ET123" s="57"/>
      <c r="EU123" s="57"/>
      <c r="EV123" s="57"/>
      <c r="EW123" s="57"/>
      <c r="EX123" s="57"/>
      <c r="EY123" s="57"/>
      <c r="EZ123" s="57"/>
    </row>
    <row r="124" spans="1:156" s="58" customFormat="1" ht="40.5">
      <c r="A124" s="89"/>
      <c r="B124" s="89"/>
      <c r="C124" s="88" t="s">
        <v>185</v>
      </c>
      <c r="D124" s="88" t="s">
        <v>185</v>
      </c>
      <c r="E124" s="64"/>
      <c r="F124" s="84">
        <f t="shared" si="8"/>
        <v>0</v>
      </c>
      <c r="G124" s="84"/>
      <c r="H124" s="64"/>
      <c r="I124" s="84">
        <f t="shared" si="9"/>
        <v>0</v>
      </c>
      <c r="J124" s="7">
        <v>87000</v>
      </c>
      <c r="K124" s="7"/>
      <c r="L124" s="7">
        <f t="shared" si="13"/>
        <v>87000</v>
      </c>
      <c r="M124" s="115">
        <f t="shared" si="10"/>
        <v>87</v>
      </c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  <c r="EI124" s="57"/>
      <c r="EJ124" s="57"/>
      <c r="EK124" s="57"/>
      <c r="EL124" s="57"/>
      <c r="EM124" s="57"/>
      <c r="EN124" s="57"/>
      <c r="EO124" s="57"/>
      <c r="EP124" s="57"/>
      <c r="EQ124" s="57"/>
      <c r="ER124" s="57"/>
      <c r="ES124" s="57"/>
      <c r="ET124" s="57"/>
      <c r="EU124" s="57"/>
      <c r="EV124" s="57"/>
      <c r="EW124" s="57"/>
      <c r="EX124" s="57"/>
      <c r="EY124" s="57"/>
      <c r="EZ124" s="57"/>
    </row>
    <row r="125" spans="1:156" s="58" customFormat="1" ht="26.25" customHeight="1">
      <c r="A125" s="89"/>
      <c r="B125" s="89"/>
      <c r="C125" s="112" t="s">
        <v>256</v>
      </c>
      <c r="D125" s="88"/>
      <c r="E125" s="64"/>
      <c r="F125" s="84"/>
      <c r="G125" s="84"/>
      <c r="H125" s="64"/>
      <c r="I125" s="84"/>
      <c r="J125" s="7"/>
      <c r="K125" s="7"/>
      <c r="L125" s="7"/>
      <c r="M125" s="115">
        <v>40</v>
      </c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7"/>
      <c r="EG125" s="57"/>
      <c r="EH125" s="57"/>
      <c r="EI125" s="57"/>
      <c r="EJ125" s="57"/>
      <c r="EK125" s="57"/>
      <c r="EL125" s="57"/>
      <c r="EM125" s="57"/>
      <c r="EN125" s="57"/>
      <c r="EO125" s="57"/>
      <c r="EP125" s="57"/>
      <c r="EQ125" s="57"/>
      <c r="ER125" s="57"/>
      <c r="ES125" s="57"/>
      <c r="ET125" s="57"/>
      <c r="EU125" s="57"/>
      <c r="EV125" s="57"/>
      <c r="EW125" s="57"/>
      <c r="EX125" s="57"/>
      <c r="EY125" s="57"/>
      <c r="EZ125" s="57"/>
    </row>
    <row r="126" spans="1:156" s="58" customFormat="1" ht="26.25" customHeight="1">
      <c r="A126" s="89"/>
      <c r="B126" s="89"/>
      <c r="C126" s="112" t="s">
        <v>257</v>
      </c>
      <c r="D126" s="88"/>
      <c r="E126" s="64"/>
      <c r="F126" s="84"/>
      <c r="G126" s="84"/>
      <c r="H126" s="64"/>
      <c r="I126" s="84"/>
      <c r="J126" s="7"/>
      <c r="K126" s="7"/>
      <c r="L126" s="7"/>
      <c r="M126" s="115">
        <v>60</v>
      </c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  <c r="DS126" s="57"/>
      <c r="DT126" s="57"/>
      <c r="DU126" s="57"/>
      <c r="DV126" s="57"/>
      <c r="DW126" s="57"/>
      <c r="DX126" s="57"/>
      <c r="DY126" s="57"/>
      <c r="DZ126" s="57"/>
      <c r="EA126" s="57"/>
      <c r="EB126" s="57"/>
      <c r="EC126" s="57"/>
      <c r="ED126" s="57"/>
      <c r="EE126" s="57"/>
      <c r="EF126" s="57"/>
      <c r="EG126" s="57"/>
      <c r="EH126" s="57"/>
      <c r="EI126" s="57"/>
      <c r="EJ126" s="57"/>
      <c r="EK126" s="57"/>
      <c r="EL126" s="57"/>
      <c r="EM126" s="57"/>
      <c r="EN126" s="57"/>
      <c r="EO126" s="57"/>
      <c r="EP126" s="57"/>
      <c r="EQ126" s="57"/>
      <c r="ER126" s="57"/>
      <c r="ES126" s="57"/>
      <c r="ET126" s="57"/>
      <c r="EU126" s="57"/>
      <c r="EV126" s="57"/>
      <c r="EW126" s="57"/>
      <c r="EX126" s="57"/>
      <c r="EY126" s="57"/>
      <c r="EZ126" s="57"/>
    </row>
    <row r="127" spans="1:156" s="58" customFormat="1" ht="26.25" customHeight="1">
      <c r="A127" s="89"/>
      <c r="B127" s="89"/>
      <c r="C127" s="112" t="s">
        <v>258</v>
      </c>
      <c r="D127" s="88"/>
      <c r="E127" s="64"/>
      <c r="F127" s="84"/>
      <c r="G127" s="84"/>
      <c r="H127" s="64"/>
      <c r="I127" s="84"/>
      <c r="J127" s="7"/>
      <c r="K127" s="7"/>
      <c r="L127" s="7"/>
      <c r="M127" s="115">
        <v>17</v>
      </c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  <c r="EI127" s="57"/>
      <c r="EJ127" s="57"/>
      <c r="EK127" s="57"/>
      <c r="EL127" s="57"/>
      <c r="EM127" s="57"/>
      <c r="EN127" s="57"/>
      <c r="EO127" s="57"/>
      <c r="EP127" s="57"/>
      <c r="EQ127" s="57"/>
      <c r="ER127" s="57"/>
      <c r="ES127" s="57"/>
      <c r="ET127" s="57"/>
      <c r="EU127" s="57"/>
      <c r="EV127" s="57"/>
      <c r="EW127" s="57"/>
      <c r="EX127" s="57"/>
      <c r="EY127" s="57"/>
      <c r="EZ127" s="57"/>
    </row>
    <row r="128" spans="1:156" s="58" customFormat="1" ht="26.25" customHeight="1">
      <c r="A128" s="89"/>
      <c r="B128" s="89"/>
      <c r="C128" s="112" t="s">
        <v>259</v>
      </c>
      <c r="D128" s="88"/>
      <c r="E128" s="64"/>
      <c r="F128" s="84"/>
      <c r="G128" s="84"/>
      <c r="H128" s="64"/>
      <c r="I128" s="84"/>
      <c r="J128" s="7"/>
      <c r="K128" s="7"/>
      <c r="L128" s="7"/>
      <c r="M128" s="115">
        <v>49</v>
      </c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/>
      <c r="EF128" s="57"/>
      <c r="EG128" s="57"/>
      <c r="EH128" s="57"/>
      <c r="EI128" s="57"/>
      <c r="EJ128" s="57"/>
      <c r="EK128" s="57"/>
      <c r="EL128" s="57"/>
      <c r="EM128" s="57"/>
      <c r="EN128" s="57"/>
      <c r="EO128" s="57"/>
      <c r="EP128" s="57"/>
      <c r="EQ128" s="57"/>
      <c r="ER128" s="57"/>
      <c r="ES128" s="57"/>
      <c r="ET128" s="57"/>
      <c r="EU128" s="57"/>
      <c r="EV128" s="57"/>
      <c r="EW128" s="57"/>
      <c r="EX128" s="57"/>
      <c r="EY128" s="57"/>
      <c r="EZ128" s="57"/>
    </row>
    <row r="129" spans="1:156" s="58" customFormat="1" ht="26.25" customHeight="1">
      <c r="A129" s="89"/>
      <c r="B129" s="89"/>
      <c r="C129" s="112" t="s">
        <v>260</v>
      </c>
      <c r="D129" s="88"/>
      <c r="E129" s="64"/>
      <c r="F129" s="84"/>
      <c r="G129" s="84"/>
      <c r="H129" s="64"/>
      <c r="I129" s="84"/>
      <c r="J129" s="7"/>
      <c r="K129" s="7"/>
      <c r="L129" s="7"/>
      <c r="M129" s="115">
        <v>17</v>
      </c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57"/>
      <c r="EF129" s="57"/>
      <c r="EG129" s="57"/>
      <c r="EH129" s="57"/>
      <c r="EI129" s="57"/>
      <c r="EJ129" s="57"/>
      <c r="EK129" s="57"/>
      <c r="EL129" s="57"/>
      <c r="EM129" s="57"/>
      <c r="EN129" s="57"/>
      <c r="EO129" s="57"/>
      <c r="EP129" s="57"/>
      <c r="EQ129" s="57"/>
      <c r="ER129" s="57"/>
      <c r="ES129" s="57"/>
      <c r="ET129" s="57"/>
      <c r="EU129" s="57"/>
      <c r="EV129" s="57"/>
      <c r="EW129" s="57"/>
      <c r="EX129" s="57"/>
      <c r="EY129" s="57"/>
      <c r="EZ129" s="57"/>
    </row>
    <row r="130" spans="1:156" s="58" customFormat="1" ht="26.25" customHeight="1">
      <c r="A130" s="89"/>
      <c r="B130" s="89"/>
      <c r="C130" s="112" t="s">
        <v>261</v>
      </c>
      <c r="D130" s="88"/>
      <c r="E130" s="64"/>
      <c r="F130" s="84"/>
      <c r="G130" s="84"/>
      <c r="H130" s="64"/>
      <c r="I130" s="84"/>
      <c r="J130" s="7"/>
      <c r="K130" s="7"/>
      <c r="L130" s="7"/>
      <c r="M130" s="115">
        <v>49</v>
      </c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  <c r="DS130" s="57"/>
      <c r="DT130" s="57"/>
      <c r="DU130" s="57"/>
      <c r="DV130" s="57"/>
      <c r="DW130" s="57"/>
      <c r="DX130" s="57"/>
      <c r="DY130" s="57"/>
      <c r="DZ130" s="57"/>
      <c r="EA130" s="57"/>
      <c r="EB130" s="57"/>
      <c r="EC130" s="57"/>
      <c r="ED130" s="57"/>
      <c r="EE130" s="57"/>
      <c r="EF130" s="57"/>
      <c r="EG130" s="57"/>
      <c r="EH130" s="57"/>
      <c r="EI130" s="57"/>
      <c r="EJ130" s="57"/>
      <c r="EK130" s="57"/>
      <c r="EL130" s="57"/>
      <c r="EM130" s="57"/>
      <c r="EN130" s="57"/>
      <c r="EO130" s="57"/>
      <c r="EP130" s="57"/>
      <c r="EQ130" s="57"/>
      <c r="ER130" s="57"/>
      <c r="ES130" s="57"/>
      <c r="ET130" s="57"/>
      <c r="EU130" s="57"/>
      <c r="EV130" s="57"/>
      <c r="EW130" s="57"/>
      <c r="EX130" s="57"/>
      <c r="EY130" s="57"/>
      <c r="EZ130" s="57"/>
    </row>
    <row r="131" spans="1:156" s="58" customFormat="1" ht="36" customHeight="1">
      <c r="A131" s="89"/>
      <c r="B131" s="89"/>
      <c r="C131" s="88" t="s">
        <v>208</v>
      </c>
      <c r="D131" s="88" t="s">
        <v>208</v>
      </c>
      <c r="E131" s="64"/>
      <c r="F131" s="84">
        <f t="shared" si="8"/>
        <v>0</v>
      </c>
      <c r="G131" s="84"/>
      <c r="H131" s="64"/>
      <c r="I131" s="84">
        <f t="shared" si="9"/>
        <v>0</v>
      </c>
      <c r="J131" s="7"/>
      <c r="K131" s="7">
        <f>25000+15000+20000</f>
        <v>60000</v>
      </c>
      <c r="L131" s="7">
        <f t="shared" si="13"/>
        <v>60000</v>
      </c>
      <c r="M131" s="115">
        <f t="shared" si="10"/>
        <v>60</v>
      </c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  <c r="DP131" s="57"/>
      <c r="DQ131" s="57"/>
      <c r="DR131" s="57"/>
      <c r="DS131" s="57"/>
      <c r="DT131" s="57"/>
      <c r="DU131" s="57"/>
      <c r="DV131" s="57"/>
      <c r="DW131" s="57"/>
      <c r="DX131" s="57"/>
      <c r="DY131" s="57"/>
      <c r="DZ131" s="57"/>
      <c r="EA131" s="57"/>
      <c r="EB131" s="57"/>
      <c r="EC131" s="57"/>
      <c r="ED131" s="57"/>
      <c r="EE131" s="57"/>
      <c r="EF131" s="57"/>
      <c r="EG131" s="57"/>
      <c r="EH131" s="57"/>
      <c r="EI131" s="57"/>
      <c r="EJ131" s="57"/>
      <c r="EK131" s="57"/>
      <c r="EL131" s="57"/>
      <c r="EM131" s="57"/>
      <c r="EN131" s="57"/>
      <c r="EO131" s="57"/>
      <c r="EP131" s="57"/>
      <c r="EQ131" s="57"/>
      <c r="ER131" s="57"/>
      <c r="ES131" s="57"/>
      <c r="ET131" s="57"/>
      <c r="EU131" s="57"/>
      <c r="EV131" s="57"/>
      <c r="EW131" s="57"/>
      <c r="EX131" s="57"/>
      <c r="EY131" s="57"/>
      <c r="EZ131" s="57"/>
    </row>
    <row r="132" spans="1:156" s="58" customFormat="1" ht="30.75" customHeight="1">
      <c r="A132" s="89"/>
      <c r="B132" s="89"/>
      <c r="C132" s="88" t="s">
        <v>167</v>
      </c>
      <c r="D132" s="88" t="s">
        <v>167</v>
      </c>
      <c r="E132" s="64"/>
      <c r="F132" s="84">
        <f t="shared" si="8"/>
        <v>0</v>
      </c>
      <c r="G132" s="84"/>
      <c r="H132" s="64"/>
      <c r="I132" s="84">
        <f t="shared" si="9"/>
        <v>0</v>
      </c>
      <c r="J132" s="7">
        <v>165000</v>
      </c>
      <c r="K132" s="7"/>
      <c r="L132" s="7">
        <f t="shared" si="13"/>
        <v>165000</v>
      </c>
      <c r="M132" s="115">
        <f t="shared" si="10"/>
        <v>165</v>
      </c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7"/>
      <c r="DC132" s="57"/>
      <c r="DD132" s="57"/>
      <c r="DE132" s="57"/>
      <c r="DF132" s="57"/>
      <c r="DG132" s="57"/>
      <c r="DH132" s="57"/>
      <c r="DI132" s="57"/>
      <c r="DJ132" s="57"/>
      <c r="DK132" s="57"/>
      <c r="DL132" s="57"/>
      <c r="DM132" s="57"/>
      <c r="DN132" s="57"/>
      <c r="DO132" s="57"/>
      <c r="DP132" s="57"/>
      <c r="DQ132" s="57"/>
      <c r="DR132" s="57"/>
      <c r="DS132" s="57"/>
      <c r="DT132" s="57"/>
      <c r="DU132" s="57"/>
      <c r="DV132" s="57"/>
      <c r="DW132" s="57"/>
      <c r="DX132" s="57"/>
      <c r="DY132" s="57"/>
      <c r="DZ132" s="57"/>
      <c r="EA132" s="57"/>
      <c r="EB132" s="57"/>
      <c r="EC132" s="57"/>
      <c r="ED132" s="57"/>
      <c r="EE132" s="57"/>
      <c r="EF132" s="57"/>
      <c r="EG132" s="57"/>
      <c r="EH132" s="57"/>
      <c r="EI132" s="57"/>
      <c r="EJ132" s="57"/>
      <c r="EK132" s="57"/>
      <c r="EL132" s="57"/>
      <c r="EM132" s="57"/>
      <c r="EN132" s="57"/>
      <c r="EO132" s="57"/>
      <c r="EP132" s="57"/>
      <c r="EQ132" s="57"/>
      <c r="ER132" s="57"/>
      <c r="ES132" s="57"/>
      <c r="ET132" s="57"/>
      <c r="EU132" s="57"/>
      <c r="EV132" s="57"/>
      <c r="EW132" s="57"/>
      <c r="EX132" s="57"/>
      <c r="EY132" s="57"/>
      <c r="EZ132" s="57"/>
    </row>
    <row r="133" spans="1:156" s="58" customFormat="1" ht="20.25">
      <c r="A133" s="89"/>
      <c r="B133" s="89"/>
      <c r="C133" s="62" t="s">
        <v>7</v>
      </c>
      <c r="D133" s="62" t="s">
        <v>7</v>
      </c>
      <c r="E133" s="29">
        <f>SUM(E134:E196)</f>
        <v>82736270</v>
      </c>
      <c r="F133" s="91">
        <f>SUM(F134:F196)</f>
        <v>82736.3</v>
      </c>
      <c r="G133" s="29"/>
      <c r="H133" s="29">
        <f>SUM(H134:H196)</f>
        <v>61155414</v>
      </c>
      <c r="I133" s="91">
        <f>SUM(I134:I196)</f>
        <v>61155.299999999996</v>
      </c>
      <c r="J133" s="13">
        <f>SUM(J134:J198)</f>
        <v>95368286.94</v>
      </c>
      <c r="K133" s="13">
        <f>SUM(K134:K198)</f>
        <v>510000</v>
      </c>
      <c r="L133" s="13">
        <f>SUM(L134:L198)</f>
        <v>95878286.94</v>
      </c>
      <c r="M133" s="116">
        <f>SUM(M134:M198)</f>
        <v>95528.29999999999</v>
      </c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57"/>
      <c r="DQ133" s="57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57"/>
      <c r="ED133" s="57"/>
      <c r="EE133" s="57"/>
      <c r="EF133" s="57"/>
      <c r="EG133" s="57"/>
      <c r="EH133" s="57"/>
      <c r="EI133" s="57"/>
      <c r="EJ133" s="57"/>
      <c r="EK133" s="57"/>
      <c r="EL133" s="57"/>
      <c r="EM133" s="57"/>
      <c r="EN133" s="57"/>
      <c r="EO133" s="57"/>
      <c r="EP133" s="57"/>
      <c r="EQ133" s="57"/>
      <c r="ER133" s="57"/>
      <c r="ES133" s="57"/>
      <c r="ET133" s="57"/>
      <c r="EU133" s="57"/>
      <c r="EV133" s="57"/>
      <c r="EW133" s="57"/>
      <c r="EX133" s="57"/>
      <c r="EY133" s="57"/>
      <c r="EZ133" s="57"/>
    </row>
    <row r="134" spans="1:156" s="58" customFormat="1" ht="40.5">
      <c r="A134" s="89"/>
      <c r="B134" s="89"/>
      <c r="C134" s="88" t="s">
        <v>25</v>
      </c>
      <c r="D134" s="88" t="s">
        <v>25</v>
      </c>
      <c r="E134" s="64">
        <v>9995386</v>
      </c>
      <c r="F134" s="84">
        <f t="shared" si="8"/>
        <v>9995.4</v>
      </c>
      <c r="G134" s="84">
        <v>37.5</v>
      </c>
      <c r="H134" s="64">
        <v>3747696</v>
      </c>
      <c r="I134" s="84">
        <f t="shared" si="9"/>
        <v>3747.7</v>
      </c>
      <c r="J134" s="7">
        <v>341000</v>
      </c>
      <c r="K134" s="7"/>
      <c r="L134" s="7">
        <f aca="true" t="shared" si="14" ref="L134:L164">K134+J134</f>
        <v>341000</v>
      </c>
      <c r="M134" s="115">
        <f t="shared" si="10"/>
        <v>341</v>
      </c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7"/>
      <c r="DF134" s="57"/>
      <c r="DG134" s="57"/>
      <c r="DH134" s="57"/>
      <c r="DI134" s="57"/>
      <c r="DJ134" s="57"/>
      <c r="DK134" s="57"/>
      <c r="DL134" s="57"/>
      <c r="DM134" s="57"/>
      <c r="DN134" s="57"/>
      <c r="DO134" s="57"/>
      <c r="DP134" s="57"/>
      <c r="DQ134" s="57"/>
      <c r="DR134" s="57"/>
      <c r="DS134" s="57"/>
      <c r="DT134" s="57"/>
      <c r="DU134" s="57"/>
      <c r="DV134" s="57"/>
      <c r="DW134" s="57"/>
      <c r="DX134" s="57"/>
      <c r="DY134" s="57"/>
      <c r="DZ134" s="57"/>
      <c r="EA134" s="57"/>
      <c r="EB134" s="57"/>
      <c r="EC134" s="57"/>
      <c r="ED134" s="57"/>
      <c r="EE134" s="57"/>
      <c r="EF134" s="57"/>
      <c r="EG134" s="57"/>
      <c r="EH134" s="57"/>
      <c r="EI134" s="57"/>
      <c r="EJ134" s="57"/>
      <c r="EK134" s="57"/>
      <c r="EL134" s="57"/>
      <c r="EM134" s="57"/>
      <c r="EN134" s="57"/>
      <c r="EO134" s="57"/>
      <c r="EP134" s="57"/>
      <c r="EQ134" s="57"/>
      <c r="ER134" s="57"/>
      <c r="ES134" s="57"/>
      <c r="ET134" s="57"/>
      <c r="EU134" s="57"/>
      <c r="EV134" s="57"/>
      <c r="EW134" s="57"/>
      <c r="EX134" s="57"/>
      <c r="EY134" s="57"/>
      <c r="EZ134" s="57"/>
    </row>
    <row r="135" spans="1:156" s="58" customFormat="1" ht="40.5">
      <c r="A135" s="89"/>
      <c r="B135" s="89"/>
      <c r="C135" s="88" t="s">
        <v>34</v>
      </c>
      <c r="D135" s="88" t="s">
        <v>34</v>
      </c>
      <c r="E135" s="64">
        <v>17687640</v>
      </c>
      <c r="F135" s="84">
        <f t="shared" si="8"/>
        <v>17687.6</v>
      </c>
      <c r="G135" s="84">
        <v>63.8</v>
      </c>
      <c r="H135" s="64">
        <v>11282117</v>
      </c>
      <c r="I135" s="84">
        <f t="shared" si="9"/>
        <v>11282.1</v>
      </c>
      <c r="J135" s="7">
        <v>7280000</v>
      </c>
      <c r="K135" s="7"/>
      <c r="L135" s="7">
        <f t="shared" si="14"/>
        <v>7280000</v>
      </c>
      <c r="M135" s="115">
        <f t="shared" si="10"/>
        <v>7280</v>
      </c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7"/>
      <c r="DG135" s="57"/>
      <c r="DH135" s="57"/>
      <c r="DI135" s="57"/>
      <c r="DJ135" s="57"/>
      <c r="DK135" s="57"/>
      <c r="DL135" s="57"/>
      <c r="DM135" s="57"/>
      <c r="DN135" s="57"/>
      <c r="DO135" s="57"/>
      <c r="DP135" s="57"/>
      <c r="DQ135" s="57"/>
      <c r="DR135" s="57"/>
      <c r="DS135" s="57"/>
      <c r="DT135" s="57"/>
      <c r="DU135" s="57"/>
      <c r="DV135" s="57"/>
      <c r="DW135" s="57"/>
      <c r="DX135" s="57"/>
      <c r="DY135" s="57"/>
      <c r="DZ135" s="57"/>
      <c r="EA135" s="57"/>
      <c r="EB135" s="57"/>
      <c r="EC135" s="57"/>
      <c r="ED135" s="57"/>
      <c r="EE135" s="57"/>
      <c r="EF135" s="57"/>
      <c r="EG135" s="57"/>
      <c r="EH135" s="57"/>
      <c r="EI135" s="57"/>
      <c r="EJ135" s="57"/>
      <c r="EK135" s="57"/>
      <c r="EL135" s="57"/>
      <c r="EM135" s="57"/>
      <c r="EN135" s="57"/>
      <c r="EO135" s="57"/>
      <c r="EP135" s="57"/>
      <c r="EQ135" s="57"/>
      <c r="ER135" s="57"/>
      <c r="ES135" s="57"/>
      <c r="ET135" s="57"/>
      <c r="EU135" s="57"/>
      <c r="EV135" s="57"/>
      <c r="EW135" s="57"/>
      <c r="EX135" s="57"/>
      <c r="EY135" s="57"/>
      <c r="EZ135" s="57"/>
    </row>
    <row r="136" spans="1:156" s="58" customFormat="1" ht="40.5">
      <c r="A136" s="89"/>
      <c r="B136" s="89"/>
      <c r="C136" s="88" t="s">
        <v>48</v>
      </c>
      <c r="D136" s="88" t="s">
        <v>48</v>
      </c>
      <c r="E136" s="64">
        <v>3024919</v>
      </c>
      <c r="F136" s="84">
        <f t="shared" si="8"/>
        <v>3024.9</v>
      </c>
      <c r="G136" s="84">
        <v>72</v>
      </c>
      <c r="H136" s="64">
        <v>2177942</v>
      </c>
      <c r="I136" s="84">
        <f t="shared" si="9"/>
        <v>2177.9</v>
      </c>
      <c r="J136" s="7">
        <f>1600000+300000</f>
        <v>1900000</v>
      </c>
      <c r="K136" s="7"/>
      <c r="L136" s="7">
        <f t="shared" si="14"/>
        <v>1900000</v>
      </c>
      <c r="M136" s="115">
        <f t="shared" si="10"/>
        <v>1900</v>
      </c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7"/>
      <c r="CQ136" s="57"/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  <c r="DB136" s="57"/>
      <c r="DC136" s="57"/>
      <c r="DD136" s="57"/>
      <c r="DE136" s="57"/>
      <c r="DF136" s="57"/>
      <c r="DG136" s="57"/>
      <c r="DH136" s="57"/>
      <c r="DI136" s="57"/>
      <c r="DJ136" s="57"/>
      <c r="DK136" s="57"/>
      <c r="DL136" s="57"/>
      <c r="DM136" s="57"/>
      <c r="DN136" s="57"/>
      <c r="DO136" s="57"/>
      <c r="DP136" s="57"/>
      <c r="DQ136" s="57"/>
      <c r="DR136" s="57"/>
      <c r="DS136" s="57"/>
      <c r="DT136" s="57"/>
      <c r="DU136" s="57"/>
      <c r="DV136" s="57"/>
      <c r="DW136" s="57"/>
      <c r="DX136" s="57"/>
      <c r="DY136" s="57"/>
      <c r="DZ136" s="57"/>
      <c r="EA136" s="57"/>
      <c r="EB136" s="57"/>
      <c r="EC136" s="57"/>
      <c r="ED136" s="57"/>
      <c r="EE136" s="57"/>
      <c r="EF136" s="57"/>
      <c r="EG136" s="57"/>
      <c r="EH136" s="57"/>
      <c r="EI136" s="57"/>
      <c r="EJ136" s="57"/>
      <c r="EK136" s="57"/>
      <c r="EL136" s="57"/>
      <c r="EM136" s="57"/>
      <c r="EN136" s="57"/>
      <c r="EO136" s="57"/>
      <c r="EP136" s="57"/>
      <c r="EQ136" s="57"/>
      <c r="ER136" s="57"/>
      <c r="ES136" s="57"/>
      <c r="ET136" s="57"/>
      <c r="EU136" s="57"/>
      <c r="EV136" s="57"/>
      <c r="EW136" s="57"/>
      <c r="EX136" s="57"/>
      <c r="EY136" s="57"/>
      <c r="EZ136" s="57"/>
    </row>
    <row r="137" spans="1:156" s="58" customFormat="1" ht="40.5">
      <c r="A137" s="89"/>
      <c r="B137" s="89"/>
      <c r="C137" s="88" t="s">
        <v>236</v>
      </c>
      <c r="D137" s="88" t="s">
        <v>50</v>
      </c>
      <c r="E137" s="64"/>
      <c r="F137" s="84">
        <f t="shared" si="8"/>
        <v>0</v>
      </c>
      <c r="G137" s="84"/>
      <c r="H137" s="64"/>
      <c r="I137" s="84">
        <f t="shared" si="9"/>
        <v>0</v>
      </c>
      <c r="J137" s="7">
        <v>2461510</v>
      </c>
      <c r="K137" s="7"/>
      <c r="L137" s="7">
        <f t="shared" si="14"/>
        <v>2461510</v>
      </c>
      <c r="M137" s="115">
        <f t="shared" si="10"/>
        <v>2461.5</v>
      </c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7"/>
      <c r="DG137" s="57"/>
      <c r="DH137" s="57"/>
      <c r="DI137" s="57"/>
      <c r="DJ137" s="57"/>
      <c r="DK137" s="57"/>
      <c r="DL137" s="57"/>
      <c r="DM137" s="57"/>
      <c r="DN137" s="57"/>
      <c r="DO137" s="57"/>
      <c r="DP137" s="57"/>
      <c r="DQ137" s="57"/>
      <c r="DR137" s="57"/>
      <c r="DS137" s="57"/>
      <c r="DT137" s="57"/>
      <c r="DU137" s="57"/>
      <c r="DV137" s="57"/>
      <c r="DW137" s="57"/>
      <c r="DX137" s="57"/>
      <c r="DY137" s="57"/>
      <c r="DZ137" s="57"/>
      <c r="EA137" s="57"/>
      <c r="EB137" s="57"/>
      <c r="EC137" s="57"/>
      <c r="ED137" s="57"/>
      <c r="EE137" s="57"/>
      <c r="EF137" s="57"/>
      <c r="EG137" s="57"/>
      <c r="EH137" s="57"/>
      <c r="EI137" s="57"/>
      <c r="EJ137" s="57"/>
      <c r="EK137" s="57"/>
      <c r="EL137" s="57"/>
      <c r="EM137" s="57"/>
      <c r="EN137" s="57"/>
      <c r="EO137" s="57"/>
      <c r="EP137" s="57"/>
      <c r="EQ137" s="57"/>
      <c r="ER137" s="57"/>
      <c r="ES137" s="57"/>
      <c r="ET137" s="57"/>
      <c r="EU137" s="57"/>
      <c r="EV137" s="57"/>
      <c r="EW137" s="57"/>
      <c r="EX137" s="57"/>
      <c r="EY137" s="57"/>
      <c r="EZ137" s="57"/>
    </row>
    <row r="138" spans="1:156" s="58" customFormat="1" ht="40.5">
      <c r="A138" s="89"/>
      <c r="B138" s="89"/>
      <c r="C138" s="88" t="s">
        <v>116</v>
      </c>
      <c r="D138" s="88" t="s">
        <v>116</v>
      </c>
      <c r="E138" s="64"/>
      <c r="F138" s="84">
        <f t="shared" si="8"/>
        <v>0</v>
      </c>
      <c r="G138" s="84"/>
      <c r="H138" s="64"/>
      <c r="I138" s="84">
        <f t="shared" si="9"/>
        <v>0</v>
      </c>
      <c r="J138" s="7">
        <v>250000</v>
      </c>
      <c r="K138" s="7"/>
      <c r="L138" s="7">
        <f t="shared" si="14"/>
        <v>250000</v>
      </c>
      <c r="M138" s="115">
        <f t="shared" si="10"/>
        <v>250</v>
      </c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7"/>
      <c r="DG138" s="57"/>
      <c r="DH138" s="57"/>
      <c r="DI138" s="57"/>
      <c r="DJ138" s="57"/>
      <c r="DK138" s="57"/>
      <c r="DL138" s="57"/>
      <c r="DM138" s="57"/>
      <c r="DN138" s="57"/>
      <c r="DO138" s="57"/>
      <c r="DP138" s="57"/>
      <c r="DQ138" s="57"/>
      <c r="DR138" s="57"/>
      <c r="DS138" s="57"/>
      <c r="DT138" s="57"/>
      <c r="DU138" s="57"/>
      <c r="DV138" s="57"/>
      <c r="DW138" s="57"/>
      <c r="DX138" s="57"/>
      <c r="DY138" s="57"/>
      <c r="DZ138" s="57"/>
      <c r="EA138" s="57"/>
      <c r="EB138" s="57"/>
      <c r="EC138" s="57"/>
      <c r="ED138" s="57"/>
      <c r="EE138" s="57"/>
      <c r="EF138" s="57"/>
      <c r="EG138" s="57"/>
      <c r="EH138" s="57"/>
      <c r="EI138" s="57"/>
      <c r="EJ138" s="57"/>
      <c r="EK138" s="57"/>
      <c r="EL138" s="57"/>
      <c r="EM138" s="57"/>
      <c r="EN138" s="57"/>
      <c r="EO138" s="57"/>
      <c r="EP138" s="57"/>
      <c r="EQ138" s="57"/>
      <c r="ER138" s="57"/>
      <c r="ES138" s="57"/>
      <c r="ET138" s="57"/>
      <c r="EU138" s="57"/>
      <c r="EV138" s="57"/>
      <c r="EW138" s="57"/>
      <c r="EX138" s="57"/>
      <c r="EY138" s="57"/>
      <c r="EZ138" s="57"/>
    </row>
    <row r="139" spans="1:156" s="58" customFormat="1" ht="40.5">
      <c r="A139" s="89"/>
      <c r="B139" s="89"/>
      <c r="C139" s="88" t="s">
        <v>237</v>
      </c>
      <c r="D139" s="88" t="s">
        <v>51</v>
      </c>
      <c r="E139" s="64"/>
      <c r="F139" s="84">
        <f t="shared" si="8"/>
        <v>0</v>
      </c>
      <c r="G139" s="84"/>
      <c r="H139" s="64"/>
      <c r="I139" s="84">
        <f t="shared" si="9"/>
        <v>0</v>
      </c>
      <c r="J139" s="7">
        <f>2375600+498256</f>
        <v>2873856</v>
      </c>
      <c r="K139" s="7"/>
      <c r="L139" s="7">
        <f t="shared" si="14"/>
        <v>2873856</v>
      </c>
      <c r="M139" s="115">
        <f>ROUND(L139/1000,1)-0.1</f>
        <v>2873.8</v>
      </c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7"/>
      <c r="DG139" s="57"/>
      <c r="DH139" s="57"/>
      <c r="DI139" s="57"/>
      <c r="DJ139" s="57"/>
      <c r="DK139" s="57"/>
      <c r="DL139" s="57"/>
      <c r="DM139" s="57"/>
      <c r="DN139" s="57"/>
      <c r="DO139" s="57"/>
      <c r="DP139" s="57"/>
      <c r="DQ139" s="57"/>
      <c r="DR139" s="57"/>
      <c r="DS139" s="57"/>
      <c r="DT139" s="57"/>
      <c r="DU139" s="57"/>
      <c r="DV139" s="57"/>
      <c r="DW139" s="57"/>
      <c r="DX139" s="57"/>
      <c r="DY139" s="57"/>
      <c r="DZ139" s="57"/>
      <c r="EA139" s="57"/>
      <c r="EB139" s="57"/>
      <c r="EC139" s="57"/>
      <c r="ED139" s="57"/>
      <c r="EE139" s="57"/>
      <c r="EF139" s="57"/>
      <c r="EG139" s="57"/>
      <c r="EH139" s="57"/>
      <c r="EI139" s="57"/>
      <c r="EJ139" s="57"/>
      <c r="EK139" s="57"/>
      <c r="EL139" s="57"/>
      <c r="EM139" s="57"/>
      <c r="EN139" s="57"/>
      <c r="EO139" s="57"/>
      <c r="EP139" s="57"/>
      <c r="EQ139" s="57"/>
      <c r="ER139" s="57"/>
      <c r="ES139" s="57"/>
      <c r="ET139" s="57"/>
      <c r="EU139" s="57"/>
      <c r="EV139" s="57"/>
      <c r="EW139" s="57"/>
      <c r="EX139" s="57"/>
      <c r="EY139" s="57"/>
      <c r="EZ139" s="57"/>
    </row>
    <row r="140" spans="1:156" s="58" customFormat="1" ht="40.5">
      <c r="A140" s="89"/>
      <c r="B140" s="89"/>
      <c r="C140" s="88" t="s">
        <v>40</v>
      </c>
      <c r="D140" s="88" t="s">
        <v>40</v>
      </c>
      <c r="E140" s="64"/>
      <c r="F140" s="84">
        <f t="shared" si="8"/>
        <v>0</v>
      </c>
      <c r="G140" s="84"/>
      <c r="H140" s="64"/>
      <c r="I140" s="84">
        <f t="shared" si="9"/>
        <v>0</v>
      </c>
      <c r="J140" s="7">
        <f>5075+3831675</f>
        <v>3836750</v>
      </c>
      <c r="K140" s="7"/>
      <c r="L140" s="7">
        <f>K140+J140</f>
        <v>3836750</v>
      </c>
      <c r="M140" s="115">
        <f t="shared" si="10"/>
        <v>3836.8</v>
      </c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  <c r="DM140" s="57"/>
      <c r="DN140" s="57"/>
      <c r="DO140" s="57"/>
      <c r="DP140" s="57"/>
      <c r="DQ140" s="57"/>
      <c r="DR140" s="57"/>
      <c r="DS140" s="57"/>
      <c r="DT140" s="57"/>
      <c r="DU140" s="57"/>
      <c r="DV140" s="57"/>
      <c r="DW140" s="57"/>
      <c r="DX140" s="57"/>
      <c r="DY140" s="57"/>
      <c r="DZ140" s="57"/>
      <c r="EA140" s="57"/>
      <c r="EB140" s="57"/>
      <c r="EC140" s="57"/>
      <c r="ED140" s="57"/>
      <c r="EE140" s="57"/>
      <c r="EF140" s="57"/>
      <c r="EG140" s="57"/>
      <c r="EH140" s="57"/>
      <c r="EI140" s="57"/>
      <c r="EJ140" s="57"/>
      <c r="EK140" s="57"/>
      <c r="EL140" s="57"/>
      <c r="EM140" s="57"/>
      <c r="EN140" s="57"/>
      <c r="EO140" s="57"/>
      <c r="EP140" s="57"/>
      <c r="EQ140" s="57"/>
      <c r="ER140" s="57"/>
      <c r="ES140" s="57"/>
      <c r="ET140" s="57"/>
      <c r="EU140" s="57"/>
      <c r="EV140" s="57"/>
      <c r="EW140" s="57"/>
      <c r="EX140" s="57"/>
      <c r="EY140" s="57"/>
      <c r="EZ140" s="57"/>
    </row>
    <row r="141" spans="1:156" s="58" customFormat="1" ht="20.25">
      <c r="A141" s="89"/>
      <c r="B141" s="89"/>
      <c r="C141" s="88" t="s">
        <v>184</v>
      </c>
      <c r="D141" s="88" t="s">
        <v>184</v>
      </c>
      <c r="E141" s="64"/>
      <c r="F141" s="84">
        <f t="shared" si="8"/>
        <v>0</v>
      </c>
      <c r="G141" s="84"/>
      <c r="H141" s="64"/>
      <c r="I141" s="84">
        <f t="shared" si="9"/>
        <v>0</v>
      </c>
      <c r="J141" s="7">
        <v>110000</v>
      </c>
      <c r="K141" s="7"/>
      <c r="L141" s="7">
        <f>K141+J141</f>
        <v>110000</v>
      </c>
      <c r="M141" s="115">
        <f t="shared" si="10"/>
        <v>110</v>
      </c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57"/>
      <c r="EF141" s="57"/>
      <c r="EG141" s="57"/>
      <c r="EH141" s="57"/>
      <c r="EI141" s="57"/>
      <c r="EJ141" s="57"/>
      <c r="EK141" s="57"/>
      <c r="EL141" s="57"/>
      <c r="EM141" s="57"/>
      <c r="EN141" s="57"/>
      <c r="EO141" s="57"/>
      <c r="EP141" s="57"/>
      <c r="EQ141" s="57"/>
      <c r="ER141" s="57"/>
      <c r="ES141" s="57"/>
      <c r="ET141" s="57"/>
      <c r="EU141" s="57"/>
      <c r="EV141" s="57"/>
      <c r="EW141" s="57"/>
      <c r="EX141" s="57"/>
      <c r="EY141" s="57"/>
      <c r="EZ141" s="57"/>
    </row>
    <row r="142" spans="1:156" s="58" customFormat="1" ht="40.5">
      <c r="A142" s="89"/>
      <c r="B142" s="89"/>
      <c r="C142" s="88" t="s">
        <v>117</v>
      </c>
      <c r="D142" s="88" t="s">
        <v>117</v>
      </c>
      <c r="E142" s="64"/>
      <c r="F142" s="84">
        <f t="shared" si="8"/>
        <v>0</v>
      </c>
      <c r="G142" s="84"/>
      <c r="H142" s="64"/>
      <c r="I142" s="84">
        <f t="shared" si="9"/>
        <v>0</v>
      </c>
      <c r="J142" s="7">
        <v>431300</v>
      </c>
      <c r="K142" s="7"/>
      <c r="L142" s="7">
        <f>K142+J142</f>
        <v>431300</v>
      </c>
      <c r="M142" s="115">
        <f t="shared" si="10"/>
        <v>431.3</v>
      </c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7"/>
      <c r="DG142" s="57"/>
      <c r="DH142" s="57"/>
      <c r="DI142" s="57"/>
      <c r="DJ142" s="57"/>
      <c r="DK142" s="57"/>
      <c r="DL142" s="57"/>
      <c r="DM142" s="57"/>
      <c r="DN142" s="57"/>
      <c r="DO142" s="57"/>
      <c r="DP142" s="57"/>
      <c r="DQ142" s="57"/>
      <c r="DR142" s="57"/>
      <c r="DS142" s="57"/>
      <c r="DT142" s="57"/>
      <c r="DU142" s="57"/>
      <c r="DV142" s="57"/>
      <c r="DW142" s="57"/>
      <c r="DX142" s="57"/>
      <c r="DY142" s="57"/>
      <c r="DZ142" s="57"/>
      <c r="EA142" s="57"/>
      <c r="EB142" s="57"/>
      <c r="EC142" s="57"/>
      <c r="ED142" s="57"/>
      <c r="EE142" s="57"/>
      <c r="EF142" s="57"/>
      <c r="EG142" s="57"/>
      <c r="EH142" s="57"/>
      <c r="EI142" s="57"/>
      <c r="EJ142" s="57"/>
      <c r="EK142" s="57"/>
      <c r="EL142" s="57"/>
      <c r="EM142" s="57"/>
      <c r="EN142" s="57"/>
      <c r="EO142" s="57"/>
      <c r="EP142" s="57"/>
      <c r="EQ142" s="57"/>
      <c r="ER142" s="57"/>
      <c r="ES142" s="57"/>
      <c r="ET142" s="57"/>
      <c r="EU142" s="57"/>
      <c r="EV142" s="57"/>
      <c r="EW142" s="57"/>
      <c r="EX142" s="57"/>
      <c r="EY142" s="57"/>
      <c r="EZ142" s="57"/>
    </row>
    <row r="143" spans="1:156" s="58" customFormat="1" ht="40.5">
      <c r="A143" s="89"/>
      <c r="B143" s="89"/>
      <c r="C143" s="88" t="s">
        <v>108</v>
      </c>
      <c r="D143" s="88" t="s">
        <v>108</v>
      </c>
      <c r="E143" s="64"/>
      <c r="F143" s="84">
        <f t="shared" si="8"/>
        <v>0</v>
      </c>
      <c r="G143" s="84"/>
      <c r="H143" s="64"/>
      <c r="I143" s="84">
        <f t="shared" si="9"/>
        <v>0</v>
      </c>
      <c r="J143" s="7">
        <v>2000000</v>
      </c>
      <c r="K143" s="7"/>
      <c r="L143" s="7">
        <f>K143+J143</f>
        <v>2000000</v>
      </c>
      <c r="M143" s="115">
        <f t="shared" si="10"/>
        <v>2000</v>
      </c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57"/>
      <c r="CQ143" s="57"/>
      <c r="CR143" s="57"/>
      <c r="CS143" s="57"/>
      <c r="CT143" s="57"/>
      <c r="CU143" s="57"/>
      <c r="CV143" s="57"/>
      <c r="CW143" s="57"/>
      <c r="CX143" s="57"/>
      <c r="CY143" s="57"/>
      <c r="CZ143" s="57"/>
      <c r="DA143" s="57"/>
      <c r="DB143" s="57"/>
      <c r="DC143" s="57"/>
      <c r="DD143" s="57"/>
      <c r="DE143" s="57"/>
      <c r="DF143" s="57"/>
      <c r="DG143" s="57"/>
      <c r="DH143" s="57"/>
      <c r="DI143" s="57"/>
      <c r="DJ143" s="57"/>
      <c r="DK143" s="57"/>
      <c r="DL143" s="57"/>
      <c r="DM143" s="57"/>
      <c r="DN143" s="57"/>
      <c r="DO143" s="57"/>
      <c r="DP143" s="57"/>
      <c r="DQ143" s="57"/>
      <c r="DR143" s="57"/>
      <c r="DS143" s="57"/>
      <c r="DT143" s="57"/>
      <c r="DU143" s="57"/>
      <c r="DV143" s="57"/>
      <c r="DW143" s="57"/>
      <c r="DX143" s="57"/>
      <c r="DY143" s="57"/>
      <c r="DZ143" s="57"/>
      <c r="EA143" s="57"/>
      <c r="EB143" s="57"/>
      <c r="EC143" s="57"/>
      <c r="ED143" s="57"/>
      <c r="EE143" s="57"/>
      <c r="EF143" s="57"/>
      <c r="EG143" s="57"/>
      <c r="EH143" s="57"/>
      <c r="EI143" s="57"/>
      <c r="EJ143" s="57"/>
      <c r="EK143" s="57"/>
      <c r="EL143" s="57"/>
      <c r="EM143" s="57"/>
      <c r="EN143" s="57"/>
      <c r="EO143" s="57"/>
      <c r="EP143" s="57"/>
      <c r="EQ143" s="57"/>
      <c r="ER143" s="57"/>
      <c r="ES143" s="57"/>
      <c r="ET143" s="57"/>
      <c r="EU143" s="57"/>
      <c r="EV143" s="57"/>
      <c r="EW143" s="57"/>
      <c r="EX143" s="57"/>
      <c r="EY143" s="57"/>
      <c r="EZ143" s="57"/>
    </row>
    <row r="144" spans="1:156" s="58" customFormat="1" ht="40.5">
      <c r="A144" s="89"/>
      <c r="B144" s="89"/>
      <c r="C144" s="88" t="s">
        <v>105</v>
      </c>
      <c r="D144" s="88" t="s">
        <v>105</v>
      </c>
      <c r="E144" s="64">
        <v>3536069</v>
      </c>
      <c r="F144" s="84">
        <f t="shared" si="8"/>
        <v>3536.1</v>
      </c>
      <c r="G144" s="84">
        <v>70.3</v>
      </c>
      <c r="H144" s="64">
        <v>2484527</v>
      </c>
      <c r="I144" s="84">
        <f t="shared" si="9"/>
        <v>2484.5</v>
      </c>
      <c r="J144" s="7">
        <f>2400000+160000</f>
        <v>2560000</v>
      </c>
      <c r="K144" s="7"/>
      <c r="L144" s="7">
        <f t="shared" si="14"/>
        <v>2560000</v>
      </c>
      <c r="M144" s="115">
        <f t="shared" si="10"/>
        <v>2560</v>
      </c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7"/>
      <c r="DG144" s="57"/>
      <c r="DH144" s="57"/>
      <c r="DI144" s="57"/>
      <c r="DJ144" s="57"/>
      <c r="DK144" s="57"/>
      <c r="DL144" s="57"/>
      <c r="DM144" s="57"/>
      <c r="DN144" s="57"/>
      <c r="DO144" s="57"/>
      <c r="DP144" s="57"/>
      <c r="DQ144" s="57"/>
      <c r="DR144" s="57"/>
      <c r="DS144" s="57"/>
      <c r="DT144" s="57"/>
      <c r="DU144" s="57"/>
      <c r="DV144" s="57"/>
      <c r="DW144" s="57"/>
      <c r="DX144" s="57"/>
      <c r="DY144" s="57"/>
      <c r="DZ144" s="57"/>
      <c r="EA144" s="57"/>
      <c r="EB144" s="57"/>
      <c r="EC144" s="57"/>
      <c r="ED144" s="57"/>
      <c r="EE144" s="57"/>
      <c r="EF144" s="57"/>
      <c r="EG144" s="57"/>
      <c r="EH144" s="57"/>
      <c r="EI144" s="57"/>
      <c r="EJ144" s="57"/>
      <c r="EK144" s="57"/>
      <c r="EL144" s="57"/>
      <c r="EM144" s="57"/>
      <c r="EN144" s="57"/>
      <c r="EO144" s="57"/>
      <c r="EP144" s="57"/>
      <c r="EQ144" s="57"/>
      <c r="ER144" s="57"/>
      <c r="ES144" s="57"/>
      <c r="ET144" s="57"/>
      <c r="EU144" s="57"/>
      <c r="EV144" s="57"/>
      <c r="EW144" s="57"/>
      <c r="EX144" s="57"/>
      <c r="EY144" s="57"/>
      <c r="EZ144" s="57"/>
    </row>
    <row r="145" spans="1:156" s="58" customFormat="1" ht="98.25" customHeight="1">
      <c r="A145" s="89"/>
      <c r="B145" s="89"/>
      <c r="C145" s="88" t="s">
        <v>154</v>
      </c>
      <c r="D145" s="88" t="s">
        <v>154</v>
      </c>
      <c r="E145" s="64"/>
      <c r="F145" s="84">
        <f t="shared" si="8"/>
        <v>0</v>
      </c>
      <c r="G145" s="84"/>
      <c r="H145" s="64"/>
      <c r="I145" s="84">
        <f t="shared" si="9"/>
        <v>0</v>
      </c>
      <c r="J145" s="7">
        <v>1422000</v>
      </c>
      <c r="K145" s="7"/>
      <c r="L145" s="7">
        <f t="shared" si="14"/>
        <v>1422000</v>
      </c>
      <c r="M145" s="115">
        <f t="shared" si="10"/>
        <v>1422</v>
      </c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  <c r="CP145" s="57"/>
      <c r="CQ145" s="57"/>
      <c r="CR145" s="57"/>
      <c r="CS145" s="57"/>
      <c r="CT145" s="57"/>
      <c r="CU145" s="57"/>
      <c r="CV145" s="57"/>
      <c r="CW145" s="57"/>
      <c r="CX145" s="57"/>
      <c r="CY145" s="57"/>
      <c r="CZ145" s="57"/>
      <c r="DA145" s="57"/>
      <c r="DB145" s="57"/>
      <c r="DC145" s="57"/>
      <c r="DD145" s="57"/>
      <c r="DE145" s="57"/>
      <c r="DF145" s="57"/>
      <c r="DG145" s="57"/>
      <c r="DH145" s="57"/>
      <c r="DI145" s="57"/>
      <c r="DJ145" s="57"/>
      <c r="DK145" s="57"/>
      <c r="DL145" s="57"/>
      <c r="DM145" s="57"/>
      <c r="DN145" s="57"/>
      <c r="DO145" s="57"/>
      <c r="DP145" s="57"/>
      <c r="DQ145" s="57"/>
      <c r="DR145" s="57"/>
      <c r="DS145" s="57"/>
      <c r="DT145" s="57"/>
      <c r="DU145" s="57"/>
      <c r="DV145" s="57"/>
      <c r="DW145" s="57"/>
      <c r="DX145" s="57"/>
      <c r="DY145" s="57"/>
      <c r="DZ145" s="57"/>
      <c r="EA145" s="57"/>
      <c r="EB145" s="57"/>
      <c r="EC145" s="57"/>
      <c r="ED145" s="57"/>
      <c r="EE145" s="57"/>
      <c r="EF145" s="57"/>
      <c r="EG145" s="57"/>
      <c r="EH145" s="57"/>
      <c r="EI145" s="57"/>
      <c r="EJ145" s="57"/>
      <c r="EK145" s="57"/>
      <c r="EL145" s="57"/>
      <c r="EM145" s="57"/>
      <c r="EN145" s="57"/>
      <c r="EO145" s="57"/>
      <c r="EP145" s="57"/>
      <c r="EQ145" s="57"/>
      <c r="ER145" s="57"/>
      <c r="ES145" s="57"/>
      <c r="ET145" s="57"/>
      <c r="EU145" s="57"/>
      <c r="EV145" s="57"/>
      <c r="EW145" s="57"/>
      <c r="EX145" s="57"/>
      <c r="EY145" s="57"/>
      <c r="EZ145" s="57"/>
    </row>
    <row r="146" spans="1:156" s="58" customFormat="1" ht="102.75" customHeight="1">
      <c r="A146" s="89"/>
      <c r="B146" s="89"/>
      <c r="C146" s="88" t="s">
        <v>152</v>
      </c>
      <c r="D146" s="88" t="s">
        <v>152</v>
      </c>
      <c r="E146" s="64"/>
      <c r="F146" s="84">
        <f t="shared" si="8"/>
        <v>0</v>
      </c>
      <c r="G146" s="84"/>
      <c r="H146" s="64"/>
      <c r="I146" s="84">
        <f t="shared" si="9"/>
        <v>0</v>
      </c>
      <c r="J146" s="7">
        <v>1400000</v>
      </c>
      <c r="K146" s="7"/>
      <c r="L146" s="7">
        <f t="shared" si="14"/>
        <v>1400000</v>
      </c>
      <c r="M146" s="115">
        <f t="shared" si="10"/>
        <v>1400</v>
      </c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  <c r="CP146" s="57"/>
      <c r="CQ146" s="57"/>
      <c r="CR146" s="57"/>
      <c r="CS146" s="57"/>
      <c r="CT146" s="57"/>
      <c r="CU146" s="57"/>
      <c r="CV146" s="57"/>
      <c r="CW146" s="57"/>
      <c r="CX146" s="57"/>
      <c r="CY146" s="57"/>
      <c r="CZ146" s="57"/>
      <c r="DA146" s="57"/>
      <c r="DB146" s="57"/>
      <c r="DC146" s="57"/>
      <c r="DD146" s="57"/>
      <c r="DE146" s="57"/>
      <c r="DF146" s="57"/>
      <c r="DG146" s="57"/>
      <c r="DH146" s="57"/>
      <c r="DI146" s="57"/>
      <c r="DJ146" s="57"/>
      <c r="DK146" s="57"/>
      <c r="DL146" s="57"/>
      <c r="DM146" s="57"/>
      <c r="DN146" s="57"/>
      <c r="DO146" s="57"/>
      <c r="DP146" s="57"/>
      <c r="DQ146" s="57"/>
      <c r="DR146" s="57"/>
      <c r="DS146" s="57"/>
      <c r="DT146" s="57"/>
      <c r="DU146" s="57"/>
      <c r="DV146" s="57"/>
      <c r="DW146" s="57"/>
      <c r="DX146" s="57"/>
      <c r="DY146" s="57"/>
      <c r="DZ146" s="57"/>
      <c r="EA146" s="57"/>
      <c r="EB146" s="57"/>
      <c r="EC146" s="57"/>
      <c r="ED146" s="57"/>
      <c r="EE146" s="57"/>
      <c r="EF146" s="57"/>
      <c r="EG146" s="57"/>
      <c r="EH146" s="57"/>
      <c r="EI146" s="57"/>
      <c r="EJ146" s="57"/>
      <c r="EK146" s="57"/>
      <c r="EL146" s="57"/>
      <c r="EM146" s="57"/>
      <c r="EN146" s="57"/>
      <c r="EO146" s="57"/>
      <c r="EP146" s="57"/>
      <c r="EQ146" s="57"/>
      <c r="ER146" s="57"/>
      <c r="ES146" s="57"/>
      <c r="ET146" s="57"/>
      <c r="EU146" s="57"/>
      <c r="EV146" s="57"/>
      <c r="EW146" s="57"/>
      <c r="EX146" s="57"/>
      <c r="EY146" s="57"/>
      <c r="EZ146" s="57"/>
    </row>
    <row r="147" spans="1:156" s="58" customFormat="1" ht="34.5" customHeight="1">
      <c r="A147" s="89"/>
      <c r="B147" s="89"/>
      <c r="C147" s="88" t="s">
        <v>190</v>
      </c>
      <c r="D147" s="88" t="s">
        <v>190</v>
      </c>
      <c r="E147" s="64"/>
      <c r="F147" s="84">
        <f t="shared" si="8"/>
        <v>0</v>
      </c>
      <c r="G147" s="84"/>
      <c r="H147" s="64"/>
      <c r="I147" s="84">
        <f t="shared" si="9"/>
        <v>0</v>
      </c>
      <c r="J147" s="7">
        <v>50000</v>
      </c>
      <c r="K147" s="7"/>
      <c r="L147" s="7">
        <f t="shared" si="14"/>
        <v>50000</v>
      </c>
      <c r="M147" s="115">
        <f t="shared" si="10"/>
        <v>50</v>
      </c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/>
      <c r="CM147" s="57"/>
      <c r="CN147" s="57"/>
      <c r="CO147" s="57"/>
      <c r="CP147" s="57"/>
      <c r="CQ147" s="57"/>
      <c r="CR147" s="57"/>
      <c r="CS147" s="57"/>
      <c r="CT147" s="57"/>
      <c r="CU147" s="57"/>
      <c r="CV147" s="57"/>
      <c r="CW147" s="57"/>
      <c r="CX147" s="57"/>
      <c r="CY147" s="57"/>
      <c r="CZ147" s="57"/>
      <c r="DA147" s="57"/>
      <c r="DB147" s="57"/>
      <c r="DC147" s="57"/>
      <c r="DD147" s="57"/>
      <c r="DE147" s="57"/>
      <c r="DF147" s="57"/>
      <c r="DG147" s="57"/>
      <c r="DH147" s="57"/>
      <c r="DI147" s="57"/>
      <c r="DJ147" s="57"/>
      <c r="DK147" s="57"/>
      <c r="DL147" s="57"/>
      <c r="DM147" s="57"/>
      <c r="DN147" s="57"/>
      <c r="DO147" s="57"/>
      <c r="DP147" s="57"/>
      <c r="DQ147" s="57"/>
      <c r="DR147" s="57"/>
      <c r="DS147" s="57"/>
      <c r="DT147" s="57"/>
      <c r="DU147" s="57"/>
      <c r="DV147" s="57"/>
      <c r="DW147" s="57"/>
      <c r="DX147" s="57"/>
      <c r="DY147" s="57"/>
      <c r="DZ147" s="57"/>
      <c r="EA147" s="57"/>
      <c r="EB147" s="57"/>
      <c r="EC147" s="57"/>
      <c r="ED147" s="57"/>
      <c r="EE147" s="57"/>
      <c r="EF147" s="57"/>
      <c r="EG147" s="57"/>
      <c r="EH147" s="57"/>
      <c r="EI147" s="57"/>
      <c r="EJ147" s="57"/>
      <c r="EK147" s="57"/>
      <c r="EL147" s="57"/>
      <c r="EM147" s="57"/>
      <c r="EN147" s="57"/>
      <c r="EO147" s="57"/>
      <c r="EP147" s="57"/>
      <c r="EQ147" s="57"/>
      <c r="ER147" s="57"/>
      <c r="ES147" s="57"/>
      <c r="ET147" s="57"/>
      <c r="EU147" s="57"/>
      <c r="EV147" s="57"/>
      <c r="EW147" s="57"/>
      <c r="EX147" s="57"/>
      <c r="EY147" s="57"/>
      <c r="EZ147" s="57"/>
    </row>
    <row r="148" spans="1:156" s="58" customFormat="1" ht="34.5" customHeight="1">
      <c r="A148" s="89"/>
      <c r="B148" s="89"/>
      <c r="C148" s="88" t="s">
        <v>238</v>
      </c>
      <c r="D148" s="88" t="s">
        <v>189</v>
      </c>
      <c r="E148" s="64"/>
      <c r="F148" s="84">
        <f t="shared" si="8"/>
        <v>0</v>
      </c>
      <c r="G148" s="84"/>
      <c r="H148" s="64"/>
      <c r="I148" s="84">
        <f t="shared" si="9"/>
        <v>0</v>
      </c>
      <c r="J148" s="7">
        <v>50000</v>
      </c>
      <c r="K148" s="7"/>
      <c r="L148" s="7">
        <f t="shared" si="14"/>
        <v>50000</v>
      </c>
      <c r="M148" s="115">
        <f t="shared" si="10"/>
        <v>50</v>
      </c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  <c r="DC148" s="57"/>
      <c r="DD148" s="57"/>
      <c r="DE148" s="57"/>
      <c r="DF148" s="57"/>
      <c r="DG148" s="57"/>
      <c r="DH148" s="57"/>
      <c r="DI148" s="57"/>
      <c r="DJ148" s="57"/>
      <c r="DK148" s="57"/>
      <c r="DL148" s="57"/>
      <c r="DM148" s="57"/>
      <c r="DN148" s="57"/>
      <c r="DO148" s="57"/>
      <c r="DP148" s="57"/>
      <c r="DQ148" s="57"/>
      <c r="DR148" s="57"/>
      <c r="DS148" s="57"/>
      <c r="DT148" s="57"/>
      <c r="DU148" s="57"/>
      <c r="DV148" s="57"/>
      <c r="DW148" s="57"/>
      <c r="DX148" s="57"/>
      <c r="DY148" s="57"/>
      <c r="DZ148" s="57"/>
      <c r="EA148" s="57"/>
      <c r="EB148" s="57"/>
      <c r="EC148" s="57"/>
      <c r="ED148" s="57"/>
      <c r="EE148" s="57"/>
      <c r="EF148" s="57"/>
      <c r="EG148" s="57"/>
      <c r="EH148" s="57"/>
      <c r="EI148" s="57"/>
      <c r="EJ148" s="57"/>
      <c r="EK148" s="57"/>
      <c r="EL148" s="57"/>
      <c r="EM148" s="57"/>
      <c r="EN148" s="57"/>
      <c r="EO148" s="57"/>
      <c r="EP148" s="57"/>
      <c r="EQ148" s="57"/>
      <c r="ER148" s="57"/>
      <c r="ES148" s="57"/>
      <c r="ET148" s="57"/>
      <c r="EU148" s="57"/>
      <c r="EV148" s="57"/>
      <c r="EW148" s="57"/>
      <c r="EX148" s="57"/>
      <c r="EY148" s="57"/>
      <c r="EZ148" s="57"/>
    </row>
    <row r="149" spans="1:156" s="58" customFormat="1" ht="34.5" customHeight="1">
      <c r="A149" s="89"/>
      <c r="B149" s="89"/>
      <c r="C149" s="88" t="s">
        <v>239</v>
      </c>
      <c r="D149" s="88" t="s">
        <v>191</v>
      </c>
      <c r="E149" s="64"/>
      <c r="F149" s="84">
        <f t="shared" si="8"/>
        <v>0</v>
      </c>
      <c r="G149" s="84"/>
      <c r="H149" s="64"/>
      <c r="I149" s="84">
        <f t="shared" si="9"/>
        <v>0</v>
      </c>
      <c r="J149" s="7">
        <v>50000</v>
      </c>
      <c r="K149" s="7"/>
      <c r="L149" s="7">
        <f t="shared" si="14"/>
        <v>50000</v>
      </c>
      <c r="M149" s="115">
        <f t="shared" si="10"/>
        <v>50</v>
      </c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7"/>
      <c r="DG149" s="57"/>
      <c r="DH149" s="57"/>
      <c r="DI149" s="57"/>
      <c r="DJ149" s="57"/>
      <c r="DK149" s="57"/>
      <c r="DL149" s="57"/>
      <c r="DM149" s="57"/>
      <c r="DN149" s="57"/>
      <c r="DO149" s="57"/>
      <c r="DP149" s="57"/>
      <c r="DQ149" s="57"/>
      <c r="DR149" s="57"/>
      <c r="DS149" s="57"/>
      <c r="DT149" s="57"/>
      <c r="DU149" s="57"/>
      <c r="DV149" s="57"/>
      <c r="DW149" s="57"/>
      <c r="DX149" s="57"/>
      <c r="DY149" s="57"/>
      <c r="DZ149" s="57"/>
      <c r="EA149" s="57"/>
      <c r="EB149" s="57"/>
      <c r="EC149" s="57"/>
      <c r="ED149" s="57"/>
      <c r="EE149" s="57"/>
      <c r="EF149" s="57"/>
      <c r="EG149" s="57"/>
      <c r="EH149" s="57"/>
      <c r="EI149" s="57"/>
      <c r="EJ149" s="57"/>
      <c r="EK149" s="57"/>
      <c r="EL149" s="57"/>
      <c r="EM149" s="57"/>
      <c r="EN149" s="57"/>
      <c r="EO149" s="57"/>
      <c r="EP149" s="57"/>
      <c r="EQ149" s="57"/>
      <c r="ER149" s="57"/>
      <c r="ES149" s="57"/>
      <c r="ET149" s="57"/>
      <c r="EU149" s="57"/>
      <c r="EV149" s="57"/>
      <c r="EW149" s="57"/>
      <c r="EX149" s="57"/>
      <c r="EY149" s="57"/>
      <c r="EZ149" s="57"/>
    </row>
    <row r="150" spans="1:156" s="58" customFormat="1" ht="34.5" customHeight="1">
      <c r="A150" s="89"/>
      <c r="B150" s="89"/>
      <c r="C150" s="88" t="s">
        <v>240</v>
      </c>
      <c r="D150" s="88" t="s">
        <v>192</v>
      </c>
      <c r="E150" s="64"/>
      <c r="F150" s="84">
        <f t="shared" si="8"/>
        <v>0</v>
      </c>
      <c r="G150" s="84"/>
      <c r="H150" s="64"/>
      <c r="I150" s="84">
        <f t="shared" si="9"/>
        <v>0</v>
      </c>
      <c r="J150" s="7">
        <v>50000</v>
      </c>
      <c r="K150" s="7"/>
      <c r="L150" s="7">
        <f t="shared" si="14"/>
        <v>50000</v>
      </c>
      <c r="M150" s="115">
        <f t="shared" si="10"/>
        <v>50</v>
      </c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7"/>
      <c r="DG150" s="57"/>
      <c r="DH150" s="57"/>
      <c r="DI150" s="57"/>
      <c r="DJ150" s="57"/>
      <c r="DK150" s="57"/>
      <c r="DL150" s="57"/>
      <c r="DM150" s="57"/>
      <c r="DN150" s="57"/>
      <c r="DO150" s="57"/>
      <c r="DP150" s="57"/>
      <c r="DQ150" s="57"/>
      <c r="DR150" s="57"/>
      <c r="DS150" s="57"/>
      <c r="DT150" s="57"/>
      <c r="DU150" s="57"/>
      <c r="DV150" s="57"/>
      <c r="DW150" s="57"/>
      <c r="DX150" s="57"/>
      <c r="DY150" s="57"/>
      <c r="DZ150" s="57"/>
      <c r="EA150" s="57"/>
      <c r="EB150" s="57"/>
      <c r="EC150" s="57"/>
      <c r="ED150" s="57"/>
      <c r="EE150" s="57"/>
      <c r="EF150" s="57"/>
      <c r="EG150" s="57"/>
      <c r="EH150" s="57"/>
      <c r="EI150" s="57"/>
      <c r="EJ150" s="57"/>
      <c r="EK150" s="57"/>
      <c r="EL150" s="57"/>
      <c r="EM150" s="57"/>
      <c r="EN150" s="57"/>
      <c r="EO150" s="57"/>
      <c r="EP150" s="57"/>
      <c r="EQ150" s="57"/>
      <c r="ER150" s="57"/>
      <c r="ES150" s="57"/>
      <c r="ET150" s="57"/>
      <c r="EU150" s="57"/>
      <c r="EV150" s="57"/>
      <c r="EW150" s="57"/>
      <c r="EX150" s="57"/>
      <c r="EY150" s="57"/>
      <c r="EZ150" s="57"/>
    </row>
    <row r="151" spans="1:156" s="58" customFormat="1" ht="34.5" customHeight="1">
      <c r="A151" s="89"/>
      <c r="B151" s="89"/>
      <c r="C151" s="88" t="s">
        <v>241</v>
      </c>
      <c r="D151" s="88" t="s">
        <v>193</v>
      </c>
      <c r="E151" s="64"/>
      <c r="F151" s="84">
        <f t="shared" si="8"/>
        <v>0</v>
      </c>
      <c r="G151" s="84"/>
      <c r="H151" s="64"/>
      <c r="I151" s="84">
        <f t="shared" si="9"/>
        <v>0</v>
      </c>
      <c r="J151" s="7">
        <v>50000</v>
      </c>
      <c r="K151" s="7"/>
      <c r="L151" s="7">
        <f t="shared" si="14"/>
        <v>50000</v>
      </c>
      <c r="M151" s="115">
        <f t="shared" si="10"/>
        <v>50</v>
      </c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7"/>
      <c r="DG151" s="57"/>
      <c r="DH151" s="57"/>
      <c r="DI151" s="57"/>
      <c r="DJ151" s="57"/>
      <c r="DK151" s="57"/>
      <c r="DL151" s="57"/>
      <c r="DM151" s="57"/>
      <c r="DN151" s="57"/>
      <c r="DO151" s="57"/>
      <c r="DP151" s="57"/>
      <c r="DQ151" s="57"/>
      <c r="DR151" s="57"/>
      <c r="DS151" s="57"/>
      <c r="DT151" s="57"/>
      <c r="DU151" s="57"/>
      <c r="DV151" s="57"/>
      <c r="DW151" s="57"/>
      <c r="DX151" s="57"/>
      <c r="DY151" s="57"/>
      <c r="DZ151" s="57"/>
      <c r="EA151" s="57"/>
      <c r="EB151" s="57"/>
      <c r="EC151" s="57"/>
      <c r="ED151" s="57"/>
      <c r="EE151" s="57"/>
      <c r="EF151" s="57"/>
      <c r="EG151" s="57"/>
      <c r="EH151" s="57"/>
      <c r="EI151" s="57"/>
      <c r="EJ151" s="57"/>
      <c r="EK151" s="57"/>
      <c r="EL151" s="57"/>
      <c r="EM151" s="57"/>
      <c r="EN151" s="57"/>
      <c r="EO151" s="57"/>
      <c r="EP151" s="57"/>
      <c r="EQ151" s="57"/>
      <c r="ER151" s="57"/>
      <c r="ES151" s="57"/>
      <c r="ET151" s="57"/>
      <c r="EU151" s="57"/>
      <c r="EV151" s="57"/>
      <c r="EW151" s="57"/>
      <c r="EX151" s="57"/>
      <c r="EY151" s="57"/>
      <c r="EZ151" s="57"/>
    </row>
    <row r="152" spans="1:156" s="58" customFormat="1" ht="40.5">
      <c r="A152" s="89"/>
      <c r="B152" s="89"/>
      <c r="C152" s="88" t="s">
        <v>194</v>
      </c>
      <c r="D152" s="88" t="s">
        <v>194</v>
      </c>
      <c r="E152" s="64"/>
      <c r="F152" s="84">
        <f aca="true" t="shared" si="15" ref="F152:F216">ROUND(E152/1000,1)</f>
        <v>0</v>
      </c>
      <c r="G152" s="84"/>
      <c r="H152" s="64"/>
      <c r="I152" s="84">
        <f aca="true" t="shared" si="16" ref="I152:I216">ROUND(H152/1000,1)</f>
        <v>0</v>
      </c>
      <c r="J152" s="7">
        <v>50000</v>
      </c>
      <c r="K152" s="7"/>
      <c r="L152" s="7">
        <f t="shared" si="14"/>
        <v>50000</v>
      </c>
      <c r="M152" s="115">
        <f aca="true" t="shared" si="17" ref="M152:M215">ROUND(L152/1000,1)</f>
        <v>50</v>
      </c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7"/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7"/>
      <c r="DC152" s="57"/>
      <c r="DD152" s="57"/>
      <c r="DE152" s="57"/>
      <c r="DF152" s="57"/>
      <c r="DG152" s="57"/>
      <c r="DH152" s="57"/>
      <c r="DI152" s="57"/>
      <c r="DJ152" s="57"/>
      <c r="DK152" s="57"/>
      <c r="DL152" s="57"/>
      <c r="DM152" s="57"/>
      <c r="DN152" s="57"/>
      <c r="DO152" s="57"/>
      <c r="DP152" s="57"/>
      <c r="DQ152" s="57"/>
      <c r="DR152" s="57"/>
      <c r="DS152" s="57"/>
      <c r="DT152" s="57"/>
      <c r="DU152" s="57"/>
      <c r="DV152" s="57"/>
      <c r="DW152" s="57"/>
      <c r="DX152" s="57"/>
      <c r="DY152" s="57"/>
      <c r="DZ152" s="57"/>
      <c r="EA152" s="57"/>
      <c r="EB152" s="57"/>
      <c r="EC152" s="57"/>
      <c r="ED152" s="57"/>
      <c r="EE152" s="57"/>
      <c r="EF152" s="57"/>
      <c r="EG152" s="57"/>
      <c r="EH152" s="57"/>
      <c r="EI152" s="57"/>
      <c r="EJ152" s="57"/>
      <c r="EK152" s="57"/>
      <c r="EL152" s="57"/>
      <c r="EM152" s="57"/>
      <c r="EN152" s="57"/>
      <c r="EO152" s="57"/>
      <c r="EP152" s="57"/>
      <c r="EQ152" s="57"/>
      <c r="ER152" s="57"/>
      <c r="ES152" s="57"/>
      <c r="ET152" s="57"/>
      <c r="EU152" s="57"/>
      <c r="EV152" s="57"/>
      <c r="EW152" s="57"/>
      <c r="EX152" s="57"/>
      <c r="EY152" s="57"/>
      <c r="EZ152" s="57"/>
    </row>
    <row r="153" spans="1:156" s="58" customFormat="1" ht="36.75" customHeight="1">
      <c r="A153" s="89"/>
      <c r="B153" s="89"/>
      <c r="C153" s="88" t="s">
        <v>210</v>
      </c>
      <c r="D153" s="88" t="s">
        <v>210</v>
      </c>
      <c r="E153" s="64"/>
      <c r="F153" s="84">
        <f t="shared" si="15"/>
        <v>0</v>
      </c>
      <c r="G153" s="84"/>
      <c r="H153" s="64"/>
      <c r="I153" s="84">
        <f t="shared" si="16"/>
        <v>0</v>
      </c>
      <c r="J153" s="7"/>
      <c r="K153" s="7">
        <v>50000</v>
      </c>
      <c r="L153" s="7">
        <f t="shared" si="14"/>
        <v>50000</v>
      </c>
      <c r="M153" s="115">
        <f t="shared" si="17"/>
        <v>50</v>
      </c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7"/>
      <c r="DC153" s="57"/>
      <c r="DD153" s="57"/>
      <c r="DE153" s="57"/>
      <c r="DF153" s="57"/>
      <c r="DG153" s="57"/>
      <c r="DH153" s="57"/>
      <c r="DI153" s="57"/>
      <c r="DJ153" s="57"/>
      <c r="DK153" s="57"/>
      <c r="DL153" s="57"/>
      <c r="DM153" s="57"/>
      <c r="DN153" s="57"/>
      <c r="DO153" s="57"/>
      <c r="DP153" s="57"/>
      <c r="DQ153" s="57"/>
      <c r="DR153" s="57"/>
      <c r="DS153" s="57"/>
      <c r="DT153" s="57"/>
      <c r="DU153" s="57"/>
      <c r="DV153" s="57"/>
      <c r="DW153" s="57"/>
      <c r="DX153" s="57"/>
      <c r="DY153" s="57"/>
      <c r="DZ153" s="57"/>
      <c r="EA153" s="57"/>
      <c r="EB153" s="57"/>
      <c r="EC153" s="57"/>
      <c r="ED153" s="57"/>
      <c r="EE153" s="57"/>
      <c r="EF153" s="57"/>
      <c r="EG153" s="57"/>
      <c r="EH153" s="57"/>
      <c r="EI153" s="57"/>
      <c r="EJ153" s="57"/>
      <c r="EK153" s="57"/>
      <c r="EL153" s="57"/>
      <c r="EM153" s="57"/>
      <c r="EN153" s="57"/>
      <c r="EO153" s="57"/>
      <c r="EP153" s="57"/>
      <c r="EQ153" s="57"/>
      <c r="ER153" s="57"/>
      <c r="ES153" s="57"/>
      <c r="ET153" s="57"/>
      <c r="EU153" s="57"/>
      <c r="EV153" s="57"/>
      <c r="EW153" s="57"/>
      <c r="EX153" s="57"/>
      <c r="EY153" s="57"/>
      <c r="EZ153" s="57"/>
    </row>
    <row r="154" spans="1:156" s="58" customFormat="1" ht="36.75" customHeight="1" hidden="1">
      <c r="A154" s="89"/>
      <c r="B154" s="89"/>
      <c r="C154" s="88" t="s">
        <v>211</v>
      </c>
      <c r="D154" s="88" t="s">
        <v>211</v>
      </c>
      <c r="E154" s="64"/>
      <c r="F154" s="84">
        <f t="shared" si="15"/>
        <v>0</v>
      </c>
      <c r="G154" s="84"/>
      <c r="H154" s="64"/>
      <c r="I154" s="84">
        <f t="shared" si="16"/>
        <v>0</v>
      </c>
      <c r="J154" s="7"/>
      <c r="K154" s="7">
        <v>350000</v>
      </c>
      <c r="L154" s="7">
        <f t="shared" si="14"/>
        <v>350000</v>
      </c>
      <c r="M154" s="115">
        <f>ROUND(L154/1000,1)-350</f>
        <v>0</v>
      </c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  <c r="CJ154" s="57"/>
      <c r="CK154" s="57"/>
      <c r="CL154" s="57"/>
      <c r="CM154" s="57"/>
      <c r="CN154" s="57"/>
      <c r="CO154" s="57"/>
      <c r="CP154" s="57"/>
      <c r="CQ154" s="57"/>
      <c r="CR154" s="57"/>
      <c r="CS154" s="57"/>
      <c r="CT154" s="57"/>
      <c r="CU154" s="57"/>
      <c r="CV154" s="57"/>
      <c r="CW154" s="57"/>
      <c r="CX154" s="57"/>
      <c r="CY154" s="57"/>
      <c r="CZ154" s="57"/>
      <c r="DA154" s="57"/>
      <c r="DB154" s="57"/>
      <c r="DC154" s="57"/>
      <c r="DD154" s="57"/>
      <c r="DE154" s="57"/>
      <c r="DF154" s="57"/>
      <c r="DG154" s="57"/>
      <c r="DH154" s="57"/>
      <c r="DI154" s="57"/>
      <c r="DJ154" s="57"/>
      <c r="DK154" s="57"/>
      <c r="DL154" s="57"/>
      <c r="DM154" s="57"/>
      <c r="DN154" s="57"/>
      <c r="DO154" s="57"/>
      <c r="DP154" s="57"/>
      <c r="DQ154" s="57"/>
      <c r="DR154" s="57"/>
      <c r="DS154" s="57"/>
      <c r="DT154" s="57"/>
      <c r="DU154" s="57"/>
      <c r="DV154" s="57"/>
      <c r="DW154" s="57"/>
      <c r="DX154" s="57"/>
      <c r="DY154" s="57"/>
      <c r="DZ154" s="57"/>
      <c r="EA154" s="57"/>
      <c r="EB154" s="57"/>
      <c r="EC154" s="57"/>
      <c r="ED154" s="57"/>
      <c r="EE154" s="57"/>
      <c r="EF154" s="57"/>
      <c r="EG154" s="57"/>
      <c r="EH154" s="57"/>
      <c r="EI154" s="57"/>
      <c r="EJ154" s="57"/>
      <c r="EK154" s="57"/>
      <c r="EL154" s="57"/>
      <c r="EM154" s="57"/>
      <c r="EN154" s="57"/>
      <c r="EO154" s="57"/>
      <c r="EP154" s="57"/>
      <c r="EQ154" s="57"/>
      <c r="ER154" s="57"/>
      <c r="ES154" s="57"/>
      <c r="ET154" s="57"/>
      <c r="EU154" s="57"/>
      <c r="EV154" s="57"/>
      <c r="EW154" s="57"/>
      <c r="EX154" s="57"/>
      <c r="EY154" s="57"/>
      <c r="EZ154" s="57"/>
    </row>
    <row r="155" spans="1:156" s="58" customFormat="1" ht="36.75" customHeight="1">
      <c r="A155" s="89"/>
      <c r="B155" s="89"/>
      <c r="C155" s="88" t="s">
        <v>56</v>
      </c>
      <c r="D155" s="88" t="s">
        <v>56</v>
      </c>
      <c r="E155" s="64"/>
      <c r="F155" s="84">
        <f t="shared" si="15"/>
        <v>0</v>
      </c>
      <c r="G155" s="84"/>
      <c r="H155" s="64"/>
      <c r="I155" s="84">
        <f t="shared" si="16"/>
        <v>0</v>
      </c>
      <c r="J155" s="7">
        <f>1000000+2000000-2000000-980000</f>
        <v>20000</v>
      </c>
      <c r="K155" s="7"/>
      <c r="L155" s="7">
        <f t="shared" si="14"/>
        <v>20000</v>
      </c>
      <c r="M155" s="115">
        <f t="shared" si="17"/>
        <v>20</v>
      </c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  <c r="CJ155" s="57"/>
      <c r="CK155" s="57"/>
      <c r="CL155" s="57"/>
      <c r="CM155" s="57"/>
      <c r="CN155" s="57"/>
      <c r="CO155" s="57"/>
      <c r="CP155" s="57"/>
      <c r="CQ155" s="57"/>
      <c r="CR155" s="57"/>
      <c r="CS155" s="57"/>
      <c r="CT155" s="57"/>
      <c r="CU155" s="57"/>
      <c r="CV155" s="57"/>
      <c r="CW155" s="57"/>
      <c r="CX155" s="57"/>
      <c r="CY155" s="57"/>
      <c r="CZ155" s="57"/>
      <c r="DA155" s="57"/>
      <c r="DB155" s="57"/>
      <c r="DC155" s="57"/>
      <c r="DD155" s="57"/>
      <c r="DE155" s="57"/>
      <c r="DF155" s="57"/>
      <c r="DG155" s="57"/>
      <c r="DH155" s="57"/>
      <c r="DI155" s="57"/>
      <c r="DJ155" s="57"/>
      <c r="DK155" s="57"/>
      <c r="DL155" s="57"/>
      <c r="DM155" s="57"/>
      <c r="DN155" s="57"/>
      <c r="DO155" s="57"/>
      <c r="DP155" s="57"/>
      <c r="DQ155" s="57"/>
      <c r="DR155" s="57"/>
      <c r="DS155" s="57"/>
      <c r="DT155" s="57"/>
      <c r="DU155" s="57"/>
      <c r="DV155" s="57"/>
      <c r="DW155" s="57"/>
      <c r="DX155" s="57"/>
      <c r="DY155" s="57"/>
      <c r="DZ155" s="57"/>
      <c r="EA155" s="57"/>
      <c r="EB155" s="57"/>
      <c r="EC155" s="57"/>
      <c r="ED155" s="57"/>
      <c r="EE155" s="57"/>
      <c r="EF155" s="57"/>
      <c r="EG155" s="57"/>
      <c r="EH155" s="57"/>
      <c r="EI155" s="57"/>
      <c r="EJ155" s="57"/>
      <c r="EK155" s="57"/>
      <c r="EL155" s="57"/>
      <c r="EM155" s="57"/>
      <c r="EN155" s="57"/>
      <c r="EO155" s="57"/>
      <c r="EP155" s="57"/>
      <c r="EQ155" s="57"/>
      <c r="ER155" s="57"/>
      <c r="ES155" s="57"/>
      <c r="ET155" s="57"/>
      <c r="EU155" s="57"/>
      <c r="EV155" s="57"/>
      <c r="EW155" s="57"/>
      <c r="EX155" s="57"/>
      <c r="EY155" s="57"/>
      <c r="EZ155" s="57"/>
    </row>
    <row r="156" spans="1:156" s="58" customFormat="1" ht="36.75" customHeight="1">
      <c r="A156" s="89"/>
      <c r="B156" s="89"/>
      <c r="C156" s="88" t="s">
        <v>135</v>
      </c>
      <c r="D156" s="88" t="s">
        <v>135</v>
      </c>
      <c r="E156" s="64"/>
      <c r="F156" s="84">
        <f t="shared" si="15"/>
        <v>0</v>
      </c>
      <c r="G156" s="84"/>
      <c r="H156" s="64"/>
      <c r="I156" s="84">
        <f t="shared" si="16"/>
        <v>0</v>
      </c>
      <c r="J156" s="7">
        <v>1200000</v>
      </c>
      <c r="K156" s="7"/>
      <c r="L156" s="7">
        <f t="shared" si="14"/>
        <v>1200000</v>
      </c>
      <c r="M156" s="115">
        <f t="shared" si="17"/>
        <v>1200</v>
      </c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7"/>
      <c r="CU156" s="57"/>
      <c r="CV156" s="57"/>
      <c r="CW156" s="57"/>
      <c r="CX156" s="57"/>
      <c r="CY156" s="57"/>
      <c r="CZ156" s="57"/>
      <c r="DA156" s="57"/>
      <c r="DB156" s="57"/>
      <c r="DC156" s="57"/>
      <c r="DD156" s="57"/>
      <c r="DE156" s="57"/>
      <c r="DF156" s="57"/>
      <c r="DG156" s="57"/>
      <c r="DH156" s="57"/>
      <c r="DI156" s="57"/>
      <c r="DJ156" s="57"/>
      <c r="DK156" s="57"/>
      <c r="DL156" s="57"/>
      <c r="DM156" s="57"/>
      <c r="DN156" s="57"/>
      <c r="DO156" s="57"/>
      <c r="DP156" s="57"/>
      <c r="DQ156" s="57"/>
      <c r="DR156" s="57"/>
      <c r="DS156" s="57"/>
      <c r="DT156" s="57"/>
      <c r="DU156" s="57"/>
      <c r="DV156" s="57"/>
      <c r="DW156" s="57"/>
      <c r="DX156" s="57"/>
      <c r="DY156" s="57"/>
      <c r="DZ156" s="57"/>
      <c r="EA156" s="57"/>
      <c r="EB156" s="57"/>
      <c r="EC156" s="57"/>
      <c r="ED156" s="57"/>
      <c r="EE156" s="57"/>
      <c r="EF156" s="57"/>
      <c r="EG156" s="57"/>
      <c r="EH156" s="57"/>
      <c r="EI156" s="57"/>
      <c r="EJ156" s="57"/>
      <c r="EK156" s="57"/>
      <c r="EL156" s="57"/>
      <c r="EM156" s="57"/>
      <c r="EN156" s="57"/>
      <c r="EO156" s="57"/>
      <c r="EP156" s="57"/>
      <c r="EQ156" s="57"/>
      <c r="ER156" s="57"/>
      <c r="ES156" s="57"/>
      <c r="ET156" s="57"/>
      <c r="EU156" s="57"/>
      <c r="EV156" s="57"/>
      <c r="EW156" s="57"/>
      <c r="EX156" s="57"/>
      <c r="EY156" s="57"/>
      <c r="EZ156" s="57"/>
    </row>
    <row r="157" spans="1:156" s="58" customFormat="1" ht="36.75" customHeight="1">
      <c r="A157" s="89"/>
      <c r="B157" s="89"/>
      <c r="C157" s="88" t="s">
        <v>49</v>
      </c>
      <c r="D157" s="88" t="s">
        <v>49</v>
      </c>
      <c r="E157" s="64"/>
      <c r="F157" s="84">
        <f t="shared" si="15"/>
        <v>0</v>
      </c>
      <c r="G157" s="84"/>
      <c r="H157" s="64"/>
      <c r="I157" s="84">
        <f t="shared" si="16"/>
        <v>0</v>
      </c>
      <c r="J157" s="7">
        <f>80000+300000+300000</f>
        <v>680000</v>
      </c>
      <c r="K157" s="7"/>
      <c r="L157" s="7">
        <f>K157+J157</f>
        <v>680000</v>
      </c>
      <c r="M157" s="115">
        <f t="shared" si="17"/>
        <v>680</v>
      </c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  <c r="DB157" s="57"/>
      <c r="DC157" s="57"/>
      <c r="DD157" s="57"/>
      <c r="DE157" s="57"/>
      <c r="DF157" s="57"/>
      <c r="DG157" s="57"/>
      <c r="DH157" s="57"/>
      <c r="DI157" s="57"/>
      <c r="DJ157" s="57"/>
      <c r="DK157" s="57"/>
      <c r="DL157" s="57"/>
      <c r="DM157" s="57"/>
      <c r="DN157" s="57"/>
      <c r="DO157" s="57"/>
      <c r="DP157" s="57"/>
      <c r="DQ157" s="57"/>
      <c r="DR157" s="57"/>
      <c r="DS157" s="57"/>
      <c r="DT157" s="57"/>
      <c r="DU157" s="57"/>
      <c r="DV157" s="57"/>
      <c r="DW157" s="57"/>
      <c r="DX157" s="57"/>
      <c r="DY157" s="57"/>
      <c r="DZ157" s="57"/>
      <c r="EA157" s="57"/>
      <c r="EB157" s="57"/>
      <c r="EC157" s="57"/>
      <c r="ED157" s="57"/>
      <c r="EE157" s="57"/>
      <c r="EF157" s="57"/>
      <c r="EG157" s="57"/>
      <c r="EH157" s="57"/>
      <c r="EI157" s="57"/>
      <c r="EJ157" s="57"/>
      <c r="EK157" s="57"/>
      <c r="EL157" s="57"/>
      <c r="EM157" s="57"/>
      <c r="EN157" s="57"/>
      <c r="EO157" s="57"/>
      <c r="EP157" s="57"/>
      <c r="EQ157" s="57"/>
      <c r="ER157" s="57"/>
      <c r="ES157" s="57"/>
      <c r="ET157" s="57"/>
      <c r="EU157" s="57"/>
      <c r="EV157" s="57"/>
      <c r="EW157" s="57"/>
      <c r="EX157" s="57"/>
      <c r="EY157" s="57"/>
      <c r="EZ157" s="57"/>
    </row>
    <row r="158" spans="1:156" s="58" customFormat="1" ht="36.75" customHeight="1">
      <c r="A158" s="89"/>
      <c r="B158" s="89"/>
      <c r="C158" s="88" t="s">
        <v>170</v>
      </c>
      <c r="D158" s="88" t="s">
        <v>170</v>
      </c>
      <c r="E158" s="64"/>
      <c r="F158" s="84">
        <f t="shared" si="15"/>
        <v>0</v>
      </c>
      <c r="G158" s="84"/>
      <c r="H158" s="64"/>
      <c r="I158" s="84">
        <f t="shared" si="16"/>
        <v>0</v>
      </c>
      <c r="J158" s="7">
        <f>300000+300000</f>
        <v>600000</v>
      </c>
      <c r="K158" s="7"/>
      <c r="L158" s="7">
        <f>K158+J158</f>
        <v>600000</v>
      </c>
      <c r="M158" s="115">
        <f t="shared" si="17"/>
        <v>600</v>
      </c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57"/>
      <c r="CQ158" s="57"/>
      <c r="CR158" s="57"/>
      <c r="CS158" s="57"/>
      <c r="CT158" s="57"/>
      <c r="CU158" s="57"/>
      <c r="CV158" s="57"/>
      <c r="CW158" s="57"/>
      <c r="CX158" s="57"/>
      <c r="CY158" s="57"/>
      <c r="CZ158" s="57"/>
      <c r="DA158" s="57"/>
      <c r="DB158" s="57"/>
      <c r="DC158" s="57"/>
      <c r="DD158" s="57"/>
      <c r="DE158" s="57"/>
      <c r="DF158" s="57"/>
      <c r="DG158" s="57"/>
      <c r="DH158" s="57"/>
      <c r="DI158" s="57"/>
      <c r="DJ158" s="57"/>
      <c r="DK158" s="57"/>
      <c r="DL158" s="57"/>
      <c r="DM158" s="57"/>
      <c r="DN158" s="57"/>
      <c r="DO158" s="57"/>
      <c r="DP158" s="57"/>
      <c r="DQ158" s="57"/>
      <c r="DR158" s="57"/>
      <c r="DS158" s="57"/>
      <c r="DT158" s="57"/>
      <c r="DU158" s="57"/>
      <c r="DV158" s="57"/>
      <c r="DW158" s="57"/>
      <c r="DX158" s="57"/>
      <c r="DY158" s="57"/>
      <c r="DZ158" s="57"/>
      <c r="EA158" s="57"/>
      <c r="EB158" s="57"/>
      <c r="EC158" s="57"/>
      <c r="ED158" s="57"/>
      <c r="EE158" s="57"/>
      <c r="EF158" s="57"/>
      <c r="EG158" s="57"/>
      <c r="EH158" s="57"/>
      <c r="EI158" s="57"/>
      <c r="EJ158" s="57"/>
      <c r="EK158" s="57"/>
      <c r="EL158" s="57"/>
      <c r="EM158" s="57"/>
      <c r="EN158" s="57"/>
      <c r="EO158" s="57"/>
      <c r="EP158" s="57"/>
      <c r="EQ158" s="57"/>
      <c r="ER158" s="57"/>
      <c r="ES158" s="57"/>
      <c r="ET158" s="57"/>
      <c r="EU158" s="57"/>
      <c r="EV158" s="57"/>
      <c r="EW158" s="57"/>
      <c r="EX158" s="57"/>
      <c r="EY158" s="57"/>
      <c r="EZ158" s="57"/>
    </row>
    <row r="159" spans="1:156" s="58" customFormat="1" ht="20.25">
      <c r="A159" s="89"/>
      <c r="B159" s="89"/>
      <c r="C159" s="88" t="s">
        <v>58</v>
      </c>
      <c r="D159" s="88" t="s">
        <v>58</v>
      </c>
      <c r="E159" s="64"/>
      <c r="F159" s="84">
        <f t="shared" si="15"/>
        <v>0</v>
      </c>
      <c r="G159" s="84"/>
      <c r="H159" s="64"/>
      <c r="I159" s="84">
        <f t="shared" si="16"/>
        <v>0</v>
      </c>
      <c r="J159" s="7">
        <f>1000000+2000000+2000000</f>
        <v>5000000</v>
      </c>
      <c r="K159" s="7"/>
      <c r="L159" s="7">
        <f t="shared" si="14"/>
        <v>5000000</v>
      </c>
      <c r="M159" s="115">
        <f t="shared" si="17"/>
        <v>5000</v>
      </c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57"/>
      <c r="CQ159" s="57"/>
      <c r="CR159" s="57"/>
      <c r="CS159" s="57"/>
      <c r="CT159" s="57"/>
      <c r="CU159" s="57"/>
      <c r="CV159" s="57"/>
      <c r="CW159" s="57"/>
      <c r="CX159" s="57"/>
      <c r="CY159" s="57"/>
      <c r="CZ159" s="57"/>
      <c r="DA159" s="57"/>
      <c r="DB159" s="57"/>
      <c r="DC159" s="57"/>
      <c r="DD159" s="57"/>
      <c r="DE159" s="57"/>
      <c r="DF159" s="57"/>
      <c r="DG159" s="57"/>
      <c r="DH159" s="57"/>
      <c r="DI159" s="57"/>
      <c r="DJ159" s="57"/>
      <c r="DK159" s="57"/>
      <c r="DL159" s="57"/>
      <c r="DM159" s="57"/>
      <c r="DN159" s="57"/>
      <c r="DO159" s="57"/>
      <c r="DP159" s="57"/>
      <c r="DQ159" s="57"/>
      <c r="DR159" s="57"/>
      <c r="DS159" s="57"/>
      <c r="DT159" s="57"/>
      <c r="DU159" s="57"/>
      <c r="DV159" s="57"/>
      <c r="DW159" s="57"/>
      <c r="DX159" s="57"/>
      <c r="DY159" s="57"/>
      <c r="DZ159" s="57"/>
      <c r="EA159" s="57"/>
      <c r="EB159" s="57"/>
      <c r="EC159" s="57"/>
      <c r="ED159" s="57"/>
      <c r="EE159" s="57"/>
      <c r="EF159" s="57"/>
      <c r="EG159" s="57"/>
      <c r="EH159" s="57"/>
      <c r="EI159" s="57"/>
      <c r="EJ159" s="57"/>
      <c r="EK159" s="57"/>
      <c r="EL159" s="57"/>
      <c r="EM159" s="57"/>
      <c r="EN159" s="57"/>
      <c r="EO159" s="57"/>
      <c r="EP159" s="57"/>
      <c r="EQ159" s="57"/>
      <c r="ER159" s="57"/>
      <c r="ES159" s="57"/>
      <c r="ET159" s="57"/>
      <c r="EU159" s="57"/>
      <c r="EV159" s="57"/>
      <c r="EW159" s="57"/>
      <c r="EX159" s="57"/>
      <c r="EY159" s="57"/>
      <c r="EZ159" s="57"/>
    </row>
    <row r="160" spans="1:156" s="58" customFormat="1" ht="40.5">
      <c r="A160" s="89"/>
      <c r="B160" s="89"/>
      <c r="C160" s="88" t="s">
        <v>128</v>
      </c>
      <c r="D160" s="88" t="s">
        <v>128</v>
      </c>
      <c r="E160" s="64"/>
      <c r="F160" s="84">
        <f t="shared" si="15"/>
        <v>0</v>
      </c>
      <c r="G160" s="84"/>
      <c r="H160" s="64"/>
      <c r="I160" s="84">
        <f t="shared" si="16"/>
        <v>0</v>
      </c>
      <c r="J160" s="7">
        <v>100000</v>
      </c>
      <c r="K160" s="7"/>
      <c r="L160" s="7">
        <f t="shared" si="14"/>
        <v>100000</v>
      </c>
      <c r="M160" s="115">
        <f t="shared" si="17"/>
        <v>100</v>
      </c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7"/>
      <c r="DG160" s="57"/>
      <c r="DH160" s="57"/>
      <c r="DI160" s="57"/>
      <c r="DJ160" s="57"/>
      <c r="DK160" s="57"/>
      <c r="DL160" s="57"/>
      <c r="DM160" s="57"/>
      <c r="DN160" s="57"/>
      <c r="DO160" s="57"/>
      <c r="DP160" s="57"/>
      <c r="DQ160" s="57"/>
      <c r="DR160" s="57"/>
      <c r="DS160" s="57"/>
      <c r="DT160" s="57"/>
      <c r="DU160" s="57"/>
      <c r="DV160" s="57"/>
      <c r="DW160" s="57"/>
      <c r="DX160" s="57"/>
      <c r="DY160" s="57"/>
      <c r="DZ160" s="57"/>
      <c r="EA160" s="57"/>
      <c r="EB160" s="57"/>
      <c r="EC160" s="57"/>
      <c r="ED160" s="57"/>
      <c r="EE160" s="57"/>
      <c r="EF160" s="57"/>
      <c r="EG160" s="57"/>
      <c r="EH160" s="57"/>
      <c r="EI160" s="57"/>
      <c r="EJ160" s="57"/>
      <c r="EK160" s="57"/>
      <c r="EL160" s="57"/>
      <c r="EM160" s="57"/>
      <c r="EN160" s="57"/>
      <c r="EO160" s="57"/>
      <c r="EP160" s="57"/>
      <c r="EQ160" s="57"/>
      <c r="ER160" s="57"/>
      <c r="ES160" s="57"/>
      <c r="ET160" s="57"/>
      <c r="EU160" s="57"/>
      <c r="EV160" s="57"/>
      <c r="EW160" s="57"/>
      <c r="EX160" s="57"/>
      <c r="EY160" s="57"/>
      <c r="EZ160" s="57"/>
    </row>
    <row r="161" spans="1:156" s="58" customFormat="1" ht="40.5">
      <c r="A161" s="89"/>
      <c r="B161" s="89"/>
      <c r="C161" s="88" t="s">
        <v>171</v>
      </c>
      <c r="D161" s="88" t="s">
        <v>171</v>
      </c>
      <c r="E161" s="64"/>
      <c r="F161" s="84">
        <f t="shared" si="15"/>
        <v>0</v>
      </c>
      <c r="G161" s="84"/>
      <c r="H161" s="64"/>
      <c r="I161" s="84">
        <f t="shared" si="16"/>
        <v>0</v>
      </c>
      <c r="J161" s="7">
        <v>450000</v>
      </c>
      <c r="K161" s="7"/>
      <c r="L161" s="7">
        <f t="shared" si="14"/>
        <v>450000</v>
      </c>
      <c r="M161" s="115">
        <f t="shared" si="17"/>
        <v>450</v>
      </c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  <c r="DJ161" s="57"/>
      <c r="DK161" s="57"/>
      <c r="DL161" s="57"/>
      <c r="DM161" s="57"/>
      <c r="DN161" s="57"/>
      <c r="DO161" s="57"/>
      <c r="DP161" s="57"/>
      <c r="DQ161" s="57"/>
      <c r="DR161" s="57"/>
      <c r="DS161" s="57"/>
      <c r="DT161" s="57"/>
      <c r="DU161" s="57"/>
      <c r="DV161" s="57"/>
      <c r="DW161" s="57"/>
      <c r="DX161" s="57"/>
      <c r="DY161" s="57"/>
      <c r="DZ161" s="57"/>
      <c r="EA161" s="57"/>
      <c r="EB161" s="57"/>
      <c r="EC161" s="57"/>
      <c r="ED161" s="57"/>
      <c r="EE161" s="57"/>
      <c r="EF161" s="57"/>
      <c r="EG161" s="57"/>
      <c r="EH161" s="57"/>
      <c r="EI161" s="57"/>
      <c r="EJ161" s="57"/>
      <c r="EK161" s="57"/>
      <c r="EL161" s="57"/>
      <c r="EM161" s="57"/>
      <c r="EN161" s="57"/>
      <c r="EO161" s="57"/>
      <c r="EP161" s="57"/>
      <c r="EQ161" s="57"/>
      <c r="ER161" s="57"/>
      <c r="ES161" s="57"/>
      <c r="ET161" s="57"/>
      <c r="EU161" s="57"/>
      <c r="EV161" s="57"/>
      <c r="EW161" s="57"/>
      <c r="EX161" s="57"/>
      <c r="EY161" s="57"/>
      <c r="EZ161" s="57"/>
    </row>
    <row r="162" spans="1:156" s="58" customFormat="1" ht="40.5">
      <c r="A162" s="89"/>
      <c r="B162" s="89"/>
      <c r="C162" s="88" t="s">
        <v>172</v>
      </c>
      <c r="D162" s="88" t="s">
        <v>172</v>
      </c>
      <c r="E162" s="64"/>
      <c r="F162" s="84">
        <f t="shared" si="15"/>
        <v>0</v>
      </c>
      <c r="G162" s="84"/>
      <c r="H162" s="64"/>
      <c r="I162" s="84">
        <f t="shared" si="16"/>
        <v>0</v>
      </c>
      <c r="J162" s="7">
        <v>450000</v>
      </c>
      <c r="K162" s="7"/>
      <c r="L162" s="7">
        <f t="shared" si="14"/>
        <v>450000</v>
      </c>
      <c r="M162" s="115">
        <f t="shared" si="17"/>
        <v>450</v>
      </c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  <c r="DJ162" s="57"/>
      <c r="DK162" s="57"/>
      <c r="DL162" s="57"/>
      <c r="DM162" s="57"/>
      <c r="DN162" s="57"/>
      <c r="DO162" s="57"/>
      <c r="DP162" s="57"/>
      <c r="DQ162" s="57"/>
      <c r="DR162" s="57"/>
      <c r="DS162" s="57"/>
      <c r="DT162" s="57"/>
      <c r="DU162" s="57"/>
      <c r="DV162" s="57"/>
      <c r="DW162" s="57"/>
      <c r="DX162" s="57"/>
      <c r="DY162" s="57"/>
      <c r="DZ162" s="57"/>
      <c r="EA162" s="57"/>
      <c r="EB162" s="57"/>
      <c r="EC162" s="57"/>
      <c r="ED162" s="57"/>
      <c r="EE162" s="57"/>
      <c r="EF162" s="57"/>
      <c r="EG162" s="57"/>
      <c r="EH162" s="57"/>
      <c r="EI162" s="57"/>
      <c r="EJ162" s="57"/>
      <c r="EK162" s="57"/>
      <c r="EL162" s="57"/>
      <c r="EM162" s="57"/>
      <c r="EN162" s="57"/>
      <c r="EO162" s="57"/>
      <c r="EP162" s="57"/>
      <c r="EQ162" s="57"/>
      <c r="ER162" s="57"/>
      <c r="ES162" s="57"/>
      <c r="ET162" s="57"/>
      <c r="EU162" s="57"/>
      <c r="EV162" s="57"/>
      <c r="EW162" s="57"/>
      <c r="EX162" s="57"/>
      <c r="EY162" s="57"/>
      <c r="EZ162" s="57"/>
    </row>
    <row r="163" spans="1:156" s="58" customFormat="1" ht="42.75" customHeight="1">
      <c r="A163" s="89"/>
      <c r="B163" s="89"/>
      <c r="C163" s="88" t="s">
        <v>168</v>
      </c>
      <c r="D163" s="88" t="s">
        <v>168</v>
      </c>
      <c r="E163" s="64"/>
      <c r="F163" s="84">
        <f t="shared" si="15"/>
        <v>0</v>
      </c>
      <c r="G163" s="84"/>
      <c r="H163" s="64"/>
      <c r="I163" s="84">
        <f t="shared" si="16"/>
        <v>0</v>
      </c>
      <c r="J163" s="7">
        <v>7365000</v>
      </c>
      <c r="K163" s="7">
        <f>-520000-490000</f>
        <v>-1010000</v>
      </c>
      <c r="L163" s="7">
        <f t="shared" si="14"/>
        <v>6355000</v>
      </c>
      <c r="M163" s="115">
        <f t="shared" si="17"/>
        <v>6355</v>
      </c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  <c r="DJ163" s="57"/>
      <c r="DK163" s="57"/>
      <c r="DL163" s="57"/>
      <c r="DM163" s="57"/>
      <c r="DN163" s="57"/>
      <c r="DO163" s="57"/>
      <c r="DP163" s="57"/>
      <c r="DQ163" s="57"/>
      <c r="DR163" s="57"/>
      <c r="DS163" s="57"/>
      <c r="DT163" s="57"/>
      <c r="DU163" s="57"/>
      <c r="DV163" s="57"/>
      <c r="DW163" s="57"/>
      <c r="DX163" s="57"/>
      <c r="DY163" s="57"/>
      <c r="DZ163" s="57"/>
      <c r="EA163" s="57"/>
      <c r="EB163" s="57"/>
      <c r="EC163" s="57"/>
      <c r="ED163" s="57"/>
      <c r="EE163" s="57"/>
      <c r="EF163" s="57"/>
      <c r="EG163" s="57"/>
      <c r="EH163" s="57"/>
      <c r="EI163" s="57"/>
      <c r="EJ163" s="57"/>
      <c r="EK163" s="57"/>
      <c r="EL163" s="57"/>
      <c r="EM163" s="57"/>
      <c r="EN163" s="57"/>
      <c r="EO163" s="57"/>
      <c r="EP163" s="57"/>
      <c r="EQ163" s="57"/>
      <c r="ER163" s="57"/>
      <c r="ES163" s="57"/>
      <c r="ET163" s="57"/>
      <c r="EU163" s="57"/>
      <c r="EV163" s="57"/>
      <c r="EW163" s="57"/>
      <c r="EX163" s="57"/>
      <c r="EY163" s="57"/>
      <c r="EZ163" s="57"/>
    </row>
    <row r="164" spans="1:156" s="58" customFormat="1" ht="42.75" customHeight="1">
      <c r="A164" s="89"/>
      <c r="B164" s="89"/>
      <c r="C164" s="88" t="s">
        <v>201</v>
      </c>
      <c r="D164" s="88" t="s">
        <v>201</v>
      </c>
      <c r="E164" s="64"/>
      <c r="F164" s="84">
        <f t="shared" si="15"/>
        <v>0</v>
      </c>
      <c r="G164" s="84"/>
      <c r="H164" s="64"/>
      <c r="I164" s="84">
        <f t="shared" si="16"/>
        <v>0</v>
      </c>
      <c r="J164" s="7">
        <v>250000</v>
      </c>
      <c r="K164" s="7"/>
      <c r="L164" s="7">
        <f t="shared" si="14"/>
        <v>250000</v>
      </c>
      <c r="M164" s="115">
        <f t="shared" si="17"/>
        <v>250</v>
      </c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  <c r="CJ164" s="57"/>
      <c r="CK164" s="57"/>
      <c r="CL164" s="57"/>
      <c r="CM164" s="57"/>
      <c r="CN164" s="57"/>
      <c r="CO164" s="57"/>
      <c r="CP164" s="57"/>
      <c r="CQ164" s="57"/>
      <c r="CR164" s="57"/>
      <c r="CS164" s="57"/>
      <c r="CT164" s="57"/>
      <c r="CU164" s="57"/>
      <c r="CV164" s="57"/>
      <c r="CW164" s="57"/>
      <c r="CX164" s="57"/>
      <c r="CY164" s="57"/>
      <c r="CZ164" s="57"/>
      <c r="DA164" s="57"/>
      <c r="DB164" s="57"/>
      <c r="DC164" s="57"/>
      <c r="DD164" s="57"/>
      <c r="DE164" s="57"/>
      <c r="DF164" s="57"/>
      <c r="DG164" s="57"/>
      <c r="DH164" s="57"/>
      <c r="DI164" s="57"/>
      <c r="DJ164" s="57"/>
      <c r="DK164" s="57"/>
      <c r="DL164" s="57"/>
      <c r="DM164" s="57"/>
      <c r="DN164" s="57"/>
      <c r="DO164" s="57"/>
      <c r="DP164" s="57"/>
      <c r="DQ164" s="57"/>
      <c r="DR164" s="57"/>
      <c r="DS164" s="57"/>
      <c r="DT164" s="57"/>
      <c r="DU164" s="57"/>
      <c r="DV164" s="57"/>
      <c r="DW164" s="57"/>
      <c r="DX164" s="57"/>
      <c r="DY164" s="57"/>
      <c r="DZ164" s="57"/>
      <c r="EA164" s="57"/>
      <c r="EB164" s="57"/>
      <c r="EC164" s="57"/>
      <c r="ED164" s="57"/>
      <c r="EE164" s="57"/>
      <c r="EF164" s="57"/>
      <c r="EG164" s="57"/>
      <c r="EH164" s="57"/>
      <c r="EI164" s="57"/>
      <c r="EJ164" s="57"/>
      <c r="EK164" s="57"/>
      <c r="EL164" s="57"/>
      <c r="EM164" s="57"/>
      <c r="EN164" s="57"/>
      <c r="EO164" s="57"/>
      <c r="EP164" s="57"/>
      <c r="EQ164" s="57"/>
      <c r="ER164" s="57"/>
      <c r="ES164" s="57"/>
      <c r="ET164" s="57"/>
      <c r="EU164" s="57"/>
      <c r="EV164" s="57"/>
      <c r="EW164" s="57"/>
      <c r="EX164" s="57"/>
      <c r="EY164" s="57"/>
      <c r="EZ164" s="57"/>
    </row>
    <row r="165" spans="1:156" s="58" customFormat="1" ht="42.75" customHeight="1">
      <c r="A165" s="89"/>
      <c r="B165" s="89"/>
      <c r="C165" s="88" t="s">
        <v>242</v>
      </c>
      <c r="D165" s="88" t="s">
        <v>110</v>
      </c>
      <c r="E165" s="64"/>
      <c r="F165" s="84">
        <f t="shared" si="15"/>
        <v>0</v>
      </c>
      <c r="G165" s="84"/>
      <c r="H165" s="64"/>
      <c r="I165" s="84">
        <f t="shared" si="16"/>
        <v>0</v>
      </c>
      <c r="J165" s="7">
        <f>11000000+10000000</f>
        <v>21000000</v>
      </c>
      <c r="K165" s="7"/>
      <c r="L165" s="7">
        <f aca="true" t="shared" si="18" ref="L165:L179">K165+J165</f>
        <v>21000000</v>
      </c>
      <c r="M165" s="115">
        <f t="shared" si="17"/>
        <v>21000</v>
      </c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</row>
    <row r="166" spans="1:156" s="58" customFormat="1" ht="42.75" customHeight="1">
      <c r="A166" s="89"/>
      <c r="B166" s="89"/>
      <c r="C166" s="88" t="s">
        <v>174</v>
      </c>
      <c r="D166" s="88" t="s">
        <v>174</v>
      </c>
      <c r="E166" s="64"/>
      <c r="F166" s="84">
        <f t="shared" si="15"/>
        <v>0</v>
      </c>
      <c r="G166" s="84"/>
      <c r="H166" s="64"/>
      <c r="I166" s="84">
        <f t="shared" si="16"/>
        <v>0</v>
      </c>
      <c r="J166" s="7">
        <v>1210370</v>
      </c>
      <c r="K166" s="7"/>
      <c r="L166" s="7">
        <f t="shared" si="18"/>
        <v>1210370</v>
      </c>
      <c r="M166" s="115">
        <f t="shared" si="17"/>
        <v>1210.4</v>
      </c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</row>
    <row r="167" spans="1:156" s="58" customFormat="1" ht="42.75" customHeight="1">
      <c r="A167" s="89"/>
      <c r="B167" s="89"/>
      <c r="C167" s="88" t="s">
        <v>52</v>
      </c>
      <c r="D167" s="88" t="s">
        <v>52</v>
      </c>
      <c r="E167" s="64">
        <v>250015</v>
      </c>
      <c r="F167" s="84">
        <f t="shared" si="15"/>
        <v>250</v>
      </c>
      <c r="G167" s="84">
        <v>60</v>
      </c>
      <c r="H167" s="64">
        <v>150015</v>
      </c>
      <c r="I167" s="84">
        <f t="shared" si="16"/>
        <v>150</v>
      </c>
      <c r="J167" s="7">
        <v>150000</v>
      </c>
      <c r="K167" s="7"/>
      <c r="L167" s="7">
        <f t="shared" si="18"/>
        <v>150000</v>
      </c>
      <c r="M167" s="115">
        <f t="shared" si="17"/>
        <v>150</v>
      </c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  <c r="DC167" s="57"/>
      <c r="DD167" s="57"/>
      <c r="DE167" s="57"/>
      <c r="DF167" s="57"/>
      <c r="DG167" s="57"/>
      <c r="DH167" s="57"/>
      <c r="DI167" s="57"/>
      <c r="DJ167" s="57"/>
      <c r="DK167" s="57"/>
      <c r="DL167" s="57"/>
      <c r="DM167" s="57"/>
      <c r="DN167" s="57"/>
      <c r="DO167" s="57"/>
      <c r="DP167" s="57"/>
      <c r="DQ167" s="57"/>
      <c r="DR167" s="57"/>
      <c r="DS167" s="57"/>
      <c r="DT167" s="57"/>
      <c r="DU167" s="57"/>
      <c r="DV167" s="57"/>
      <c r="DW167" s="57"/>
      <c r="DX167" s="57"/>
      <c r="DY167" s="57"/>
      <c r="DZ167" s="57"/>
      <c r="EA167" s="57"/>
      <c r="EB167" s="57"/>
      <c r="EC167" s="57"/>
      <c r="ED167" s="57"/>
      <c r="EE167" s="57"/>
      <c r="EF167" s="57"/>
      <c r="EG167" s="57"/>
      <c r="EH167" s="57"/>
      <c r="EI167" s="57"/>
      <c r="EJ167" s="57"/>
      <c r="EK167" s="57"/>
      <c r="EL167" s="57"/>
      <c r="EM167" s="57"/>
      <c r="EN167" s="57"/>
      <c r="EO167" s="57"/>
      <c r="EP167" s="57"/>
      <c r="EQ167" s="57"/>
      <c r="ER167" s="57"/>
      <c r="ES167" s="57"/>
      <c r="ET167" s="57"/>
      <c r="EU167" s="57"/>
      <c r="EV167" s="57"/>
      <c r="EW167" s="57"/>
      <c r="EX167" s="57"/>
      <c r="EY167" s="57"/>
      <c r="EZ167" s="57"/>
    </row>
    <row r="168" spans="1:156" s="58" customFormat="1" ht="42.75" customHeight="1">
      <c r="A168" s="89"/>
      <c r="B168" s="89"/>
      <c r="C168" s="88" t="s">
        <v>243</v>
      </c>
      <c r="D168" s="88" t="s">
        <v>53</v>
      </c>
      <c r="E168" s="64">
        <v>4291979</v>
      </c>
      <c r="F168" s="84">
        <f t="shared" si="15"/>
        <v>4292</v>
      </c>
      <c r="G168" s="84">
        <v>53.7</v>
      </c>
      <c r="H168" s="64">
        <v>2304238</v>
      </c>
      <c r="I168" s="84">
        <f t="shared" si="16"/>
        <v>2304.2</v>
      </c>
      <c r="J168" s="7">
        <v>2000000</v>
      </c>
      <c r="K168" s="7"/>
      <c r="L168" s="7">
        <f t="shared" si="18"/>
        <v>2000000</v>
      </c>
      <c r="M168" s="115">
        <f t="shared" si="17"/>
        <v>2000</v>
      </c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7"/>
      <c r="DG168" s="57"/>
      <c r="DH168" s="57"/>
      <c r="DI168" s="57"/>
      <c r="DJ168" s="57"/>
      <c r="DK168" s="57"/>
      <c r="DL168" s="57"/>
      <c r="DM168" s="57"/>
      <c r="DN168" s="57"/>
      <c r="DO168" s="57"/>
      <c r="DP168" s="57"/>
      <c r="DQ168" s="57"/>
      <c r="DR168" s="57"/>
      <c r="DS168" s="57"/>
      <c r="DT168" s="57"/>
      <c r="DU168" s="57"/>
      <c r="DV168" s="57"/>
      <c r="DW168" s="57"/>
      <c r="DX168" s="57"/>
      <c r="DY168" s="57"/>
      <c r="DZ168" s="57"/>
      <c r="EA168" s="57"/>
      <c r="EB168" s="57"/>
      <c r="EC168" s="57"/>
      <c r="ED168" s="57"/>
      <c r="EE168" s="57"/>
      <c r="EF168" s="57"/>
      <c r="EG168" s="57"/>
      <c r="EH168" s="57"/>
      <c r="EI168" s="57"/>
      <c r="EJ168" s="57"/>
      <c r="EK168" s="57"/>
      <c r="EL168" s="57"/>
      <c r="EM168" s="57"/>
      <c r="EN168" s="57"/>
      <c r="EO168" s="57"/>
      <c r="EP168" s="57"/>
      <c r="EQ168" s="57"/>
      <c r="ER168" s="57"/>
      <c r="ES168" s="57"/>
      <c r="ET168" s="57"/>
      <c r="EU168" s="57"/>
      <c r="EV168" s="57"/>
      <c r="EW168" s="57"/>
      <c r="EX168" s="57"/>
      <c r="EY168" s="57"/>
      <c r="EZ168" s="57"/>
    </row>
    <row r="169" spans="1:156" s="58" customFormat="1" ht="63.75" customHeight="1">
      <c r="A169" s="89"/>
      <c r="B169" s="89"/>
      <c r="C169" s="88" t="s">
        <v>127</v>
      </c>
      <c r="D169" s="88" t="s">
        <v>127</v>
      </c>
      <c r="E169" s="64"/>
      <c r="F169" s="84">
        <f t="shared" si="15"/>
        <v>0</v>
      </c>
      <c r="G169" s="84"/>
      <c r="H169" s="64"/>
      <c r="I169" s="84">
        <f t="shared" si="16"/>
        <v>0</v>
      </c>
      <c r="J169" s="7">
        <v>4200000</v>
      </c>
      <c r="K169" s="7"/>
      <c r="L169" s="7">
        <f t="shared" si="18"/>
        <v>4200000</v>
      </c>
      <c r="M169" s="115">
        <f t="shared" si="17"/>
        <v>4200</v>
      </c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7"/>
      <c r="DG169" s="57"/>
      <c r="DH169" s="57"/>
      <c r="DI169" s="57"/>
      <c r="DJ169" s="57"/>
      <c r="DK169" s="57"/>
      <c r="DL169" s="57"/>
      <c r="DM169" s="57"/>
      <c r="DN169" s="57"/>
      <c r="DO169" s="57"/>
      <c r="DP169" s="57"/>
      <c r="DQ169" s="57"/>
      <c r="DR169" s="57"/>
      <c r="DS169" s="57"/>
      <c r="DT169" s="57"/>
      <c r="DU169" s="57"/>
      <c r="DV169" s="57"/>
      <c r="DW169" s="57"/>
      <c r="DX169" s="57"/>
      <c r="DY169" s="57"/>
      <c r="DZ169" s="57"/>
      <c r="EA169" s="57"/>
      <c r="EB169" s="57"/>
      <c r="EC169" s="57"/>
      <c r="ED169" s="57"/>
      <c r="EE169" s="57"/>
      <c r="EF169" s="57"/>
      <c r="EG169" s="57"/>
      <c r="EH169" s="57"/>
      <c r="EI169" s="57"/>
      <c r="EJ169" s="57"/>
      <c r="EK169" s="57"/>
      <c r="EL169" s="57"/>
      <c r="EM169" s="57"/>
      <c r="EN169" s="57"/>
      <c r="EO169" s="57"/>
      <c r="EP169" s="57"/>
      <c r="EQ169" s="57"/>
      <c r="ER169" s="57"/>
      <c r="ES169" s="57"/>
      <c r="ET169" s="57"/>
      <c r="EU169" s="57"/>
      <c r="EV169" s="57"/>
      <c r="EW169" s="57"/>
      <c r="EX169" s="57"/>
      <c r="EY169" s="57"/>
      <c r="EZ169" s="57"/>
    </row>
    <row r="170" spans="1:156" s="58" customFormat="1" ht="45.75" customHeight="1">
      <c r="A170" s="89"/>
      <c r="B170" s="89"/>
      <c r="C170" s="88" t="s">
        <v>57</v>
      </c>
      <c r="D170" s="88" t="s">
        <v>57</v>
      </c>
      <c r="E170" s="64">
        <v>1199810</v>
      </c>
      <c r="F170" s="84">
        <f t="shared" si="15"/>
        <v>1199.8</v>
      </c>
      <c r="G170" s="84">
        <v>49.2</v>
      </c>
      <c r="H170" s="64">
        <v>589810</v>
      </c>
      <c r="I170" s="84">
        <f t="shared" si="16"/>
        <v>589.8</v>
      </c>
      <c r="J170" s="7">
        <v>580000</v>
      </c>
      <c r="K170" s="7"/>
      <c r="L170" s="7">
        <f t="shared" si="18"/>
        <v>580000</v>
      </c>
      <c r="M170" s="115">
        <f t="shared" si="17"/>
        <v>580</v>
      </c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B170" s="57"/>
      <c r="DC170" s="57"/>
      <c r="DD170" s="57"/>
      <c r="DE170" s="57"/>
      <c r="DF170" s="57"/>
      <c r="DG170" s="57"/>
      <c r="DH170" s="57"/>
      <c r="DI170" s="57"/>
      <c r="DJ170" s="57"/>
      <c r="DK170" s="57"/>
      <c r="DL170" s="57"/>
      <c r="DM170" s="57"/>
      <c r="DN170" s="57"/>
      <c r="DO170" s="57"/>
      <c r="DP170" s="57"/>
      <c r="DQ170" s="57"/>
      <c r="DR170" s="57"/>
      <c r="DS170" s="57"/>
      <c r="DT170" s="57"/>
      <c r="DU170" s="57"/>
      <c r="DV170" s="57"/>
      <c r="DW170" s="57"/>
      <c r="DX170" s="57"/>
      <c r="DY170" s="57"/>
      <c r="DZ170" s="57"/>
      <c r="EA170" s="57"/>
      <c r="EB170" s="57"/>
      <c r="EC170" s="57"/>
      <c r="ED170" s="57"/>
      <c r="EE170" s="57"/>
      <c r="EF170" s="57"/>
      <c r="EG170" s="57"/>
      <c r="EH170" s="57"/>
      <c r="EI170" s="57"/>
      <c r="EJ170" s="57"/>
      <c r="EK170" s="57"/>
      <c r="EL170" s="57"/>
      <c r="EM170" s="57"/>
      <c r="EN170" s="57"/>
      <c r="EO170" s="57"/>
      <c r="EP170" s="57"/>
      <c r="EQ170" s="57"/>
      <c r="ER170" s="57"/>
      <c r="ES170" s="57"/>
      <c r="ET170" s="57"/>
      <c r="EU170" s="57"/>
      <c r="EV170" s="57"/>
      <c r="EW170" s="57"/>
      <c r="EX170" s="57"/>
      <c r="EY170" s="57"/>
      <c r="EZ170" s="57"/>
    </row>
    <row r="171" spans="1:156" s="58" customFormat="1" ht="45.75" customHeight="1">
      <c r="A171" s="89"/>
      <c r="B171" s="89"/>
      <c r="C171" s="88" t="s">
        <v>137</v>
      </c>
      <c r="D171" s="88" t="s">
        <v>137</v>
      </c>
      <c r="E171" s="64"/>
      <c r="F171" s="84">
        <f t="shared" si="15"/>
        <v>0</v>
      </c>
      <c r="G171" s="84"/>
      <c r="H171" s="64"/>
      <c r="I171" s="84">
        <f t="shared" si="16"/>
        <v>0</v>
      </c>
      <c r="J171" s="7">
        <f>1000000-120000</f>
        <v>880000</v>
      </c>
      <c r="K171" s="7"/>
      <c r="L171" s="7">
        <f t="shared" si="18"/>
        <v>880000</v>
      </c>
      <c r="M171" s="115">
        <f t="shared" si="17"/>
        <v>880</v>
      </c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7"/>
      <c r="DC171" s="57"/>
      <c r="DD171" s="57"/>
      <c r="DE171" s="57"/>
      <c r="DF171" s="57"/>
      <c r="DG171" s="57"/>
      <c r="DH171" s="57"/>
      <c r="DI171" s="57"/>
      <c r="DJ171" s="57"/>
      <c r="DK171" s="57"/>
      <c r="DL171" s="57"/>
      <c r="DM171" s="57"/>
      <c r="DN171" s="57"/>
      <c r="DO171" s="57"/>
      <c r="DP171" s="57"/>
      <c r="DQ171" s="57"/>
      <c r="DR171" s="57"/>
      <c r="DS171" s="57"/>
      <c r="DT171" s="57"/>
      <c r="DU171" s="57"/>
      <c r="DV171" s="57"/>
      <c r="DW171" s="57"/>
      <c r="DX171" s="57"/>
      <c r="DY171" s="57"/>
      <c r="DZ171" s="57"/>
      <c r="EA171" s="57"/>
      <c r="EB171" s="57"/>
      <c r="EC171" s="57"/>
      <c r="ED171" s="57"/>
      <c r="EE171" s="57"/>
      <c r="EF171" s="57"/>
      <c r="EG171" s="57"/>
      <c r="EH171" s="57"/>
      <c r="EI171" s="57"/>
      <c r="EJ171" s="57"/>
      <c r="EK171" s="57"/>
      <c r="EL171" s="57"/>
      <c r="EM171" s="57"/>
      <c r="EN171" s="57"/>
      <c r="EO171" s="57"/>
      <c r="EP171" s="57"/>
      <c r="EQ171" s="57"/>
      <c r="ER171" s="57"/>
      <c r="ES171" s="57"/>
      <c r="ET171" s="57"/>
      <c r="EU171" s="57"/>
      <c r="EV171" s="57"/>
      <c r="EW171" s="57"/>
      <c r="EX171" s="57"/>
      <c r="EY171" s="57"/>
      <c r="EZ171" s="57"/>
    </row>
    <row r="172" spans="1:156" s="58" customFormat="1" ht="40.5">
      <c r="A172" s="89"/>
      <c r="B172" s="89"/>
      <c r="C172" s="88" t="s">
        <v>126</v>
      </c>
      <c r="D172" s="88" t="s">
        <v>126</v>
      </c>
      <c r="E172" s="64"/>
      <c r="F172" s="84">
        <f t="shared" si="15"/>
        <v>0</v>
      </c>
      <c r="G172" s="84"/>
      <c r="H172" s="64"/>
      <c r="I172" s="84">
        <f t="shared" si="16"/>
        <v>0</v>
      </c>
      <c r="J172" s="7">
        <v>200000</v>
      </c>
      <c r="K172" s="7"/>
      <c r="L172" s="7">
        <f t="shared" si="18"/>
        <v>200000</v>
      </c>
      <c r="M172" s="115">
        <f t="shared" si="17"/>
        <v>200</v>
      </c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7"/>
      <c r="DC172" s="57"/>
      <c r="DD172" s="57"/>
      <c r="DE172" s="57"/>
      <c r="DF172" s="57"/>
      <c r="DG172" s="57"/>
      <c r="DH172" s="57"/>
      <c r="DI172" s="57"/>
      <c r="DJ172" s="57"/>
      <c r="DK172" s="57"/>
      <c r="DL172" s="57"/>
      <c r="DM172" s="57"/>
      <c r="DN172" s="57"/>
      <c r="DO172" s="57"/>
      <c r="DP172" s="57"/>
      <c r="DQ172" s="57"/>
      <c r="DR172" s="57"/>
      <c r="DS172" s="57"/>
      <c r="DT172" s="57"/>
      <c r="DU172" s="57"/>
      <c r="DV172" s="57"/>
      <c r="DW172" s="57"/>
      <c r="DX172" s="57"/>
      <c r="DY172" s="57"/>
      <c r="DZ172" s="57"/>
      <c r="EA172" s="57"/>
      <c r="EB172" s="57"/>
      <c r="EC172" s="57"/>
      <c r="ED172" s="57"/>
      <c r="EE172" s="57"/>
      <c r="EF172" s="57"/>
      <c r="EG172" s="57"/>
      <c r="EH172" s="57"/>
      <c r="EI172" s="57"/>
      <c r="EJ172" s="57"/>
      <c r="EK172" s="57"/>
      <c r="EL172" s="57"/>
      <c r="EM172" s="57"/>
      <c r="EN172" s="57"/>
      <c r="EO172" s="57"/>
      <c r="EP172" s="57"/>
      <c r="EQ172" s="57"/>
      <c r="ER172" s="57"/>
      <c r="ES172" s="57"/>
      <c r="ET172" s="57"/>
      <c r="EU172" s="57"/>
      <c r="EV172" s="57"/>
      <c r="EW172" s="57"/>
      <c r="EX172" s="57"/>
      <c r="EY172" s="57"/>
      <c r="EZ172" s="57"/>
    </row>
    <row r="173" spans="1:156" s="58" customFormat="1" ht="40.5" customHeight="1">
      <c r="A173" s="89"/>
      <c r="B173" s="89"/>
      <c r="C173" s="88" t="s">
        <v>107</v>
      </c>
      <c r="D173" s="88" t="s">
        <v>107</v>
      </c>
      <c r="E173" s="64"/>
      <c r="F173" s="84">
        <f t="shared" si="15"/>
        <v>0</v>
      </c>
      <c r="G173" s="84"/>
      <c r="H173" s="64"/>
      <c r="I173" s="84">
        <f t="shared" si="16"/>
        <v>0</v>
      </c>
      <c r="J173" s="7">
        <f>950000-320000</f>
        <v>630000</v>
      </c>
      <c r="K173" s="7"/>
      <c r="L173" s="7">
        <f t="shared" si="18"/>
        <v>630000</v>
      </c>
      <c r="M173" s="115">
        <f t="shared" si="17"/>
        <v>630</v>
      </c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  <c r="CJ173" s="57"/>
      <c r="CK173" s="57"/>
      <c r="CL173" s="57"/>
      <c r="CM173" s="57"/>
      <c r="CN173" s="57"/>
      <c r="CO173" s="57"/>
      <c r="CP173" s="57"/>
      <c r="CQ173" s="57"/>
      <c r="CR173" s="57"/>
      <c r="CS173" s="57"/>
      <c r="CT173" s="57"/>
      <c r="CU173" s="57"/>
      <c r="CV173" s="57"/>
      <c r="CW173" s="57"/>
      <c r="CX173" s="57"/>
      <c r="CY173" s="57"/>
      <c r="CZ173" s="57"/>
      <c r="DA173" s="57"/>
      <c r="DB173" s="57"/>
      <c r="DC173" s="57"/>
      <c r="DD173" s="57"/>
      <c r="DE173" s="57"/>
      <c r="DF173" s="57"/>
      <c r="DG173" s="57"/>
      <c r="DH173" s="57"/>
      <c r="DI173" s="57"/>
      <c r="DJ173" s="57"/>
      <c r="DK173" s="57"/>
      <c r="DL173" s="57"/>
      <c r="DM173" s="57"/>
      <c r="DN173" s="57"/>
      <c r="DO173" s="57"/>
      <c r="DP173" s="57"/>
      <c r="DQ173" s="57"/>
      <c r="DR173" s="57"/>
      <c r="DS173" s="57"/>
      <c r="DT173" s="57"/>
      <c r="DU173" s="57"/>
      <c r="DV173" s="57"/>
      <c r="DW173" s="57"/>
      <c r="DX173" s="57"/>
      <c r="DY173" s="57"/>
      <c r="DZ173" s="57"/>
      <c r="EA173" s="57"/>
      <c r="EB173" s="57"/>
      <c r="EC173" s="57"/>
      <c r="ED173" s="57"/>
      <c r="EE173" s="57"/>
      <c r="EF173" s="57"/>
      <c r="EG173" s="57"/>
      <c r="EH173" s="57"/>
      <c r="EI173" s="57"/>
      <c r="EJ173" s="57"/>
      <c r="EK173" s="57"/>
      <c r="EL173" s="57"/>
      <c r="EM173" s="57"/>
      <c r="EN173" s="57"/>
      <c r="EO173" s="57"/>
      <c r="EP173" s="57"/>
      <c r="EQ173" s="57"/>
      <c r="ER173" s="57"/>
      <c r="ES173" s="57"/>
      <c r="ET173" s="57"/>
      <c r="EU173" s="57"/>
      <c r="EV173" s="57"/>
      <c r="EW173" s="57"/>
      <c r="EX173" s="57"/>
      <c r="EY173" s="57"/>
      <c r="EZ173" s="57"/>
    </row>
    <row r="174" spans="1:156" s="58" customFormat="1" ht="60" customHeight="1">
      <c r="A174" s="89"/>
      <c r="B174" s="89"/>
      <c r="C174" s="88" t="s">
        <v>63</v>
      </c>
      <c r="D174" s="88" t="s">
        <v>63</v>
      </c>
      <c r="E174" s="64"/>
      <c r="F174" s="84">
        <f t="shared" si="15"/>
        <v>0</v>
      </c>
      <c r="G174" s="84"/>
      <c r="H174" s="64"/>
      <c r="I174" s="84">
        <f t="shared" si="16"/>
        <v>0</v>
      </c>
      <c r="J174" s="7">
        <f>500000-100000</f>
        <v>400000</v>
      </c>
      <c r="K174" s="7"/>
      <c r="L174" s="7">
        <f t="shared" si="18"/>
        <v>400000</v>
      </c>
      <c r="M174" s="115">
        <f t="shared" si="17"/>
        <v>400</v>
      </c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  <c r="DB174" s="57"/>
      <c r="DC174" s="57"/>
      <c r="DD174" s="57"/>
      <c r="DE174" s="57"/>
      <c r="DF174" s="57"/>
      <c r="DG174" s="57"/>
      <c r="DH174" s="57"/>
      <c r="DI174" s="57"/>
      <c r="DJ174" s="57"/>
      <c r="DK174" s="57"/>
      <c r="DL174" s="57"/>
      <c r="DM174" s="57"/>
      <c r="DN174" s="57"/>
      <c r="DO174" s="57"/>
      <c r="DP174" s="57"/>
      <c r="DQ174" s="57"/>
      <c r="DR174" s="57"/>
      <c r="DS174" s="57"/>
      <c r="DT174" s="57"/>
      <c r="DU174" s="57"/>
      <c r="DV174" s="57"/>
      <c r="DW174" s="57"/>
      <c r="DX174" s="57"/>
      <c r="DY174" s="57"/>
      <c r="DZ174" s="57"/>
      <c r="EA174" s="57"/>
      <c r="EB174" s="57"/>
      <c r="EC174" s="57"/>
      <c r="ED174" s="57"/>
      <c r="EE174" s="57"/>
      <c r="EF174" s="57"/>
      <c r="EG174" s="57"/>
      <c r="EH174" s="57"/>
      <c r="EI174" s="57"/>
      <c r="EJ174" s="57"/>
      <c r="EK174" s="57"/>
      <c r="EL174" s="57"/>
      <c r="EM174" s="57"/>
      <c r="EN174" s="57"/>
      <c r="EO174" s="57"/>
      <c r="EP174" s="57"/>
      <c r="EQ174" s="57"/>
      <c r="ER174" s="57"/>
      <c r="ES174" s="57"/>
      <c r="ET174" s="57"/>
      <c r="EU174" s="57"/>
      <c r="EV174" s="57"/>
      <c r="EW174" s="57"/>
      <c r="EX174" s="57"/>
      <c r="EY174" s="57"/>
      <c r="EZ174" s="57"/>
    </row>
    <row r="175" spans="1:156" s="58" customFormat="1" ht="60" customHeight="1">
      <c r="A175" s="89"/>
      <c r="B175" s="89"/>
      <c r="C175" s="88" t="s">
        <v>64</v>
      </c>
      <c r="D175" s="88" t="s">
        <v>64</v>
      </c>
      <c r="E175" s="64"/>
      <c r="F175" s="84">
        <f t="shared" si="15"/>
        <v>0</v>
      </c>
      <c r="G175" s="84"/>
      <c r="H175" s="64"/>
      <c r="I175" s="84">
        <f t="shared" si="16"/>
        <v>0</v>
      </c>
      <c r="J175" s="7">
        <v>500000</v>
      </c>
      <c r="K175" s="7"/>
      <c r="L175" s="7">
        <f t="shared" si="18"/>
        <v>500000</v>
      </c>
      <c r="M175" s="115">
        <f t="shared" si="17"/>
        <v>500</v>
      </c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  <c r="CJ175" s="57"/>
      <c r="CK175" s="57"/>
      <c r="CL175" s="57"/>
      <c r="CM175" s="57"/>
      <c r="CN175" s="57"/>
      <c r="CO175" s="57"/>
      <c r="CP175" s="57"/>
      <c r="CQ175" s="57"/>
      <c r="CR175" s="57"/>
      <c r="CS175" s="57"/>
      <c r="CT175" s="57"/>
      <c r="CU175" s="57"/>
      <c r="CV175" s="57"/>
      <c r="CW175" s="57"/>
      <c r="CX175" s="57"/>
      <c r="CY175" s="57"/>
      <c r="CZ175" s="57"/>
      <c r="DA175" s="57"/>
      <c r="DB175" s="57"/>
      <c r="DC175" s="57"/>
      <c r="DD175" s="57"/>
      <c r="DE175" s="57"/>
      <c r="DF175" s="57"/>
      <c r="DG175" s="57"/>
      <c r="DH175" s="57"/>
      <c r="DI175" s="57"/>
      <c r="DJ175" s="57"/>
      <c r="DK175" s="57"/>
      <c r="DL175" s="57"/>
      <c r="DM175" s="57"/>
      <c r="DN175" s="57"/>
      <c r="DO175" s="57"/>
      <c r="DP175" s="57"/>
      <c r="DQ175" s="57"/>
      <c r="DR175" s="57"/>
      <c r="DS175" s="57"/>
      <c r="DT175" s="57"/>
      <c r="DU175" s="57"/>
      <c r="DV175" s="57"/>
      <c r="DW175" s="57"/>
      <c r="DX175" s="57"/>
      <c r="DY175" s="57"/>
      <c r="DZ175" s="57"/>
      <c r="EA175" s="57"/>
      <c r="EB175" s="57"/>
      <c r="EC175" s="57"/>
      <c r="ED175" s="57"/>
      <c r="EE175" s="57"/>
      <c r="EF175" s="57"/>
      <c r="EG175" s="57"/>
      <c r="EH175" s="57"/>
      <c r="EI175" s="57"/>
      <c r="EJ175" s="57"/>
      <c r="EK175" s="57"/>
      <c r="EL175" s="57"/>
      <c r="EM175" s="57"/>
      <c r="EN175" s="57"/>
      <c r="EO175" s="57"/>
      <c r="EP175" s="57"/>
      <c r="EQ175" s="57"/>
      <c r="ER175" s="57"/>
      <c r="ES175" s="57"/>
      <c r="ET175" s="57"/>
      <c r="EU175" s="57"/>
      <c r="EV175" s="57"/>
      <c r="EW175" s="57"/>
      <c r="EX175" s="57"/>
      <c r="EY175" s="57"/>
      <c r="EZ175" s="57"/>
    </row>
    <row r="176" spans="1:156" s="58" customFormat="1" ht="60" customHeight="1">
      <c r="A176" s="89"/>
      <c r="B176" s="89"/>
      <c r="C176" s="88" t="s">
        <v>162</v>
      </c>
      <c r="D176" s="88" t="s">
        <v>162</v>
      </c>
      <c r="E176" s="64"/>
      <c r="F176" s="84">
        <f t="shared" si="15"/>
        <v>0</v>
      </c>
      <c r="G176" s="84"/>
      <c r="H176" s="64"/>
      <c r="I176" s="84">
        <f t="shared" si="16"/>
        <v>0</v>
      </c>
      <c r="J176" s="7">
        <v>50000</v>
      </c>
      <c r="K176" s="7"/>
      <c r="L176" s="7">
        <f t="shared" si="18"/>
        <v>50000</v>
      </c>
      <c r="M176" s="115">
        <f t="shared" si="17"/>
        <v>50</v>
      </c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  <c r="DJ176" s="57"/>
      <c r="DK176" s="57"/>
      <c r="DL176" s="57"/>
      <c r="DM176" s="57"/>
      <c r="DN176" s="57"/>
      <c r="DO176" s="57"/>
      <c r="DP176" s="57"/>
      <c r="DQ176" s="57"/>
      <c r="DR176" s="57"/>
      <c r="DS176" s="57"/>
      <c r="DT176" s="57"/>
      <c r="DU176" s="57"/>
      <c r="DV176" s="57"/>
      <c r="DW176" s="57"/>
      <c r="DX176" s="57"/>
      <c r="DY176" s="57"/>
      <c r="DZ176" s="57"/>
      <c r="EA176" s="57"/>
      <c r="EB176" s="57"/>
      <c r="EC176" s="57"/>
      <c r="ED176" s="57"/>
      <c r="EE176" s="57"/>
      <c r="EF176" s="57"/>
      <c r="EG176" s="57"/>
      <c r="EH176" s="57"/>
      <c r="EI176" s="57"/>
      <c r="EJ176" s="57"/>
      <c r="EK176" s="57"/>
      <c r="EL176" s="57"/>
      <c r="EM176" s="57"/>
      <c r="EN176" s="57"/>
      <c r="EO176" s="57"/>
      <c r="EP176" s="57"/>
      <c r="EQ176" s="57"/>
      <c r="ER176" s="57"/>
      <c r="ES176" s="57"/>
      <c r="ET176" s="57"/>
      <c r="EU176" s="57"/>
      <c r="EV176" s="57"/>
      <c r="EW176" s="57"/>
      <c r="EX176" s="57"/>
      <c r="EY176" s="57"/>
      <c r="EZ176" s="57"/>
    </row>
    <row r="177" spans="1:156" s="58" customFormat="1" ht="60.75">
      <c r="A177" s="89"/>
      <c r="B177" s="89"/>
      <c r="C177" s="88" t="s">
        <v>176</v>
      </c>
      <c r="D177" s="88" t="s">
        <v>176</v>
      </c>
      <c r="E177" s="64"/>
      <c r="F177" s="84">
        <f t="shared" si="15"/>
        <v>0</v>
      </c>
      <c r="G177" s="84"/>
      <c r="H177" s="64"/>
      <c r="I177" s="84">
        <f t="shared" si="16"/>
        <v>0</v>
      </c>
      <c r="J177" s="7">
        <v>750000</v>
      </c>
      <c r="K177" s="7"/>
      <c r="L177" s="7">
        <f t="shared" si="18"/>
        <v>750000</v>
      </c>
      <c r="M177" s="115">
        <f t="shared" si="17"/>
        <v>750</v>
      </c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  <c r="DA177" s="57"/>
      <c r="DB177" s="57"/>
      <c r="DC177" s="57"/>
      <c r="DD177" s="57"/>
      <c r="DE177" s="57"/>
      <c r="DF177" s="57"/>
      <c r="DG177" s="57"/>
      <c r="DH177" s="57"/>
      <c r="DI177" s="57"/>
      <c r="DJ177" s="57"/>
      <c r="DK177" s="57"/>
      <c r="DL177" s="57"/>
      <c r="DM177" s="57"/>
      <c r="DN177" s="57"/>
      <c r="DO177" s="57"/>
      <c r="DP177" s="57"/>
      <c r="DQ177" s="57"/>
      <c r="DR177" s="57"/>
      <c r="DS177" s="57"/>
      <c r="DT177" s="57"/>
      <c r="DU177" s="57"/>
      <c r="DV177" s="57"/>
      <c r="DW177" s="57"/>
      <c r="DX177" s="57"/>
      <c r="DY177" s="57"/>
      <c r="DZ177" s="57"/>
      <c r="EA177" s="57"/>
      <c r="EB177" s="57"/>
      <c r="EC177" s="57"/>
      <c r="ED177" s="57"/>
      <c r="EE177" s="57"/>
      <c r="EF177" s="57"/>
      <c r="EG177" s="57"/>
      <c r="EH177" s="57"/>
      <c r="EI177" s="57"/>
      <c r="EJ177" s="57"/>
      <c r="EK177" s="57"/>
      <c r="EL177" s="57"/>
      <c r="EM177" s="57"/>
      <c r="EN177" s="57"/>
      <c r="EO177" s="57"/>
      <c r="EP177" s="57"/>
      <c r="EQ177" s="57"/>
      <c r="ER177" s="57"/>
      <c r="ES177" s="57"/>
      <c r="ET177" s="57"/>
      <c r="EU177" s="57"/>
      <c r="EV177" s="57"/>
      <c r="EW177" s="57"/>
      <c r="EX177" s="57"/>
      <c r="EY177" s="57"/>
      <c r="EZ177" s="57"/>
    </row>
    <row r="178" spans="1:156" s="58" customFormat="1" ht="20.25">
      <c r="A178" s="89"/>
      <c r="B178" s="89"/>
      <c r="C178" s="88" t="s">
        <v>138</v>
      </c>
      <c r="D178" s="88" t="s">
        <v>138</v>
      </c>
      <c r="E178" s="64"/>
      <c r="F178" s="84">
        <f t="shared" si="15"/>
        <v>0</v>
      </c>
      <c r="G178" s="84"/>
      <c r="H178" s="64"/>
      <c r="I178" s="84">
        <f t="shared" si="16"/>
        <v>0</v>
      </c>
      <c r="J178" s="7">
        <v>4400000</v>
      </c>
      <c r="K178" s="7"/>
      <c r="L178" s="7">
        <f t="shared" si="18"/>
        <v>4400000</v>
      </c>
      <c r="M178" s="115">
        <f t="shared" si="17"/>
        <v>4400</v>
      </c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  <c r="CJ178" s="57"/>
      <c r="CK178" s="57"/>
      <c r="CL178" s="57"/>
      <c r="CM178" s="57"/>
      <c r="CN178" s="57"/>
      <c r="CO178" s="57"/>
      <c r="CP178" s="57"/>
      <c r="CQ178" s="57"/>
      <c r="CR178" s="57"/>
      <c r="CS178" s="57"/>
      <c r="CT178" s="57"/>
      <c r="CU178" s="57"/>
      <c r="CV178" s="57"/>
      <c r="CW178" s="57"/>
      <c r="CX178" s="57"/>
      <c r="CY178" s="57"/>
      <c r="CZ178" s="57"/>
      <c r="DA178" s="57"/>
      <c r="DB178" s="57"/>
      <c r="DC178" s="57"/>
      <c r="DD178" s="57"/>
      <c r="DE178" s="57"/>
      <c r="DF178" s="57"/>
      <c r="DG178" s="57"/>
      <c r="DH178" s="57"/>
      <c r="DI178" s="57"/>
      <c r="DJ178" s="57"/>
      <c r="DK178" s="57"/>
      <c r="DL178" s="57"/>
      <c r="DM178" s="57"/>
      <c r="DN178" s="57"/>
      <c r="DO178" s="57"/>
      <c r="DP178" s="57"/>
      <c r="DQ178" s="57"/>
      <c r="DR178" s="57"/>
      <c r="DS178" s="57"/>
      <c r="DT178" s="57"/>
      <c r="DU178" s="57"/>
      <c r="DV178" s="57"/>
      <c r="DW178" s="57"/>
      <c r="DX178" s="57"/>
      <c r="DY178" s="57"/>
      <c r="DZ178" s="57"/>
      <c r="EA178" s="57"/>
      <c r="EB178" s="57"/>
      <c r="EC178" s="57"/>
      <c r="ED178" s="57"/>
      <c r="EE178" s="57"/>
      <c r="EF178" s="57"/>
      <c r="EG178" s="57"/>
      <c r="EH178" s="57"/>
      <c r="EI178" s="57"/>
      <c r="EJ178" s="57"/>
      <c r="EK178" s="57"/>
      <c r="EL178" s="57"/>
      <c r="EM178" s="57"/>
      <c r="EN178" s="57"/>
      <c r="EO178" s="57"/>
      <c r="EP178" s="57"/>
      <c r="EQ178" s="57"/>
      <c r="ER178" s="57"/>
      <c r="ES178" s="57"/>
      <c r="ET178" s="57"/>
      <c r="EU178" s="57"/>
      <c r="EV178" s="57"/>
      <c r="EW178" s="57"/>
      <c r="EX178" s="57"/>
      <c r="EY178" s="57"/>
      <c r="EZ178" s="57"/>
    </row>
    <row r="179" spans="1:156" s="58" customFormat="1" ht="20.25">
      <c r="A179" s="89"/>
      <c r="B179" s="89"/>
      <c r="C179" s="88" t="s">
        <v>65</v>
      </c>
      <c r="D179" s="88" t="s">
        <v>65</v>
      </c>
      <c r="E179" s="64">
        <v>6201766</v>
      </c>
      <c r="F179" s="84">
        <f t="shared" si="15"/>
        <v>6201.8</v>
      </c>
      <c r="G179" s="84">
        <v>48.4</v>
      </c>
      <c r="H179" s="64">
        <v>3001766</v>
      </c>
      <c r="I179" s="84">
        <f t="shared" si="16"/>
        <v>3001.8</v>
      </c>
      <c r="J179" s="7">
        <f>3000000-1000000+0.94</f>
        <v>2000000.94</v>
      </c>
      <c r="K179" s="7"/>
      <c r="L179" s="7">
        <f t="shared" si="18"/>
        <v>2000000.94</v>
      </c>
      <c r="M179" s="115">
        <f t="shared" si="17"/>
        <v>2000</v>
      </c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  <c r="CJ179" s="57"/>
      <c r="CK179" s="57"/>
      <c r="CL179" s="57"/>
      <c r="CM179" s="57"/>
      <c r="CN179" s="57"/>
      <c r="CO179" s="57"/>
      <c r="CP179" s="57"/>
      <c r="CQ179" s="57"/>
      <c r="CR179" s="57"/>
      <c r="CS179" s="57"/>
      <c r="CT179" s="57"/>
      <c r="CU179" s="57"/>
      <c r="CV179" s="57"/>
      <c r="CW179" s="57"/>
      <c r="CX179" s="57"/>
      <c r="CY179" s="57"/>
      <c r="CZ179" s="57"/>
      <c r="DA179" s="57"/>
      <c r="DB179" s="57"/>
      <c r="DC179" s="57"/>
      <c r="DD179" s="57"/>
      <c r="DE179" s="57"/>
      <c r="DF179" s="57"/>
      <c r="DG179" s="57"/>
      <c r="DH179" s="57"/>
      <c r="DI179" s="57"/>
      <c r="DJ179" s="57"/>
      <c r="DK179" s="57"/>
      <c r="DL179" s="57"/>
      <c r="DM179" s="57"/>
      <c r="DN179" s="57"/>
      <c r="DO179" s="57"/>
      <c r="DP179" s="57"/>
      <c r="DQ179" s="57"/>
      <c r="DR179" s="57"/>
      <c r="DS179" s="57"/>
      <c r="DT179" s="57"/>
      <c r="DU179" s="57"/>
      <c r="DV179" s="57"/>
      <c r="DW179" s="57"/>
      <c r="DX179" s="57"/>
      <c r="DY179" s="57"/>
      <c r="DZ179" s="57"/>
      <c r="EA179" s="57"/>
      <c r="EB179" s="57"/>
      <c r="EC179" s="57"/>
      <c r="ED179" s="57"/>
      <c r="EE179" s="57"/>
      <c r="EF179" s="57"/>
      <c r="EG179" s="57"/>
      <c r="EH179" s="57"/>
      <c r="EI179" s="57"/>
      <c r="EJ179" s="57"/>
      <c r="EK179" s="57"/>
      <c r="EL179" s="57"/>
      <c r="EM179" s="57"/>
      <c r="EN179" s="57"/>
      <c r="EO179" s="57"/>
      <c r="EP179" s="57"/>
      <c r="EQ179" s="57"/>
      <c r="ER179" s="57"/>
      <c r="ES179" s="57"/>
      <c r="ET179" s="57"/>
      <c r="EU179" s="57"/>
      <c r="EV179" s="57"/>
      <c r="EW179" s="57"/>
      <c r="EX179" s="57"/>
      <c r="EY179" s="57"/>
      <c r="EZ179" s="57"/>
    </row>
    <row r="180" spans="1:156" s="58" customFormat="1" ht="44.25" customHeight="1">
      <c r="A180" s="89"/>
      <c r="B180" s="89"/>
      <c r="C180" s="88" t="s">
        <v>32</v>
      </c>
      <c r="D180" s="88" t="s">
        <v>32</v>
      </c>
      <c r="E180" s="64">
        <v>4276667</v>
      </c>
      <c r="F180" s="84">
        <f t="shared" si="15"/>
        <v>4276.7</v>
      </c>
      <c r="G180" s="84">
        <v>75.4</v>
      </c>
      <c r="H180" s="64">
        <v>3225583</v>
      </c>
      <c r="I180" s="84">
        <f t="shared" si="16"/>
        <v>3225.6</v>
      </c>
      <c r="J180" s="7">
        <v>3200000</v>
      </c>
      <c r="K180" s="7"/>
      <c r="L180" s="7">
        <f aca="true" t="shared" si="19" ref="L180:L202">K180+J180</f>
        <v>3200000</v>
      </c>
      <c r="M180" s="115">
        <f t="shared" si="17"/>
        <v>3200</v>
      </c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  <c r="CJ180" s="57"/>
      <c r="CK180" s="57"/>
      <c r="CL180" s="57"/>
      <c r="CM180" s="57"/>
      <c r="CN180" s="57"/>
      <c r="CO180" s="57"/>
      <c r="CP180" s="57"/>
      <c r="CQ180" s="57"/>
      <c r="CR180" s="57"/>
      <c r="CS180" s="57"/>
      <c r="CT180" s="57"/>
      <c r="CU180" s="57"/>
      <c r="CV180" s="57"/>
      <c r="CW180" s="57"/>
      <c r="CX180" s="57"/>
      <c r="CY180" s="57"/>
      <c r="CZ180" s="57"/>
      <c r="DA180" s="57"/>
      <c r="DB180" s="57"/>
      <c r="DC180" s="57"/>
      <c r="DD180" s="57"/>
      <c r="DE180" s="57"/>
      <c r="DF180" s="57"/>
      <c r="DG180" s="57"/>
      <c r="DH180" s="57"/>
      <c r="DI180" s="57"/>
      <c r="DJ180" s="57"/>
      <c r="DK180" s="57"/>
      <c r="DL180" s="57"/>
      <c r="DM180" s="57"/>
      <c r="DN180" s="57"/>
      <c r="DO180" s="57"/>
      <c r="DP180" s="57"/>
      <c r="DQ180" s="57"/>
      <c r="DR180" s="57"/>
      <c r="DS180" s="57"/>
      <c r="DT180" s="57"/>
      <c r="DU180" s="57"/>
      <c r="DV180" s="57"/>
      <c r="DW180" s="57"/>
      <c r="DX180" s="57"/>
      <c r="DY180" s="57"/>
      <c r="DZ180" s="57"/>
      <c r="EA180" s="57"/>
      <c r="EB180" s="57"/>
      <c r="EC180" s="57"/>
      <c r="ED180" s="57"/>
      <c r="EE180" s="57"/>
      <c r="EF180" s="57"/>
      <c r="EG180" s="57"/>
      <c r="EH180" s="57"/>
      <c r="EI180" s="57"/>
      <c r="EJ180" s="57"/>
      <c r="EK180" s="57"/>
      <c r="EL180" s="57"/>
      <c r="EM180" s="57"/>
      <c r="EN180" s="57"/>
      <c r="EO180" s="57"/>
      <c r="EP180" s="57"/>
      <c r="EQ180" s="57"/>
      <c r="ER180" s="57"/>
      <c r="ES180" s="57"/>
      <c r="ET180" s="57"/>
      <c r="EU180" s="57"/>
      <c r="EV180" s="57"/>
      <c r="EW180" s="57"/>
      <c r="EX180" s="57"/>
      <c r="EY180" s="57"/>
      <c r="EZ180" s="57"/>
    </row>
    <row r="181" spans="1:156" s="58" customFormat="1" ht="44.25" customHeight="1">
      <c r="A181" s="89"/>
      <c r="B181" s="89"/>
      <c r="C181" s="88" t="s">
        <v>129</v>
      </c>
      <c r="D181" s="88" t="s">
        <v>129</v>
      </c>
      <c r="E181" s="64">
        <v>3442904</v>
      </c>
      <c r="F181" s="84">
        <f t="shared" si="15"/>
        <v>3442.9</v>
      </c>
      <c r="G181" s="84">
        <v>98.3</v>
      </c>
      <c r="H181" s="64">
        <v>3382909</v>
      </c>
      <c r="I181" s="84">
        <f t="shared" si="16"/>
        <v>3382.9</v>
      </c>
      <c r="J181" s="7">
        <v>1000000</v>
      </c>
      <c r="K181" s="7"/>
      <c r="L181" s="7">
        <f t="shared" si="19"/>
        <v>1000000</v>
      </c>
      <c r="M181" s="115">
        <f t="shared" si="17"/>
        <v>1000</v>
      </c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  <c r="CJ181" s="57"/>
      <c r="CK181" s="57"/>
      <c r="CL181" s="57"/>
      <c r="CM181" s="57"/>
      <c r="CN181" s="57"/>
      <c r="CO181" s="57"/>
      <c r="CP181" s="57"/>
      <c r="CQ181" s="57"/>
      <c r="CR181" s="57"/>
      <c r="CS181" s="57"/>
      <c r="CT181" s="57"/>
      <c r="CU181" s="57"/>
      <c r="CV181" s="57"/>
      <c r="CW181" s="57"/>
      <c r="CX181" s="57"/>
      <c r="CY181" s="57"/>
      <c r="CZ181" s="57"/>
      <c r="DA181" s="57"/>
      <c r="DB181" s="57"/>
      <c r="DC181" s="57"/>
      <c r="DD181" s="57"/>
      <c r="DE181" s="57"/>
      <c r="DF181" s="57"/>
      <c r="DG181" s="57"/>
      <c r="DH181" s="57"/>
      <c r="DI181" s="57"/>
      <c r="DJ181" s="57"/>
      <c r="DK181" s="57"/>
      <c r="DL181" s="57"/>
      <c r="DM181" s="57"/>
      <c r="DN181" s="57"/>
      <c r="DO181" s="57"/>
      <c r="DP181" s="57"/>
      <c r="DQ181" s="57"/>
      <c r="DR181" s="57"/>
      <c r="DS181" s="57"/>
      <c r="DT181" s="57"/>
      <c r="DU181" s="57"/>
      <c r="DV181" s="57"/>
      <c r="DW181" s="57"/>
      <c r="DX181" s="57"/>
      <c r="DY181" s="57"/>
      <c r="DZ181" s="57"/>
      <c r="EA181" s="57"/>
      <c r="EB181" s="57"/>
      <c r="EC181" s="57"/>
      <c r="ED181" s="57"/>
      <c r="EE181" s="57"/>
      <c r="EF181" s="57"/>
      <c r="EG181" s="57"/>
      <c r="EH181" s="57"/>
      <c r="EI181" s="57"/>
      <c r="EJ181" s="57"/>
      <c r="EK181" s="57"/>
      <c r="EL181" s="57"/>
      <c r="EM181" s="57"/>
      <c r="EN181" s="57"/>
      <c r="EO181" s="57"/>
      <c r="EP181" s="57"/>
      <c r="EQ181" s="57"/>
      <c r="ER181" s="57"/>
      <c r="ES181" s="57"/>
      <c r="ET181" s="57"/>
      <c r="EU181" s="57"/>
      <c r="EV181" s="57"/>
      <c r="EW181" s="57"/>
      <c r="EX181" s="57"/>
      <c r="EY181" s="57"/>
      <c r="EZ181" s="57"/>
    </row>
    <row r="182" spans="1:156" s="58" customFormat="1" ht="20.25">
      <c r="A182" s="89"/>
      <c r="B182" s="89"/>
      <c r="C182" s="88" t="s">
        <v>131</v>
      </c>
      <c r="D182" s="88" t="s">
        <v>131</v>
      </c>
      <c r="E182" s="64">
        <v>25831121</v>
      </c>
      <c r="F182" s="84">
        <f t="shared" si="15"/>
        <v>25831.1</v>
      </c>
      <c r="G182" s="84"/>
      <c r="H182" s="64">
        <v>25831121</v>
      </c>
      <c r="I182" s="84">
        <f t="shared" si="16"/>
        <v>25831.1</v>
      </c>
      <c r="J182" s="7">
        <f>1000000+1000000-1500000</f>
        <v>500000</v>
      </c>
      <c r="K182" s="7"/>
      <c r="L182" s="7">
        <f t="shared" si="19"/>
        <v>500000</v>
      </c>
      <c r="M182" s="115">
        <f t="shared" si="17"/>
        <v>500</v>
      </c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57"/>
      <c r="DD182" s="57"/>
      <c r="DE182" s="57"/>
      <c r="DF182" s="57"/>
      <c r="DG182" s="57"/>
      <c r="DH182" s="57"/>
      <c r="DI182" s="57"/>
      <c r="DJ182" s="57"/>
      <c r="DK182" s="57"/>
      <c r="DL182" s="57"/>
      <c r="DM182" s="57"/>
      <c r="DN182" s="57"/>
      <c r="DO182" s="57"/>
      <c r="DP182" s="57"/>
      <c r="DQ182" s="57"/>
      <c r="DR182" s="57"/>
      <c r="DS182" s="57"/>
      <c r="DT182" s="57"/>
      <c r="DU182" s="57"/>
      <c r="DV182" s="57"/>
      <c r="DW182" s="57"/>
      <c r="DX182" s="57"/>
      <c r="DY182" s="57"/>
      <c r="DZ182" s="57"/>
      <c r="EA182" s="57"/>
      <c r="EB182" s="57"/>
      <c r="EC182" s="57"/>
      <c r="ED182" s="57"/>
      <c r="EE182" s="57"/>
      <c r="EF182" s="57"/>
      <c r="EG182" s="57"/>
      <c r="EH182" s="57"/>
      <c r="EI182" s="57"/>
      <c r="EJ182" s="57"/>
      <c r="EK182" s="57"/>
      <c r="EL182" s="57"/>
      <c r="EM182" s="57"/>
      <c r="EN182" s="57"/>
      <c r="EO182" s="57"/>
      <c r="EP182" s="57"/>
      <c r="EQ182" s="57"/>
      <c r="ER182" s="57"/>
      <c r="ES182" s="57"/>
      <c r="ET182" s="57"/>
      <c r="EU182" s="57"/>
      <c r="EV182" s="57"/>
      <c r="EW182" s="57"/>
      <c r="EX182" s="57"/>
      <c r="EY182" s="57"/>
      <c r="EZ182" s="57"/>
    </row>
    <row r="183" spans="1:156" s="58" customFormat="1" ht="30" customHeight="1">
      <c r="A183" s="89"/>
      <c r="B183" s="89"/>
      <c r="C183" s="88" t="s">
        <v>130</v>
      </c>
      <c r="D183" s="88" t="s">
        <v>130</v>
      </c>
      <c r="E183" s="64"/>
      <c r="F183" s="84">
        <f t="shared" si="15"/>
        <v>0</v>
      </c>
      <c r="G183" s="84"/>
      <c r="H183" s="64"/>
      <c r="I183" s="84">
        <f t="shared" si="16"/>
        <v>0</v>
      </c>
      <c r="J183" s="7">
        <v>1000000</v>
      </c>
      <c r="K183" s="7"/>
      <c r="L183" s="7">
        <f t="shared" si="19"/>
        <v>1000000</v>
      </c>
      <c r="M183" s="115">
        <f t="shared" si="17"/>
        <v>1000</v>
      </c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57"/>
      <c r="CH183" s="57"/>
      <c r="CI183" s="57"/>
      <c r="CJ183" s="57"/>
      <c r="CK183" s="57"/>
      <c r="CL183" s="57"/>
      <c r="CM183" s="57"/>
      <c r="CN183" s="57"/>
      <c r="CO183" s="57"/>
      <c r="CP183" s="57"/>
      <c r="CQ183" s="57"/>
      <c r="CR183" s="57"/>
      <c r="CS183" s="57"/>
      <c r="CT183" s="57"/>
      <c r="CU183" s="57"/>
      <c r="CV183" s="57"/>
      <c r="CW183" s="57"/>
      <c r="CX183" s="57"/>
      <c r="CY183" s="57"/>
      <c r="CZ183" s="57"/>
      <c r="DA183" s="57"/>
      <c r="DB183" s="57"/>
      <c r="DC183" s="57"/>
      <c r="DD183" s="57"/>
      <c r="DE183" s="57"/>
      <c r="DF183" s="57"/>
      <c r="DG183" s="57"/>
      <c r="DH183" s="57"/>
      <c r="DI183" s="57"/>
      <c r="DJ183" s="57"/>
      <c r="DK183" s="57"/>
      <c r="DL183" s="57"/>
      <c r="DM183" s="57"/>
      <c r="DN183" s="57"/>
      <c r="DO183" s="57"/>
      <c r="DP183" s="57"/>
      <c r="DQ183" s="57"/>
      <c r="DR183" s="57"/>
      <c r="DS183" s="57"/>
      <c r="DT183" s="57"/>
      <c r="DU183" s="57"/>
      <c r="DV183" s="57"/>
      <c r="DW183" s="57"/>
      <c r="DX183" s="57"/>
      <c r="DY183" s="57"/>
      <c r="DZ183" s="57"/>
      <c r="EA183" s="57"/>
      <c r="EB183" s="57"/>
      <c r="EC183" s="57"/>
      <c r="ED183" s="57"/>
      <c r="EE183" s="57"/>
      <c r="EF183" s="57"/>
      <c r="EG183" s="57"/>
      <c r="EH183" s="57"/>
      <c r="EI183" s="57"/>
      <c r="EJ183" s="57"/>
      <c r="EK183" s="57"/>
      <c r="EL183" s="57"/>
      <c r="EM183" s="57"/>
      <c r="EN183" s="57"/>
      <c r="EO183" s="57"/>
      <c r="EP183" s="57"/>
      <c r="EQ183" s="57"/>
      <c r="ER183" s="57"/>
      <c r="ES183" s="57"/>
      <c r="ET183" s="57"/>
      <c r="EU183" s="57"/>
      <c r="EV183" s="57"/>
      <c r="EW183" s="57"/>
      <c r="EX183" s="57"/>
      <c r="EY183" s="57"/>
      <c r="EZ183" s="57"/>
    </row>
    <row r="184" spans="1:156" s="58" customFormat="1" ht="30" customHeight="1">
      <c r="A184" s="89"/>
      <c r="B184" s="89"/>
      <c r="C184" s="88" t="s">
        <v>136</v>
      </c>
      <c r="D184" s="88" t="s">
        <v>136</v>
      </c>
      <c r="E184" s="64"/>
      <c r="F184" s="84">
        <f t="shared" si="15"/>
        <v>0</v>
      </c>
      <c r="G184" s="84"/>
      <c r="H184" s="64"/>
      <c r="I184" s="84">
        <f t="shared" si="16"/>
        <v>0</v>
      </c>
      <c r="J184" s="7">
        <f>1000000+500000</f>
        <v>1500000</v>
      </c>
      <c r="K184" s="7"/>
      <c r="L184" s="7">
        <f t="shared" si="19"/>
        <v>1500000</v>
      </c>
      <c r="M184" s="115">
        <f t="shared" si="17"/>
        <v>1500</v>
      </c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  <c r="CJ184" s="57"/>
      <c r="CK184" s="57"/>
      <c r="CL184" s="57"/>
      <c r="CM184" s="57"/>
      <c r="CN184" s="57"/>
      <c r="CO184" s="57"/>
      <c r="CP184" s="57"/>
      <c r="CQ184" s="57"/>
      <c r="CR184" s="57"/>
      <c r="CS184" s="57"/>
      <c r="CT184" s="57"/>
      <c r="CU184" s="57"/>
      <c r="CV184" s="57"/>
      <c r="CW184" s="57"/>
      <c r="CX184" s="57"/>
      <c r="CY184" s="57"/>
      <c r="CZ184" s="57"/>
      <c r="DA184" s="57"/>
      <c r="DB184" s="57"/>
      <c r="DC184" s="57"/>
      <c r="DD184" s="57"/>
      <c r="DE184" s="57"/>
      <c r="DF184" s="57"/>
      <c r="DG184" s="57"/>
      <c r="DH184" s="57"/>
      <c r="DI184" s="57"/>
      <c r="DJ184" s="57"/>
      <c r="DK184" s="57"/>
      <c r="DL184" s="57"/>
      <c r="DM184" s="57"/>
      <c r="DN184" s="57"/>
      <c r="DO184" s="57"/>
      <c r="DP184" s="57"/>
      <c r="DQ184" s="57"/>
      <c r="DR184" s="57"/>
      <c r="DS184" s="57"/>
      <c r="DT184" s="57"/>
      <c r="DU184" s="57"/>
      <c r="DV184" s="57"/>
      <c r="DW184" s="57"/>
      <c r="DX184" s="57"/>
      <c r="DY184" s="57"/>
      <c r="DZ184" s="57"/>
      <c r="EA184" s="57"/>
      <c r="EB184" s="57"/>
      <c r="EC184" s="57"/>
      <c r="ED184" s="57"/>
      <c r="EE184" s="57"/>
      <c r="EF184" s="57"/>
      <c r="EG184" s="57"/>
      <c r="EH184" s="57"/>
      <c r="EI184" s="57"/>
      <c r="EJ184" s="57"/>
      <c r="EK184" s="57"/>
      <c r="EL184" s="57"/>
      <c r="EM184" s="57"/>
      <c r="EN184" s="57"/>
      <c r="EO184" s="57"/>
      <c r="EP184" s="57"/>
      <c r="EQ184" s="57"/>
      <c r="ER184" s="57"/>
      <c r="ES184" s="57"/>
      <c r="ET184" s="57"/>
      <c r="EU184" s="57"/>
      <c r="EV184" s="57"/>
      <c r="EW184" s="57"/>
      <c r="EX184" s="57"/>
      <c r="EY184" s="57"/>
      <c r="EZ184" s="57"/>
    </row>
    <row r="185" spans="1:156" s="58" customFormat="1" ht="30" customHeight="1">
      <c r="A185" s="89"/>
      <c r="B185" s="89"/>
      <c r="C185" s="88" t="s">
        <v>106</v>
      </c>
      <c r="D185" s="88" t="s">
        <v>106</v>
      </c>
      <c r="E185" s="64">
        <v>2997994</v>
      </c>
      <c r="F185" s="84">
        <f t="shared" si="15"/>
        <v>2998</v>
      </c>
      <c r="G185" s="84">
        <v>99.2</v>
      </c>
      <c r="H185" s="64">
        <v>2977690</v>
      </c>
      <c r="I185" s="84">
        <f t="shared" si="16"/>
        <v>2977.7</v>
      </c>
      <c r="J185" s="7">
        <v>1900000</v>
      </c>
      <c r="K185" s="7"/>
      <c r="L185" s="7">
        <f t="shared" si="19"/>
        <v>1900000</v>
      </c>
      <c r="M185" s="115">
        <f t="shared" si="17"/>
        <v>1900</v>
      </c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  <c r="DC185" s="57"/>
      <c r="DD185" s="57"/>
      <c r="DE185" s="57"/>
      <c r="DF185" s="57"/>
      <c r="DG185" s="57"/>
      <c r="DH185" s="57"/>
      <c r="DI185" s="57"/>
      <c r="DJ185" s="57"/>
      <c r="DK185" s="57"/>
      <c r="DL185" s="57"/>
      <c r="DM185" s="57"/>
      <c r="DN185" s="57"/>
      <c r="DO185" s="57"/>
      <c r="DP185" s="57"/>
      <c r="DQ185" s="57"/>
      <c r="DR185" s="57"/>
      <c r="DS185" s="57"/>
      <c r="DT185" s="57"/>
      <c r="DU185" s="57"/>
      <c r="DV185" s="57"/>
      <c r="DW185" s="57"/>
      <c r="DX185" s="57"/>
      <c r="DY185" s="57"/>
      <c r="DZ185" s="57"/>
      <c r="EA185" s="57"/>
      <c r="EB185" s="57"/>
      <c r="EC185" s="57"/>
      <c r="ED185" s="57"/>
      <c r="EE185" s="57"/>
      <c r="EF185" s="57"/>
      <c r="EG185" s="57"/>
      <c r="EH185" s="57"/>
      <c r="EI185" s="57"/>
      <c r="EJ185" s="57"/>
      <c r="EK185" s="57"/>
      <c r="EL185" s="57"/>
      <c r="EM185" s="57"/>
      <c r="EN185" s="57"/>
      <c r="EO185" s="57"/>
      <c r="EP185" s="57"/>
      <c r="EQ185" s="57"/>
      <c r="ER185" s="57"/>
      <c r="ES185" s="57"/>
      <c r="ET185" s="57"/>
      <c r="EU185" s="57"/>
      <c r="EV185" s="57"/>
      <c r="EW185" s="57"/>
      <c r="EX185" s="57"/>
      <c r="EY185" s="57"/>
      <c r="EZ185" s="57"/>
    </row>
    <row r="186" spans="1:156" s="58" customFormat="1" ht="30" customHeight="1">
      <c r="A186" s="89"/>
      <c r="B186" s="89"/>
      <c r="C186" s="88" t="s">
        <v>54</v>
      </c>
      <c r="D186" s="88" t="s">
        <v>54</v>
      </c>
      <c r="E186" s="64"/>
      <c r="F186" s="84">
        <f t="shared" si="15"/>
        <v>0</v>
      </c>
      <c r="G186" s="84"/>
      <c r="H186" s="64"/>
      <c r="I186" s="84">
        <f t="shared" si="16"/>
        <v>0</v>
      </c>
      <c r="J186" s="7">
        <v>100000</v>
      </c>
      <c r="K186" s="7"/>
      <c r="L186" s="7">
        <f t="shared" si="19"/>
        <v>100000</v>
      </c>
      <c r="M186" s="115">
        <f t="shared" si="17"/>
        <v>100</v>
      </c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  <c r="CM186" s="57"/>
      <c r="CN186" s="57"/>
      <c r="CO186" s="57"/>
      <c r="CP186" s="57"/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  <c r="DA186" s="57"/>
      <c r="DB186" s="57"/>
      <c r="DC186" s="57"/>
      <c r="DD186" s="57"/>
      <c r="DE186" s="57"/>
      <c r="DF186" s="57"/>
      <c r="DG186" s="57"/>
      <c r="DH186" s="57"/>
      <c r="DI186" s="57"/>
      <c r="DJ186" s="57"/>
      <c r="DK186" s="57"/>
      <c r="DL186" s="57"/>
      <c r="DM186" s="57"/>
      <c r="DN186" s="57"/>
      <c r="DO186" s="57"/>
      <c r="DP186" s="57"/>
      <c r="DQ186" s="57"/>
      <c r="DR186" s="57"/>
      <c r="DS186" s="57"/>
      <c r="DT186" s="57"/>
      <c r="DU186" s="57"/>
      <c r="DV186" s="57"/>
      <c r="DW186" s="57"/>
      <c r="DX186" s="57"/>
      <c r="DY186" s="57"/>
      <c r="DZ186" s="57"/>
      <c r="EA186" s="57"/>
      <c r="EB186" s="57"/>
      <c r="EC186" s="57"/>
      <c r="ED186" s="57"/>
      <c r="EE186" s="57"/>
      <c r="EF186" s="57"/>
      <c r="EG186" s="57"/>
      <c r="EH186" s="57"/>
      <c r="EI186" s="57"/>
      <c r="EJ186" s="57"/>
      <c r="EK186" s="57"/>
      <c r="EL186" s="57"/>
      <c r="EM186" s="57"/>
      <c r="EN186" s="57"/>
      <c r="EO186" s="57"/>
      <c r="EP186" s="57"/>
      <c r="EQ186" s="57"/>
      <c r="ER186" s="57"/>
      <c r="ES186" s="57"/>
      <c r="ET186" s="57"/>
      <c r="EU186" s="57"/>
      <c r="EV186" s="57"/>
      <c r="EW186" s="57"/>
      <c r="EX186" s="57"/>
      <c r="EY186" s="57"/>
      <c r="EZ186" s="57"/>
    </row>
    <row r="187" spans="1:156" s="58" customFormat="1" ht="30" customHeight="1">
      <c r="A187" s="89"/>
      <c r="B187" s="89"/>
      <c r="C187" s="88" t="s">
        <v>132</v>
      </c>
      <c r="D187" s="88" t="s">
        <v>132</v>
      </c>
      <c r="E187" s="64"/>
      <c r="F187" s="84">
        <f t="shared" si="15"/>
        <v>0</v>
      </c>
      <c r="G187" s="84"/>
      <c r="H187" s="64"/>
      <c r="I187" s="84">
        <f t="shared" si="16"/>
        <v>0</v>
      </c>
      <c r="J187" s="7">
        <f>200000+250000</f>
        <v>450000</v>
      </c>
      <c r="K187" s="7">
        <v>500000</v>
      </c>
      <c r="L187" s="7">
        <f t="shared" si="19"/>
        <v>950000</v>
      </c>
      <c r="M187" s="115">
        <f t="shared" si="17"/>
        <v>950</v>
      </c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  <c r="CJ187" s="57"/>
      <c r="CK187" s="57"/>
      <c r="CL187" s="57"/>
      <c r="CM187" s="57"/>
      <c r="CN187" s="57"/>
      <c r="CO187" s="57"/>
      <c r="CP187" s="57"/>
      <c r="CQ187" s="57"/>
      <c r="CR187" s="57"/>
      <c r="CS187" s="57"/>
      <c r="CT187" s="57"/>
      <c r="CU187" s="57"/>
      <c r="CV187" s="57"/>
      <c r="CW187" s="57"/>
      <c r="CX187" s="57"/>
      <c r="CY187" s="57"/>
      <c r="CZ187" s="57"/>
      <c r="DA187" s="57"/>
      <c r="DB187" s="57"/>
      <c r="DC187" s="57"/>
      <c r="DD187" s="57"/>
      <c r="DE187" s="57"/>
      <c r="DF187" s="57"/>
      <c r="DG187" s="57"/>
      <c r="DH187" s="57"/>
      <c r="DI187" s="57"/>
      <c r="DJ187" s="57"/>
      <c r="DK187" s="57"/>
      <c r="DL187" s="57"/>
      <c r="DM187" s="57"/>
      <c r="DN187" s="57"/>
      <c r="DO187" s="57"/>
      <c r="DP187" s="57"/>
      <c r="DQ187" s="57"/>
      <c r="DR187" s="57"/>
      <c r="DS187" s="57"/>
      <c r="DT187" s="57"/>
      <c r="DU187" s="57"/>
      <c r="DV187" s="57"/>
      <c r="DW187" s="57"/>
      <c r="DX187" s="57"/>
      <c r="DY187" s="57"/>
      <c r="DZ187" s="57"/>
      <c r="EA187" s="57"/>
      <c r="EB187" s="57"/>
      <c r="EC187" s="57"/>
      <c r="ED187" s="57"/>
      <c r="EE187" s="57"/>
      <c r="EF187" s="57"/>
      <c r="EG187" s="57"/>
      <c r="EH187" s="57"/>
      <c r="EI187" s="57"/>
      <c r="EJ187" s="57"/>
      <c r="EK187" s="57"/>
      <c r="EL187" s="57"/>
      <c r="EM187" s="57"/>
      <c r="EN187" s="57"/>
      <c r="EO187" s="57"/>
      <c r="EP187" s="57"/>
      <c r="EQ187" s="57"/>
      <c r="ER187" s="57"/>
      <c r="ES187" s="57"/>
      <c r="ET187" s="57"/>
      <c r="EU187" s="57"/>
      <c r="EV187" s="57"/>
      <c r="EW187" s="57"/>
      <c r="EX187" s="57"/>
      <c r="EY187" s="57"/>
      <c r="EZ187" s="57"/>
    </row>
    <row r="188" spans="1:156" s="58" customFormat="1" ht="30" customHeight="1">
      <c r="A188" s="89"/>
      <c r="B188" s="89"/>
      <c r="C188" s="88" t="s">
        <v>118</v>
      </c>
      <c r="D188" s="88" t="s">
        <v>118</v>
      </c>
      <c r="E188" s="64"/>
      <c r="F188" s="84">
        <f t="shared" si="15"/>
        <v>0</v>
      </c>
      <c r="G188" s="84"/>
      <c r="H188" s="64"/>
      <c r="I188" s="84">
        <f t="shared" si="16"/>
        <v>0</v>
      </c>
      <c r="J188" s="7">
        <f>150000-45000</f>
        <v>105000</v>
      </c>
      <c r="K188" s="7"/>
      <c r="L188" s="7">
        <f t="shared" si="19"/>
        <v>105000</v>
      </c>
      <c r="M188" s="115">
        <f t="shared" si="17"/>
        <v>105</v>
      </c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57"/>
      <c r="BZ188" s="57"/>
      <c r="CA188" s="57"/>
      <c r="CB188" s="57"/>
      <c r="CC188" s="57"/>
      <c r="CD188" s="57"/>
      <c r="CE188" s="57"/>
      <c r="CF188" s="57"/>
      <c r="CG188" s="57"/>
      <c r="CH188" s="57"/>
      <c r="CI188" s="57"/>
      <c r="CJ188" s="57"/>
      <c r="CK188" s="57"/>
      <c r="CL188" s="57"/>
      <c r="CM188" s="57"/>
      <c r="CN188" s="57"/>
      <c r="CO188" s="57"/>
      <c r="CP188" s="57"/>
      <c r="CQ188" s="57"/>
      <c r="CR188" s="57"/>
      <c r="CS188" s="57"/>
      <c r="CT188" s="57"/>
      <c r="CU188" s="57"/>
      <c r="CV188" s="57"/>
      <c r="CW188" s="57"/>
      <c r="CX188" s="57"/>
      <c r="CY188" s="57"/>
      <c r="CZ188" s="57"/>
      <c r="DA188" s="57"/>
      <c r="DB188" s="57"/>
      <c r="DC188" s="57"/>
      <c r="DD188" s="57"/>
      <c r="DE188" s="57"/>
      <c r="DF188" s="57"/>
      <c r="DG188" s="57"/>
      <c r="DH188" s="57"/>
      <c r="DI188" s="57"/>
      <c r="DJ188" s="57"/>
      <c r="DK188" s="57"/>
      <c r="DL188" s="57"/>
      <c r="DM188" s="57"/>
      <c r="DN188" s="57"/>
      <c r="DO188" s="57"/>
      <c r="DP188" s="57"/>
      <c r="DQ188" s="57"/>
      <c r="DR188" s="57"/>
      <c r="DS188" s="57"/>
      <c r="DT188" s="57"/>
      <c r="DU188" s="57"/>
      <c r="DV188" s="57"/>
      <c r="DW188" s="57"/>
      <c r="DX188" s="57"/>
      <c r="DY188" s="57"/>
      <c r="DZ188" s="57"/>
      <c r="EA188" s="57"/>
      <c r="EB188" s="57"/>
      <c r="EC188" s="57"/>
      <c r="ED188" s="57"/>
      <c r="EE188" s="57"/>
      <c r="EF188" s="57"/>
      <c r="EG188" s="57"/>
      <c r="EH188" s="57"/>
      <c r="EI188" s="57"/>
      <c r="EJ188" s="57"/>
      <c r="EK188" s="57"/>
      <c r="EL188" s="57"/>
      <c r="EM188" s="57"/>
      <c r="EN188" s="57"/>
      <c r="EO188" s="57"/>
      <c r="EP188" s="57"/>
      <c r="EQ188" s="57"/>
      <c r="ER188" s="57"/>
      <c r="ES188" s="57"/>
      <c r="ET188" s="57"/>
      <c r="EU188" s="57"/>
      <c r="EV188" s="57"/>
      <c r="EW188" s="57"/>
      <c r="EX188" s="57"/>
      <c r="EY188" s="57"/>
      <c r="EZ188" s="57"/>
    </row>
    <row r="189" spans="1:156" s="58" customFormat="1" ht="34.5" customHeight="1">
      <c r="A189" s="89"/>
      <c r="B189" s="89"/>
      <c r="C189" s="88" t="s">
        <v>55</v>
      </c>
      <c r="D189" s="88" t="s">
        <v>55</v>
      </c>
      <c r="E189" s="64"/>
      <c r="F189" s="84">
        <f t="shared" si="15"/>
        <v>0</v>
      </c>
      <c r="G189" s="84"/>
      <c r="H189" s="64"/>
      <c r="I189" s="84">
        <f t="shared" si="16"/>
        <v>0</v>
      </c>
      <c r="J189" s="7">
        <v>150000</v>
      </c>
      <c r="K189" s="7"/>
      <c r="L189" s="7">
        <f t="shared" si="19"/>
        <v>150000</v>
      </c>
      <c r="M189" s="115">
        <f t="shared" si="17"/>
        <v>150</v>
      </c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57"/>
      <c r="CA189" s="57"/>
      <c r="CB189" s="57"/>
      <c r="CC189" s="57"/>
      <c r="CD189" s="57"/>
      <c r="CE189" s="57"/>
      <c r="CF189" s="57"/>
      <c r="CG189" s="57"/>
      <c r="CH189" s="57"/>
      <c r="CI189" s="57"/>
      <c r="CJ189" s="57"/>
      <c r="CK189" s="57"/>
      <c r="CL189" s="57"/>
      <c r="CM189" s="57"/>
      <c r="CN189" s="57"/>
      <c r="CO189" s="57"/>
      <c r="CP189" s="57"/>
      <c r="CQ189" s="57"/>
      <c r="CR189" s="57"/>
      <c r="CS189" s="57"/>
      <c r="CT189" s="57"/>
      <c r="CU189" s="57"/>
      <c r="CV189" s="57"/>
      <c r="CW189" s="57"/>
      <c r="CX189" s="57"/>
      <c r="CY189" s="57"/>
      <c r="CZ189" s="57"/>
      <c r="DA189" s="57"/>
      <c r="DB189" s="57"/>
      <c r="DC189" s="57"/>
      <c r="DD189" s="57"/>
      <c r="DE189" s="57"/>
      <c r="DF189" s="57"/>
      <c r="DG189" s="57"/>
      <c r="DH189" s="57"/>
      <c r="DI189" s="57"/>
      <c r="DJ189" s="57"/>
      <c r="DK189" s="57"/>
      <c r="DL189" s="57"/>
      <c r="DM189" s="57"/>
      <c r="DN189" s="57"/>
      <c r="DO189" s="57"/>
      <c r="DP189" s="57"/>
      <c r="DQ189" s="57"/>
      <c r="DR189" s="57"/>
      <c r="DS189" s="57"/>
      <c r="DT189" s="57"/>
      <c r="DU189" s="57"/>
      <c r="DV189" s="57"/>
      <c r="DW189" s="57"/>
      <c r="DX189" s="57"/>
      <c r="DY189" s="57"/>
      <c r="DZ189" s="57"/>
      <c r="EA189" s="57"/>
      <c r="EB189" s="57"/>
      <c r="EC189" s="57"/>
      <c r="ED189" s="57"/>
      <c r="EE189" s="57"/>
      <c r="EF189" s="57"/>
      <c r="EG189" s="57"/>
      <c r="EH189" s="57"/>
      <c r="EI189" s="57"/>
      <c r="EJ189" s="57"/>
      <c r="EK189" s="57"/>
      <c r="EL189" s="57"/>
      <c r="EM189" s="57"/>
      <c r="EN189" s="57"/>
      <c r="EO189" s="57"/>
      <c r="EP189" s="57"/>
      <c r="EQ189" s="57"/>
      <c r="ER189" s="57"/>
      <c r="ES189" s="57"/>
      <c r="ET189" s="57"/>
      <c r="EU189" s="57"/>
      <c r="EV189" s="57"/>
      <c r="EW189" s="57"/>
      <c r="EX189" s="57"/>
      <c r="EY189" s="57"/>
      <c r="EZ189" s="57"/>
    </row>
    <row r="190" spans="1:156" s="58" customFormat="1" ht="34.5" customHeight="1">
      <c r="A190" s="89"/>
      <c r="B190" s="89"/>
      <c r="C190" s="88" t="s">
        <v>161</v>
      </c>
      <c r="D190" s="88" t="s">
        <v>161</v>
      </c>
      <c r="E190" s="64"/>
      <c r="F190" s="84">
        <f t="shared" si="15"/>
        <v>0</v>
      </c>
      <c r="G190" s="84"/>
      <c r="H190" s="64"/>
      <c r="I190" s="84">
        <f t="shared" si="16"/>
        <v>0</v>
      </c>
      <c r="J190" s="7">
        <v>50000</v>
      </c>
      <c r="K190" s="7"/>
      <c r="L190" s="7">
        <f t="shared" si="19"/>
        <v>50000</v>
      </c>
      <c r="M190" s="115">
        <f t="shared" si="17"/>
        <v>50</v>
      </c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57"/>
      <c r="CR190" s="57"/>
      <c r="CS190" s="57"/>
      <c r="CT190" s="57"/>
      <c r="CU190" s="57"/>
      <c r="CV190" s="57"/>
      <c r="CW190" s="57"/>
      <c r="CX190" s="57"/>
      <c r="CY190" s="57"/>
      <c r="CZ190" s="57"/>
      <c r="DA190" s="57"/>
      <c r="DB190" s="57"/>
      <c r="DC190" s="57"/>
      <c r="DD190" s="57"/>
      <c r="DE190" s="57"/>
      <c r="DF190" s="57"/>
      <c r="DG190" s="57"/>
      <c r="DH190" s="57"/>
      <c r="DI190" s="57"/>
      <c r="DJ190" s="57"/>
      <c r="DK190" s="57"/>
      <c r="DL190" s="57"/>
      <c r="DM190" s="57"/>
      <c r="DN190" s="57"/>
      <c r="DO190" s="57"/>
      <c r="DP190" s="57"/>
      <c r="DQ190" s="57"/>
      <c r="DR190" s="57"/>
      <c r="DS190" s="57"/>
      <c r="DT190" s="57"/>
      <c r="DU190" s="57"/>
      <c r="DV190" s="57"/>
      <c r="DW190" s="57"/>
      <c r="DX190" s="57"/>
      <c r="DY190" s="57"/>
      <c r="DZ190" s="57"/>
      <c r="EA190" s="57"/>
      <c r="EB190" s="57"/>
      <c r="EC190" s="57"/>
      <c r="ED190" s="57"/>
      <c r="EE190" s="57"/>
      <c r="EF190" s="57"/>
      <c r="EG190" s="57"/>
      <c r="EH190" s="57"/>
      <c r="EI190" s="57"/>
      <c r="EJ190" s="57"/>
      <c r="EK190" s="57"/>
      <c r="EL190" s="57"/>
      <c r="EM190" s="57"/>
      <c r="EN190" s="57"/>
      <c r="EO190" s="57"/>
      <c r="EP190" s="57"/>
      <c r="EQ190" s="57"/>
      <c r="ER190" s="57"/>
      <c r="ES190" s="57"/>
      <c r="ET190" s="57"/>
      <c r="EU190" s="57"/>
      <c r="EV190" s="57"/>
      <c r="EW190" s="57"/>
      <c r="EX190" s="57"/>
      <c r="EY190" s="57"/>
      <c r="EZ190" s="57"/>
    </row>
    <row r="191" spans="1:156" s="58" customFormat="1" ht="34.5" customHeight="1">
      <c r="A191" s="89"/>
      <c r="B191" s="89"/>
      <c r="C191" s="88" t="s">
        <v>160</v>
      </c>
      <c r="D191" s="88" t="s">
        <v>160</v>
      </c>
      <c r="E191" s="64"/>
      <c r="F191" s="84">
        <f t="shared" si="15"/>
        <v>0</v>
      </c>
      <c r="G191" s="84"/>
      <c r="H191" s="64"/>
      <c r="I191" s="84">
        <f t="shared" si="16"/>
        <v>0</v>
      </c>
      <c r="J191" s="7">
        <f>981000+350000</f>
        <v>1331000</v>
      </c>
      <c r="K191" s="7"/>
      <c r="L191" s="7">
        <f t="shared" si="19"/>
        <v>1331000</v>
      </c>
      <c r="M191" s="115">
        <f t="shared" si="17"/>
        <v>1331</v>
      </c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  <c r="BS191" s="57"/>
      <c r="BT191" s="57"/>
      <c r="BU191" s="57"/>
      <c r="BV191" s="57"/>
      <c r="BW191" s="57"/>
      <c r="BX191" s="57"/>
      <c r="BY191" s="57"/>
      <c r="BZ191" s="57"/>
      <c r="CA191" s="57"/>
      <c r="CB191" s="57"/>
      <c r="CC191" s="57"/>
      <c r="CD191" s="57"/>
      <c r="CE191" s="57"/>
      <c r="CF191" s="57"/>
      <c r="CG191" s="57"/>
      <c r="CH191" s="57"/>
      <c r="CI191" s="57"/>
      <c r="CJ191" s="57"/>
      <c r="CK191" s="57"/>
      <c r="CL191" s="57"/>
      <c r="CM191" s="57"/>
      <c r="CN191" s="57"/>
      <c r="CO191" s="57"/>
      <c r="CP191" s="57"/>
      <c r="CQ191" s="57"/>
      <c r="CR191" s="57"/>
      <c r="CS191" s="57"/>
      <c r="CT191" s="57"/>
      <c r="CU191" s="57"/>
      <c r="CV191" s="57"/>
      <c r="CW191" s="57"/>
      <c r="CX191" s="57"/>
      <c r="CY191" s="57"/>
      <c r="CZ191" s="57"/>
      <c r="DA191" s="57"/>
      <c r="DB191" s="57"/>
      <c r="DC191" s="57"/>
      <c r="DD191" s="57"/>
      <c r="DE191" s="57"/>
      <c r="DF191" s="57"/>
      <c r="DG191" s="57"/>
      <c r="DH191" s="57"/>
      <c r="DI191" s="57"/>
      <c r="DJ191" s="57"/>
      <c r="DK191" s="57"/>
      <c r="DL191" s="57"/>
      <c r="DM191" s="57"/>
      <c r="DN191" s="57"/>
      <c r="DO191" s="57"/>
      <c r="DP191" s="57"/>
      <c r="DQ191" s="57"/>
      <c r="DR191" s="57"/>
      <c r="DS191" s="57"/>
      <c r="DT191" s="57"/>
      <c r="DU191" s="57"/>
      <c r="DV191" s="57"/>
      <c r="DW191" s="57"/>
      <c r="DX191" s="57"/>
      <c r="DY191" s="57"/>
      <c r="DZ191" s="57"/>
      <c r="EA191" s="57"/>
      <c r="EB191" s="57"/>
      <c r="EC191" s="57"/>
      <c r="ED191" s="57"/>
      <c r="EE191" s="57"/>
      <c r="EF191" s="57"/>
      <c r="EG191" s="57"/>
      <c r="EH191" s="57"/>
      <c r="EI191" s="57"/>
      <c r="EJ191" s="57"/>
      <c r="EK191" s="57"/>
      <c r="EL191" s="57"/>
      <c r="EM191" s="57"/>
      <c r="EN191" s="57"/>
      <c r="EO191" s="57"/>
      <c r="EP191" s="57"/>
      <c r="EQ191" s="57"/>
      <c r="ER191" s="57"/>
      <c r="ES191" s="57"/>
      <c r="ET191" s="57"/>
      <c r="EU191" s="57"/>
      <c r="EV191" s="57"/>
      <c r="EW191" s="57"/>
      <c r="EX191" s="57"/>
      <c r="EY191" s="57"/>
      <c r="EZ191" s="57"/>
    </row>
    <row r="192" spans="1:156" s="58" customFormat="1" ht="34.5" customHeight="1">
      <c r="A192" s="89"/>
      <c r="B192" s="89"/>
      <c r="C192" s="88" t="s">
        <v>181</v>
      </c>
      <c r="D192" s="88" t="s">
        <v>181</v>
      </c>
      <c r="E192" s="64"/>
      <c r="F192" s="84">
        <f t="shared" si="15"/>
        <v>0</v>
      </c>
      <c r="G192" s="84"/>
      <c r="H192" s="64"/>
      <c r="I192" s="84">
        <f t="shared" si="16"/>
        <v>0</v>
      </c>
      <c r="J192" s="7">
        <f>200000+500000</f>
        <v>700000</v>
      </c>
      <c r="K192" s="7">
        <v>520000</v>
      </c>
      <c r="L192" s="7">
        <f t="shared" si="19"/>
        <v>1220000</v>
      </c>
      <c r="M192" s="115">
        <f t="shared" si="17"/>
        <v>1220</v>
      </c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  <c r="BS192" s="57"/>
      <c r="BT192" s="57"/>
      <c r="BU192" s="57"/>
      <c r="BV192" s="57"/>
      <c r="BW192" s="57"/>
      <c r="BX192" s="57"/>
      <c r="BY192" s="57"/>
      <c r="BZ192" s="57"/>
      <c r="CA192" s="57"/>
      <c r="CB192" s="57"/>
      <c r="CC192" s="57"/>
      <c r="CD192" s="57"/>
      <c r="CE192" s="57"/>
      <c r="CF192" s="57"/>
      <c r="CG192" s="57"/>
      <c r="CH192" s="57"/>
      <c r="CI192" s="57"/>
      <c r="CJ192" s="57"/>
      <c r="CK192" s="57"/>
      <c r="CL192" s="57"/>
      <c r="CM192" s="57"/>
      <c r="CN192" s="57"/>
      <c r="CO192" s="57"/>
      <c r="CP192" s="57"/>
      <c r="CQ192" s="57"/>
      <c r="CR192" s="57"/>
      <c r="CS192" s="57"/>
      <c r="CT192" s="57"/>
      <c r="CU192" s="57"/>
      <c r="CV192" s="57"/>
      <c r="CW192" s="57"/>
      <c r="CX192" s="57"/>
      <c r="CY192" s="57"/>
      <c r="CZ192" s="57"/>
      <c r="DA192" s="57"/>
      <c r="DB192" s="57"/>
      <c r="DC192" s="57"/>
      <c r="DD192" s="57"/>
      <c r="DE192" s="57"/>
      <c r="DF192" s="57"/>
      <c r="DG192" s="57"/>
      <c r="DH192" s="57"/>
      <c r="DI192" s="57"/>
      <c r="DJ192" s="57"/>
      <c r="DK192" s="57"/>
      <c r="DL192" s="57"/>
      <c r="DM192" s="57"/>
      <c r="DN192" s="57"/>
      <c r="DO192" s="57"/>
      <c r="DP192" s="57"/>
      <c r="DQ192" s="57"/>
      <c r="DR192" s="57"/>
      <c r="DS192" s="57"/>
      <c r="DT192" s="57"/>
      <c r="DU192" s="57"/>
      <c r="DV192" s="57"/>
      <c r="DW192" s="57"/>
      <c r="DX192" s="57"/>
      <c r="DY192" s="57"/>
      <c r="DZ192" s="57"/>
      <c r="EA192" s="57"/>
      <c r="EB192" s="57"/>
      <c r="EC192" s="57"/>
      <c r="ED192" s="57"/>
      <c r="EE192" s="57"/>
      <c r="EF192" s="57"/>
      <c r="EG192" s="57"/>
      <c r="EH192" s="57"/>
      <c r="EI192" s="57"/>
      <c r="EJ192" s="57"/>
      <c r="EK192" s="57"/>
      <c r="EL192" s="57"/>
      <c r="EM192" s="57"/>
      <c r="EN192" s="57"/>
      <c r="EO192" s="57"/>
      <c r="EP192" s="57"/>
      <c r="EQ192" s="57"/>
      <c r="ER192" s="57"/>
      <c r="ES192" s="57"/>
      <c r="ET192" s="57"/>
      <c r="EU192" s="57"/>
      <c r="EV192" s="57"/>
      <c r="EW192" s="57"/>
      <c r="EX192" s="57"/>
      <c r="EY192" s="57"/>
      <c r="EZ192" s="57"/>
    </row>
    <row r="193" spans="1:156" s="58" customFormat="1" ht="34.5" customHeight="1">
      <c r="A193" s="89"/>
      <c r="B193" s="89"/>
      <c r="C193" s="88" t="s">
        <v>159</v>
      </c>
      <c r="D193" s="88" t="s">
        <v>159</v>
      </c>
      <c r="E193" s="64"/>
      <c r="F193" s="84">
        <f t="shared" si="15"/>
        <v>0</v>
      </c>
      <c r="G193" s="84"/>
      <c r="H193" s="64"/>
      <c r="I193" s="84">
        <f t="shared" si="16"/>
        <v>0</v>
      </c>
      <c r="J193" s="7">
        <v>530000</v>
      </c>
      <c r="K193" s="7"/>
      <c r="L193" s="7">
        <f t="shared" si="19"/>
        <v>530000</v>
      </c>
      <c r="M193" s="115">
        <f t="shared" si="17"/>
        <v>530</v>
      </c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  <c r="BS193" s="57"/>
      <c r="BT193" s="57"/>
      <c r="BU193" s="57"/>
      <c r="BV193" s="57"/>
      <c r="BW193" s="57"/>
      <c r="BX193" s="57"/>
      <c r="BY193" s="57"/>
      <c r="BZ193" s="57"/>
      <c r="CA193" s="57"/>
      <c r="CB193" s="57"/>
      <c r="CC193" s="57"/>
      <c r="CD193" s="57"/>
      <c r="CE193" s="57"/>
      <c r="CF193" s="57"/>
      <c r="CG193" s="57"/>
      <c r="CH193" s="57"/>
      <c r="CI193" s="57"/>
      <c r="CJ193" s="57"/>
      <c r="CK193" s="57"/>
      <c r="CL193" s="57"/>
      <c r="CM193" s="57"/>
      <c r="CN193" s="57"/>
      <c r="CO193" s="57"/>
      <c r="CP193" s="57"/>
      <c r="CQ193" s="57"/>
      <c r="CR193" s="57"/>
      <c r="CS193" s="57"/>
      <c r="CT193" s="57"/>
      <c r="CU193" s="57"/>
      <c r="CV193" s="57"/>
      <c r="CW193" s="57"/>
      <c r="CX193" s="57"/>
      <c r="CY193" s="57"/>
      <c r="CZ193" s="57"/>
      <c r="DA193" s="57"/>
      <c r="DB193" s="57"/>
      <c r="DC193" s="57"/>
      <c r="DD193" s="57"/>
      <c r="DE193" s="57"/>
      <c r="DF193" s="57"/>
      <c r="DG193" s="57"/>
      <c r="DH193" s="57"/>
      <c r="DI193" s="57"/>
      <c r="DJ193" s="57"/>
      <c r="DK193" s="57"/>
      <c r="DL193" s="57"/>
      <c r="DM193" s="57"/>
      <c r="DN193" s="57"/>
      <c r="DO193" s="57"/>
      <c r="DP193" s="57"/>
      <c r="DQ193" s="57"/>
      <c r="DR193" s="57"/>
      <c r="DS193" s="57"/>
      <c r="DT193" s="57"/>
      <c r="DU193" s="57"/>
      <c r="DV193" s="57"/>
      <c r="DW193" s="57"/>
      <c r="DX193" s="57"/>
      <c r="DY193" s="57"/>
      <c r="DZ193" s="57"/>
      <c r="EA193" s="57"/>
      <c r="EB193" s="57"/>
      <c r="EC193" s="57"/>
      <c r="ED193" s="57"/>
      <c r="EE193" s="57"/>
      <c r="EF193" s="57"/>
      <c r="EG193" s="57"/>
      <c r="EH193" s="57"/>
      <c r="EI193" s="57"/>
      <c r="EJ193" s="57"/>
      <c r="EK193" s="57"/>
      <c r="EL193" s="57"/>
      <c r="EM193" s="57"/>
      <c r="EN193" s="57"/>
      <c r="EO193" s="57"/>
      <c r="EP193" s="57"/>
      <c r="EQ193" s="57"/>
      <c r="ER193" s="57"/>
      <c r="ES193" s="57"/>
      <c r="ET193" s="57"/>
      <c r="EU193" s="57"/>
      <c r="EV193" s="57"/>
      <c r="EW193" s="57"/>
      <c r="EX193" s="57"/>
      <c r="EY193" s="57"/>
      <c r="EZ193" s="57"/>
    </row>
    <row r="194" spans="1:156" s="58" customFormat="1" ht="32.25" customHeight="1">
      <c r="A194" s="89"/>
      <c r="B194" s="89"/>
      <c r="C194" s="88" t="s">
        <v>175</v>
      </c>
      <c r="D194" s="88" t="s">
        <v>175</v>
      </c>
      <c r="E194" s="64"/>
      <c r="F194" s="84">
        <f t="shared" si="15"/>
        <v>0</v>
      </c>
      <c r="G194" s="84"/>
      <c r="H194" s="64"/>
      <c r="I194" s="84">
        <f t="shared" si="16"/>
        <v>0</v>
      </c>
      <c r="J194" s="7">
        <f>500000+69000</f>
        <v>569000</v>
      </c>
      <c r="K194" s="7"/>
      <c r="L194" s="7">
        <f t="shared" si="19"/>
        <v>569000</v>
      </c>
      <c r="M194" s="115">
        <f t="shared" si="17"/>
        <v>569</v>
      </c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  <c r="BS194" s="57"/>
      <c r="BT194" s="57"/>
      <c r="BU194" s="57"/>
      <c r="BV194" s="57"/>
      <c r="BW194" s="57"/>
      <c r="BX194" s="57"/>
      <c r="BY194" s="57"/>
      <c r="BZ194" s="57"/>
      <c r="CA194" s="57"/>
      <c r="CB194" s="57"/>
      <c r="CC194" s="57"/>
      <c r="CD194" s="57"/>
      <c r="CE194" s="57"/>
      <c r="CF194" s="57"/>
      <c r="CG194" s="57"/>
      <c r="CH194" s="57"/>
      <c r="CI194" s="57"/>
      <c r="CJ194" s="57"/>
      <c r="CK194" s="57"/>
      <c r="CL194" s="57"/>
      <c r="CM194" s="57"/>
      <c r="CN194" s="57"/>
      <c r="CO194" s="57"/>
      <c r="CP194" s="57"/>
      <c r="CQ194" s="57"/>
      <c r="CR194" s="57"/>
      <c r="CS194" s="57"/>
      <c r="CT194" s="57"/>
      <c r="CU194" s="57"/>
      <c r="CV194" s="57"/>
      <c r="CW194" s="57"/>
      <c r="CX194" s="57"/>
      <c r="CY194" s="57"/>
      <c r="CZ194" s="57"/>
      <c r="DA194" s="57"/>
      <c r="DB194" s="57"/>
      <c r="DC194" s="57"/>
      <c r="DD194" s="57"/>
      <c r="DE194" s="57"/>
      <c r="DF194" s="57"/>
      <c r="DG194" s="57"/>
      <c r="DH194" s="57"/>
      <c r="DI194" s="57"/>
      <c r="DJ194" s="57"/>
      <c r="DK194" s="57"/>
      <c r="DL194" s="57"/>
      <c r="DM194" s="57"/>
      <c r="DN194" s="57"/>
      <c r="DO194" s="57"/>
      <c r="DP194" s="57"/>
      <c r="DQ194" s="57"/>
      <c r="DR194" s="57"/>
      <c r="DS194" s="57"/>
      <c r="DT194" s="57"/>
      <c r="DU194" s="57"/>
      <c r="DV194" s="57"/>
      <c r="DW194" s="57"/>
      <c r="DX194" s="57"/>
      <c r="DY194" s="57"/>
      <c r="DZ194" s="57"/>
      <c r="EA194" s="57"/>
      <c r="EB194" s="57"/>
      <c r="EC194" s="57"/>
      <c r="ED194" s="57"/>
      <c r="EE194" s="57"/>
      <c r="EF194" s="57"/>
      <c r="EG194" s="57"/>
      <c r="EH194" s="57"/>
      <c r="EI194" s="57"/>
      <c r="EJ194" s="57"/>
      <c r="EK194" s="57"/>
      <c r="EL194" s="57"/>
      <c r="EM194" s="57"/>
      <c r="EN194" s="57"/>
      <c r="EO194" s="57"/>
      <c r="EP194" s="57"/>
      <c r="EQ194" s="57"/>
      <c r="ER194" s="57"/>
      <c r="ES194" s="57"/>
      <c r="ET194" s="57"/>
      <c r="EU194" s="57"/>
      <c r="EV194" s="57"/>
      <c r="EW194" s="57"/>
      <c r="EX194" s="57"/>
      <c r="EY194" s="57"/>
      <c r="EZ194" s="57"/>
    </row>
    <row r="195" spans="1:156" s="58" customFormat="1" ht="47.25" customHeight="1">
      <c r="A195" s="89"/>
      <c r="B195" s="89"/>
      <c r="C195" s="88" t="s">
        <v>209</v>
      </c>
      <c r="D195" s="88" t="s">
        <v>209</v>
      </c>
      <c r="E195" s="64"/>
      <c r="F195" s="84">
        <f t="shared" si="15"/>
        <v>0</v>
      </c>
      <c r="G195" s="84"/>
      <c r="H195" s="64"/>
      <c r="I195" s="84">
        <f t="shared" si="16"/>
        <v>0</v>
      </c>
      <c r="J195" s="7"/>
      <c r="K195" s="7">
        <v>100000</v>
      </c>
      <c r="L195" s="7">
        <f t="shared" si="19"/>
        <v>100000</v>
      </c>
      <c r="M195" s="115">
        <f t="shared" si="17"/>
        <v>100</v>
      </c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  <c r="BS195" s="57"/>
      <c r="BT195" s="57"/>
      <c r="BU195" s="57"/>
      <c r="BV195" s="57"/>
      <c r="BW195" s="57"/>
      <c r="BX195" s="57"/>
      <c r="BY195" s="57"/>
      <c r="BZ195" s="57"/>
      <c r="CA195" s="57"/>
      <c r="CB195" s="57"/>
      <c r="CC195" s="57"/>
      <c r="CD195" s="57"/>
      <c r="CE195" s="57"/>
      <c r="CF195" s="57"/>
      <c r="CG195" s="57"/>
      <c r="CH195" s="57"/>
      <c r="CI195" s="57"/>
      <c r="CJ195" s="57"/>
      <c r="CK195" s="57"/>
      <c r="CL195" s="57"/>
      <c r="CM195" s="57"/>
      <c r="CN195" s="57"/>
      <c r="CO195" s="57"/>
      <c r="CP195" s="57"/>
      <c r="CQ195" s="57"/>
      <c r="CR195" s="57"/>
      <c r="CS195" s="57"/>
      <c r="CT195" s="57"/>
      <c r="CU195" s="57"/>
      <c r="CV195" s="57"/>
      <c r="CW195" s="57"/>
      <c r="CX195" s="57"/>
      <c r="CY195" s="57"/>
      <c r="CZ195" s="57"/>
      <c r="DA195" s="57"/>
      <c r="DB195" s="57"/>
      <c r="DC195" s="57"/>
      <c r="DD195" s="57"/>
      <c r="DE195" s="57"/>
      <c r="DF195" s="57"/>
      <c r="DG195" s="57"/>
      <c r="DH195" s="57"/>
      <c r="DI195" s="57"/>
      <c r="DJ195" s="57"/>
      <c r="DK195" s="57"/>
      <c r="DL195" s="57"/>
      <c r="DM195" s="57"/>
      <c r="DN195" s="57"/>
      <c r="DO195" s="57"/>
      <c r="DP195" s="57"/>
      <c r="DQ195" s="57"/>
      <c r="DR195" s="57"/>
      <c r="DS195" s="57"/>
      <c r="DT195" s="57"/>
      <c r="DU195" s="57"/>
      <c r="DV195" s="57"/>
      <c r="DW195" s="57"/>
      <c r="DX195" s="57"/>
      <c r="DY195" s="57"/>
      <c r="DZ195" s="57"/>
      <c r="EA195" s="57"/>
      <c r="EB195" s="57"/>
      <c r="EC195" s="57"/>
      <c r="ED195" s="57"/>
      <c r="EE195" s="57"/>
      <c r="EF195" s="57"/>
      <c r="EG195" s="57"/>
      <c r="EH195" s="57"/>
      <c r="EI195" s="57"/>
      <c r="EJ195" s="57"/>
      <c r="EK195" s="57"/>
      <c r="EL195" s="57"/>
      <c r="EM195" s="57"/>
      <c r="EN195" s="57"/>
      <c r="EO195" s="57"/>
      <c r="EP195" s="57"/>
      <c r="EQ195" s="57"/>
      <c r="ER195" s="57"/>
      <c r="ES195" s="57"/>
      <c r="ET195" s="57"/>
      <c r="EU195" s="57"/>
      <c r="EV195" s="57"/>
      <c r="EW195" s="57"/>
      <c r="EX195" s="57"/>
      <c r="EY195" s="57"/>
      <c r="EZ195" s="57"/>
    </row>
    <row r="196" spans="1:156" s="58" customFormat="1" ht="39.75" customHeight="1">
      <c r="A196" s="89"/>
      <c r="B196" s="89"/>
      <c r="C196" s="88" t="s">
        <v>163</v>
      </c>
      <c r="D196" s="88" t="s">
        <v>163</v>
      </c>
      <c r="E196" s="64"/>
      <c r="F196" s="84">
        <f t="shared" si="15"/>
        <v>0</v>
      </c>
      <c r="G196" s="84"/>
      <c r="H196" s="64"/>
      <c r="I196" s="84">
        <f t="shared" si="16"/>
        <v>0</v>
      </c>
      <c r="J196" s="7">
        <v>40000</v>
      </c>
      <c r="K196" s="7"/>
      <c r="L196" s="7">
        <f t="shared" si="19"/>
        <v>40000</v>
      </c>
      <c r="M196" s="115">
        <f t="shared" si="17"/>
        <v>40</v>
      </c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  <c r="BS196" s="57"/>
      <c r="BT196" s="57"/>
      <c r="BU196" s="57"/>
      <c r="BV196" s="57"/>
      <c r="BW196" s="57"/>
      <c r="BX196" s="57"/>
      <c r="BY196" s="57"/>
      <c r="BZ196" s="57"/>
      <c r="CA196" s="57"/>
      <c r="CB196" s="57"/>
      <c r="CC196" s="57"/>
      <c r="CD196" s="57"/>
      <c r="CE196" s="57"/>
      <c r="CF196" s="57"/>
      <c r="CG196" s="57"/>
      <c r="CH196" s="57"/>
      <c r="CI196" s="57"/>
      <c r="CJ196" s="57"/>
      <c r="CK196" s="57"/>
      <c r="CL196" s="57"/>
      <c r="CM196" s="57"/>
      <c r="CN196" s="57"/>
      <c r="CO196" s="57"/>
      <c r="CP196" s="57"/>
      <c r="CQ196" s="57"/>
      <c r="CR196" s="57"/>
      <c r="CS196" s="57"/>
      <c r="CT196" s="57"/>
      <c r="CU196" s="57"/>
      <c r="CV196" s="57"/>
      <c r="CW196" s="57"/>
      <c r="CX196" s="57"/>
      <c r="CY196" s="57"/>
      <c r="CZ196" s="57"/>
      <c r="DA196" s="57"/>
      <c r="DB196" s="57"/>
      <c r="DC196" s="57"/>
      <c r="DD196" s="57"/>
      <c r="DE196" s="57"/>
      <c r="DF196" s="57"/>
      <c r="DG196" s="57"/>
      <c r="DH196" s="57"/>
      <c r="DI196" s="57"/>
      <c r="DJ196" s="57"/>
      <c r="DK196" s="57"/>
      <c r="DL196" s="57"/>
      <c r="DM196" s="57"/>
      <c r="DN196" s="57"/>
      <c r="DO196" s="57"/>
      <c r="DP196" s="57"/>
      <c r="DQ196" s="57"/>
      <c r="DR196" s="57"/>
      <c r="DS196" s="57"/>
      <c r="DT196" s="57"/>
      <c r="DU196" s="57"/>
      <c r="DV196" s="57"/>
      <c r="DW196" s="57"/>
      <c r="DX196" s="57"/>
      <c r="DY196" s="57"/>
      <c r="DZ196" s="57"/>
      <c r="EA196" s="57"/>
      <c r="EB196" s="57"/>
      <c r="EC196" s="57"/>
      <c r="ED196" s="57"/>
      <c r="EE196" s="57"/>
      <c r="EF196" s="57"/>
      <c r="EG196" s="57"/>
      <c r="EH196" s="57"/>
      <c r="EI196" s="57"/>
      <c r="EJ196" s="57"/>
      <c r="EK196" s="57"/>
      <c r="EL196" s="57"/>
      <c r="EM196" s="57"/>
      <c r="EN196" s="57"/>
      <c r="EO196" s="57"/>
      <c r="EP196" s="57"/>
      <c r="EQ196" s="57"/>
      <c r="ER196" s="57"/>
      <c r="ES196" s="57"/>
      <c r="ET196" s="57"/>
      <c r="EU196" s="57"/>
      <c r="EV196" s="57"/>
      <c r="EW196" s="57"/>
      <c r="EX196" s="57"/>
      <c r="EY196" s="57"/>
      <c r="EZ196" s="57"/>
    </row>
    <row r="197" spans="1:156" s="58" customFormat="1" ht="47.25" customHeight="1" hidden="1">
      <c r="A197" s="89"/>
      <c r="B197" s="89"/>
      <c r="C197" s="88"/>
      <c r="D197" s="88"/>
      <c r="E197" s="64"/>
      <c r="F197" s="84">
        <f t="shared" si="15"/>
        <v>0</v>
      </c>
      <c r="G197" s="84"/>
      <c r="H197" s="64"/>
      <c r="I197" s="84">
        <f t="shared" si="16"/>
        <v>0</v>
      </c>
      <c r="J197" s="7"/>
      <c r="K197" s="7"/>
      <c r="L197" s="7"/>
      <c r="M197" s="115">
        <f t="shared" si="17"/>
        <v>0</v>
      </c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7"/>
      <c r="BU197" s="57"/>
      <c r="BV197" s="57"/>
      <c r="BW197" s="57"/>
      <c r="BX197" s="57"/>
      <c r="BY197" s="57"/>
      <c r="BZ197" s="57"/>
      <c r="CA197" s="57"/>
      <c r="CB197" s="57"/>
      <c r="CC197" s="57"/>
      <c r="CD197" s="57"/>
      <c r="CE197" s="57"/>
      <c r="CF197" s="57"/>
      <c r="CG197" s="57"/>
      <c r="CH197" s="57"/>
      <c r="CI197" s="57"/>
      <c r="CJ197" s="57"/>
      <c r="CK197" s="57"/>
      <c r="CL197" s="57"/>
      <c r="CM197" s="57"/>
      <c r="CN197" s="57"/>
      <c r="CO197" s="57"/>
      <c r="CP197" s="57"/>
      <c r="CQ197" s="57"/>
      <c r="CR197" s="57"/>
      <c r="CS197" s="57"/>
      <c r="CT197" s="57"/>
      <c r="CU197" s="57"/>
      <c r="CV197" s="57"/>
      <c r="CW197" s="57"/>
      <c r="CX197" s="57"/>
      <c r="CY197" s="57"/>
      <c r="CZ197" s="57"/>
      <c r="DA197" s="57"/>
      <c r="DB197" s="57"/>
      <c r="DC197" s="57"/>
      <c r="DD197" s="57"/>
      <c r="DE197" s="57"/>
      <c r="DF197" s="57"/>
      <c r="DG197" s="57"/>
      <c r="DH197" s="57"/>
      <c r="DI197" s="57"/>
      <c r="DJ197" s="57"/>
      <c r="DK197" s="57"/>
      <c r="DL197" s="57"/>
      <c r="DM197" s="57"/>
      <c r="DN197" s="57"/>
      <c r="DO197" s="57"/>
      <c r="DP197" s="57"/>
      <c r="DQ197" s="57"/>
      <c r="DR197" s="57"/>
      <c r="DS197" s="57"/>
      <c r="DT197" s="57"/>
      <c r="DU197" s="57"/>
      <c r="DV197" s="57"/>
      <c r="DW197" s="57"/>
      <c r="DX197" s="57"/>
      <c r="DY197" s="57"/>
      <c r="DZ197" s="57"/>
      <c r="EA197" s="57"/>
      <c r="EB197" s="57"/>
      <c r="EC197" s="57"/>
      <c r="ED197" s="57"/>
      <c r="EE197" s="57"/>
      <c r="EF197" s="57"/>
      <c r="EG197" s="57"/>
      <c r="EH197" s="57"/>
      <c r="EI197" s="57"/>
      <c r="EJ197" s="57"/>
      <c r="EK197" s="57"/>
      <c r="EL197" s="57"/>
      <c r="EM197" s="57"/>
      <c r="EN197" s="57"/>
      <c r="EO197" s="57"/>
      <c r="EP197" s="57"/>
      <c r="EQ197" s="57"/>
      <c r="ER197" s="57"/>
      <c r="ES197" s="57"/>
      <c r="ET197" s="57"/>
      <c r="EU197" s="57"/>
      <c r="EV197" s="57"/>
      <c r="EW197" s="57"/>
      <c r="EX197" s="57"/>
      <c r="EY197" s="57"/>
      <c r="EZ197" s="57"/>
    </row>
    <row r="198" spans="1:156" s="58" customFormat="1" ht="29.25" customHeight="1">
      <c r="A198" s="89"/>
      <c r="B198" s="89"/>
      <c r="C198" s="88" t="s">
        <v>197</v>
      </c>
      <c r="D198" s="88" t="s">
        <v>197</v>
      </c>
      <c r="E198" s="64"/>
      <c r="F198" s="84">
        <f t="shared" si="15"/>
        <v>0</v>
      </c>
      <c r="G198" s="84"/>
      <c r="H198" s="64"/>
      <c r="I198" s="84">
        <f t="shared" si="16"/>
        <v>0</v>
      </c>
      <c r="J198" s="7">
        <v>11500</v>
      </c>
      <c r="K198" s="7"/>
      <c r="L198" s="7">
        <f t="shared" si="19"/>
        <v>11500</v>
      </c>
      <c r="M198" s="115">
        <f t="shared" si="17"/>
        <v>11.5</v>
      </c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  <c r="BS198" s="57"/>
      <c r="BT198" s="57"/>
      <c r="BU198" s="57"/>
      <c r="BV198" s="57"/>
      <c r="BW198" s="57"/>
      <c r="BX198" s="57"/>
      <c r="BY198" s="57"/>
      <c r="BZ198" s="57"/>
      <c r="CA198" s="57"/>
      <c r="CB198" s="57"/>
      <c r="CC198" s="57"/>
      <c r="CD198" s="57"/>
      <c r="CE198" s="57"/>
      <c r="CF198" s="57"/>
      <c r="CG198" s="57"/>
      <c r="CH198" s="57"/>
      <c r="CI198" s="57"/>
      <c r="CJ198" s="57"/>
      <c r="CK198" s="57"/>
      <c r="CL198" s="57"/>
      <c r="CM198" s="57"/>
      <c r="CN198" s="57"/>
      <c r="CO198" s="57"/>
      <c r="CP198" s="57"/>
      <c r="CQ198" s="57"/>
      <c r="CR198" s="57"/>
      <c r="CS198" s="57"/>
      <c r="CT198" s="57"/>
      <c r="CU198" s="57"/>
      <c r="CV198" s="57"/>
      <c r="CW198" s="57"/>
      <c r="CX198" s="57"/>
      <c r="CY198" s="57"/>
      <c r="CZ198" s="57"/>
      <c r="DA198" s="57"/>
      <c r="DB198" s="57"/>
      <c r="DC198" s="57"/>
      <c r="DD198" s="57"/>
      <c r="DE198" s="57"/>
      <c r="DF198" s="57"/>
      <c r="DG198" s="57"/>
      <c r="DH198" s="57"/>
      <c r="DI198" s="57"/>
      <c r="DJ198" s="57"/>
      <c r="DK198" s="57"/>
      <c r="DL198" s="57"/>
      <c r="DM198" s="57"/>
      <c r="DN198" s="57"/>
      <c r="DO198" s="57"/>
      <c r="DP198" s="57"/>
      <c r="DQ198" s="57"/>
      <c r="DR198" s="57"/>
      <c r="DS198" s="57"/>
      <c r="DT198" s="57"/>
      <c r="DU198" s="57"/>
      <c r="DV198" s="57"/>
      <c r="DW198" s="57"/>
      <c r="DX198" s="57"/>
      <c r="DY198" s="57"/>
      <c r="DZ198" s="57"/>
      <c r="EA198" s="57"/>
      <c r="EB198" s="57"/>
      <c r="EC198" s="57"/>
      <c r="ED198" s="57"/>
      <c r="EE198" s="57"/>
      <c r="EF198" s="57"/>
      <c r="EG198" s="57"/>
      <c r="EH198" s="57"/>
      <c r="EI198" s="57"/>
      <c r="EJ198" s="57"/>
      <c r="EK198" s="57"/>
      <c r="EL198" s="57"/>
      <c r="EM198" s="57"/>
      <c r="EN198" s="57"/>
      <c r="EO198" s="57"/>
      <c r="EP198" s="57"/>
      <c r="EQ198" s="57"/>
      <c r="ER198" s="57"/>
      <c r="ES198" s="57"/>
      <c r="ET198" s="57"/>
      <c r="EU198" s="57"/>
      <c r="EV198" s="57"/>
      <c r="EW198" s="57"/>
      <c r="EX198" s="57"/>
      <c r="EY198" s="57"/>
      <c r="EZ198" s="57"/>
    </row>
    <row r="199" spans="1:156" s="58" customFormat="1" ht="40.5">
      <c r="A199" s="5">
        <v>150201</v>
      </c>
      <c r="B199" s="8" t="s">
        <v>79</v>
      </c>
      <c r="C199" s="63" t="s">
        <v>249</v>
      </c>
      <c r="D199" s="88" t="s">
        <v>187</v>
      </c>
      <c r="E199" s="64"/>
      <c r="F199" s="84">
        <f t="shared" si="15"/>
        <v>0</v>
      </c>
      <c r="G199" s="84"/>
      <c r="H199" s="64"/>
      <c r="I199" s="84">
        <f t="shared" si="16"/>
        <v>0</v>
      </c>
      <c r="J199" s="7">
        <v>200000</v>
      </c>
      <c r="K199" s="7"/>
      <c r="L199" s="7">
        <v>200000</v>
      </c>
      <c r="M199" s="115">
        <f t="shared" si="17"/>
        <v>200</v>
      </c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  <c r="BT199" s="57"/>
      <c r="BU199" s="57"/>
      <c r="BV199" s="57"/>
      <c r="BW199" s="57"/>
      <c r="BX199" s="57"/>
      <c r="BY199" s="57"/>
      <c r="BZ199" s="57"/>
      <c r="CA199" s="57"/>
      <c r="CB199" s="57"/>
      <c r="CC199" s="57"/>
      <c r="CD199" s="57"/>
      <c r="CE199" s="57"/>
      <c r="CF199" s="57"/>
      <c r="CG199" s="57"/>
      <c r="CH199" s="57"/>
      <c r="CI199" s="57"/>
      <c r="CJ199" s="57"/>
      <c r="CK199" s="57"/>
      <c r="CL199" s="57"/>
      <c r="CM199" s="57"/>
      <c r="CN199" s="57"/>
      <c r="CO199" s="57"/>
      <c r="CP199" s="57"/>
      <c r="CQ199" s="57"/>
      <c r="CR199" s="57"/>
      <c r="CS199" s="57"/>
      <c r="CT199" s="57"/>
      <c r="CU199" s="57"/>
      <c r="CV199" s="57"/>
      <c r="CW199" s="57"/>
      <c r="CX199" s="57"/>
      <c r="CY199" s="57"/>
      <c r="CZ199" s="57"/>
      <c r="DA199" s="57"/>
      <c r="DB199" s="57"/>
      <c r="DC199" s="57"/>
      <c r="DD199" s="57"/>
      <c r="DE199" s="57"/>
      <c r="DF199" s="57"/>
      <c r="DG199" s="57"/>
      <c r="DH199" s="57"/>
      <c r="DI199" s="57"/>
      <c r="DJ199" s="57"/>
      <c r="DK199" s="57"/>
      <c r="DL199" s="57"/>
      <c r="DM199" s="57"/>
      <c r="DN199" s="57"/>
      <c r="DO199" s="57"/>
      <c r="DP199" s="57"/>
      <c r="DQ199" s="57"/>
      <c r="DR199" s="57"/>
      <c r="DS199" s="57"/>
      <c r="DT199" s="57"/>
      <c r="DU199" s="57"/>
      <c r="DV199" s="57"/>
      <c r="DW199" s="57"/>
      <c r="DX199" s="57"/>
      <c r="DY199" s="57"/>
      <c r="DZ199" s="57"/>
      <c r="EA199" s="57"/>
      <c r="EB199" s="57"/>
      <c r="EC199" s="57"/>
      <c r="ED199" s="57"/>
      <c r="EE199" s="57"/>
      <c r="EF199" s="57"/>
      <c r="EG199" s="57"/>
      <c r="EH199" s="57"/>
      <c r="EI199" s="57"/>
      <c r="EJ199" s="57"/>
      <c r="EK199" s="57"/>
      <c r="EL199" s="57"/>
      <c r="EM199" s="57"/>
      <c r="EN199" s="57"/>
      <c r="EO199" s="57"/>
      <c r="EP199" s="57"/>
      <c r="EQ199" s="57"/>
      <c r="ER199" s="57"/>
      <c r="ES199" s="57"/>
      <c r="ET199" s="57"/>
      <c r="EU199" s="57"/>
      <c r="EV199" s="57"/>
      <c r="EW199" s="57"/>
      <c r="EX199" s="57"/>
      <c r="EY199" s="57"/>
      <c r="EZ199" s="57"/>
    </row>
    <row r="200" spans="1:156" s="58" customFormat="1" ht="20.25">
      <c r="A200" s="5"/>
      <c r="B200" s="8"/>
      <c r="C200" s="88" t="s">
        <v>187</v>
      </c>
      <c r="D200" s="88"/>
      <c r="E200" s="64"/>
      <c r="F200" s="84">
        <f t="shared" si="15"/>
        <v>0</v>
      </c>
      <c r="G200" s="84"/>
      <c r="H200" s="64"/>
      <c r="I200" s="84">
        <f t="shared" si="16"/>
        <v>0</v>
      </c>
      <c r="J200" s="7">
        <v>200000</v>
      </c>
      <c r="K200" s="7"/>
      <c r="L200" s="7">
        <v>200000</v>
      </c>
      <c r="M200" s="115">
        <f t="shared" si="17"/>
        <v>200</v>
      </c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7"/>
      <c r="BU200" s="57"/>
      <c r="BV200" s="57"/>
      <c r="BW200" s="57"/>
      <c r="BX200" s="57"/>
      <c r="BY200" s="57"/>
      <c r="BZ200" s="57"/>
      <c r="CA200" s="57"/>
      <c r="CB200" s="57"/>
      <c r="CC200" s="57"/>
      <c r="CD200" s="57"/>
      <c r="CE200" s="57"/>
      <c r="CF200" s="57"/>
      <c r="CG200" s="57"/>
      <c r="CH200" s="57"/>
      <c r="CI200" s="57"/>
      <c r="CJ200" s="57"/>
      <c r="CK200" s="57"/>
      <c r="CL200" s="57"/>
      <c r="CM200" s="57"/>
      <c r="CN200" s="57"/>
      <c r="CO200" s="57"/>
      <c r="CP200" s="57"/>
      <c r="CQ200" s="57"/>
      <c r="CR200" s="57"/>
      <c r="CS200" s="57"/>
      <c r="CT200" s="57"/>
      <c r="CU200" s="57"/>
      <c r="CV200" s="57"/>
      <c r="CW200" s="57"/>
      <c r="CX200" s="57"/>
      <c r="CY200" s="57"/>
      <c r="CZ200" s="57"/>
      <c r="DA200" s="57"/>
      <c r="DB200" s="57"/>
      <c r="DC200" s="57"/>
      <c r="DD200" s="57"/>
      <c r="DE200" s="57"/>
      <c r="DF200" s="57"/>
      <c r="DG200" s="57"/>
      <c r="DH200" s="57"/>
      <c r="DI200" s="57"/>
      <c r="DJ200" s="57"/>
      <c r="DK200" s="57"/>
      <c r="DL200" s="57"/>
      <c r="DM200" s="57"/>
      <c r="DN200" s="57"/>
      <c r="DO200" s="57"/>
      <c r="DP200" s="57"/>
      <c r="DQ200" s="57"/>
      <c r="DR200" s="57"/>
      <c r="DS200" s="57"/>
      <c r="DT200" s="57"/>
      <c r="DU200" s="57"/>
      <c r="DV200" s="57"/>
      <c r="DW200" s="57"/>
      <c r="DX200" s="57"/>
      <c r="DY200" s="57"/>
      <c r="DZ200" s="57"/>
      <c r="EA200" s="57"/>
      <c r="EB200" s="57"/>
      <c r="EC200" s="57"/>
      <c r="ED200" s="57"/>
      <c r="EE200" s="57"/>
      <c r="EF200" s="57"/>
      <c r="EG200" s="57"/>
      <c r="EH200" s="57"/>
      <c r="EI200" s="57"/>
      <c r="EJ200" s="57"/>
      <c r="EK200" s="57"/>
      <c r="EL200" s="57"/>
      <c r="EM200" s="57"/>
      <c r="EN200" s="57"/>
      <c r="EO200" s="57"/>
      <c r="EP200" s="57"/>
      <c r="EQ200" s="57"/>
      <c r="ER200" s="57"/>
      <c r="ES200" s="57"/>
      <c r="ET200" s="57"/>
      <c r="EU200" s="57"/>
      <c r="EV200" s="57"/>
      <c r="EW200" s="57"/>
      <c r="EX200" s="57"/>
      <c r="EY200" s="57"/>
      <c r="EZ200" s="57"/>
    </row>
    <row r="201" spans="1:156" s="58" customFormat="1" ht="40.5">
      <c r="A201" s="5">
        <v>180409</v>
      </c>
      <c r="B201" s="8" t="s">
        <v>81</v>
      </c>
      <c r="C201" s="71" t="s">
        <v>248</v>
      </c>
      <c r="D201" s="88" t="s">
        <v>149</v>
      </c>
      <c r="E201" s="64"/>
      <c r="F201" s="84">
        <f t="shared" si="15"/>
        <v>0</v>
      </c>
      <c r="G201" s="84"/>
      <c r="H201" s="64"/>
      <c r="I201" s="84">
        <f t="shared" si="16"/>
        <v>0</v>
      </c>
      <c r="J201" s="7">
        <v>12000000</v>
      </c>
      <c r="K201" s="7">
        <v>2900000</v>
      </c>
      <c r="L201" s="7">
        <f t="shared" si="19"/>
        <v>14900000</v>
      </c>
      <c r="M201" s="115">
        <f>ROUND(L201/1000,1)-2900</f>
        <v>12000</v>
      </c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  <c r="BS201" s="57"/>
      <c r="BT201" s="57"/>
      <c r="BU201" s="57"/>
      <c r="BV201" s="57"/>
      <c r="BW201" s="57"/>
      <c r="BX201" s="57"/>
      <c r="BY201" s="57"/>
      <c r="BZ201" s="57"/>
      <c r="CA201" s="57"/>
      <c r="CB201" s="57"/>
      <c r="CC201" s="57"/>
      <c r="CD201" s="57"/>
      <c r="CE201" s="57"/>
      <c r="CF201" s="57"/>
      <c r="CG201" s="57"/>
      <c r="CH201" s="57"/>
      <c r="CI201" s="57"/>
      <c r="CJ201" s="57"/>
      <c r="CK201" s="57"/>
      <c r="CL201" s="57"/>
      <c r="CM201" s="57"/>
      <c r="CN201" s="57"/>
      <c r="CO201" s="57"/>
      <c r="CP201" s="57"/>
      <c r="CQ201" s="57"/>
      <c r="CR201" s="57"/>
      <c r="CS201" s="57"/>
      <c r="CT201" s="57"/>
      <c r="CU201" s="57"/>
      <c r="CV201" s="57"/>
      <c r="CW201" s="57"/>
      <c r="CX201" s="57"/>
      <c r="CY201" s="57"/>
      <c r="CZ201" s="57"/>
      <c r="DA201" s="57"/>
      <c r="DB201" s="57"/>
      <c r="DC201" s="57"/>
      <c r="DD201" s="57"/>
      <c r="DE201" s="57"/>
      <c r="DF201" s="57"/>
      <c r="DG201" s="57"/>
      <c r="DH201" s="57"/>
      <c r="DI201" s="57"/>
      <c r="DJ201" s="57"/>
      <c r="DK201" s="57"/>
      <c r="DL201" s="57"/>
      <c r="DM201" s="57"/>
      <c r="DN201" s="57"/>
      <c r="DO201" s="57"/>
      <c r="DP201" s="57"/>
      <c r="DQ201" s="57"/>
      <c r="DR201" s="57"/>
      <c r="DS201" s="57"/>
      <c r="DT201" s="57"/>
      <c r="DU201" s="57"/>
      <c r="DV201" s="57"/>
      <c r="DW201" s="57"/>
      <c r="DX201" s="57"/>
      <c r="DY201" s="57"/>
      <c r="DZ201" s="57"/>
      <c r="EA201" s="57"/>
      <c r="EB201" s="57"/>
      <c r="EC201" s="57"/>
      <c r="ED201" s="57"/>
      <c r="EE201" s="57"/>
      <c r="EF201" s="57"/>
      <c r="EG201" s="57"/>
      <c r="EH201" s="57"/>
      <c r="EI201" s="57"/>
      <c r="EJ201" s="57"/>
      <c r="EK201" s="57"/>
      <c r="EL201" s="57"/>
      <c r="EM201" s="57"/>
      <c r="EN201" s="57"/>
      <c r="EO201" s="57"/>
      <c r="EP201" s="57"/>
      <c r="EQ201" s="57"/>
      <c r="ER201" s="57"/>
      <c r="ES201" s="57"/>
      <c r="ET201" s="57"/>
      <c r="EU201" s="57"/>
      <c r="EV201" s="57"/>
      <c r="EW201" s="57"/>
      <c r="EX201" s="57"/>
      <c r="EY201" s="57"/>
      <c r="EZ201" s="57"/>
    </row>
    <row r="202" spans="1:156" s="58" customFormat="1" ht="20.25">
      <c r="A202" s="5"/>
      <c r="B202" s="8"/>
      <c r="C202" s="92" t="s">
        <v>149</v>
      </c>
      <c r="D202" s="88"/>
      <c r="E202" s="64"/>
      <c r="F202" s="84">
        <f t="shared" si="15"/>
        <v>0</v>
      </c>
      <c r="G202" s="84"/>
      <c r="H202" s="64"/>
      <c r="I202" s="84">
        <f t="shared" si="16"/>
        <v>0</v>
      </c>
      <c r="J202" s="7">
        <v>12000000</v>
      </c>
      <c r="K202" s="7">
        <v>2900000</v>
      </c>
      <c r="L202" s="7">
        <f t="shared" si="19"/>
        <v>14900000</v>
      </c>
      <c r="M202" s="115">
        <f>ROUND(L202/1000,1)-2900</f>
        <v>12000</v>
      </c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  <c r="BS202" s="57"/>
      <c r="BT202" s="57"/>
      <c r="BU202" s="57"/>
      <c r="BV202" s="57"/>
      <c r="BW202" s="57"/>
      <c r="BX202" s="57"/>
      <c r="BY202" s="57"/>
      <c r="BZ202" s="57"/>
      <c r="CA202" s="57"/>
      <c r="CB202" s="57"/>
      <c r="CC202" s="57"/>
      <c r="CD202" s="57"/>
      <c r="CE202" s="57"/>
      <c r="CF202" s="57"/>
      <c r="CG202" s="57"/>
      <c r="CH202" s="57"/>
      <c r="CI202" s="57"/>
      <c r="CJ202" s="57"/>
      <c r="CK202" s="57"/>
      <c r="CL202" s="57"/>
      <c r="CM202" s="57"/>
      <c r="CN202" s="57"/>
      <c r="CO202" s="57"/>
      <c r="CP202" s="57"/>
      <c r="CQ202" s="57"/>
      <c r="CR202" s="57"/>
      <c r="CS202" s="57"/>
      <c r="CT202" s="57"/>
      <c r="CU202" s="57"/>
      <c r="CV202" s="57"/>
      <c r="CW202" s="57"/>
      <c r="CX202" s="57"/>
      <c r="CY202" s="57"/>
      <c r="CZ202" s="57"/>
      <c r="DA202" s="57"/>
      <c r="DB202" s="57"/>
      <c r="DC202" s="57"/>
      <c r="DD202" s="57"/>
      <c r="DE202" s="57"/>
      <c r="DF202" s="57"/>
      <c r="DG202" s="57"/>
      <c r="DH202" s="57"/>
      <c r="DI202" s="57"/>
      <c r="DJ202" s="57"/>
      <c r="DK202" s="57"/>
      <c r="DL202" s="57"/>
      <c r="DM202" s="57"/>
      <c r="DN202" s="57"/>
      <c r="DO202" s="57"/>
      <c r="DP202" s="57"/>
      <c r="DQ202" s="57"/>
      <c r="DR202" s="57"/>
      <c r="DS202" s="57"/>
      <c r="DT202" s="57"/>
      <c r="DU202" s="57"/>
      <c r="DV202" s="57"/>
      <c r="DW202" s="57"/>
      <c r="DX202" s="57"/>
      <c r="DY202" s="57"/>
      <c r="DZ202" s="57"/>
      <c r="EA202" s="57"/>
      <c r="EB202" s="57"/>
      <c r="EC202" s="57"/>
      <c r="ED202" s="57"/>
      <c r="EE202" s="57"/>
      <c r="EF202" s="57"/>
      <c r="EG202" s="57"/>
      <c r="EH202" s="57"/>
      <c r="EI202" s="57"/>
      <c r="EJ202" s="57"/>
      <c r="EK202" s="57"/>
      <c r="EL202" s="57"/>
      <c r="EM202" s="57"/>
      <c r="EN202" s="57"/>
      <c r="EO202" s="57"/>
      <c r="EP202" s="57"/>
      <c r="EQ202" s="57"/>
      <c r="ER202" s="57"/>
      <c r="ES202" s="57"/>
      <c r="ET202" s="57"/>
      <c r="EU202" s="57"/>
      <c r="EV202" s="57"/>
      <c r="EW202" s="57"/>
      <c r="EX202" s="57"/>
      <c r="EY202" s="57"/>
      <c r="EZ202" s="57"/>
    </row>
    <row r="203" spans="1:157" s="79" customFormat="1" ht="20.25">
      <c r="A203" s="61"/>
      <c r="B203" s="61"/>
      <c r="C203" s="93" t="s">
        <v>228</v>
      </c>
      <c r="D203" s="86"/>
      <c r="E203" s="29"/>
      <c r="F203" s="84">
        <f t="shared" si="15"/>
        <v>0</v>
      </c>
      <c r="G203" s="91"/>
      <c r="H203" s="29"/>
      <c r="I203" s="84">
        <f t="shared" si="16"/>
        <v>0</v>
      </c>
      <c r="J203" s="6">
        <f>J204+J205</f>
        <v>37000</v>
      </c>
      <c r="K203" s="6">
        <f>K204+K205</f>
        <v>0</v>
      </c>
      <c r="L203" s="6">
        <f>L204+L205</f>
        <v>37000</v>
      </c>
      <c r="M203" s="114">
        <f>M204+M205</f>
        <v>37</v>
      </c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  <c r="EQ203" s="65"/>
      <c r="ER203" s="65"/>
      <c r="ES203" s="65"/>
      <c r="ET203" s="65"/>
      <c r="EU203" s="65"/>
      <c r="EV203" s="65"/>
      <c r="EW203" s="65"/>
      <c r="EX203" s="65"/>
      <c r="EY203" s="65"/>
      <c r="EZ203" s="65"/>
      <c r="FA203" s="78"/>
    </row>
    <row r="204" spans="1:157" s="79" customFormat="1" ht="20.25">
      <c r="A204" s="8" t="s">
        <v>9</v>
      </c>
      <c r="B204" s="8" t="s">
        <v>78</v>
      </c>
      <c r="C204" s="63" t="s">
        <v>10</v>
      </c>
      <c r="D204" s="67" t="s">
        <v>11</v>
      </c>
      <c r="E204" s="64"/>
      <c r="F204" s="84">
        <f t="shared" si="15"/>
        <v>0</v>
      </c>
      <c r="G204" s="84"/>
      <c r="H204" s="64"/>
      <c r="I204" s="84">
        <f t="shared" si="16"/>
        <v>0</v>
      </c>
      <c r="J204" s="7">
        <f>250000-220000</f>
        <v>30000</v>
      </c>
      <c r="K204" s="9"/>
      <c r="L204" s="7">
        <f>K204+J204</f>
        <v>30000</v>
      </c>
      <c r="M204" s="115">
        <f t="shared" si="17"/>
        <v>30</v>
      </c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  <c r="EQ204" s="65"/>
      <c r="ER204" s="65"/>
      <c r="ES204" s="65"/>
      <c r="ET204" s="65"/>
      <c r="EU204" s="65"/>
      <c r="EV204" s="65"/>
      <c r="EW204" s="65"/>
      <c r="EX204" s="65"/>
      <c r="EY204" s="65"/>
      <c r="EZ204" s="65"/>
      <c r="FA204" s="78"/>
    </row>
    <row r="205" spans="1:13" s="65" customFormat="1" ht="20.25">
      <c r="A205" s="8" t="s">
        <v>21</v>
      </c>
      <c r="B205" s="8" t="s">
        <v>98</v>
      </c>
      <c r="C205" s="63" t="s">
        <v>37</v>
      </c>
      <c r="D205" s="67" t="s">
        <v>11</v>
      </c>
      <c r="E205" s="64"/>
      <c r="F205" s="84">
        <f t="shared" si="15"/>
        <v>0</v>
      </c>
      <c r="G205" s="84"/>
      <c r="H205" s="64"/>
      <c r="I205" s="84">
        <f t="shared" si="16"/>
        <v>0</v>
      </c>
      <c r="J205" s="7">
        <f>148000-141000</f>
        <v>7000</v>
      </c>
      <c r="K205" s="9"/>
      <c r="L205" s="7">
        <f>K205+J205</f>
        <v>7000</v>
      </c>
      <c r="M205" s="115">
        <f t="shared" si="17"/>
        <v>7</v>
      </c>
    </row>
    <row r="206" spans="1:157" s="79" customFormat="1" ht="20.25">
      <c r="A206" s="61"/>
      <c r="B206" s="61"/>
      <c r="C206" s="93" t="s">
        <v>229</v>
      </c>
      <c r="D206" s="86"/>
      <c r="E206" s="29"/>
      <c r="F206" s="84">
        <f t="shared" si="15"/>
        <v>0</v>
      </c>
      <c r="G206" s="91"/>
      <c r="H206" s="29"/>
      <c r="I206" s="84">
        <f t="shared" si="16"/>
        <v>0</v>
      </c>
      <c r="J206" s="6">
        <f>J209+J207</f>
        <v>138500</v>
      </c>
      <c r="K206" s="6">
        <f>K209+K207</f>
        <v>0</v>
      </c>
      <c r="L206" s="6">
        <f>L209+L207</f>
        <v>138500</v>
      </c>
      <c r="M206" s="114">
        <f>M209+M207</f>
        <v>138.5</v>
      </c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  <c r="EQ206" s="65"/>
      <c r="ER206" s="65"/>
      <c r="ES206" s="65"/>
      <c r="ET206" s="65"/>
      <c r="EU206" s="65"/>
      <c r="EV206" s="65"/>
      <c r="EW206" s="65"/>
      <c r="EX206" s="65"/>
      <c r="EY206" s="65"/>
      <c r="EZ206" s="65"/>
      <c r="FA206" s="78"/>
    </row>
    <row r="207" spans="1:13" s="65" customFormat="1" ht="40.5">
      <c r="A207" s="8" t="s">
        <v>182</v>
      </c>
      <c r="B207" s="8" t="s">
        <v>81</v>
      </c>
      <c r="C207" s="71" t="s">
        <v>248</v>
      </c>
      <c r="D207" s="63" t="s">
        <v>186</v>
      </c>
      <c r="E207" s="64"/>
      <c r="F207" s="84">
        <f t="shared" si="15"/>
        <v>0</v>
      </c>
      <c r="G207" s="84"/>
      <c r="H207" s="64"/>
      <c r="I207" s="84">
        <f t="shared" si="16"/>
        <v>0</v>
      </c>
      <c r="J207" s="7">
        <v>39000</v>
      </c>
      <c r="K207" s="7"/>
      <c r="L207" s="7">
        <f>K207+J207</f>
        <v>39000</v>
      </c>
      <c r="M207" s="115">
        <f t="shared" si="17"/>
        <v>39</v>
      </c>
    </row>
    <row r="208" spans="1:13" s="65" customFormat="1" ht="20.25">
      <c r="A208" s="8"/>
      <c r="B208" s="8"/>
      <c r="C208" s="71" t="s">
        <v>186</v>
      </c>
      <c r="D208" s="63"/>
      <c r="E208" s="64"/>
      <c r="F208" s="84"/>
      <c r="G208" s="84"/>
      <c r="H208" s="64"/>
      <c r="I208" s="84"/>
      <c r="J208" s="7">
        <v>39000</v>
      </c>
      <c r="K208" s="7"/>
      <c r="L208" s="7">
        <f>K208+J208</f>
        <v>39000</v>
      </c>
      <c r="M208" s="115">
        <f t="shared" si="17"/>
        <v>39</v>
      </c>
    </row>
    <row r="209" spans="1:13" s="65" customFormat="1" ht="20.25">
      <c r="A209" s="8" t="s">
        <v>180</v>
      </c>
      <c r="B209" s="8" t="s">
        <v>99</v>
      </c>
      <c r="C209" s="67" t="s">
        <v>20</v>
      </c>
      <c r="D209" s="67" t="s">
        <v>11</v>
      </c>
      <c r="E209" s="64"/>
      <c r="F209" s="84">
        <f t="shared" si="15"/>
        <v>0</v>
      </c>
      <c r="G209" s="84"/>
      <c r="H209" s="64"/>
      <c r="I209" s="84">
        <f t="shared" si="16"/>
        <v>0</v>
      </c>
      <c r="J209" s="7">
        <v>99500</v>
      </c>
      <c r="K209" s="7"/>
      <c r="L209" s="7">
        <f>K209+J209</f>
        <v>99500</v>
      </c>
      <c r="M209" s="115">
        <f t="shared" si="17"/>
        <v>99.5</v>
      </c>
    </row>
    <row r="210" spans="1:13" s="94" customFormat="1" ht="20.25">
      <c r="A210" s="61"/>
      <c r="B210" s="61"/>
      <c r="C210" s="62" t="s">
        <v>230</v>
      </c>
      <c r="D210" s="86"/>
      <c r="E210" s="29"/>
      <c r="F210" s="84">
        <f t="shared" si="15"/>
        <v>0</v>
      </c>
      <c r="G210" s="91"/>
      <c r="H210" s="29"/>
      <c r="I210" s="84">
        <f t="shared" si="16"/>
        <v>0</v>
      </c>
      <c r="J210" s="6">
        <f>J211</f>
        <v>30000</v>
      </c>
      <c r="K210" s="6">
        <f>K211</f>
        <v>0</v>
      </c>
      <c r="L210" s="6">
        <f>L211</f>
        <v>30000</v>
      </c>
      <c r="M210" s="114">
        <f>M211</f>
        <v>30</v>
      </c>
    </row>
    <row r="211" spans="1:13" s="65" customFormat="1" ht="20.25">
      <c r="A211" s="8" t="s">
        <v>9</v>
      </c>
      <c r="B211" s="8" t="s">
        <v>78</v>
      </c>
      <c r="C211" s="63" t="s">
        <v>10</v>
      </c>
      <c r="D211" s="67" t="s">
        <v>11</v>
      </c>
      <c r="E211" s="64"/>
      <c r="F211" s="84">
        <f t="shared" si="15"/>
        <v>0</v>
      </c>
      <c r="G211" s="84"/>
      <c r="H211" s="64"/>
      <c r="I211" s="84">
        <f t="shared" si="16"/>
        <v>0</v>
      </c>
      <c r="J211" s="7">
        <v>30000</v>
      </c>
      <c r="K211" s="7"/>
      <c r="L211" s="7">
        <f>K211+J211</f>
        <v>30000</v>
      </c>
      <c r="M211" s="115">
        <f t="shared" si="17"/>
        <v>30</v>
      </c>
    </row>
    <row r="212" spans="1:156" s="58" customFormat="1" ht="20.25">
      <c r="A212" s="95"/>
      <c r="B212" s="95"/>
      <c r="C212" s="93" t="s">
        <v>231</v>
      </c>
      <c r="D212" s="67"/>
      <c r="E212" s="96"/>
      <c r="F212" s="84">
        <f t="shared" si="15"/>
        <v>0</v>
      </c>
      <c r="G212" s="97"/>
      <c r="H212" s="96"/>
      <c r="I212" s="84">
        <f t="shared" si="16"/>
        <v>0</v>
      </c>
      <c r="J212" s="6">
        <f>J213</f>
        <v>57070</v>
      </c>
      <c r="K212" s="6">
        <f>K213</f>
        <v>0</v>
      </c>
      <c r="L212" s="6">
        <f>L213</f>
        <v>57070</v>
      </c>
      <c r="M212" s="114">
        <f>M213</f>
        <v>57.1</v>
      </c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  <c r="BS212" s="57"/>
      <c r="BT212" s="57"/>
      <c r="BU212" s="57"/>
      <c r="BV212" s="57"/>
      <c r="BW212" s="57"/>
      <c r="BX212" s="57"/>
      <c r="BY212" s="57"/>
      <c r="BZ212" s="57"/>
      <c r="CA212" s="57"/>
      <c r="CB212" s="57"/>
      <c r="CC212" s="57"/>
      <c r="CD212" s="57"/>
      <c r="CE212" s="57"/>
      <c r="CF212" s="57"/>
      <c r="CG212" s="57"/>
      <c r="CH212" s="57"/>
      <c r="CI212" s="57"/>
      <c r="CJ212" s="57"/>
      <c r="CK212" s="57"/>
      <c r="CL212" s="57"/>
      <c r="CM212" s="57"/>
      <c r="CN212" s="57"/>
      <c r="CO212" s="57"/>
      <c r="CP212" s="57"/>
      <c r="CQ212" s="57"/>
      <c r="CR212" s="57"/>
      <c r="CS212" s="57"/>
      <c r="CT212" s="57"/>
      <c r="CU212" s="57"/>
      <c r="CV212" s="57"/>
      <c r="CW212" s="57"/>
      <c r="CX212" s="57"/>
      <c r="CY212" s="57"/>
      <c r="CZ212" s="57"/>
      <c r="DA212" s="57"/>
      <c r="DB212" s="57"/>
      <c r="DC212" s="57"/>
      <c r="DD212" s="57"/>
      <c r="DE212" s="57"/>
      <c r="DF212" s="57"/>
      <c r="DG212" s="57"/>
      <c r="DH212" s="57"/>
      <c r="DI212" s="57"/>
      <c r="DJ212" s="57"/>
      <c r="DK212" s="57"/>
      <c r="DL212" s="57"/>
      <c r="DM212" s="57"/>
      <c r="DN212" s="57"/>
      <c r="DO212" s="57"/>
      <c r="DP212" s="57"/>
      <c r="DQ212" s="57"/>
      <c r="DR212" s="57"/>
      <c r="DS212" s="57"/>
      <c r="DT212" s="57"/>
      <c r="DU212" s="57"/>
      <c r="DV212" s="57"/>
      <c r="DW212" s="57"/>
      <c r="DX212" s="57"/>
      <c r="DY212" s="57"/>
      <c r="DZ212" s="57"/>
      <c r="EA212" s="57"/>
      <c r="EB212" s="57"/>
      <c r="EC212" s="57"/>
      <c r="ED212" s="57"/>
      <c r="EE212" s="57"/>
      <c r="EF212" s="57"/>
      <c r="EG212" s="57"/>
      <c r="EH212" s="57"/>
      <c r="EI212" s="57"/>
      <c r="EJ212" s="57"/>
      <c r="EK212" s="57"/>
      <c r="EL212" s="57"/>
      <c r="EM212" s="57"/>
      <c r="EN212" s="57"/>
      <c r="EO212" s="57"/>
      <c r="EP212" s="57"/>
      <c r="EQ212" s="57"/>
      <c r="ER212" s="57"/>
      <c r="ES212" s="57"/>
      <c r="ET212" s="57"/>
      <c r="EU212" s="57"/>
      <c r="EV212" s="57"/>
      <c r="EW212" s="57"/>
      <c r="EX212" s="57"/>
      <c r="EY212" s="57"/>
      <c r="EZ212" s="57"/>
    </row>
    <row r="213" spans="1:156" s="58" customFormat="1" ht="20.25">
      <c r="A213" s="8" t="s">
        <v>9</v>
      </c>
      <c r="B213" s="8" t="s">
        <v>78</v>
      </c>
      <c r="C213" s="67" t="s">
        <v>10</v>
      </c>
      <c r="D213" s="67" t="s">
        <v>19</v>
      </c>
      <c r="E213" s="96"/>
      <c r="F213" s="84">
        <f t="shared" si="15"/>
        <v>0</v>
      </c>
      <c r="G213" s="97"/>
      <c r="H213" s="96"/>
      <c r="I213" s="84">
        <f t="shared" si="16"/>
        <v>0</v>
      </c>
      <c r="J213" s="7">
        <f>52400+4670</f>
        <v>57070</v>
      </c>
      <c r="K213" s="7"/>
      <c r="L213" s="7">
        <f>K213+J213</f>
        <v>57070</v>
      </c>
      <c r="M213" s="115">
        <f t="shared" si="17"/>
        <v>57.1</v>
      </c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  <c r="BS213" s="57"/>
      <c r="BT213" s="57"/>
      <c r="BU213" s="57"/>
      <c r="BV213" s="57"/>
      <c r="BW213" s="57"/>
      <c r="BX213" s="57"/>
      <c r="BY213" s="57"/>
      <c r="BZ213" s="57"/>
      <c r="CA213" s="57"/>
      <c r="CB213" s="57"/>
      <c r="CC213" s="57"/>
      <c r="CD213" s="57"/>
      <c r="CE213" s="57"/>
      <c r="CF213" s="57"/>
      <c r="CG213" s="57"/>
      <c r="CH213" s="57"/>
      <c r="CI213" s="57"/>
      <c r="CJ213" s="57"/>
      <c r="CK213" s="57"/>
      <c r="CL213" s="57"/>
      <c r="CM213" s="57"/>
      <c r="CN213" s="57"/>
      <c r="CO213" s="57"/>
      <c r="CP213" s="57"/>
      <c r="CQ213" s="57"/>
      <c r="CR213" s="57"/>
      <c r="CS213" s="57"/>
      <c r="CT213" s="57"/>
      <c r="CU213" s="57"/>
      <c r="CV213" s="57"/>
      <c r="CW213" s="57"/>
      <c r="CX213" s="57"/>
      <c r="CY213" s="57"/>
      <c r="CZ213" s="57"/>
      <c r="DA213" s="57"/>
      <c r="DB213" s="57"/>
      <c r="DC213" s="57"/>
      <c r="DD213" s="57"/>
      <c r="DE213" s="57"/>
      <c r="DF213" s="57"/>
      <c r="DG213" s="57"/>
      <c r="DH213" s="57"/>
      <c r="DI213" s="57"/>
      <c r="DJ213" s="57"/>
      <c r="DK213" s="57"/>
      <c r="DL213" s="57"/>
      <c r="DM213" s="57"/>
      <c r="DN213" s="57"/>
      <c r="DO213" s="57"/>
      <c r="DP213" s="57"/>
      <c r="DQ213" s="57"/>
      <c r="DR213" s="57"/>
      <c r="DS213" s="57"/>
      <c r="DT213" s="57"/>
      <c r="DU213" s="57"/>
      <c r="DV213" s="57"/>
      <c r="DW213" s="57"/>
      <c r="DX213" s="57"/>
      <c r="DY213" s="57"/>
      <c r="DZ213" s="57"/>
      <c r="EA213" s="57"/>
      <c r="EB213" s="57"/>
      <c r="EC213" s="57"/>
      <c r="ED213" s="57"/>
      <c r="EE213" s="57"/>
      <c r="EF213" s="57"/>
      <c r="EG213" s="57"/>
      <c r="EH213" s="57"/>
      <c r="EI213" s="57"/>
      <c r="EJ213" s="57"/>
      <c r="EK213" s="57"/>
      <c r="EL213" s="57"/>
      <c r="EM213" s="57"/>
      <c r="EN213" s="57"/>
      <c r="EO213" s="57"/>
      <c r="EP213" s="57"/>
      <c r="EQ213" s="57"/>
      <c r="ER213" s="57"/>
      <c r="ES213" s="57"/>
      <c r="ET213" s="57"/>
      <c r="EU213" s="57"/>
      <c r="EV213" s="57"/>
      <c r="EW213" s="57"/>
      <c r="EX213" s="57"/>
      <c r="EY213" s="57"/>
      <c r="EZ213" s="57"/>
    </row>
    <row r="214" spans="1:156" s="58" customFormat="1" ht="40.5">
      <c r="A214" s="95"/>
      <c r="B214" s="95"/>
      <c r="C214" s="93" t="s">
        <v>232</v>
      </c>
      <c r="D214" s="67"/>
      <c r="E214" s="96"/>
      <c r="F214" s="64">
        <f t="shared" si="15"/>
        <v>0</v>
      </c>
      <c r="G214" s="97"/>
      <c r="H214" s="96"/>
      <c r="I214" s="84">
        <f t="shared" si="16"/>
        <v>0</v>
      </c>
      <c r="J214" s="6">
        <f>J215</f>
        <v>700000</v>
      </c>
      <c r="K214" s="6">
        <f>K215</f>
        <v>0</v>
      </c>
      <c r="L214" s="6">
        <f>L215</f>
        <v>700000</v>
      </c>
      <c r="M214" s="114">
        <f>M215</f>
        <v>700</v>
      </c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 s="57"/>
      <c r="BV214" s="57"/>
      <c r="BW214" s="57"/>
      <c r="BX214" s="57"/>
      <c r="BY214" s="57"/>
      <c r="BZ214" s="57"/>
      <c r="CA214" s="57"/>
      <c r="CB214" s="57"/>
      <c r="CC214" s="57"/>
      <c r="CD214" s="57"/>
      <c r="CE214" s="57"/>
      <c r="CF214" s="57"/>
      <c r="CG214" s="57"/>
      <c r="CH214" s="57"/>
      <c r="CI214" s="57"/>
      <c r="CJ214" s="57"/>
      <c r="CK214" s="57"/>
      <c r="CL214" s="57"/>
      <c r="CM214" s="57"/>
      <c r="CN214" s="57"/>
      <c r="CO214" s="57"/>
      <c r="CP214" s="57"/>
      <c r="CQ214" s="57"/>
      <c r="CR214" s="57"/>
      <c r="CS214" s="57"/>
      <c r="CT214" s="57"/>
      <c r="CU214" s="57"/>
      <c r="CV214" s="57"/>
      <c r="CW214" s="57"/>
      <c r="CX214" s="57"/>
      <c r="CY214" s="57"/>
      <c r="CZ214" s="57"/>
      <c r="DA214" s="57"/>
      <c r="DB214" s="57"/>
      <c r="DC214" s="57"/>
      <c r="DD214" s="57"/>
      <c r="DE214" s="57"/>
      <c r="DF214" s="57"/>
      <c r="DG214" s="57"/>
      <c r="DH214" s="57"/>
      <c r="DI214" s="57"/>
      <c r="DJ214" s="57"/>
      <c r="DK214" s="57"/>
      <c r="DL214" s="57"/>
      <c r="DM214" s="57"/>
      <c r="DN214" s="57"/>
      <c r="DO214" s="57"/>
      <c r="DP214" s="57"/>
      <c r="DQ214" s="57"/>
      <c r="DR214" s="57"/>
      <c r="DS214" s="57"/>
      <c r="DT214" s="57"/>
      <c r="DU214" s="57"/>
      <c r="DV214" s="57"/>
      <c r="DW214" s="57"/>
      <c r="DX214" s="57"/>
      <c r="DY214" s="57"/>
      <c r="DZ214" s="57"/>
      <c r="EA214" s="57"/>
      <c r="EB214" s="57"/>
      <c r="EC214" s="57"/>
      <c r="ED214" s="57"/>
      <c r="EE214" s="57"/>
      <c r="EF214" s="57"/>
      <c r="EG214" s="57"/>
      <c r="EH214" s="57"/>
      <c r="EI214" s="57"/>
      <c r="EJ214" s="57"/>
      <c r="EK214" s="57"/>
      <c r="EL214" s="57"/>
      <c r="EM214" s="57"/>
      <c r="EN214" s="57"/>
      <c r="EO214" s="57"/>
      <c r="EP214" s="57"/>
      <c r="EQ214" s="57"/>
      <c r="ER214" s="57"/>
      <c r="ES214" s="57"/>
      <c r="ET214" s="57"/>
      <c r="EU214" s="57"/>
      <c r="EV214" s="57"/>
      <c r="EW214" s="57"/>
      <c r="EX214" s="57"/>
      <c r="EY214" s="57"/>
      <c r="EZ214" s="57"/>
    </row>
    <row r="215" spans="1:156" s="58" customFormat="1" ht="20.25">
      <c r="A215" s="60">
        <v>250380</v>
      </c>
      <c r="B215" s="8" t="s">
        <v>99</v>
      </c>
      <c r="C215" s="67" t="s">
        <v>20</v>
      </c>
      <c r="D215" s="67" t="s">
        <v>11</v>
      </c>
      <c r="E215" s="96"/>
      <c r="F215" s="64">
        <f t="shared" si="15"/>
        <v>0</v>
      </c>
      <c r="G215" s="96"/>
      <c r="H215" s="96"/>
      <c r="I215" s="64">
        <f t="shared" si="16"/>
        <v>0</v>
      </c>
      <c r="J215" s="7">
        <v>700000</v>
      </c>
      <c r="K215" s="7"/>
      <c r="L215" s="7">
        <f>K215+J215</f>
        <v>700000</v>
      </c>
      <c r="M215" s="115">
        <f t="shared" si="17"/>
        <v>700</v>
      </c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57"/>
      <c r="CA215" s="57"/>
      <c r="CB215" s="57"/>
      <c r="CC215" s="57"/>
      <c r="CD215" s="57"/>
      <c r="CE215" s="57"/>
      <c r="CF215" s="57"/>
      <c r="CG215" s="57"/>
      <c r="CH215" s="57"/>
      <c r="CI215" s="57"/>
      <c r="CJ215" s="57"/>
      <c r="CK215" s="57"/>
      <c r="CL215" s="57"/>
      <c r="CM215" s="57"/>
      <c r="CN215" s="57"/>
      <c r="CO215" s="57"/>
      <c r="CP215" s="57"/>
      <c r="CQ215" s="57"/>
      <c r="CR215" s="57"/>
      <c r="CS215" s="57"/>
      <c r="CT215" s="57"/>
      <c r="CU215" s="57"/>
      <c r="CV215" s="57"/>
      <c r="CW215" s="57"/>
      <c r="CX215" s="57"/>
      <c r="CY215" s="57"/>
      <c r="CZ215" s="57"/>
      <c r="DA215" s="57"/>
      <c r="DB215" s="57"/>
      <c r="DC215" s="57"/>
      <c r="DD215" s="57"/>
      <c r="DE215" s="57"/>
      <c r="DF215" s="57"/>
      <c r="DG215" s="57"/>
      <c r="DH215" s="57"/>
      <c r="DI215" s="57"/>
      <c r="DJ215" s="57"/>
      <c r="DK215" s="57"/>
      <c r="DL215" s="57"/>
      <c r="DM215" s="57"/>
      <c r="DN215" s="57"/>
      <c r="DO215" s="57"/>
      <c r="DP215" s="57"/>
      <c r="DQ215" s="57"/>
      <c r="DR215" s="57"/>
      <c r="DS215" s="57"/>
      <c r="DT215" s="57"/>
      <c r="DU215" s="57"/>
      <c r="DV215" s="57"/>
      <c r="DW215" s="57"/>
      <c r="DX215" s="57"/>
      <c r="DY215" s="57"/>
      <c r="DZ215" s="57"/>
      <c r="EA215" s="57"/>
      <c r="EB215" s="57"/>
      <c r="EC215" s="57"/>
      <c r="ED215" s="57"/>
      <c r="EE215" s="57"/>
      <c r="EF215" s="57"/>
      <c r="EG215" s="57"/>
      <c r="EH215" s="57"/>
      <c r="EI215" s="57"/>
      <c r="EJ215" s="57"/>
      <c r="EK215" s="57"/>
      <c r="EL215" s="57"/>
      <c r="EM215" s="57"/>
      <c r="EN215" s="57"/>
      <c r="EO215" s="57"/>
      <c r="EP215" s="57"/>
      <c r="EQ215" s="57"/>
      <c r="ER215" s="57"/>
      <c r="ES215" s="57"/>
      <c r="ET215" s="57"/>
      <c r="EU215" s="57"/>
      <c r="EV215" s="57"/>
      <c r="EW215" s="57"/>
      <c r="EX215" s="57"/>
      <c r="EY215" s="57"/>
      <c r="EZ215" s="57"/>
    </row>
    <row r="216" spans="1:156" s="56" customFormat="1" ht="20.25">
      <c r="A216" s="98"/>
      <c r="B216" s="98"/>
      <c r="C216" s="98" t="s">
        <v>244</v>
      </c>
      <c r="D216" s="98"/>
      <c r="E216" s="99"/>
      <c r="F216" s="64">
        <f t="shared" si="15"/>
        <v>0</v>
      </c>
      <c r="G216" s="99"/>
      <c r="H216" s="99"/>
      <c r="I216" s="64">
        <f t="shared" si="16"/>
        <v>0</v>
      </c>
      <c r="J216" s="6">
        <f>J214+J212+J210+J206+J80+J75+J53+J48+J44+J36+J27+J14+J78+J203</f>
        <v>436352777.72999996</v>
      </c>
      <c r="K216" s="6">
        <f>K214+K212+K210+K206+K80+K75+K53+K48+K44+K36+K27+K14+K78+K203</f>
        <v>18913907</v>
      </c>
      <c r="L216" s="6">
        <f>L214+L212+L210+L206+L80+L75+L53+L48+L44+L36+L27+L14+L78+L203</f>
        <v>455266684.72999996</v>
      </c>
      <c r="M216" s="114">
        <f>M214+M212+M210+M206+M80+M75+M53+M48+M44+M36+M27+M14+M78+M203</f>
        <v>460060.50000000006</v>
      </c>
      <c r="N216" s="100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</row>
    <row r="217" spans="3:13" s="16" customFormat="1" ht="20.25">
      <c r="C217" s="98" t="s">
        <v>245</v>
      </c>
      <c r="D217" s="101"/>
      <c r="E217" s="99"/>
      <c r="F217" s="99"/>
      <c r="G217" s="119"/>
      <c r="H217" s="119"/>
      <c r="I217" s="99"/>
      <c r="J217" s="6"/>
      <c r="K217" s="9"/>
      <c r="L217" s="98"/>
      <c r="M217" s="113">
        <v>8721</v>
      </c>
    </row>
    <row r="218" spans="4:11" s="21" customFormat="1" ht="18.75">
      <c r="D218" s="102"/>
      <c r="E218" s="19"/>
      <c r="F218" s="19"/>
      <c r="G218" s="120"/>
      <c r="H218" s="120"/>
      <c r="I218" s="19"/>
      <c r="J218" s="20"/>
      <c r="K218" s="2"/>
    </row>
    <row r="219" spans="4:11" s="21" customFormat="1" ht="18.75">
      <c r="D219" s="102"/>
      <c r="E219" s="19"/>
      <c r="F219" s="19"/>
      <c r="G219" s="120"/>
      <c r="H219" s="120"/>
      <c r="I219" s="19"/>
      <c r="J219" s="20"/>
      <c r="K219" s="2"/>
    </row>
    <row r="220" spans="4:13" s="21" customFormat="1" ht="20.25">
      <c r="D220" s="102"/>
      <c r="E220" s="19"/>
      <c r="F220" s="19"/>
      <c r="G220" s="120"/>
      <c r="H220" s="120"/>
      <c r="I220" s="22"/>
      <c r="J220" s="23"/>
      <c r="K220" s="15"/>
      <c r="L220" s="16"/>
      <c r="M220" s="16"/>
    </row>
    <row r="221" spans="1:156" s="17" customFormat="1" ht="18" customHeight="1">
      <c r="A221" s="117"/>
      <c r="B221" s="117"/>
      <c r="C221" s="103"/>
      <c r="D221" s="103"/>
      <c r="F221" s="104"/>
      <c r="H221" s="117"/>
      <c r="I221" s="117"/>
      <c r="J221" s="117"/>
      <c r="K221" s="117"/>
      <c r="L221" s="117"/>
      <c r="M221" s="16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  <c r="BD221" s="103"/>
      <c r="BE221" s="103"/>
      <c r="BF221" s="103"/>
      <c r="BG221" s="103"/>
      <c r="BH221" s="103"/>
      <c r="BI221" s="103"/>
      <c r="BJ221" s="103"/>
      <c r="BK221" s="103"/>
      <c r="BL221" s="103"/>
      <c r="BM221" s="103"/>
      <c r="BN221" s="103"/>
      <c r="BO221" s="103"/>
      <c r="BP221" s="103"/>
      <c r="BQ221" s="103"/>
      <c r="BR221" s="103"/>
      <c r="BS221" s="103"/>
      <c r="BT221" s="103"/>
      <c r="BU221" s="103"/>
      <c r="BV221" s="103"/>
      <c r="BW221" s="103"/>
      <c r="BX221" s="103"/>
      <c r="BY221" s="103"/>
      <c r="BZ221" s="103"/>
      <c r="CA221" s="103"/>
      <c r="CB221" s="103"/>
      <c r="CC221" s="103"/>
      <c r="CD221" s="103"/>
      <c r="CE221" s="103"/>
      <c r="CF221" s="103"/>
      <c r="CG221" s="103"/>
      <c r="CH221" s="103"/>
      <c r="CI221" s="103"/>
      <c r="CJ221" s="103"/>
      <c r="CK221" s="103"/>
      <c r="CL221" s="103"/>
      <c r="CM221" s="103"/>
      <c r="CN221" s="103"/>
      <c r="CO221" s="103"/>
      <c r="CP221" s="103"/>
      <c r="CQ221" s="103"/>
      <c r="CR221" s="103"/>
      <c r="CS221" s="103"/>
      <c r="CT221" s="103"/>
      <c r="CU221" s="103"/>
      <c r="CV221" s="103"/>
      <c r="CW221" s="103"/>
      <c r="CX221" s="103"/>
      <c r="CY221" s="103"/>
      <c r="CZ221" s="103"/>
      <c r="DA221" s="103"/>
      <c r="DB221" s="103"/>
      <c r="DC221" s="103"/>
      <c r="DD221" s="103"/>
      <c r="DE221" s="103"/>
      <c r="DF221" s="103"/>
      <c r="DG221" s="103"/>
      <c r="DH221" s="103"/>
      <c r="DI221" s="103"/>
      <c r="DJ221" s="103"/>
      <c r="DK221" s="103"/>
      <c r="DL221" s="103"/>
      <c r="DM221" s="103"/>
      <c r="DN221" s="103"/>
      <c r="DO221" s="103"/>
      <c r="DP221" s="103"/>
      <c r="DQ221" s="103"/>
      <c r="DR221" s="103"/>
      <c r="DS221" s="103"/>
      <c r="DT221" s="103"/>
      <c r="DU221" s="103"/>
      <c r="DV221" s="103"/>
      <c r="DW221" s="103"/>
      <c r="DX221" s="103"/>
      <c r="DY221" s="103"/>
      <c r="DZ221" s="103"/>
      <c r="EA221" s="103"/>
      <c r="EB221" s="103"/>
      <c r="EC221" s="103"/>
      <c r="ED221" s="103"/>
      <c r="EE221" s="103"/>
      <c r="EF221" s="103"/>
      <c r="EG221" s="103"/>
      <c r="EH221" s="103"/>
      <c r="EI221" s="103"/>
      <c r="EJ221" s="103"/>
      <c r="EK221" s="103"/>
      <c r="EL221" s="103"/>
      <c r="EM221" s="103"/>
      <c r="EN221" s="103"/>
      <c r="EO221" s="103"/>
      <c r="EP221" s="103"/>
      <c r="EQ221" s="103"/>
      <c r="ER221" s="103"/>
      <c r="ES221" s="103"/>
      <c r="ET221" s="103"/>
      <c r="EU221" s="103"/>
      <c r="EV221" s="103"/>
      <c r="EW221" s="103"/>
      <c r="EX221" s="103"/>
      <c r="EY221" s="103"/>
      <c r="EZ221" s="103"/>
    </row>
    <row r="222" spans="1:13" s="28" customFormat="1" ht="27">
      <c r="A222" s="125" t="s">
        <v>262</v>
      </c>
      <c r="B222" s="125"/>
      <c r="C222" s="125"/>
      <c r="D222" s="25"/>
      <c r="E222" s="26"/>
      <c r="F222" s="26"/>
      <c r="G222" s="125"/>
      <c r="H222" s="125"/>
      <c r="I222" s="118" t="s">
        <v>263</v>
      </c>
      <c r="J222" s="118"/>
      <c r="K222" s="118"/>
      <c r="L222" s="118"/>
      <c r="M222" s="118"/>
    </row>
    <row r="223" spans="1:13" s="28" customFormat="1" ht="27">
      <c r="A223" s="24"/>
      <c r="B223" s="24"/>
      <c r="C223" s="24"/>
      <c r="D223" s="25"/>
      <c r="E223" s="26"/>
      <c r="F223" s="26"/>
      <c r="G223" s="24"/>
      <c r="H223" s="24"/>
      <c r="I223" s="27"/>
      <c r="J223" s="27"/>
      <c r="K223" s="27"/>
      <c r="L223" s="27"/>
      <c r="M223" s="27"/>
    </row>
    <row r="224" spans="1:13" s="28" customFormat="1" ht="27">
      <c r="A224" s="24"/>
      <c r="B224" s="24"/>
      <c r="C224" s="24"/>
      <c r="D224" s="25"/>
      <c r="E224" s="26"/>
      <c r="F224" s="26"/>
      <c r="G224" s="24"/>
      <c r="H224" s="24"/>
      <c r="I224" s="27"/>
      <c r="J224" s="27"/>
      <c r="K224" s="27"/>
      <c r="L224" s="27"/>
      <c r="M224" s="27"/>
    </row>
    <row r="225" spans="1:13" s="36" customFormat="1" ht="18.75">
      <c r="A225" s="31" t="s">
        <v>199</v>
      </c>
      <c r="B225" s="32"/>
      <c r="C225" s="33"/>
      <c r="D225" s="34"/>
      <c r="E225" s="35"/>
      <c r="F225" s="35"/>
      <c r="K225" s="37"/>
      <c r="L225" s="38"/>
      <c r="M225" s="38"/>
    </row>
    <row r="226" spans="1:13" s="36" customFormat="1" ht="18.75">
      <c r="A226" s="126" t="s">
        <v>198</v>
      </c>
      <c r="B226" s="126"/>
      <c r="C226" s="39"/>
      <c r="D226" s="39"/>
      <c r="E226" s="40"/>
      <c r="F226" s="40"/>
      <c r="G226" s="39"/>
      <c r="H226" s="39"/>
      <c r="I226" s="39"/>
      <c r="J226" s="39"/>
      <c r="K226" s="37"/>
      <c r="L226" s="39"/>
      <c r="M226" s="39"/>
    </row>
    <row r="227" spans="1:13" s="41" customFormat="1" ht="23.25">
      <c r="A227" s="127"/>
      <c r="B227" s="127"/>
      <c r="C227" s="41" t="s">
        <v>199</v>
      </c>
      <c r="E227" s="42"/>
      <c r="F227" s="42"/>
      <c r="J227" s="43"/>
      <c r="K227" s="44"/>
      <c r="L227" s="42"/>
      <c r="M227" s="42"/>
    </row>
    <row r="228" spans="1:157" s="41" customFormat="1" ht="23.25">
      <c r="A228" s="128" t="s">
        <v>264</v>
      </c>
      <c r="B228" s="128"/>
      <c r="C228" s="128"/>
      <c r="D228" s="45"/>
      <c r="E228" s="46"/>
      <c r="F228" s="46"/>
      <c r="G228" s="47"/>
      <c r="J228" s="48"/>
      <c r="K228" s="44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</row>
    <row r="229" spans="4:10" ht="18.75">
      <c r="D229" s="105"/>
      <c r="E229" s="106"/>
      <c r="F229" s="106"/>
      <c r="J229" s="107"/>
    </row>
    <row r="230" spans="4:10" ht="18.75">
      <c r="D230" s="105"/>
      <c r="E230" s="106"/>
      <c r="F230" s="106"/>
      <c r="J230" s="107"/>
    </row>
    <row r="231" spans="4:10" ht="18.75">
      <c r="D231" s="105"/>
      <c r="E231" s="106"/>
      <c r="F231" s="106"/>
      <c r="J231" s="107"/>
    </row>
    <row r="232" spans="4:156" s="4" customFormat="1" ht="19.5">
      <c r="D232" s="108"/>
      <c r="E232" s="109"/>
      <c r="F232" s="109"/>
      <c r="J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0"/>
      <c r="AP232" s="110"/>
      <c r="AQ232" s="110"/>
      <c r="AR232" s="110"/>
      <c r="AS232" s="110"/>
      <c r="AT232" s="110"/>
      <c r="AU232" s="110"/>
      <c r="AV232" s="110"/>
      <c r="AW232" s="110"/>
      <c r="AX232" s="110"/>
      <c r="AY232" s="110"/>
      <c r="AZ232" s="110"/>
      <c r="BA232" s="110"/>
      <c r="BB232" s="110"/>
      <c r="BC232" s="110"/>
      <c r="BD232" s="110"/>
      <c r="BE232" s="110"/>
      <c r="BF232" s="110"/>
      <c r="BG232" s="110"/>
      <c r="BH232" s="110"/>
      <c r="BI232" s="110"/>
      <c r="BJ232" s="110"/>
      <c r="BK232" s="110"/>
      <c r="BL232" s="110"/>
      <c r="BM232" s="110"/>
      <c r="BN232" s="110"/>
      <c r="BO232" s="110"/>
      <c r="BP232" s="110"/>
      <c r="BQ232" s="110"/>
      <c r="BR232" s="110"/>
      <c r="BS232" s="110"/>
      <c r="BT232" s="110"/>
      <c r="BU232" s="110"/>
      <c r="BV232" s="110"/>
      <c r="BW232" s="110"/>
      <c r="BX232" s="110"/>
      <c r="BY232" s="110"/>
      <c r="BZ232" s="110"/>
      <c r="CA232" s="110"/>
      <c r="CB232" s="110"/>
      <c r="CC232" s="110"/>
      <c r="CD232" s="110"/>
      <c r="CE232" s="110"/>
      <c r="CF232" s="110"/>
      <c r="CG232" s="110"/>
      <c r="CH232" s="110"/>
      <c r="CI232" s="110"/>
      <c r="CJ232" s="110"/>
      <c r="CK232" s="110"/>
      <c r="CL232" s="110"/>
      <c r="CM232" s="110"/>
      <c r="CN232" s="110"/>
      <c r="CO232" s="110"/>
      <c r="CP232" s="110"/>
      <c r="CQ232" s="110"/>
      <c r="CR232" s="110"/>
      <c r="CS232" s="110"/>
      <c r="CT232" s="110"/>
      <c r="CU232" s="110"/>
      <c r="CV232" s="110"/>
      <c r="CW232" s="110"/>
      <c r="CX232" s="110"/>
      <c r="CY232" s="110"/>
      <c r="CZ232" s="110"/>
      <c r="DA232" s="110"/>
      <c r="DB232" s="110"/>
      <c r="DC232" s="110"/>
      <c r="DD232" s="110"/>
      <c r="DE232" s="110"/>
      <c r="DF232" s="110"/>
      <c r="DG232" s="110"/>
      <c r="DH232" s="110"/>
      <c r="DI232" s="110"/>
      <c r="DJ232" s="110"/>
      <c r="DK232" s="110"/>
      <c r="DL232" s="110"/>
      <c r="DM232" s="110"/>
      <c r="DN232" s="110"/>
      <c r="DO232" s="110"/>
      <c r="DP232" s="110"/>
      <c r="DQ232" s="110"/>
      <c r="DR232" s="110"/>
      <c r="DS232" s="110"/>
      <c r="DT232" s="110"/>
      <c r="DU232" s="110"/>
      <c r="DV232" s="110"/>
      <c r="DW232" s="110"/>
      <c r="DX232" s="110"/>
      <c r="DY232" s="110"/>
      <c r="DZ232" s="110"/>
      <c r="EA232" s="110"/>
      <c r="EB232" s="110"/>
      <c r="EC232" s="110"/>
      <c r="ED232" s="110"/>
      <c r="EE232" s="110"/>
      <c r="EF232" s="110"/>
      <c r="EG232" s="110"/>
      <c r="EH232" s="110"/>
      <c r="EI232" s="110"/>
      <c r="EJ232" s="110"/>
      <c r="EK232" s="110"/>
      <c r="EL232" s="110"/>
      <c r="EM232" s="110"/>
      <c r="EN232" s="110"/>
      <c r="EO232" s="110"/>
      <c r="EP232" s="110"/>
      <c r="EQ232" s="110"/>
      <c r="ER232" s="110"/>
      <c r="ES232" s="110"/>
      <c r="ET232" s="110"/>
      <c r="EU232" s="110"/>
      <c r="EV232" s="110"/>
      <c r="EW232" s="110"/>
      <c r="EX232" s="110"/>
      <c r="EY232" s="110"/>
      <c r="EZ232" s="110"/>
    </row>
    <row r="233" ht="18.75">
      <c r="J233" s="107"/>
    </row>
    <row r="234" ht="18.75">
      <c r="J234" s="107"/>
    </row>
    <row r="235" ht="18.75">
      <c r="J235" s="107"/>
    </row>
    <row r="236" ht="18.75">
      <c r="J236" s="107"/>
    </row>
    <row r="237" ht="18.75">
      <c r="J237" s="107"/>
    </row>
    <row r="238" ht="18.75">
      <c r="J238" s="107"/>
    </row>
    <row r="239" ht="18.75">
      <c r="J239" s="107"/>
    </row>
    <row r="240" ht="18.75">
      <c r="J240" s="107"/>
    </row>
    <row r="241" ht="18.75">
      <c r="J241" s="107"/>
    </row>
    <row r="242" ht="18.75">
      <c r="J242" s="107"/>
    </row>
    <row r="243" ht="18.75">
      <c r="J243" s="107"/>
    </row>
    <row r="244" ht="18.75">
      <c r="J244" s="107"/>
    </row>
    <row r="245" ht="18.75">
      <c r="J245" s="107"/>
    </row>
    <row r="246" ht="18.75">
      <c r="J246" s="107"/>
    </row>
    <row r="247" ht="18.75">
      <c r="J247" s="107"/>
    </row>
    <row r="248" ht="18.75">
      <c r="J248" s="107"/>
    </row>
    <row r="249" ht="18.75">
      <c r="J249" s="107"/>
    </row>
    <row r="250" ht="18.75">
      <c r="J250" s="107"/>
    </row>
    <row r="251" ht="18.75">
      <c r="J251" s="107"/>
    </row>
    <row r="252" ht="18.75">
      <c r="J252" s="107"/>
    </row>
    <row r="253" ht="18.75">
      <c r="J253" s="107"/>
    </row>
    <row r="254" ht="18.75">
      <c r="J254" s="107"/>
    </row>
    <row r="255" ht="18.75">
      <c r="J255" s="107"/>
    </row>
    <row r="256" ht="18.75">
      <c r="J256" s="107"/>
    </row>
    <row r="257" ht="18.75">
      <c r="J257" s="107"/>
    </row>
    <row r="258" ht="18.75">
      <c r="J258" s="107"/>
    </row>
    <row r="259" ht="18.75">
      <c r="J259" s="107"/>
    </row>
    <row r="260" ht="18.75">
      <c r="J260" s="107"/>
    </row>
    <row r="261" ht="18.75">
      <c r="J261" s="107"/>
    </row>
    <row r="262" ht="18.75">
      <c r="J262" s="107"/>
    </row>
    <row r="263" ht="18.75">
      <c r="J263" s="107"/>
    </row>
    <row r="264" ht="18.75">
      <c r="J264" s="107"/>
    </row>
    <row r="265" ht="18.75">
      <c r="J265" s="107"/>
    </row>
    <row r="266" ht="18.75">
      <c r="J266" s="107"/>
    </row>
    <row r="267" ht="18.75">
      <c r="J267" s="107"/>
    </row>
    <row r="268" ht="18.75">
      <c r="J268" s="107"/>
    </row>
    <row r="269" ht="18.75">
      <c r="J269" s="107"/>
    </row>
    <row r="270" ht="18.75">
      <c r="J270" s="107"/>
    </row>
    <row r="271" ht="18.75">
      <c r="J271" s="107"/>
    </row>
    <row r="272" ht="18.75">
      <c r="J272" s="107"/>
    </row>
    <row r="273" ht="18.75">
      <c r="J273" s="107"/>
    </row>
    <row r="274" ht="18.75">
      <c r="J274" s="107"/>
    </row>
    <row r="275" ht="18.75">
      <c r="J275" s="107"/>
    </row>
    <row r="276" ht="18.75">
      <c r="J276" s="107"/>
    </row>
    <row r="277" ht="18.75">
      <c r="J277" s="107"/>
    </row>
    <row r="278" ht="18.75">
      <c r="J278" s="107"/>
    </row>
    <row r="279" ht="18.75">
      <c r="J279" s="107"/>
    </row>
    <row r="280" ht="18.75">
      <c r="J280" s="107"/>
    </row>
    <row r="281" ht="18.75">
      <c r="J281" s="107"/>
    </row>
    <row r="282" ht="18.75">
      <c r="J282" s="107"/>
    </row>
    <row r="283" ht="18.75">
      <c r="J283" s="107"/>
    </row>
    <row r="284" ht="18.75">
      <c r="J284" s="107"/>
    </row>
    <row r="285" ht="18.75">
      <c r="J285" s="107"/>
    </row>
    <row r="286" ht="18.75">
      <c r="J286" s="107"/>
    </row>
    <row r="287" ht="18.75">
      <c r="J287" s="107"/>
    </row>
    <row r="288" ht="18.75">
      <c r="J288" s="107"/>
    </row>
    <row r="289" ht="18.75">
      <c r="J289" s="107"/>
    </row>
    <row r="290" ht="18.75">
      <c r="J290" s="107"/>
    </row>
    <row r="291" ht="18.75">
      <c r="J291" s="107"/>
    </row>
    <row r="292" ht="18.75">
      <c r="J292" s="107"/>
    </row>
    <row r="293" ht="18.75">
      <c r="J293" s="107"/>
    </row>
    <row r="294" ht="18.75">
      <c r="J294" s="107"/>
    </row>
    <row r="295" ht="18.75">
      <c r="J295" s="107"/>
    </row>
    <row r="296" ht="18.75">
      <c r="J296" s="107"/>
    </row>
    <row r="297" ht="18.75">
      <c r="J297" s="107"/>
    </row>
    <row r="298" ht="18.75">
      <c r="J298" s="107"/>
    </row>
    <row r="299" ht="18.75">
      <c r="J299" s="107"/>
    </row>
    <row r="300" ht="18.75">
      <c r="J300" s="107"/>
    </row>
    <row r="301" ht="18.75">
      <c r="J301" s="107"/>
    </row>
    <row r="302" ht="18.75">
      <c r="J302" s="107"/>
    </row>
    <row r="303" ht="18.75">
      <c r="J303" s="107"/>
    </row>
    <row r="304" ht="18.75">
      <c r="J304" s="107"/>
    </row>
    <row r="305" ht="18.75">
      <c r="J305" s="107"/>
    </row>
    <row r="306" ht="18.75">
      <c r="J306" s="107"/>
    </row>
    <row r="307" ht="18.75">
      <c r="J307" s="107"/>
    </row>
    <row r="308" ht="18.75">
      <c r="J308" s="107"/>
    </row>
    <row r="309" ht="18.75">
      <c r="J309" s="107"/>
    </row>
    <row r="310" ht="18.75">
      <c r="J310" s="107"/>
    </row>
    <row r="311" ht="18.75">
      <c r="J311" s="107"/>
    </row>
    <row r="312" ht="18.75">
      <c r="J312" s="107"/>
    </row>
    <row r="313" ht="18.75">
      <c r="J313" s="107"/>
    </row>
    <row r="314" ht="18.75">
      <c r="J314" s="107"/>
    </row>
    <row r="315" ht="18.75">
      <c r="J315" s="107"/>
    </row>
    <row r="316" ht="18.75">
      <c r="J316" s="107"/>
    </row>
    <row r="317" ht="18.75">
      <c r="J317" s="107"/>
    </row>
    <row r="318" ht="18.75">
      <c r="J318" s="107"/>
    </row>
    <row r="319" ht="18.75">
      <c r="J319" s="107"/>
    </row>
    <row r="320" ht="18.75">
      <c r="J320" s="107"/>
    </row>
    <row r="321" ht="18.75">
      <c r="J321" s="107"/>
    </row>
    <row r="322" ht="18.75">
      <c r="J322" s="107"/>
    </row>
    <row r="323" ht="18.75">
      <c r="J323" s="107"/>
    </row>
    <row r="324" ht="18.75">
      <c r="J324" s="107"/>
    </row>
    <row r="325" ht="18.75">
      <c r="J325" s="107"/>
    </row>
    <row r="326" ht="18.75">
      <c r="J326" s="107"/>
    </row>
    <row r="327" ht="18.75">
      <c r="J327" s="107"/>
    </row>
    <row r="328" ht="18.75">
      <c r="J328" s="107"/>
    </row>
    <row r="329" ht="18.75">
      <c r="J329" s="107"/>
    </row>
  </sheetData>
  <sheetProtection/>
  <mergeCells count="34">
    <mergeCell ref="A226:B226"/>
    <mergeCell ref="A227:B227"/>
    <mergeCell ref="A228:C228"/>
    <mergeCell ref="F1:M1"/>
    <mergeCell ref="F2:M2"/>
    <mergeCell ref="F3:M3"/>
    <mergeCell ref="F4:M4"/>
    <mergeCell ref="F5:M5"/>
    <mergeCell ref="F6:M6"/>
    <mergeCell ref="M11:M12"/>
    <mergeCell ref="A8:M8"/>
    <mergeCell ref="A9:M9"/>
    <mergeCell ref="A222:C222"/>
    <mergeCell ref="G222:H222"/>
    <mergeCell ref="K221:L221"/>
    <mergeCell ref="L11:L12"/>
    <mergeCell ref="K11:K12"/>
    <mergeCell ref="E11:E12"/>
    <mergeCell ref="D11:D12"/>
    <mergeCell ref="A11:A12"/>
    <mergeCell ref="C11:C12"/>
    <mergeCell ref="B11:B12"/>
    <mergeCell ref="J11:J12"/>
    <mergeCell ref="H11:H12"/>
    <mergeCell ref="G11:G12"/>
    <mergeCell ref="F11:F12"/>
    <mergeCell ref="I11:I12"/>
    <mergeCell ref="A221:B221"/>
    <mergeCell ref="H221:J221"/>
    <mergeCell ref="I222:M222"/>
    <mergeCell ref="G217:H217"/>
    <mergeCell ref="G220:H220"/>
    <mergeCell ref="G218:H218"/>
    <mergeCell ref="G219:H219"/>
  </mergeCells>
  <printOptions horizontalCentered="1"/>
  <pageMargins left="0.3937007874015748" right="0.3937007874015748" top="1.1811023622047245" bottom="0.3937007874015748" header="0.4330708661417323" footer="0.1968503937007874"/>
  <pageSetup firstPageNumber="10" useFirstPageNumber="1" fitToHeight="15" horizontalDpi="600" verticalDpi="600" orientation="landscape" paperSize="9" scale="53" r:id="rId1"/>
  <headerFooter alignWithMargins="0">
    <oddFooter>&amp;R&amp;"Times New Roman,обычный"&amp;22&amp;P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Sun</dc:creator>
  <cp:keywords/>
  <dc:description/>
  <cp:lastModifiedBy>Users</cp:lastModifiedBy>
  <cp:lastPrinted>2016-07-28T10:50:34Z</cp:lastPrinted>
  <dcterms:created xsi:type="dcterms:W3CDTF">2011-11-24T09:09:31Z</dcterms:created>
  <dcterms:modified xsi:type="dcterms:W3CDTF">2016-07-28T10:58:39Z</dcterms:modified>
  <cp:category/>
  <cp:version/>
  <cp:contentType/>
  <cp:contentStatus/>
</cp:coreProperties>
</file>