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1"/>
  </bookViews>
  <sheets>
    <sheet name="дод. 2" sheetId="1" r:id="rId1"/>
    <sheet name="дод. 3" sheetId="2" r:id="rId2"/>
  </sheets>
  <definedNames>
    <definedName name="_xlfn.AGGREGATE" hidden="1">#NAME?</definedName>
    <definedName name="_xlnm.Print_Titles" localSheetId="0">'дод. 2'!$9:$13</definedName>
    <definedName name="_xlnm.Print_Titles" localSheetId="1">'дод. 3'!$9:$13</definedName>
    <definedName name="_xlnm.Print_Area" localSheetId="0">'дод. 2'!$A$1:$W$156</definedName>
    <definedName name="_xlnm.Print_Area" localSheetId="1">'дод. 3'!$B$1:$W$207</definedName>
  </definedNames>
  <calcPr fullCalcOnLoad="1"/>
</workbook>
</file>

<file path=xl/sharedStrings.xml><?xml version="1.0" encoding="utf-8"?>
<sst xmlns="http://schemas.openxmlformats.org/spreadsheetml/2006/main" count="972" uniqueCount="353">
  <si>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</si>
  <si>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</si>
  <si>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</si>
  <si>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</si>
  <si>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</si>
  <si>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</si>
  <si>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</si>
  <si>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</si>
  <si>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</si>
  <si>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</si>
  <si>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</si>
  <si>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</si>
  <si>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</si>
  <si>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</si>
  <si>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</si>
  <si>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</si>
  <si>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</si>
  <si>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</si>
  <si>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</si>
  <si>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</si>
  <si>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</si>
  <si>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</si>
  <si>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</si>
  <si>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</si>
  <si>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</si>
  <si>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</si>
  <si>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</si>
  <si>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</si>
  <si>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</si>
  <si>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</si>
  <si>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</si>
  <si>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</si>
  <si>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</si>
  <si>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</si>
  <si>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</si>
  <si>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</si>
  <si>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</si>
  <si>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</si>
  <si>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</si>
  <si>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</si>
  <si>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</si>
  <si>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</si>
  <si>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</si>
  <si>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</si>
  <si>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</si>
  <si>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</si>
  <si>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</si>
  <si>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</si>
  <si>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</si>
  <si>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</si>
  <si>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</si>
  <si>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</si>
  <si>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</si>
  <si>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</si>
  <si>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</si>
  <si>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</si>
  <si>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</si>
  <si>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</si>
  <si>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</si>
  <si>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</si>
  <si>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</si>
  <si>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</si>
  <si>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</si>
  <si>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</si>
  <si>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</si>
  <si>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</si>
  <si>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</si>
  <si>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</si>
  <si>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</si>
  <si>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</si>
  <si>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</si>
  <si>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</si>
  <si>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</si>
  <si>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</si>
  <si>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</si>
  <si>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</si>
  <si>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</si>
  <si>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</si>
  <si>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</si>
  <si>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</si>
  <si>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</si>
  <si>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</si>
  <si>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</si>
  <si>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</si>
  <si>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</si>
  <si>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</si>
  <si>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</si>
  <si>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</si>
  <si>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</si>
  <si>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</si>
  <si>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</si>
  <si>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</si>
  <si>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</si>
  <si>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</si>
  <si>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</si>
  <si>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</si>
  <si>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</si>
  <si>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</si>
  <si>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</si>
  <si>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</si>
  <si>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</si>
  <si>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</si>
  <si>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</si>
  <si>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</si>
  <si>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</si>
  <si>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</si>
  <si>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</si>
  <si>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</si>
  <si>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</si>
  <si>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</si>
  <si>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</si>
  <si>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</si>
  <si>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</si>
  <si>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</si>
  <si>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</si>
  <si>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</si>
  <si>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</si>
  <si>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</si>
  <si>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</si>
  <si>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</si>
  <si>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</si>
  <si>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</si>
  <si>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</si>
  <si>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</si>
  <si>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</si>
  <si>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</si>
  <si>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</si>
  <si>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</si>
  <si>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</si>
  <si>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</si>
  <si>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</si>
  <si>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</si>
  <si>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</si>
  <si>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Допомоги на догляд за інвалідом І чи ІІ групи внаслідок психічного розладу</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</si>
  <si>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</si>
  <si>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</si>
  <si>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</si>
  <si>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</si>
  <si>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</si>
  <si>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</si>
  <si>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</si>
  <si>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</si>
  <si>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</si>
  <si>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</si>
  <si>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</si>
  <si>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</si>
  <si>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</si>
  <si>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</si>
  <si>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</si>
  <si>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</si>
  <si>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</si>
  <si>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</si>
  <si>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</si>
  <si>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</si>
  <si>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</si>
  <si>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</si>
  <si>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</si>
  <si>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</si>
  <si>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</si>
  <si>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</si>
  <si>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</si>
  <si>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</si>
  <si>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</si>
  <si>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</si>
  <si>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</si>
  <si>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</si>
  <si>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</si>
  <si>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</si>
  <si>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</si>
  <si>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</si>
  <si>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</si>
  <si>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</si>
  <si>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</si>
  <si>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</si>
  <si>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</si>
  <si>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</si>
  <si>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</si>
  <si>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</si>
  <si>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</si>
  <si>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</si>
  <si>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</si>
  <si>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</si>
  <si>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</si>
  <si>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</si>
  <si>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</si>
  <si>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</si>
  <si>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</si>
  <si>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</si>
  <si>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</si>
  <si>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</si>
  <si>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</si>
  <si>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</si>
  <si>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</si>
  <si>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</si>
  <si>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</si>
  <si>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</si>
  <si>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</si>
  <si>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</si>
  <si>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</si>
  <si>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</si>
  <si>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</si>
  <si>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</si>
  <si>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</si>
  <si>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</si>
  <si>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</si>
  <si>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</si>
  <si>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</si>
  <si>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</si>
  <si>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</si>
  <si>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</si>
  <si>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</si>
  <si>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</si>
  <si>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</si>
  <si>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</si>
  <si>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</si>
  <si>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</si>
  <si>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</si>
  <si>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</si>
  <si>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</si>
  <si>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</si>
  <si>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</si>
  <si>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</si>
  <si>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</si>
  <si>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</si>
  <si>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</si>
  <si>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</si>
  <si>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</si>
  <si>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</si>
  <si>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</si>
  <si>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</si>
  <si>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</si>
  <si>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</si>
  <si>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Найменування
згідно з типовою відомчою / тимчасовою класифікацією видатків та кредитування місцевого бюджету</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</si>
  <si>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</si>
  <si>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</si>
  <si>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</si>
  <si>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</si>
  <si>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</si>
  <si>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</si>
  <si>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Міський голова</t>
  </si>
  <si>
    <t>О.М. Лисенко</t>
  </si>
  <si>
    <t>090417</t>
  </si>
  <si>
    <t>Витрати на поховання учасників бойових дій та інвалідів війни</t>
  </si>
  <si>
    <t>10303</t>
  </si>
  <si>
    <t>091212</t>
  </si>
  <si>
    <t>Обробка інформації з нарахування та виплати допомог і компенсацій</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</si>
  <si>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</si>
  <si>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</si>
  <si>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</si>
  <si>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</si>
  <si>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081009</t>
  </si>
  <si>
    <t>Забезпечення централізованих заходів з лікування хворих на цукровий та нецукровий діабет</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</si>
  <si>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</si>
  <si>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</si>
  <si>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</si>
  <si>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</si>
  <si>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</si>
  <si>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</si>
  <si>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</si>
  <si>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</si>
  <si>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</si>
  <si>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</si>
  <si>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</si>
  <si>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</si>
  <si>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</si>
  <si>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</si>
  <si>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</si>
  <si>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</si>
  <si>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</si>
  <si>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</si>
  <si>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</si>
  <si>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</si>
  <si>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</si>
  <si>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</si>
  <si>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</si>
  <si>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</si>
  <si>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</si>
  <si>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</si>
  <si>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</si>
  <si>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</si>
  <si>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</si>
  <si>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Затверджено по бюджету з урахуванням змін</t>
  </si>
  <si>
    <t>Касові видатки</t>
  </si>
  <si>
    <t>«Про  звіт  про   виконання   міського</t>
  </si>
  <si>
    <t>до  рішення  Сумської  міської   ради</t>
  </si>
  <si>
    <t>120300</t>
  </si>
  <si>
    <t>0830</t>
  </si>
  <si>
    <t>Книговидання</t>
  </si>
  <si>
    <t>200600</t>
  </si>
  <si>
    <t>150202</t>
  </si>
  <si>
    <t>0443</t>
  </si>
  <si>
    <t>Розробка схем та проектних рішень масового застосування</t>
  </si>
  <si>
    <t>200000</t>
  </si>
  <si>
    <t>Охорона навколишнього природного середовища та ядерна безпека</t>
  </si>
  <si>
    <t>120000</t>
  </si>
  <si>
    <t>Засоби масової інформації</t>
  </si>
  <si>
    <t>49 Управління «Інспекція державного архітектурно - будівельного контролю» Сумської міської ради</t>
  </si>
  <si>
    <t>090501</t>
  </si>
  <si>
    <t>1050</t>
  </si>
  <si>
    <t>Організація та проведення громадських робіт</t>
  </si>
  <si>
    <t>170101</t>
  </si>
  <si>
    <t>170601</t>
  </si>
  <si>
    <t>Регулювання цін на послуги місцевого автотранспорту</t>
  </si>
  <si>
    <t>Регулювання цін на послуги міського електротранспорту</t>
  </si>
  <si>
    <t>100208</t>
  </si>
  <si>
    <t>620</t>
  </si>
  <si>
    <t>Видатки на впровадження засобів обліку витрат та регулювання споживання води та теплової енергії</t>
  </si>
  <si>
    <t>170103</t>
  </si>
  <si>
    <t>Інші заходи у сфері автомобільного транспорту</t>
  </si>
  <si>
    <t>070501</t>
  </si>
  <si>
    <t>Професійно - технічні заклади</t>
  </si>
  <si>
    <t>0930</t>
  </si>
  <si>
    <t xml:space="preserve">                Додаток № 3</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</si>
  <si>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</si>
  <si>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</si>
  <si>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100101</t>
  </si>
  <si>
    <t>Житлово-експлуатаційне господарство</t>
  </si>
  <si>
    <t>230000</t>
  </si>
  <si>
    <t>0170</t>
  </si>
  <si>
    <t>Обслуговування боргу</t>
  </si>
  <si>
    <t xml:space="preserve">                Додаток № 2</t>
  </si>
  <si>
    <t>% виконання до затвердженого по бюджету</t>
  </si>
  <si>
    <t>% вико-нання до затвердженого по бюджету</t>
  </si>
  <si>
    <t xml:space="preserve">Звіт про виконання видаткової частини міського бюджету міста Суми                                                                                                                                                                                                                                                                                                                                                           за І півріччя  2016 року за тимчасовою класифікацією видатків та кредитування місцевих бюджетів                                                                                                                                                                          </t>
  </si>
  <si>
    <t>Звіт про виконання видаткової частини міського бюджету міста Суми                                                                                                                                                                                                                                                                                                                                                           за І півріччя 2016 року за головними розпорядниками коштів</t>
  </si>
  <si>
    <t>0451</t>
  </si>
  <si>
    <t>0453</t>
  </si>
  <si>
    <t>250344</t>
  </si>
  <si>
    <t>Субвенція з місцевого бюджету державному бюджету на виконання програм соціально-економічного та культурного розвитку регіонів</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</si>
  <si>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</si>
  <si>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</si>
  <si>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</si>
  <si>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</si>
  <si>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</si>
  <si>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</si>
  <si>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</si>
  <si>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</si>
  <si>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</si>
  <si>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</si>
  <si>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45 Департамент забезпечення ресурсних платежів Сумської міської ради</t>
  </si>
  <si>
    <t>150201</t>
  </si>
  <si>
    <t>Збереження, розвиток, реконструкція та реставрація пам'яток історії та культури</t>
  </si>
  <si>
    <t>240603</t>
  </si>
  <si>
    <t>0513</t>
  </si>
  <si>
    <t>Ліквідація іншого забруднення навколишнього природного середовища</t>
  </si>
  <si>
    <t>48 Управління архітектури та містобудування Сумської міської ради</t>
  </si>
  <si>
    <t>Виконавець: Липова С.А.</t>
  </si>
  <si>
    <t xml:space="preserve"> </t>
  </si>
  <si>
    <t>бюджету  за  І   півріччя  2016  року »</t>
  </si>
  <si>
    <t xml:space="preserve">15 Департамент соціального захисту населення Сумської міської ради </t>
  </si>
  <si>
    <t>76 Департамент фінансів, економіки та інвестицій  Сумської міської ради (в частині міжбюджетних трансфертів, резервного фонду)</t>
  </si>
  <si>
    <t>75 Департамент фінансів, економіки та інвестицій Сумської міської ради</t>
  </si>
  <si>
    <t>від 28 вересня 2016 року № 1107-МР</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</si>
</sst>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000"/>
    <numFmt numFmtId="194" formatCode="#,##0.00_ ;\-#,##0.00\ "/>
    <numFmt numFmtId="195" formatCode="#,##0.00&quot;₴&quot;"/>
  </numFmts>
  <fonts count="44">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0"/>
      <name val="Arial"/>
      <family val="0"/>
    </font>
    <font>
      <b/>
      <sz val="20"/>
      <name val="Times New Roman"/>
      <family val="0"/>
    </font>
    <font>
      <sz val="22"/>
      <name val="Times New Roman"/>
      <family val="0"/>
    </font>
    <font>
      <sz val="12"/>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40"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4">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vertical="center" wrapText="1"/>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0" xfId="0" applyFont="1" applyFill="1" applyAlignment="1">
      <alignment/>
    </xf>
    <xf numFmtId="0" fontId="35" fillId="0" borderId="14"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6" xfId="0" applyFont="1" applyFill="1" applyBorder="1" applyAlignment="1">
      <alignment vertical="center" wrapText="1"/>
    </xf>
    <xf numFmtId="0" fontId="35" fillId="0" borderId="0" xfId="0" applyFont="1" applyFill="1" applyAlignment="1">
      <alignment vertical="center"/>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0" fontId="35" fillId="0" borderId="0" xfId="0" applyFont="1" applyFill="1" applyAlignment="1">
      <alignment vertical="center" wrapText="1"/>
    </xf>
    <xf numFmtId="49" fontId="35" fillId="0" borderId="17"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vertical="center"/>
    </xf>
    <xf numFmtId="0" fontId="35" fillId="0" borderId="17" xfId="0" applyFont="1" applyFill="1" applyBorder="1" applyAlignment="1">
      <alignment vertical="center" wrapText="1"/>
    </xf>
    <xf numFmtId="4" fontId="35" fillId="0" borderId="17" xfId="95" applyNumberFormat="1" applyFont="1" applyFill="1" applyBorder="1" applyAlignment="1">
      <alignment vertical="center"/>
      <protection/>
    </xf>
    <xf numFmtId="4" fontId="36" fillId="0" borderId="17" xfId="95" applyNumberFormat="1" applyFont="1" applyFill="1" applyBorder="1" applyAlignment="1">
      <alignment vertical="center"/>
      <protection/>
    </xf>
    <xf numFmtId="49" fontId="5" fillId="0" borderId="17"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Font="1" applyFill="1" applyAlignment="1">
      <alignment vertical="center"/>
    </xf>
    <xf numFmtId="0" fontId="39" fillId="0" borderId="0" xfId="0" applyNumberFormat="1" applyFont="1" applyFill="1" applyAlignment="1" applyProtection="1">
      <alignment/>
      <protection/>
    </xf>
    <xf numFmtId="0" fontId="39" fillId="0" borderId="0" xfId="0" applyFont="1" applyFill="1" applyAlignment="1">
      <alignment/>
    </xf>
    <xf numFmtId="49" fontId="38" fillId="0" borderId="0" xfId="0" applyNumberFormat="1" applyFont="1" applyFill="1" applyAlignment="1">
      <alignment horizontal="center" vertical="center" textRotation="180" wrapText="1"/>
    </xf>
    <xf numFmtId="49" fontId="38" fillId="0" borderId="0" xfId="0" applyNumberFormat="1" applyFont="1" applyFill="1" applyAlignment="1">
      <alignment vertical="center" textRotation="180" wrapText="1"/>
    </xf>
    <xf numFmtId="4" fontId="35" fillId="0" borderId="0" xfId="0" applyNumberFormat="1" applyFont="1" applyFill="1" applyAlignment="1">
      <alignment vertical="center"/>
    </xf>
    <xf numFmtId="0" fontId="35" fillId="0" borderId="16" xfId="0" applyNumberFormat="1" applyFont="1" applyFill="1" applyBorder="1" applyAlignment="1" applyProtection="1">
      <alignment horizontal="center" vertical="center" wrapText="1"/>
      <protection/>
    </xf>
    <xf numFmtId="4" fontId="0" fillId="0" borderId="0" xfId="0" applyNumberFormat="1" applyFont="1" applyFill="1" applyAlignment="1" applyProtection="1">
      <alignment/>
      <protection/>
    </xf>
    <xf numFmtId="49" fontId="36" fillId="0" borderId="17" xfId="105" applyNumberFormat="1" applyFont="1" applyFill="1" applyBorder="1" applyAlignment="1">
      <alignment horizontal="center" vertical="center" wrapText="1"/>
      <protection/>
    </xf>
    <xf numFmtId="0" fontId="36" fillId="0" borderId="17" xfId="105" applyFont="1" applyFill="1" applyBorder="1" applyAlignment="1">
      <alignment horizontal="left" vertical="center" wrapText="1"/>
      <protection/>
    </xf>
    <xf numFmtId="0" fontId="35" fillId="0" borderId="17" xfId="105" applyFont="1" applyFill="1" applyBorder="1" applyAlignment="1">
      <alignment horizontal="left" vertical="center" wrapText="1"/>
      <protection/>
    </xf>
    <xf numFmtId="0" fontId="36" fillId="0" borderId="17" xfId="105" applyFont="1" applyFill="1" applyBorder="1" applyAlignment="1">
      <alignment horizontal="center" vertical="center" wrapText="1"/>
      <protection/>
    </xf>
    <xf numFmtId="4" fontId="35" fillId="0" borderId="16" xfId="0" applyNumberFormat="1" applyFont="1" applyFill="1" applyBorder="1" applyAlignment="1" applyProtection="1">
      <alignment horizontal="right" vertical="center" wrapText="1"/>
      <protection/>
    </xf>
    <xf numFmtId="49" fontId="35" fillId="0" borderId="16" xfId="0" applyNumberFormat="1" applyFont="1" applyFill="1" applyBorder="1" applyAlignment="1">
      <alignment vertical="center"/>
    </xf>
    <xf numFmtId="0" fontId="35" fillId="0" borderId="14" xfId="0" applyFont="1" applyFill="1" applyBorder="1" applyAlignment="1">
      <alignment vertical="top" wrapText="1"/>
    </xf>
    <xf numFmtId="0" fontId="35" fillId="0" borderId="15" xfId="0" applyFont="1" applyFill="1" applyBorder="1" applyAlignment="1">
      <alignment vertical="top" wrapText="1"/>
    </xf>
    <xf numFmtId="4" fontId="35" fillId="0" borderId="19" xfId="0" applyNumberFormat="1" applyFont="1" applyFill="1" applyBorder="1" applyAlignment="1" applyProtection="1">
      <alignment horizontal="right" vertical="center" wrapText="1"/>
      <protection/>
    </xf>
    <xf numFmtId="3" fontId="33" fillId="0" borderId="0" xfId="0" applyNumberFormat="1" applyFont="1" applyFill="1" applyBorder="1" applyAlignment="1">
      <alignment horizontal="left" vertical="center" wrapText="1"/>
    </xf>
    <xf numFmtId="0" fontId="39" fillId="0" borderId="0" xfId="0" applyFont="1" applyFill="1" applyAlignment="1">
      <alignment horizontal="center" vertical="center"/>
    </xf>
    <xf numFmtId="0" fontId="0" fillId="0" borderId="0" xfId="0" applyFont="1" applyFill="1" applyBorder="1" applyAlignment="1">
      <alignment horizontal="center"/>
    </xf>
    <xf numFmtId="0" fontId="39" fillId="0" borderId="0" xfId="0" applyFont="1" applyFill="1" applyAlignment="1">
      <alignment vertical="center"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horizontal="right" vertical="center"/>
      <protection/>
    </xf>
    <xf numFmtId="4" fontId="36" fillId="0" borderId="17" xfId="95" applyNumberFormat="1" applyFont="1" applyFill="1" applyBorder="1" applyAlignment="1">
      <alignment horizontal="right" vertical="center"/>
      <protection/>
    </xf>
    <xf numFmtId="0" fontId="42" fillId="0" borderId="0" xfId="0" applyNumberFormat="1" applyFont="1" applyFill="1" applyAlignment="1" applyProtection="1">
      <alignment/>
      <protection/>
    </xf>
    <xf numFmtId="3" fontId="42" fillId="0" borderId="0" xfId="0" applyNumberFormat="1" applyFont="1" applyFill="1" applyBorder="1" applyAlignment="1">
      <alignment vertical="center" wrapText="1"/>
    </xf>
    <xf numFmtId="3" fontId="42" fillId="0" borderId="0" xfId="0" applyNumberFormat="1" applyFont="1" applyFill="1" applyBorder="1" applyAlignment="1">
      <alignment horizontal="center" vertical="center" wrapText="1"/>
    </xf>
    <xf numFmtId="0" fontId="42" fillId="0" borderId="0" xfId="0" applyNumberFormat="1" applyFont="1" applyFill="1" applyBorder="1" applyAlignment="1" applyProtection="1">
      <alignment vertical="center" wrapText="1"/>
      <protection/>
    </xf>
    <xf numFmtId="0" fontId="42" fillId="0" borderId="0" xfId="0" applyFont="1" applyFill="1" applyAlignment="1">
      <alignment/>
    </xf>
    <xf numFmtId="3" fontId="41" fillId="0" borderId="0" xfId="0" applyNumberFormat="1" applyFont="1" applyFill="1" applyBorder="1" applyAlignment="1">
      <alignment horizontal="center" vertical="center" wrapText="1"/>
    </xf>
    <xf numFmtId="49" fontId="38" fillId="0" borderId="14" xfId="0" applyNumberFormat="1" applyFont="1" applyFill="1" applyBorder="1" applyAlignment="1">
      <alignment horizontal="center" vertical="center" textRotation="180" wrapText="1"/>
    </xf>
    <xf numFmtId="4" fontId="33" fillId="0" borderId="0" xfId="0" applyNumberFormat="1" applyFont="1" applyFill="1" applyBorder="1" applyAlignment="1">
      <alignment horizontal="center" vertical="center" wrapText="1"/>
    </xf>
    <xf numFmtId="4" fontId="33" fillId="0" borderId="0" xfId="0" applyNumberFormat="1" applyFont="1" applyFill="1" applyAlignment="1" applyProtection="1">
      <alignment/>
      <protection/>
    </xf>
    <xf numFmtId="49" fontId="36" fillId="0" borderId="17"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textRotation="180" wrapText="1"/>
    </xf>
    <xf numFmtId="192" fontId="35" fillId="0" borderId="16" xfId="0" applyNumberFormat="1" applyFont="1" applyFill="1" applyBorder="1" applyAlignment="1" applyProtection="1">
      <alignment horizontal="right" vertical="center" wrapText="1"/>
      <protection/>
    </xf>
    <xf numFmtId="192" fontId="35" fillId="0" borderId="18" xfId="0" applyNumberFormat="1" applyFont="1" applyFill="1" applyBorder="1" applyAlignment="1" applyProtection="1">
      <alignment horizontal="right" vertical="center" wrapText="1"/>
      <protection/>
    </xf>
    <xf numFmtId="192" fontId="35" fillId="0" borderId="19" xfId="0" applyNumberFormat="1" applyFont="1" applyFill="1" applyBorder="1" applyAlignment="1" applyProtection="1">
      <alignment horizontal="right" vertical="center" wrapText="1"/>
      <protection/>
    </xf>
    <xf numFmtId="192" fontId="39" fillId="0" borderId="0" xfId="0" applyNumberFormat="1" applyFont="1" applyFill="1" applyBorder="1" applyAlignment="1">
      <alignment horizontal="center" vertical="center" wrapText="1"/>
    </xf>
    <xf numFmtId="192" fontId="33" fillId="0" borderId="0" xfId="0" applyNumberFormat="1" applyFont="1" applyFill="1" applyBorder="1" applyAlignment="1">
      <alignment horizontal="center" vertical="center" wrapText="1"/>
    </xf>
    <xf numFmtId="192" fontId="34" fillId="0" borderId="0" xfId="0" applyNumberFormat="1" applyFont="1" applyFill="1" applyBorder="1" applyAlignment="1">
      <alignment horizontal="center" vertical="center" wrapText="1"/>
    </xf>
    <xf numFmtId="192" fontId="33" fillId="0" borderId="0" xfId="0" applyNumberFormat="1" applyFont="1" applyFill="1" applyAlignment="1">
      <alignment/>
    </xf>
    <xf numFmtId="192" fontId="33" fillId="0" borderId="0" xfId="0" applyNumberFormat="1" applyFont="1" applyFill="1" applyAlignment="1" applyProtection="1">
      <alignment/>
      <protection/>
    </xf>
    <xf numFmtId="4" fontId="39" fillId="0" borderId="0" xfId="0" applyNumberFormat="1" applyFont="1" applyFill="1" applyBorder="1" applyAlignment="1">
      <alignment vertical="center" wrapText="1"/>
    </xf>
    <xf numFmtId="4" fontId="39" fillId="0" borderId="0" xfId="0" applyNumberFormat="1" applyFont="1" applyFill="1" applyBorder="1" applyAlignment="1">
      <alignment horizontal="center" vertical="center" wrapText="1"/>
    </xf>
    <xf numFmtId="4" fontId="39" fillId="0" borderId="0" xfId="0" applyNumberFormat="1" applyFont="1" applyFill="1" applyBorder="1" applyAlignment="1" applyProtection="1">
      <alignment vertical="center" wrapText="1"/>
      <protection/>
    </xf>
    <xf numFmtId="4" fontId="33" fillId="0" borderId="0" xfId="0" applyNumberFormat="1" applyFont="1" applyFill="1" applyBorder="1" applyAlignment="1">
      <alignment horizontal="left" vertical="center" wrapText="1"/>
    </xf>
    <xf numFmtId="4" fontId="34" fillId="0" borderId="0" xfId="0" applyNumberFormat="1" applyFont="1" applyFill="1" applyBorder="1" applyAlignment="1">
      <alignment horizontal="center" vertical="center" wrapText="1"/>
    </xf>
    <xf numFmtId="192" fontId="36" fillId="0" borderId="17" xfId="95" applyNumberFormat="1" applyFont="1" applyFill="1" applyBorder="1" applyAlignment="1">
      <alignment vertical="center"/>
      <protection/>
    </xf>
    <xf numFmtId="192" fontId="35" fillId="0" borderId="17" xfId="95" applyNumberFormat="1" applyFont="1" applyFill="1" applyBorder="1" applyAlignment="1">
      <alignment vertical="center"/>
      <protection/>
    </xf>
    <xf numFmtId="192" fontId="0" fillId="0" borderId="0" xfId="0" applyNumberFormat="1" applyFont="1" applyFill="1" applyAlignment="1" applyProtection="1">
      <alignment/>
      <protection/>
    </xf>
    <xf numFmtId="192" fontId="42" fillId="0" borderId="0" xfId="0" applyNumberFormat="1" applyFont="1" applyFill="1" applyBorder="1" applyAlignment="1">
      <alignment horizontal="center" vertical="center" wrapText="1"/>
    </xf>
    <xf numFmtId="192" fontId="41" fillId="0" borderId="0" xfId="0" applyNumberFormat="1" applyFont="1" applyFill="1" applyBorder="1" applyAlignment="1">
      <alignment horizontal="center" vertical="center" wrapText="1"/>
    </xf>
    <xf numFmtId="192" fontId="0" fillId="0" borderId="0" xfId="0" applyNumberFormat="1" applyFont="1" applyFill="1" applyAlignment="1" applyProtection="1">
      <alignment/>
      <protection/>
    </xf>
    <xf numFmtId="0" fontId="35" fillId="0" borderId="13" xfId="0" applyFont="1" applyFill="1" applyBorder="1" applyAlignment="1">
      <alignment horizontal="left" vertical="center" wrapText="1"/>
    </xf>
    <xf numFmtId="4" fontId="36" fillId="0" borderId="18" xfId="95" applyNumberFormat="1" applyFont="1" applyFill="1" applyBorder="1" applyAlignment="1">
      <alignment vertical="center"/>
      <protection/>
    </xf>
    <xf numFmtId="0" fontId="39" fillId="0" borderId="0" xfId="0" applyFont="1" applyFill="1" applyAlignment="1">
      <alignment horizontal="left" vertical="center"/>
    </xf>
    <xf numFmtId="0" fontId="35" fillId="0" borderId="0" xfId="0" applyFont="1" applyFill="1" applyAlignment="1">
      <alignment horizontal="left" vertical="center"/>
    </xf>
    <xf numFmtId="4" fontId="35" fillId="0" borderId="0" xfId="0" applyNumberFormat="1" applyFont="1" applyFill="1" applyAlignment="1">
      <alignment horizontal="left" vertical="center"/>
    </xf>
    <xf numFmtId="0" fontId="33" fillId="0" borderId="0" xfId="0" applyFont="1" applyFill="1" applyAlignment="1">
      <alignment horizontal="left" vertical="center"/>
    </xf>
    <xf numFmtId="0" fontId="32" fillId="0" borderId="0" xfId="0" applyFont="1" applyFill="1" applyAlignment="1">
      <alignment horizontal="left" vertical="center"/>
    </xf>
    <xf numFmtId="4" fontId="35" fillId="0" borderId="19" xfId="95" applyNumberFormat="1" applyFont="1" applyFill="1" applyBorder="1" applyAlignment="1">
      <alignment vertical="center"/>
      <protection/>
    </xf>
    <xf numFmtId="4" fontId="35" fillId="0" borderId="16" xfId="95" applyNumberFormat="1" applyFont="1" applyFill="1" applyBorder="1" applyAlignment="1">
      <alignment vertical="center"/>
      <protection/>
    </xf>
    <xf numFmtId="4"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 fontId="0" fillId="0" borderId="0" xfId="0" applyNumberFormat="1" applyFont="1" applyFill="1" applyBorder="1" applyAlignment="1">
      <alignment horizontal="center"/>
    </xf>
    <xf numFmtId="192" fontId="0" fillId="0" borderId="0" xfId="0" applyNumberFormat="1" applyFont="1" applyFill="1" applyAlignment="1" applyProtection="1">
      <alignment/>
      <protection/>
    </xf>
    <xf numFmtId="4" fontId="0" fillId="0" borderId="0" xfId="0" applyNumberFormat="1" applyFont="1" applyFill="1" applyBorder="1" applyAlignment="1">
      <alignment horizontal="center" vertical="center" wrapText="1"/>
    </xf>
    <xf numFmtId="3" fontId="43" fillId="0" borderId="0" xfId="0" applyNumberFormat="1" applyFont="1" applyFill="1" applyBorder="1" applyAlignment="1">
      <alignment horizontal="center" vertical="center" wrapText="1"/>
    </xf>
    <xf numFmtId="4" fontId="41" fillId="0" borderId="0" xfId="0" applyNumberFormat="1" applyFont="1" applyFill="1" applyBorder="1" applyAlignment="1">
      <alignment horizontal="center" vertical="center" wrapText="1"/>
    </xf>
    <xf numFmtId="4" fontId="33" fillId="0" borderId="0" xfId="0" applyNumberFormat="1" applyFont="1" applyFill="1" applyAlignment="1">
      <alignment/>
    </xf>
    <xf numFmtId="4" fontId="0" fillId="0" borderId="0" xfId="0" applyNumberFormat="1" applyFont="1" applyFill="1" applyAlignment="1" applyProtection="1">
      <alignment/>
      <protection/>
    </xf>
    <xf numFmtId="49" fontId="35" fillId="0" borderId="18" xfId="0" applyNumberFormat="1" applyFont="1" applyFill="1" applyBorder="1" applyAlignment="1">
      <alignment vertical="center"/>
    </xf>
    <xf numFmtId="4" fontId="35" fillId="0" borderId="18" xfId="0" applyNumberFormat="1" applyFont="1" applyFill="1" applyBorder="1" applyAlignment="1" applyProtection="1">
      <alignment vertical="center" wrapText="1"/>
      <protection/>
    </xf>
    <xf numFmtId="4" fontId="35" fillId="0" borderId="19" xfId="0" applyNumberFormat="1" applyFont="1" applyFill="1" applyBorder="1" applyAlignment="1" applyProtection="1">
      <alignment vertical="center" wrapText="1"/>
      <protection/>
    </xf>
    <xf numFmtId="4" fontId="35" fillId="0" borderId="16" xfId="0" applyNumberFormat="1" applyFont="1" applyFill="1" applyBorder="1" applyAlignment="1" applyProtection="1">
      <alignment vertical="center" wrapText="1"/>
      <protection/>
    </xf>
    <xf numFmtId="192" fontId="35" fillId="0" borderId="18" xfId="0" applyNumberFormat="1" applyFont="1" applyFill="1" applyBorder="1" applyAlignment="1" applyProtection="1">
      <alignment vertical="center" wrapText="1"/>
      <protection/>
    </xf>
    <xf numFmtId="192" fontId="35" fillId="0" borderId="19" xfId="0" applyNumberFormat="1" applyFont="1" applyFill="1" applyBorder="1" applyAlignment="1" applyProtection="1">
      <alignment vertical="center" wrapText="1"/>
      <protection/>
    </xf>
    <xf numFmtId="192" fontId="35" fillId="0" borderId="16" xfId="0" applyNumberFormat="1" applyFont="1" applyFill="1" applyBorder="1" applyAlignment="1" applyProtection="1">
      <alignment vertical="center" wrapText="1"/>
      <protection/>
    </xf>
    <xf numFmtId="4" fontId="35" fillId="0" borderId="18" xfId="95" applyNumberFormat="1" applyFont="1" applyFill="1" applyBorder="1" applyAlignment="1">
      <alignment vertical="center"/>
      <protection/>
    </xf>
    <xf numFmtId="0" fontId="0" fillId="0" borderId="19" xfId="0" applyFont="1" applyFill="1" applyBorder="1" applyAlignment="1">
      <alignment/>
    </xf>
    <xf numFmtId="0" fontId="0" fillId="0" borderId="0" xfId="0" applyFont="1" applyFill="1" applyAlignment="1">
      <alignment horizontal="left" vertical="center"/>
    </xf>
    <xf numFmtId="192" fontId="36" fillId="0" borderId="16" xfId="0" applyNumberFormat="1" applyFont="1" applyFill="1" applyBorder="1" applyAlignment="1" applyProtection="1">
      <alignment horizontal="right" vertical="center" wrapText="1"/>
      <protection/>
    </xf>
    <xf numFmtId="4" fontId="36" fillId="0" borderId="16" xfId="0" applyNumberFormat="1" applyFont="1" applyFill="1" applyBorder="1" applyAlignment="1" applyProtection="1">
      <alignment horizontal="right" vertical="center" wrapText="1"/>
      <protection/>
    </xf>
    <xf numFmtId="49" fontId="35" fillId="0" borderId="17" xfId="105" applyNumberFormat="1" applyFont="1" applyFill="1" applyBorder="1" applyAlignment="1">
      <alignment horizontal="center" vertical="center" wrapText="1"/>
      <protection/>
    </xf>
    <xf numFmtId="0" fontId="36" fillId="0" borderId="0" xfId="0" applyNumberFormat="1" applyFont="1" applyFill="1" applyBorder="1" applyAlignment="1" applyProtection="1">
      <alignment/>
      <protection/>
    </xf>
    <xf numFmtId="0" fontId="36" fillId="0" borderId="0" xfId="0" applyFont="1" applyFill="1" applyAlignment="1">
      <alignment/>
    </xf>
    <xf numFmtId="4" fontId="35" fillId="0" borderId="16" xfId="95" applyNumberFormat="1" applyFont="1" applyFill="1" applyBorder="1" applyAlignment="1">
      <alignment horizontal="center" vertical="center"/>
      <protection/>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192" fontId="35" fillId="0" borderId="18" xfId="95" applyNumberFormat="1" applyFont="1" applyFill="1" applyBorder="1" applyAlignment="1">
      <alignment horizontal="right" vertical="center"/>
      <protection/>
    </xf>
    <xf numFmtId="192" fontId="35" fillId="0" borderId="19" xfId="95" applyNumberFormat="1" applyFont="1" applyFill="1" applyBorder="1" applyAlignment="1">
      <alignment horizontal="right" vertical="center"/>
      <protection/>
    </xf>
    <xf numFmtId="192" fontId="35" fillId="0" borderId="16" xfId="95" applyNumberFormat="1" applyFont="1" applyFill="1" applyBorder="1" applyAlignment="1">
      <alignment horizontal="right" vertical="center"/>
      <protection/>
    </xf>
    <xf numFmtId="49" fontId="38" fillId="0" borderId="0" xfId="0" applyNumberFormat="1" applyFont="1" applyFill="1" applyBorder="1" applyAlignment="1">
      <alignment horizontal="center" vertical="center" textRotation="180" wrapText="1"/>
    </xf>
    <xf numFmtId="0" fontId="35" fillId="0" borderId="18"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left" vertical="center" wrapText="1"/>
    </xf>
    <xf numFmtId="4" fontId="33" fillId="0" borderId="0" xfId="0" applyNumberFormat="1" applyFont="1" applyFill="1" applyBorder="1" applyAlignment="1">
      <alignment horizontal="left" vertical="center" wrapText="1"/>
    </xf>
    <xf numFmtId="49" fontId="39" fillId="0" borderId="0" xfId="0" applyNumberFormat="1" applyFont="1" applyFill="1" applyBorder="1" applyAlignment="1">
      <alignment horizontal="left" vertical="center" wrapText="1"/>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49" fontId="38" fillId="0" borderId="0" xfId="0" applyNumberFormat="1" applyFont="1" applyFill="1" applyAlignment="1">
      <alignment horizontal="center" vertical="center" textRotation="180" wrapText="1"/>
    </xf>
    <xf numFmtId="0" fontId="34" fillId="0" borderId="0" xfId="0" applyNumberFormat="1" applyFont="1" applyFill="1" applyBorder="1" applyAlignment="1" applyProtection="1">
      <alignment horizontal="center" vertical="top" wrapText="1"/>
      <protection/>
    </xf>
    <xf numFmtId="0" fontId="35" fillId="0" borderId="19" xfId="0" applyNumberFormat="1" applyFont="1" applyFill="1" applyBorder="1" applyAlignment="1" applyProtection="1">
      <alignment horizontal="center" vertical="center"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textRotation="90" wrapText="1"/>
      <protection/>
    </xf>
    <xf numFmtId="0" fontId="35" fillId="0" borderId="19" xfId="0" applyNumberFormat="1" applyFont="1" applyFill="1" applyBorder="1" applyAlignment="1" applyProtection="1">
      <alignment horizontal="center" vertical="center" textRotation="90" wrapText="1"/>
      <protection/>
    </xf>
    <xf numFmtId="0" fontId="35" fillId="0" borderId="16" xfId="0" applyNumberFormat="1" applyFont="1" applyFill="1" applyBorder="1" applyAlignment="1" applyProtection="1">
      <alignment horizontal="center" vertical="center" textRotation="90" wrapText="1"/>
      <protection/>
    </xf>
    <xf numFmtId="0" fontId="39" fillId="0" borderId="0" xfId="0" applyFont="1" applyFill="1" applyAlignment="1">
      <alignment horizontal="left" vertical="center"/>
    </xf>
    <xf numFmtId="4" fontId="39" fillId="0" borderId="0" xfId="0" applyNumberFormat="1" applyFont="1" applyFill="1" applyBorder="1" applyAlignment="1">
      <alignment horizontal="center" vertical="center" wrapText="1"/>
    </xf>
    <xf numFmtId="0" fontId="39" fillId="0" borderId="0" xfId="0" applyFont="1" applyFill="1" applyAlignment="1">
      <alignment horizontal="left" vertical="center" wrapText="1"/>
    </xf>
    <xf numFmtId="4" fontId="35" fillId="0" borderId="0" xfId="0" applyNumberFormat="1" applyFont="1" applyFill="1" applyAlignment="1">
      <alignment horizontal="center" vertical="center"/>
    </xf>
    <xf numFmtId="4" fontId="35" fillId="0" borderId="18" xfId="95" applyNumberFormat="1" applyFont="1" applyFill="1" applyBorder="1" applyAlignment="1">
      <alignment horizontal="center" vertical="center"/>
      <protection/>
    </xf>
    <xf numFmtId="4" fontId="35" fillId="0" borderId="19" xfId="95" applyNumberFormat="1" applyFont="1" applyFill="1" applyBorder="1" applyAlignment="1">
      <alignment horizontal="center" vertical="center"/>
      <protection/>
    </xf>
    <xf numFmtId="0" fontId="0" fillId="0" borderId="16" xfId="0" applyFont="1" applyFill="1" applyBorder="1" applyAlignment="1">
      <alignment/>
    </xf>
    <xf numFmtId="3" fontId="42" fillId="0" borderId="0" xfId="0" applyNumberFormat="1" applyFont="1" applyFill="1" applyBorder="1" applyAlignment="1">
      <alignment horizontal="center" vertical="center" wrapText="1"/>
    </xf>
    <xf numFmtId="4" fontId="35" fillId="0" borderId="18"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horizontal="center" vertical="center" wrapText="1"/>
      <protection/>
    </xf>
    <xf numFmtId="49" fontId="38" fillId="0" borderId="14" xfId="0" applyNumberFormat="1" applyFont="1" applyFill="1" applyBorder="1" applyAlignment="1">
      <alignment horizontal="center" vertical="center" textRotation="180" wrapText="1"/>
    </xf>
    <xf numFmtId="0" fontId="33" fillId="0" borderId="0" xfId="0" applyFont="1" applyFill="1" applyAlignment="1">
      <alignment horizontal="center"/>
    </xf>
    <xf numFmtId="3" fontId="33"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33" fillId="0" borderId="12" xfId="0" applyFont="1" applyFill="1" applyBorder="1" applyAlignment="1">
      <alignment/>
    </xf>
    <xf numFmtId="3" fontId="33" fillId="0" borderId="12" xfId="0" applyNumberFormat="1" applyFont="1" applyFill="1" applyBorder="1" applyAlignment="1">
      <alignment/>
    </xf>
    <xf numFmtId="0" fontId="33" fillId="0" borderId="12" xfId="0"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 2,3    (с)"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Y216"/>
  <sheetViews>
    <sheetView showGridLines="0" showZeros="0" view="pageBreakPreview" zoomScale="55" zoomScaleNormal="70" zoomScaleSheetLayoutView="55" workbookViewId="0" topLeftCell="B1">
      <selection activeCell="B7" sqref="B7:W7"/>
    </sheetView>
  </sheetViews>
  <sheetFormatPr defaultColWidth="9.16015625" defaultRowHeight="12.75"/>
  <cols>
    <col min="1" max="1" width="3.83203125" style="106" hidden="1" customWidth="1"/>
    <col min="2" max="3" width="11.66015625" style="106" customWidth="1"/>
    <col min="4" max="4" width="46" style="106" customWidth="1"/>
    <col min="5" max="6" width="18.83203125" style="106" customWidth="1"/>
    <col min="7" max="7" width="17.33203125" style="106" customWidth="1"/>
    <col min="8" max="8" width="19" style="106" customWidth="1"/>
    <col min="9" max="9" width="17.5" style="106" customWidth="1"/>
    <col min="10" max="10" width="18.66015625" style="106" customWidth="1"/>
    <col min="11" max="11" width="14.5" style="106" customWidth="1"/>
    <col min="12" max="12" width="16.33203125" style="106" customWidth="1"/>
    <col min="13" max="13" width="15.83203125" style="106" customWidth="1"/>
    <col min="14" max="14" width="18.16015625" style="106" customWidth="1"/>
    <col min="15" max="15" width="14.16015625" style="106" customWidth="1"/>
    <col min="16" max="22" width="19" style="106" customWidth="1"/>
    <col min="23" max="23" width="21.33203125" style="106" customWidth="1"/>
    <col min="24" max="24" width="6.16015625" style="44" customWidth="1"/>
    <col min="25" max="25" width="20.83203125" style="124" customWidth="1"/>
    <col min="26" max="26" width="14.16015625" style="105" bestFit="1" customWidth="1"/>
    <col min="27" max="16384" width="9.16015625" style="105" customWidth="1"/>
  </cols>
  <sheetData>
    <row r="1" spans="1:24" ht="26.25">
      <c r="A1" s="1"/>
      <c r="B1" s="1"/>
      <c r="C1" s="1"/>
      <c r="D1" s="1"/>
      <c r="E1" s="1"/>
      <c r="F1" s="1"/>
      <c r="G1" s="1"/>
      <c r="H1" s="1"/>
      <c r="I1" s="1"/>
      <c r="J1" s="1"/>
      <c r="K1" s="1"/>
      <c r="L1" s="1"/>
      <c r="M1" s="1"/>
      <c r="N1" s="40"/>
      <c r="O1" s="40"/>
      <c r="P1" s="40"/>
      <c r="Q1" s="40"/>
      <c r="R1" s="157" t="s">
        <v>320</v>
      </c>
      <c r="S1" s="157"/>
      <c r="T1" s="157"/>
      <c r="U1" s="157"/>
      <c r="V1" s="157"/>
      <c r="W1" s="157"/>
      <c r="X1" s="145"/>
    </row>
    <row r="2" spans="14:24" ht="26.25">
      <c r="N2" s="59"/>
      <c r="O2" s="40"/>
      <c r="P2" s="40"/>
      <c r="Q2" s="40"/>
      <c r="R2" s="157" t="s">
        <v>284</v>
      </c>
      <c r="S2" s="157"/>
      <c r="T2" s="157"/>
      <c r="U2" s="157"/>
      <c r="V2" s="157"/>
      <c r="W2" s="157"/>
      <c r="X2" s="145"/>
    </row>
    <row r="3" spans="14:24" ht="26.25" customHeight="1">
      <c r="N3" s="61"/>
      <c r="O3" s="61"/>
      <c r="P3" s="61"/>
      <c r="Q3" s="61"/>
      <c r="R3" s="159" t="s">
        <v>283</v>
      </c>
      <c r="S3" s="159"/>
      <c r="T3" s="159"/>
      <c r="U3" s="159"/>
      <c r="V3" s="159"/>
      <c r="W3" s="159"/>
      <c r="X3" s="145"/>
    </row>
    <row r="4" spans="14:24" ht="26.25" customHeight="1">
      <c r="N4" s="61"/>
      <c r="O4" s="61"/>
      <c r="P4" s="61"/>
      <c r="Q4" s="61"/>
      <c r="R4" s="159" t="s">
        <v>348</v>
      </c>
      <c r="S4" s="159"/>
      <c r="T4" s="159"/>
      <c r="U4" s="159"/>
      <c r="V4" s="159"/>
      <c r="W4" s="159"/>
      <c r="X4" s="145"/>
    </row>
    <row r="5" spans="14:24" ht="26.25">
      <c r="N5" s="40"/>
      <c r="O5" s="40"/>
      <c r="P5" s="40"/>
      <c r="Q5" s="40"/>
      <c r="R5" s="157" t="s">
        <v>352</v>
      </c>
      <c r="S5" s="157"/>
      <c r="T5" s="157"/>
      <c r="U5" s="157"/>
      <c r="V5" s="157"/>
      <c r="W5" s="157"/>
      <c r="X5" s="145"/>
    </row>
    <row r="6" spans="14:24" ht="55.5" customHeight="1">
      <c r="N6" s="40"/>
      <c r="O6" s="40"/>
      <c r="P6" s="41"/>
      <c r="Q6" s="41"/>
      <c r="R6" s="41"/>
      <c r="S6" s="41"/>
      <c r="T6" s="41"/>
      <c r="U6" s="41"/>
      <c r="V6" s="41"/>
      <c r="W6" s="41"/>
      <c r="X6" s="145"/>
    </row>
    <row r="7" spans="2:24" ht="57" customHeight="1">
      <c r="B7" s="146" t="s">
        <v>323</v>
      </c>
      <c r="C7" s="146"/>
      <c r="D7" s="146"/>
      <c r="E7" s="146"/>
      <c r="F7" s="146"/>
      <c r="G7" s="146"/>
      <c r="H7" s="146"/>
      <c r="I7" s="146"/>
      <c r="J7" s="146"/>
      <c r="K7" s="146"/>
      <c r="L7" s="146"/>
      <c r="M7" s="146"/>
      <c r="N7" s="146"/>
      <c r="O7" s="146"/>
      <c r="P7" s="146"/>
      <c r="Q7" s="146"/>
      <c r="R7" s="146"/>
      <c r="S7" s="146"/>
      <c r="T7" s="146"/>
      <c r="U7" s="146"/>
      <c r="V7" s="146"/>
      <c r="W7" s="146"/>
      <c r="X7" s="145"/>
    </row>
    <row r="8" spans="2:24" ht="18.75">
      <c r="B8" s="107"/>
      <c r="C8" s="107"/>
      <c r="D8" s="107"/>
      <c r="E8" s="107"/>
      <c r="F8" s="5"/>
      <c r="G8" s="2"/>
      <c r="H8" s="60"/>
      <c r="I8" s="60"/>
      <c r="J8" s="60"/>
      <c r="K8" s="60"/>
      <c r="L8" s="3"/>
      <c r="M8" s="4"/>
      <c r="N8" s="4"/>
      <c r="O8" s="4"/>
      <c r="P8" s="4"/>
      <c r="Q8" s="4"/>
      <c r="R8" s="4"/>
      <c r="S8" s="4"/>
      <c r="T8" s="4"/>
      <c r="U8" s="4"/>
      <c r="V8" s="4"/>
      <c r="W8" s="39" t="s">
        <v>13</v>
      </c>
      <c r="X8" s="145"/>
    </row>
    <row r="9" spans="1:25" s="17" customFormat="1" ht="21.75" customHeight="1">
      <c r="A9" s="16"/>
      <c r="B9" s="138" t="s">
        <v>12</v>
      </c>
      <c r="C9" s="138" t="s">
        <v>10</v>
      </c>
      <c r="D9" s="138" t="s">
        <v>232</v>
      </c>
      <c r="E9" s="153" t="s">
        <v>0</v>
      </c>
      <c r="F9" s="153"/>
      <c r="G9" s="153"/>
      <c r="H9" s="153"/>
      <c r="I9" s="153"/>
      <c r="J9" s="153"/>
      <c r="K9" s="154" t="s">
        <v>321</v>
      </c>
      <c r="L9" s="153" t="s">
        <v>1</v>
      </c>
      <c r="M9" s="153"/>
      <c r="N9" s="153"/>
      <c r="O9" s="153"/>
      <c r="P9" s="153"/>
      <c r="Q9" s="153"/>
      <c r="R9" s="153"/>
      <c r="S9" s="153"/>
      <c r="T9" s="153"/>
      <c r="U9" s="153"/>
      <c r="V9" s="154" t="s">
        <v>322</v>
      </c>
      <c r="W9" s="138" t="s">
        <v>2</v>
      </c>
      <c r="X9" s="145"/>
      <c r="Y9" s="98"/>
    </row>
    <row r="10" spans="1:25" s="17" customFormat="1" ht="21.75" customHeight="1">
      <c r="A10" s="18"/>
      <c r="B10" s="147"/>
      <c r="C10" s="147"/>
      <c r="D10" s="147"/>
      <c r="E10" s="153" t="s">
        <v>281</v>
      </c>
      <c r="F10" s="153"/>
      <c r="G10" s="153"/>
      <c r="H10" s="153" t="s">
        <v>282</v>
      </c>
      <c r="I10" s="153"/>
      <c r="J10" s="153"/>
      <c r="K10" s="155"/>
      <c r="L10" s="153" t="s">
        <v>281</v>
      </c>
      <c r="M10" s="153"/>
      <c r="N10" s="153"/>
      <c r="O10" s="153"/>
      <c r="P10" s="153"/>
      <c r="Q10" s="153" t="s">
        <v>282</v>
      </c>
      <c r="R10" s="153"/>
      <c r="S10" s="153"/>
      <c r="T10" s="153"/>
      <c r="U10" s="153"/>
      <c r="V10" s="155"/>
      <c r="W10" s="147"/>
      <c r="X10" s="145"/>
      <c r="Y10" s="98"/>
    </row>
    <row r="11" spans="1:25" s="17" customFormat="1" ht="16.5" customHeight="1">
      <c r="A11" s="18"/>
      <c r="B11" s="147"/>
      <c r="C11" s="147"/>
      <c r="D11" s="147"/>
      <c r="E11" s="138" t="s">
        <v>3</v>
      </c>
      <c r="F11" s="151" t="s">
        <v>5</v>
      </c>
      <c r="G11" s="152"/>
      <c r="H11" s="138" t="s">
        <v>3</v>
      </c>
      <c r="I11" s="151" t="s">
        <v>5</v>
      </c>
      <c r="J11" s="152"/>
      <c r="K11" s="155"/>
      <c r="L11" s="138" t="s">
        <v>3</v>
      </c>
      <c r="M11" s="148" t="s">
        <v>4</v>
      </c>
      <c r="N11" s="151" t="s">
        <v>5</v>
      </c>
      <c r="O11" s="152"/>
      <c r="P11" s="148" t="s">
        <v>6</v>
      </c>
      <c r="Q11" s="138" t="s">
        <v>3</v>
      </c>
      <c r="R11" s="148" t="s">
        <v>4</v>
      </c>
      <c r="S11" s="151" t="s">
        <v>5</v>
      </c>
      <c r="T11" s="152"/>
      <c r="U11" s="148" t="s">
        <v>6</v>
      </c>
      <c r="V11" s="155"/>
      <c r="W11" s="147"/>
      <c r="X11" s="145"/>
      <c r="Y11" s="98"/>
    </row>
    <row r="12" spans="1:25" s="17" customFormat="1" ht="20.25" customHeight="1">
      <c r="A12" s="19"/>
      <c r="B12" s="147"/>
      <c r="C12" s="147"/>
      <c r="D12" s="147"/>
      <c r="E12" s="147"/>
      <c r="F12" s="138" t="s">
        <v>7</v>
      </c>
      <c r="G12" s="138" t="s">
        <v>8</v>
      </c>
      <c r="H12" s="147"/>
      <c r="I12" s="138" t="s">
        <v>7</v>
      </c>
      <c r="J12" s="138" t="s">
        <v>8</v>
      </c>
      <c r="K12" s="155"/>
      <c r="L12" s="147"/>
      <c r="M12" s="149"/>
      <c r="N12" s="138" t="s">
        <v>7</v>
      </c>
      <c r="O12" s="138" t="s">
        <v>8</v>
      </c>
      <c r="P12" s="149"/>
      <c r="Q12" s="147"/>
      <c r="R12" s="149"/>
      <c r="S12" s="138" t="s">
        <v>7</v>
      </c>
      <c r="T12" s="138" t="s">
        <v>8</v>
      </c>
      <c r="U12" s="149"/>
      <c r="V12" s="155"/>
      <c r="W12" s="147"/>
      <c r="X12" s="145"/>
      <c r="Y12" s="98"/>
    </row>
    <row r="13" spans="1:25" s="17" customFormat="1" ht="110.25" customHeight="1">
      <c r="A13" s="20"/>
      <c r="B13" s="139"/>
      <c r="C13" s="139"/>
      <c r="D13" s="139"/>
      <c r="E13" s="139"/>
      <c r="F13" s="139"/>
      <c r="G13" s="139"/>
      <c r="H13" s="139"/>
      <c r="I13" s="139"/>
      <c r="J13" s="139"/>
      <c r="K13" s="156"/>
      <c r="L13" s="139"/>
      <c r="M13" s="150"/>
      <c r="N13" s="139"/>
      <c r="O13" s="139"/>
      <c r="P13" s="150"/>
      <c r="Q13" s="139"/>
      <c r="R13" s="150"/>
      <c r="S13" s="139"/>
      <c r="T13" s="139"/>
      <c r="U13" s="150"/>
      <c r="V13" s="156"/>
      <c r="W13" s="139"/>
      <c r="X13" s="145"/>
      <c r="Y13" s="98"/>
    </row>
    <row r="14" spans="1:25" s="17" customFormat="1" ht="15">
      <c r="A14" s="20"/>
      <c r="B14" s="49" t="s">
        <v>252</v>
      </c>
      <c r="C14" s="47"/>
      <c r="D14" s="50" t="s">
        <v>253</v>
      </c>
      <c r="E14" s="64">
        <f>E15</f>
        <v>65573515</v>
      </c>
      <c r="F14" s="64">
        <f aca="true" t="shared" si="0" ref="F14:W14">F15</f>
        <v>44833145</v>
      </c>
      <c r="G14" s="64">
        <f t="shared" si="0"/>
        <v>2728341</v>
      </c>
      <c r="H14" s="64">
        <f t="shared" si="0"/>
        <v>31274183.47</v>
      </c>
      <c r="I14" s="64">
        <f t="shared" si="0"/>
        <v>22257977.94</v>
      </c>
      <c r="J14" s="64">
        <f t="shared" si="0"/>
        <v>1321632.8900000001</v>
      </c>
      <c r="K14" s="125">
        <f>H14/E14*100</f>
        <v>47.69331561683097</v>
      </c>
      <c r="L14" s="64">
        <f t="shared" si="0"/>
        <v>7849814</v>
      </c>
      <c r="M14" s="64">
        <f t="shared" si="0"/>
        <v>2280164</v>
      </c>
      <c r="N14" s="64">
        <f t="shared" si="0"/>
        <v>1413770</v>
      </c>
      <c r="O14" s="64">
        <f t="shared" si="0"/>
        <v>50946</v>
      </c>
      <c r="P14" s="64">
        <f t="shared" si="0"/>
        <v>5569650</v>
      </c>
      <c r="Q14" s="64">
        <f t="shared" si="0"/>
        <v>2899239.71</v>
      </c>
      <c r="R14" s="64">
        <f t="shared" si="0"/>
        <v>1086107.02</v>
      </c>
      <c r="S14" s="64">
        <f t="shared" si="0"/>
        <v>836307.3500000001</v>
      </c>
      <c r="T14" s="64">
        <f t="shared" si="0"/>
        <v>29739.54</v>
      </c>
      <c r="U14" s="64">
        <f t="shared" si="0"/>
        <v>1813132.69</v>
      </c>
      <c r="V14" s="125">
        <f>Q14/L14*100</f>
        <v>36.933865057184796</v>
      </c>
      <c r="W14" s="64">
        <f t="shared" si="0"/>
        <v>34173423.18</v>
      </c>
      <c r="X14" s="145"/>
      <c r="Y14" s="99"/>
    </row>
    <row r="15" spans="1:25" s="17" customFormat="1" ht="15">
      <c r="A15" s="20"/>
      <c r="B15" s="24" t="s">
        <v>11</v>
      </c>
      <c r="C15" s="24" t="s">
        <v>9</v>
      </c>
      <c r="D15" s="51" t="s">
        <v>15</v>
      </c>
      <c r="E15" s="53">
        <f>'дод. 3'!E15+'дод. 3'!E47+'дод. 3'!E65+'дод. 3'!E75+'дод. 3'!E120+'дод. 3'!E123+'дод. 3'!E129+'дод. 3'!E150+'дод. 3'!E158+'дод. 3'!E172+'дод. 3'!E183+'дод. 3'!E185+'дод. 3'!E188+'дод. 3'!E154+'дод. 3'!E177</f>
        <v>65573515</v>
      </c>
      <c r="F15" s="53">
        <f>'дод. 3'!F15+'дод. 3'!F47+'дод. 3'!F65+'дод. 3'!F75+'дод. 3'!F120+'дод. 3'!F123+'дод. 3'!F129+'дод. 3'!F150+'дод. 3'!F158+'дод. 3'!F172+'дод. 3'!F183+'дод. 3'!F185+'дод. 3'!F188+'дод. 3'!F154+'дод. 3'!F177</f>
        <v>44833145</v>
      </c>
      <c r="G15" s="53">
        <f>'дод. 3'!G15+'дод. 3'!G47+'дод. 3'!G65+'дод. 3'!G75+'дод. 3'!G120+'дод. 3'!G123+'дод. 3'!G129+'дод. 3'!G150+'дод. 3'!G158+'дод. 3'!G172+'дод. 3'!G183+'дод. 3'!G185+'дод. 3'!G188+'дод. 3'!G154+'дод. 3'!G177</f>
        <v>2728341</v>
      </c>
      <c r="H15" s="53">
        <f>'дод. 3'!H15+'дод. 3'!H47+'дод. 3'!H65+'дод. 3'!H75+'дод. 3'!H120+'дод. 3'!H123+'дод. 3'!H129+'дод. 3'!H150+'дод. 3'!H158+'дод. 3'!H172+'дод. 3'!H183+'дод. 3'!H185+'дод. 3'!H188+'дод. 3'!H154+'дод. 3'!H177</f>
        <v>31274183.47</v>
      </c>
      <c r="I15" s="53">
        <f>'дод. 3'!I15+'дод. 3'!I47+'дод. 3'!I65+'дод. 3'!I75+'дод. 3'!I120+'дод. 3'!I123+'дод. 3'!I129+'дод. 3'!I150+'дод. 3'!I158+'дод. 3'!I172+'дод. 3'!I183+'дод. 3'!I185+'дод. 3'!I188+'дод. 3'!I154+'дод. 3'!I177</f>
        <v>22257977.94</v>
      </c>
      <c r="J15" s="53">
        <f>'дод. 3'!J15+'дод. 3'!J47+'дод. 3'!J65+'дод. 3'!J75+'дод. 3'!J120+'дод. 3'!J123+'дод. 3'!J129+'дод. 3'!J150+'дод. 3'!J158+'дод. 3'!J172+'дод. 3'!J183+'дод. 3'!J185+'дод. 3'!J188+'дод. 3'!J154+'дод. 3'!J177</f>
        <v>1321632.8900000001</v>
      </c>
      <c r="K15" s="76">
        <f>H15/E15*100</f>
        <v>47.69331561683097</v>
      </c>
      <c r="L15" s="53">
        <f>M15+P15</f>
        <v>7849814</v>
      </c>
      <c r="M15" s="53">
        <f>'дод. 3'!M15+'дод. 3'!M47+'дод. 3'!M65+'дод. 3'!M75+'дод. 3'!M120+'дод. 3'!M123+'дод. 3'!M129+'дод. 3'!M150+'дод. 3'!M158+'дод. 3'!M172+'дод. 3'!M183+'дод. 3'!M185+'дод. 3'!M188+'дод. 3'!M154+'дод. 3'!M177</f>
        <v>2280164</v>
      </c>
      <c r="N15" s="53">
        <f>'дод. 3'!N15+'дод. 3'!N47+'дод. 3'!N65+'дод. 3'!N75+'дод. 3'!N120+'дод. 3'!N123+'дод. 3'!N129+'дод. 3'!N150+'дод. 3'!N158+'дод. 3'!N172+'дод. 3'!N183+'дод. 3'!N185+'дод. 3'!N188+'дод. 3'!N154+'дод. 3'!N177</f>
        <v>1413770</v>
      </c>
      <c r="O15" s="53">
        <f>'дод. 3'!O15+'дод. 3'!O47+'дод. 3'!O65+'дод. 3'!O75+'дод. 3'!O120+'дод. 3'!O123+'дод. 3'!O129+'дод. 3'!O150+'дод. 3'!O158+'дод. 3'!O172+'дод. 3'!O183+'дод. 3'!O185+'дод. 3'!O188+'дод. 3'!O154+'дод. 3'!O177</f>
        <v>50946</v>
      </c>
      <c r="P15" s="53">
        <f>'дод. 3'!P15+'дод. 3'!P47+'дод. 3'!P65+'дод. 3'!P75+'дод. 3'!P120+'дод. 3'!P123+'дод. 3'!P129+'дод. 3'!P150+'дод. 3'!P158+'дод. 3'!P172+'дод. 3'!P183+'дод. 3'!P185+'дод. 3'!P188+'дод. 3'!P154+'дод. 3'!P177</f>
        <v>5569650</v>
      </c>
      <c r="Q15" s="53">
        <f>R15+U15</f>
        <v>2899239.71</v>
      </c>
      <c r="R15" s="53">
        <f>'дод. 3'!R15+'дод. 3'!R47+'дод. 3'!R65+'дод. 3'!R75+'дод. 3'!R120+'дод. 3'!R123+'дод. 3'!R129+'дод. 3'!R150+'дод. 3'!R158+'дод. 3'!R172+'дод. 3'!R183+'дод. 3'!R185+'дод. 3'!R188+'дод. 3'!R154+'дод. 3'!R177</f>
        <v>1086107.02</v>
      </c>
      <c r="S15" s="53">
        <f>'дод. 3'!S15+'дод. 3'!S47+'дод. 3'!S65+'дод. 3'!S75+'дод. 3'!S120+'дод. 3'!S123+'дод. 3'!S129+'дод. 3'!S150+'дод. 3'!S158+'дод. 3'!S172+'дод. 3'!S183+'дод. 3'!S185+'дод. 3'!S188+'дод. 3'!S154+'дод. 3'!S177</f>
        <v>836307.3500000001</v>
      </c>
      <c r="T15" s="53">
        <f>'дод. 3'!T15+'дод. 3'!T47+'дод. 3'!T65+'дод. 3'!T75+'дод. 3'!T120+'дод. 3'!T123+'дод. 3'!T129+'дод. 3'!T150+'дод. 3'!T158+'дод. 3'!T172+'дод. 3'!T183+'дод. 3'!T185+'дод. 3'!T188+'дод. 3'!T154+'дод. 3'!T177</f>
        <v>29739.54</v>
      </c>
      <c r="U15" s="53">
        <f>'дод. 3'!U15+'дод. 3'!U47+'дод. 3'!U65+'дод. 3'!U75+'дод. 3'!U120+'дод. 3'!U123+'дод. 3'!U129+'дод. 3'!U150+'дод. 3'!U158+'дод. 3'!U172+'дод. 3'!U183+'дод. 3'!U185+'дод. 3'!U188+'дод. 3'!U154+'дод. 3'!U177</f>
        <v>1813132.69</v>
      </c>
      <c r="V15" s="76">
        <f>Q15/L15*100</f>
        <v>36.933865057184796</v>
      </c>
      <c r="W15" s="53">
        <f>H15+Q15</f>
        <v>34173423.18</v>
      </c>
      <c r="X15" s="145"/>
      <c r="Y15" s="99"/>
    </row>
    <row r="16" spans="1:25" s="17" customFormat="1" ht="15">
      <c r="A16" s="20"/>
      <c r="B16" s="49" t="s">
        <v>254</v>
      </c>
      <c r="C16" s="47"/>
      <c r="D16" s="50" t="s">
        <v>255</v>
      </c>
      <c r="E16" s="64">
        <f>SUM(E17:E29)</f>
        <v>427160257.29</v>
      </c>
      <c r="F16" s="64">
        <f aca="true" t="shared" si="1" ref="F16:W16">SUM(F17:F29)</f>
        <v>246891874</v>
      </c>
      <c r="G16" s="64">
        <f t="shared" si="1"/>
        <v>59693086</v>
      </c>
      <c r="H16" s="64">
        <f t="shared" si="1"/>
        <v>217253001.87000006</v>
      </c>
      <c r="I16" s="64">
        <f t="shared" si="1"/>
        <v>129113341.79</v>
      </c>
      <c r="J16" s="64">
        <f t="shared" si="1"/>
        <v>32885560.850000005</v>
      </c>
      <c r="K16" s="125">
        <f aca="true" t="shared" si="2" ref="K16:K38">H16/E16*100</f>
        <v>50.8598349594369</v>
      </c>
      <c r="L16" s="64">
        <f t="shared" si="1"/>
        <v>53294440.45</v>
      </c>
      <c r="M16" s="64">
        <f t="shared" si="1"/>
        <v>36241117</v>
      </c>
      <c r="N16" s="64">
        <f t="shared" si="1"/>
        <v>2470383</v>
      </c>
      <c r="O16" s="64">
        <f t="shared" si="1"/>
        <v>1518188</v>
      </c>
      <c r="P16" s="64">
        <f t="shared" si="1"/>
        <v>17053323.45</v>
      </c>
      <c r="Q16" s="64">
        <f t="shared" si="1"/>
        <v>25025775.420000006</v>
      </c>
      <c r="R16" s="64">
        <f t="shared" si="1"/>
        <v>14450456.729999999</v>
      </c>
      <c r="S16" s="64">
        <f t="shared" si="1"/>
        <v>975455.27</v>
      </c>
      <c r="T16" s="64">
        <f t="shared" si="1"/>
        <v>708770.92</v>
      </c>
      <c r="U16" s="64">
        <f t="shared" si="1"/>
        <v>10575318.69</v>
      </c>
      <c r="V16" s="125">
        <f aca="true" t="shared" si="3" ref="V16:V39">Q16/L16*100</f>
        <v>46.957572325914164</v>
      </c>
      <c r="W16" s="64">
        <f t="shared" si="1"/>
        <v>242278777.29000002</v>
      </c>
      <c r="X16" s="145"/>
      <c r="Y16" s="99"/>
    </row>
    <row r="17" spans="1:25" s="17" customFormat="1" ht="15">
      <c r="A17" s="20"/>
      <c r="B17" s="24" t="s">
        <v>60</v>
      </c>
      <c r="C17" s="24" t="s">
        <v>194</v>
      </c>
      <c r="D17" s="25" t="s">
        <v>61</v>
      </c>
      <c r="E17" s="53">
        <f>'дод. 3'!E48</f>
        <v>112992970</v>
      </c>
      <c r="F17" s="53">
        <f>'дод. 3'!F48</f>
        <v>63819890</v>
      </c>
      <c r="G17" s="53">
        <f>'дод. 3'!G48</f>
        <v>19789563</v>
      </c>
      <c r="H17" s="53">
        <f>'дод. 3'!H48</f>
        <v>55533589.71</v>
      </c>
      <c r="I17" s="53">
        <f>'дод. 3'!I48</f>
        <v>31669690.23</v>
      </c>
      <c r="J17" s="53">
        <f>'дод. 3'!J48</f>
        <v>10406630.55</v>
      </c>
      <c r="K17" s="76">
        <f t="shared" si="2"/>
        <v>49.14782725863388</v>
      </c>
      <c r="L17" s="53">
        <f>M17+P17</f>
        <v>15237978</v>
      </c>
      <c r="M17" s="53">
        <f>'дод. 3'!M48</f>
        <v>11284686</v>
      </c>
      <c r="N17" s="53">
        <f>'дод. 3'!N48</f>
        <v>0</v>
      </c>
      <c r="O17" s="53">
        <f>'дод. 3'!O48</f>
        <v>0</v>
      </c>
      <c r="P17" s="53">
        <f>'дод. 3'!P48</f>
        <v>3953292</v>
      </c>
      <c r="Q17" s="53">
        <f>R17+U17</f>
        <v>7251929.85</v>
      </c>
      <c r="R17" s="53">
        <f>'дод. 3'!R48</f>
        <v>4956207.09</v>
      </c>
      <c r="S17" s="53">
        <f>'дод. 3'!S48</f>
        <v>0</v>
      </c>
      <c r="T17" s="53">
        <f>'дод. 3'!T48</f>
        <v>0</v>
      </c>
      <c r="U17" s="53">
        <f>'дод. 3'!U48</f>
        <v>2295722.76</v>
      </c>
      <c r="V17" s="76">
        <f t="shared" si="3"/>
        <v>47.5911557950799</v>
      </c>
      <c r="W17" s="53">
        <f aca="true" t="shared" si="4" ref="W17:W29">H17+Q17</f>
        <v>62785519.56</v>
      </c>
      <c r="X17" s="145"/>
      <c r="Y17" s="99"/>
    </row>
    <row r="18" spans="1:25" s="17" customFormat="1" ht="60">
      <c r="A18" s="20"/>
      <c r="B18" s="24" t="s">
        <v>62</v>
      </c>
      <c r="C18" s="24" t="s">
        <v>195</v>
      </c>
      <c r="D18" s="25" t="s">
        <v>63</v>
      </c>
      <c r="E18" s="53">
        <f>'дод. 3'!E49</f>
        <v>232906550.54000002</v>
      </c>
      <c r="F18" s="53">
        <f>'дод. 3'!F49</f>
        <v>140528799</v>
      </c>
      <c r="G18" s="53">
        <f>'дод. 3'!G49</f>
        <v>31014749</v>
      </c>
      <c r="H18" s="53">
        <f>'дод. 3'!H49</f>
        <v>122689490.36</v>
      </c>
      <c r="I18" s="53">
        <f>'дод. 3'!I49</f>
        <v>76131257.13</v>
      </c>
      <c r="J18" s="53">
        <f>'дод. 3'!J49</f>
        <v>17284085.17</v>
      </c>
      <c r="K18" s="76">
        <f t="shared" si="2"/>
        <v>52.6775610542259</v>
      </c>
      <c r="L18" s="53">
        <f aca="true" t="shared" si="5" ref="L18:L29">M18+P18</f>
        <v>30354619.45</v>
      </c>
      <c r="M18" s="53">
        <f>'дод. 3'!M49</f>
        <v>18497171</v>
      </c>
      <c r="N18" s="53">
        <f>'дод. 3'!N49</f>
        <v>740455</v>
      </c>
      <c r="O18" s="53">
        <f>'дод. 3'!O49</f>
        <v>47940</v>
      </c>
      <c r="P18" s="53">
        <f>'дод. 3'!P49</f>
        <v>11857448.45</v>
      </c>
      <c r="Q18" s="53">
        <f aca="true" t="shared" si="6" ref="Q18:Q29">R18+U18</f>
        <v>14599771.18</v>
      </c>
      <c r="R18" s="53">
        <f>'дод. 3'!R49</f>
        <v>7035065.51</v>
      </c>
      <c r="S18" s="53">
        <f>'дод. 3'!S49</f>
        <v>339636.1</v>
      </c>
      <c r="T18" s="53">
        <f>'дод. 3'!T49</f>
        <v>22229.17</v>
      </c>
      <c r="U18" s="53">
        <f>'дод. 3'!U49</f>
        <v>7564705.67</v>
      </c>
      <c r="V18" s="76">
        <f t="shared" si="3"/>
        <v>48.09736193217207</v>
      </c>
      <c r="W18" s="53">
        <f t="shared" si="4"/>
        <v>137289261.54</v>
      </c>
      <c r="X18" s="145"/>
      <c r="Y18" s="99"/>
    </row>
    <row r="19" spans="1:25" s="17" customFormat="1" ht="15">
      <c r="A19" s="20"/>
      <c r="B19" s="24" t="s">
        <v>64</v>
      </c>
      <c r="C19" s="24" t="s">
        <v>195</v>
      </c>
      <c r="D19" s="25" t="s">
        <v>65</v>
      </c>
      <c r="E19" s="53">
        <f>'дод. 3'!E50</f>
        <v>357724</v>
      </c>
      <c r="F19" s="53">
        <f>'дод. 3'!F50</f>
        <v>292913</v>
      </c>
      <c r="G19" s="53">
        <f>'дод. 3'!G50</f>
        <v>0</v>
      </c>
      <c r="H19" s="53">
        <f>'дод. 3'!H50</f>
        <v>184263</v>
      </c>
      <c r="I19" s="53">
        <f>'дод. 3'!I50</f>
        <v>153379.48</v>
      </c>
      <c r="J19" s="53">
        <f>'дод. 3'!J50</f>
        <v>0</v>
      </c>
      <c r="K19" s="76">
        <f t="shared" si="2"/>
        <v>51.509823215663474</v>
      </c>
      <c r="L19" s="53">
        <f t="shared" si="5"/>
        <v>0</v>
      </c>
      <c r="M19" s="53">
        <f>'дод. 3'!M50</f>
        <v>0</v>
      </c>
      <c r="N19" s="53">
        <f>'дод. 3'!N50</f>
        <v>0</v>
      </c>
      <c r="O19" s="53">
        <f>'дод. 3'!O50</f>
        <v>0</v>
      </c>
      <c r="P19" s="53">
        <f>'дод. 3'!P50</f>
        <v>0</v>
      </c>
      <c r="Q19" s="53">
        <f t="shared" si="6"/>
        <v>0</v>
      </c>
      <c r="R19" s="53">
        <f>'дод. 3'!R50</f>
        <v>0</v>
      </c>
      <c r="S19" s="53">
        <f>'дод. 3'!S50</f>
        <v>0</v>
      </c>
      <c r="T19" s="53">
        <f>'дод. 3'!T50</f>
        <v>0</v>
      </c>
      <c r="U19" s="53">
        <f>'дод. 3'!U50</f>
        <v>0</v>
      </c>
      <c r="V19" s="76"/>
      <c r="W19" s="53">
        <f t="shared" si="4"/>
        <v>184263</v>
      </c>
      <c r="X19" s="145"/>
      <c r="Y19" s="99"/>
    </row>
    <row r="20" spans="1:25" s="17" customFormat="1" ht="30">
      <c r="A20" s="20"/>
      <c r="B20" s="24" t="s">
        <v>97</v>
      </c>
      <c r="C20" s="24" t="s">
        <v>194</v>
      </c>
      <c r="D20" s="25" t="s">
        <v>98</v>
      </c>
      <c r="E20" s="53">
        <f>'дод. 3'!E76</f>
        <v>1678900</v>
      </c>
      <c r="F20" s="53">
        <f>'дод. 3'!F76</f>
        <v>0</v>
      </c>
      <c r="G20" s="53">
        <f>'дод. 3'!G76</f>
        <v>0</v>
      </c>
      <c r="H20" s="53">
        <f>'дод. 3'!H76</f>
        <v>683475.87</v>
      </c>
      <c r="I20" s="53">
        <f>'дод. 3'!I76</f>
        <v>0</v>
      </c>
      <c r="J20" s="53">
        <f>'дод. 3'!J76</f>
        <v>0</v>
      </c>
      <c r="K20" s="76">
        <f t="shared" si="2"/>
        <v>40.709742688665195</v>
      </c>
      <c r="L20" s="53">
        <f t="shared" si="5"/>
        <v>0</v>
      </c>
      <c r="M20" s="53">
        <f>'дод. 3'!M76</f>
        <v>0</v>
      </c>
      <c r="N20" s="53">
        <f>'дод. 3'!N76</f>
        <v>0</v>
      </c>
      <c r="O20" s="53">
        <f>'дод. 3'!O76</f>
        <v>0</v>
      </c>
      <c r="P20" s="53">
        <f>'дод. 3'!P76</f>
        <v>0</v>
      </c>
      <c r="Q20" s="53">
        <f t="shared" si="6"/>
        <v>0</v>
      </c>
      <c r="R20" s="53">
        <f>'дод. 3'!R76</f>
        <v>0</v>
      </c>
      <c r="S20" s="53">
        <f>'дод. 3'!S76</f>
        <v>0</v>
      </c>
      <c r="T20" s="53">
        <f>'дод. 3'!T76</f>
        <v>0</v>
      </c>
      <c r="U20" s="53">
        <f>'дод. 3'!U76</f>
        <v>0</v>
      </c>
      <c r="V20" s="76"/>
      <c r="W20" s="53">
        <f t="shared" si="4"/>
        <v>683475.87</v>
      </c>
      <c r="X20" s="145"/>
      <c r="Y20" s="99"/>
    </row>
    <row r="21" spans="1:25" s="17" customFormat="1" ht="60">
      <c r="A21" s="20"/>
      <c r="B21" s="24" t="s">
        <v>66</v>
      </c>
      <c r="C21" s="24" t="s">
        <v>196</v>
      </c>
      <c r="D21" s="25" t="s">
        <v>67</v>
      </c>
      <c r="E21" s="53">
        <f>'дод. 3'!E51</f>
        <v>4551243.75</v>
      </c>
      <c r="F21" s="53">
        <f>'дод. 3'!F51</f>
        <v>2830865</v>
      </c>
      <c r="G21" s="53">
        <f>'дод. 3'!G51</f>
        <v>517072</v>
      </c>
      <c r="H21" s="53">
        <f>'дод. 3'!H51</f>
        <v>2200995.49</v>
      </c>
      <c r="I21" s="53">
        <f>'дод. 3'!I51</f>
        <v>1399644.99</v>
      </c>
      <c r="J21" s="53">
        <f>'дод. 3'!J51</f>
        <v>269705.22</v>
      </c>
      <c r="K21" s="76">
        <f t="shared" si="2"/>
        <v>48.36030788287268</v>
      </c>
      <c r="L21" s="53">
        <f t="shared" si="5"/>
        <v>123583</v>
      </c>
      <c r="M21" s="53">
        <f>'дод. 3'!M51</f>
        <v>0</v>
      </c>
      <c r="N21" s="53">
        <f>'дод. 3'!N51</f>
        <v>0</v>
      </c>
      <c r="O21" s="53">
        <f>'дод. 3'!O51</f>
        <v>0</v>
      </c>
      <c r="P21" s="53">
        <f>'дод. 3'!P51</f>
        <v>123583</v>
      </c>
      <c r="Q21" s="53">
        <f t="shared" si="6"/>
        <v>19091.17</v>
      </c>
      <c r="R21" s="53">
        <f>'дод. 3'!R51</f>
        <v>17936.75</v>
      </c>
      <c r="S21" s="53">
        <f>'дод. 3'!S51</f>
        <v>0</v>
      </c>
      <c r="T21" s="53">
        <f>'дод. 3'!T51</f>
        <v>0</v>
      </c>
      <c r="U21" s="53">
        <f>'дод. 3'!U51</f>
        <v>1154.42</v>
      </c>
      <c r="V21" s="76">
        <f t="shared" si="3"/>
        <v>15.448055153216863</v>
      </c>
      <c r="W21" s="53">
        <f t="shared" si="4"/>
        <v>2220086.66</v>
      </c>
      <c r="X21" s="145"/>
      <c r="Y21" s="99"/>
    </row>
    <row r="22" spans="1:25" s="17" customFormat="1" ht="30">
      <c r="A22" s="20"/>
      <c r="B22" s="24" t="s">
        <v>68</v>
      </c>
      <c r="C22" s="24" t="s">
        <v>197</v>
      </c>
      <c r="D22" s="25" t="s">
        <v>69</v>
      </c>
      <c r="E22" s="53">
        <f>'дод. 3'!E52</f>
        <v>12507899</v>
      </c>
      <c r="F22" s="53">
        <f>'дод. 3'!F52</f>
        <v>8473152</v>
      </c>
      <c r="G22" s="53">
        <f>'дод. 3'!G52</f>
        <v>1785662</v>
      </c>
      <c r="H22" s="53">
        <f>'дод. 3'!H52</f>
        <v>6041248.3</v>
      </c>
      <c r="I22" s="53">
        <f>'дод. 3'!I52</f>
        <v>4050969.59</v>
      </c>
      <c r="J22" s="53">
        <f>'дод. 3'!J52</f>
        <v>997171.73</v>
      </c>
      <c r="K22" s="76">
        <f t="shared" si="2"/>
        <v>48.299465002075884</v>
      </c>
      <c r="L22" s="53">
        <f t="shared" si="5"/>
        <v>450000</v>
      </c>
      <c r="M22" s="53">
        <f>'дод. 3'!M52</f>
        <v>0</v>
      </c>
      <c r="N22" s="53">
        <f>'дод. 3'!N52</f>
        <v>0</v>
      </c>
      <c r="O22" s="53">
        <f>'дод. 3'!O52</f>
        <v>0</v>
      </c>
      <c r="P22" s="53">
        <f>'дод. 3'!P52</f>
        <v>450000</v>
      </c>
      <c r="Q22" s="53">
        <f t="shared" si="6"/>
        <v>426989.3</v>
      </c>
      <c r="R22" s="53">
        <f>'дод. 3'!R52</f>
        <v>115258.61</v>
      </c>
      <c r="S22" s="53">
        <f>'дод. 3'!S52</f>
        <v>0</v>
      </c>
      <c r="T22" s="53">
        <f>'дод. 3'!T52</f>
        <v>0</v>
      </c>
      <c r="U22" s="53">
        <f>'дод. 3'!U52</f>
        <v>311730.69</v>
      </c>
      <c r="V22" s="76">
        <f t="shared" si="3"/>
        <v>94.8865111111111</v>
      </c>
      <c r="W22" s="53">
        <f t="shared" si="4"/>
        <v>6468237.6</v>
      </c>
      <c r="X22" s="145"/>
      <c r="Y22" s="99"/>
    </row>
    <row r="23" spans="1:25" s="17" customFormat="1" ht="15">
      <c r="A23" s="20"/>
      <c r="B23" s="24" t="s">
        <v>309</v>
      </c>
      <c r="C23" s="24" t="s">
        <v>311</v>
      </c>
      <c r="D23" s="25" t="s">
        <v>310</v>
      </c>
      <c r="E23" s="53">
        <f>'дод. 3'!E53</f>
        <v>55886018</v>
      </c>
      <c r="F23" s="53">
        <f>'дод. 3'!F53</f>
        <v>26608329</v>
      </c>
      <c r="G23" s="53">
        <f>'дод. 3'!G53</f>
        <v>6083140</v>
      </c>
      <c r="H23" s="53">
        <f>'дод. 3'!H53</f>
        <v>27014251.12</v>
      </c>
      <c r="I23" s="53">
        <f>'дод. 3'!I53</f>
        <v>13650118.09</v>
      </c>
      <c r="J23" s="53">
        <f>'дод. 3'!J53</f>
        <v>3713112.82</v>
      </c>
      <c r="K23" s="76">
        <f t="shared" si="2"/>
        <v>48.33812120949466</v>
      </c>
      <c r="L23" s="53">
        <f t="shared" si="5"/>
        <v>6764260</v>
      </c>
      <c r="M23" s="53">
        <f>'дод. 3'!M53</f>
        <v>6459260</v>
      </c>
      <c r="N23" s="53">
        <f>'дод. 3'!N53</f>
        <v>1729928</v>
      </c>
      <c r="O23" s="53">
        <f>'дод. 3'!O53</f>
        <v>1470248</v>
      </c>
      <c r="P23" s="53">
        <f>'дод. 3'!P53</f>
        <v>305000</v>
      </c>
      <c r="Q23" s="53">
        <f t="shared" si="6"/>
        <v>2305324.02</v>
      </c>
      <c r="R23" s="53">
        <f>'дод. 3'!R53</f>
        <v>2168662.02</v>
      </c>
      <c r="S23" s="53">
        <f>'дод. 3'!S53</f>
        <v>635819.17</v>
      </c>
      <c r="T23" s="53">
        <f>'дод. 3'!T53</f>
        <v>686541.75</v>
      </c>
      <c r="U23" s="53">
        <f>'дод. 3'!U53</f>
        <v>136662</v>
      </c>
      <c r="V23" s="76">
        <f t="shared" si="3"/>
        <v>34.08094928343973</v>
      </c>
      <c r="W23" s="53">
        <f t="shared" si="4"/>
        <v>29319575.14</v>
      </c>
      <c r="X23" s="145"/>
      <c r="Y23" s="99"/>
    </row>
    <row r="24" spans="1:25" s="17" customFormat="1" ht="30">
      <c r="A24" s="20"/>
      <c r="B24" s="24" t="s">
        <v>70</v>
      </c>
      <c r="C24" s="24" t="s">
        <v>198</v>
      </c>
      <c r="D24" s="25" t="s">
        <v>71</v>
      </c>
      <c r="E24" s="53">
        <f>'дод. 3'!E54</f>
        <v>1772574</v>
      </c>
      <c r="F24" s="53">
        <f>'дод. 3'!F54</f>
        <v>1350518</v>
      </c>
      <c r="G24" s="53">
        <f>'дод. 3'!G54</f>
        <v>79885</v>
      </c>
      <c r="H24" s="53">
        <f>'дод. 3'!H54</f>
        <v>880858.11</v>
      </c>
      <c r="I24" s="53">
        <f>'дод. 3'!I54</f>
        <v>666110.5</v>
      </c>
      <c r="J24" s="53">
        <f>'дод. 3'!J54</f>
        <v>45726.07</v>
      </c>
      <c r="K24" s="76">
        <f t="shared" si="2"/>
        <v>49.69372844236686</v>
      </c>
      <c r="L24" s="53">
        <f t="shared" si="5"/>
        <v>121000</v>
      </c>
      <c r="M24" s="53">
        <f>'дод. 3'!M54</f>
        <v>0</v>
      </c>
      <c r="N24" s="53">
        <f>'дод. 3'!N54</f>
        <v>0</v>
      </c>
      <c r="O24" s="53">
        <f>'дод. 3'!O54</f>
        <v>0</v>
      </c>
      <c r="P24" s="53">
        <f>'дод. 3'!P54</f>
        <v>121000</v>
      </c>
      <c r="Q24" s="53">
        <f t="shared" si="6"/>
        <v>115749.17000000001</v>
      </c>
      <c r="R24" s="53">
        <f>'дод. 3'!R54</f>
        <v>6447.18</v>
      </c>
      <c r="S24" s="53">
        <f>'дод. 3'!S54</f>
        <v>0</v>
      </c>
      <c r="T24" s="53">
        <f>'дод. 3'!T54</f>
        <v>0</v>
      </c>
      <c r="U24" s="53">
        <f>'дод. 3'!U54</f>
        <v>109301.99</v>
      </c>
      <c r="V24" s="76">
        <f t="shared" si="3"/>
        <v>95.66047107438017</v>
      </c>
      <c r="W24" s="53">
        <f t="shared" si="4"/>
        <v>996607.28</v>
      </c>
      <c r="X24" s="145"/>
      <c r="Y24" s="99"/>
    </row>
    <row r="25" spans="1:25" s="17" customFormat="1" ht="30">
      <c r="A25" s="20"/>
      <c r="B25" s="24" t="s">
        <v>72</v>
      </c>
      <c r="C25" s="24" t="s">
        <v>198</v>
      </c>
      <c r="D25" s="25" t="s">
        <v>73</v>
      </c>
      <c r="E25" s="53">
        <f>'дод. 3'!E55</f>
        <v>1645336</v>
      </c>
      <c r="F25" s="53">
        <f>'дод. 3'!F55</f>
        <v>1169230</v>
      </c>
      <c r="G25" s="53">
        <f>'дод. 3'!G55</f>
        <v>82225</v>
      </c>
      <c r="H25" s="53">
        <f>'дод. 3'!H55</f>
        <v>742575.11</v>
      </c>
      <c r="I25" s="53">
        <f>'дод. 3'!I55</f>
        <v>541518.02</v>
      </c>
      <c r="J25" s="53">
        <f>'дод. 3'!J55</f>
        <v>38288.94</v>
      </c>
      <c r="K25" s="76">
        <f t="shared" si="2"/>
        <v>45.1321255962308</v>
      </c>
      <c r="L25" s="53">
        <f t="shared" si="5"/>
        <v>93000</v>
      </c>
      <c r="M25" s="53">
        <f>'дод. 3'!M55</f>
        <v>0</v>
      </c>
      <c r="N25" s="53">
        <f>'дод. 3'!N55</f>
        <v>0</v>
      </c>
      <c r="O25" s="53">
        <f>'дод. 3'!O55</f>
        <v>0</v>
      </c>
      <c r="P25" s="53">
        <f>'дод. 3'!P55</f>
        <v>93000</v>
      </c>
      <c r="Q25" s="53">
        <f t="shared" si="6"/>
        <v>74250</v>
      </c>
      <c r="R25" s="53">
        <f>'дод. 3'!R55</f>
        <v>0</v>
      </c>
      <c r="S25" s="53">
        <f>'дод. 3'!S55</f>
        <v>0</v>
      </c>
      <c r="T25" s="53">
        <f>'дод. 3'!T55</f>
        <v>0</v>
      </c>
      <c r="U25" s="53">
        <f>'дод. 3'!U55</f>
        <v>74250</v>
      </c>
      <c r="V25" s="76">
        <f t="shared" si="3"/>
        <v>79.83870967741935</v>
      </c>
      <c r="W25" s="53">
        <f t="shared" si="4"/>
        <v>816825.11</v>
      </c>
      <c r="X25" s="145"/>
      <c r="Y25" s="99"/>
    </row>
    <row r="26" spans="1:25" s="17" customFormat="1" ht="30">
      <c r="A26" s="20"/>
      <c r="B26" s="24" t="s">
        <v>74</v>
      </c>
      <c r="C26" s="24" t="s">
        <v>198</v>
      </c>
      <c r="D26" s="25" t="s">
        <v>75</v>
      </c>
      <c r="E26" s="53">
        <f>'дод. 3'!E56</f>
        <v>162138</v>
      </c>
      <c r="F26" s="53">
        <f>'дод. 3'!F56</f>
        <v>126390</v>
      </c>
      <c r="G26" s="53">
        <f>'дод. 3'!G56</f>
        <v>5147</v>
      </c>
      <c r="H26" s="53">
        <f>'дод. 3'!H56</f>
        <v>60861.47</v>
      </c>
      <c r="I26" s="53">
        <f>'дод. 3'!I56</f>
        <v>46854.81</v>
      </c>
      <c r="J26" s="53">
        <f>'дод. 3'!J56</f>
        <v>2646.91</v>
      </c>
      <c r="K26" s="76">
        <f t="shared" si="2"/>
        <v>37.53683282142373</v>
      </c>
      <c r="L26" s="53">
        <f t="shared" si="5"/>
        <v>0</v>
      </c>
      <c r="M26" s="53">
        <f>'дод. 3'!M56</f>
        <v>0</v>
      </c>
      <c r="N26" s="53">
        <f>'дод. 3'!N56</f>
        <v>0</v>
      </c>
      <c r="O26" s="53">
        <f>'дод. 3'!O56</f>
        <v>0</v>
      </c>
      <c r="P26" s="53">
        <f>'дод. 3'!P56</f>
        <v>0</v>
      </c>
      <c r="Q26" s="53">
        <f t="shared" si="6"/>
        <v>232670.73</v>
      </c>
      <c r="R26" s="53">
        <f>'дод. 3'!R56</f>
        <v>150879.57</v>
      </c>
      <c r="S26" s="53">
        <f>'дод. 3'!S56</f>
        <v>0</v>
      </c>
      <c r="T26" s="53">
        <f>'дод. 3'!T56</f>
        <v>0</v>
      </c>
      <c r="U26" s="53">
        <f>'дод. 3'!U56</f>
        <v>81791.16</v>
      </c>
      <c r="V26" s="76"/>
      <c r="W26" s="53">
        <f t="shared" si="4"/>
        <v>293532.2</v>
      </c>
      <c r="X26" s="145"/>
      <c r="Y26" s="99"/>
    </row>
    <row r="27" spans="1:25" s="17" customFormat="1" ht="15">
      <c r="A27" s="20"/>
      <c r="B27" s="24" t="s">
        <v>76</v>
      </c>
      <c r="C27" s="24" t="s">
        <v>198</v>
      </c>
      <c r="D27" s="25" t="s">
        <v>77</v>
      </c>
      <c r="E27" s="53">
        <f>'дод. 3'!E57</f>
        <v>2600414</v>
      </c>
      <c r="F27" s="53">
        <f>'дод. 3'!F57</f>
        <v>1691788</v>
      </c>
      <c r="G27" s="53">
        <f>'дод. 3'!G57</f>
        <v>335643</v>
      </c>
      <c r="H27" s="53">
        <f>'дод. 3'!H57</f>
        <v>1186883.33</v>
      </c>
      <c r="I27" s="53">
        <f>'дод. 3'!I57</f>
        <v>803798.95</v>
      </c>
      <c r="J27" s="53">
        <f>'дод. 3'!J57</f>
        <v>128193.44</v>
      </c>
      <c r="K27" s="76">
        <f t="shared" si="2"/>
        <v>45.64209122085945</v>
      </c>
      <c r="L27" s="53">
        <f t="shared" si="5"/>
        <v>150000</v>
      </c>
      <c r="M27" s="53">
        <f>'дод. 3'!M57</f>
        <v>0</v>
      </c>
      <c r="N27" s="53">
        <f>'дод. 3'!N57</f>
        <v>0</v>
      </c>
      <c r="O27" s="53">
        <f>'дод. 3'!O57</f>
        <v>0</v>
      </c>
      <c r="P27" s="53">
        <f>'дод. 3'!P57</f>
        <v>150000</v>
      </c>
      <c r="Q27" s="53">
        <f t="shared" si="6"/>
        <v>0</v>
      </c>
      <c r="R27" s="53">
        <f>'дод. 3'!R57</f>
        <v>0</v>
      </c>
      <c r="S27" s="53">
        <f>'дод. 3'!S57</f>
        <v>0</v>
      </c>
      <c r="T27" s="53">
        <f>'дод. 3'!T57</f>
        <v>0</v>
      </c>
      <c r="U27" s="53">
        <f>'дод. 3'!U57</f>
        <v>0</v>
      </c>
      <c r="V27" s="76">
        <f t="shared" si="3"/>
        <v>0</v>
      </c>
      <c r="W27" s="53">
        <f t="shared" si="4"/>
        <v>1186883.33</v>
      </c>
      <c r="X27" s="145"/>
      <c r="Y27" s="99"/>
    </row>
    <row r="28" spans="1:25" s="17" customFormat="1" ht="15">
      <c r="A28" s="20"/>
      <c r="B28" s="24" t="s">
        <v>78</v>
      </c>
      <c r="C28" s="24" t="s">
        <v>198</v>
      </c>
      <c r="D28" s="25" t="s">
        <v>79</v>
      </c>
      <c r="E28" s="53">
        <f>'дод. 3'!E58</f>
        <v>53240</v>
      </c>
      <c r="F28" s="53">
        <f>'дод. 3'!F58</f>
        <v>0</v>
      </c>
      <c r="G28" s="53">
        <f>'дод. 3'!G58</f>
        <v>0</v>
      </c>
      <c r="H28" s="53">
        <f>'дод. 3'!H58</f>
        <v>21840</v>
      </c>
      <c r="I28" s="53">
        <f>'дод. 3'!I58</f>
        <v>0</v>
      </c>
      <c r="J28" s="53">
        <f>'дод. 3'!J58</f>
        <v>0</v>
      </c>
      <c r="K28" s="76">
        <f t="shared" si="2"/>
        <v>41.021788129226145</v>
      </c>
      <c r="L28" s="53">
        <f t="shared" si="5"/>
        <v>0</v>
      </c>
      <c r="M28" s="53">
        <f>'дод. 3'!M58</f>
        <v>0</v>
      </c>
      <c r="N28" s="53">
        <f>'дод. 3'!N58</f>
        <v>0</v>
      </c>
      <c r="O28" s="53">
        <f>'дод. 3'!O58</f>
        <v>0</v>
      </c>
      <c r="P28" s="53">
        <f>'дод. 3'!P58</f>
        <v>0</v>
      </c>
      <c r="Q28" s="53">
        <f t="shared" si="6"/>
        <v>0</v>
      </c>
      <c r="R28" s="53">
        <f>'дод. 3'!R58</f>
        <v>0</v>
      </c>
      <c r="S28" s="53">
        <f>'дод. 3'!S58</f>
        <v>0</v>
      </c>
      <c r="T28" s="53">
        <f>'дод. 3'!T58</f>
        <v>0</v>
      </c>
      <c r="U28" s="53">
        <f>'дод. 3'!U58</f>
        <v>0</v>
      </c>
      <c r="V28" s="76"/>
      <c r="W28" s="53">
        <f t="shared" si="4"/>
        <v>21840</v>
      </c>
      <c r="X28" s="145"/>
      <c r="Y28" s="99"/>
    </row>
    <row r="29" spans="1:25" s="17" customFormat="1" ht="45">
      <c r="A29" s="20"/>
      <c r="B29" s="24" t="s">
        <v>80</v>
      </c>
      <c r="C29" s="24" t="s">
        <v>198</v>
      </c>
      <c r="D29" s="25" t="s">
        <v>81</v>
      </c>
      <c r="E29" s="53">
        <f>'дод. 3'!E59</f>
        <v>45250</v>
      </c>
      <c r="F29" s="53">
        <f>'дод. 3'!F59</f>
        <v>0</v>
      </c>
      <c r="G29" s="53">
        <f>'дод. 3'!G59</f>
        <v>0</v>
      </c>
      <c r="H29" s="53">
        <f>'дод. 3'!H59</f>
        <v>12670</v>
      </c>
      <c r="I29" s="53">
        <f>'дод. 3'!I59</f>
        <v>0</v>
      </c>
      <c r="J29" s="53">
        <f>'дод. 3'!J59</f>
        <v>0</v>
      </c>
      <c r="K29" s="76">
        <f t="shared" si="2"/>
        <v>28.000000000000004</v>
      </c>
      <c r="L29" s="53">
        <f t="shared" si="5"/>
        <v>0</v>
      </c>
      <c r="M29" s="53">
        <f>'дод. 3'!M59</f>
        <v>0</v>
      </c>
      <c r="N29" s="53">
        <f>'дод. 3'!N59</f>
        <v>0</v>
      </c>
      <c r="O29" s="53">
        <f>'дод. 3'!O59</f>
        <v>0</v>
      </c>
      <c r="P29" s="53">
        <f>'дод. 3'!P59</f>
        <v>0</v>
      </c>
      <c r="Q29" s="53">
        <f t="shared" si="6"/>
        <v>0</v>
      </c>
      <c r="R29" s="53">
        <f>'дод. 3'!R59</f>
        <v>0</v>
      </c>
      <c r="S29" s="53">
        <f>'дод. 3'!S59</f>
        <v>0</v>
      </c>
      <c r="T29" s="53">
        <f>'дод. 3'!T59</f>
        <v>0</v>
      </c>
      <c r="U29" s="53">
        <f>'дод. 3'!U59</f>
        <v>0</v>
      </c>
      <c r="V29" s="76"/>
      <c r="W29" s="53">
        <f t="shared" si="4"/>
        <v>12670</v>
      </c>
      <c r="X29" s="145"/>
      <c r="Y29" s="99"/>
    </row>
    <row r="30" spans="1:25" s="17" customFormat="1" ht="15">
      <c r="A30" s="20"/>
      <c r="B30" s="49" t="s">
        <v>256</v>
      </c>
      <c r="C30" s="47"/>
      <c r="D30" s="50" t="s">
        <v>257</v>
      </c>
      <c r="E30" s="64">
        <f>SUM(E31:E38)</f>
        <v>223934127.43</v>
      </c>
      <c r="F30" s="64">
        <f aca="true" t="shared" si="7" ref="F30:W30">SUM(F31:F38)</f>
        <v>126307359</v>
      </c>
      <c r="G30" s="64">
        <f t="shared" si="7"/>
        <v>19115405</v>
      </c>
      <c r="H30" s="64">
        <f t="shared" si="7"/>
        <v>101357491.55000001</v>
      </c>
      <c r="I30" s="64">
        <f t="shared" si="7"/>
        <v>59554780.76</v>
      </c>
      <c r="J30" s="64">
        <f t="shared" si="7"/>
        <v>10113783.909999998</v>
      </c>
      <c r="K30" s="125">
        <f t="shared" si="2"/>
        <v>45.26219058847274</v>
      </c>
      <c r="L30" s="64">
        <f t="shared" si="7"/>
        <v>36663878</v>
      </c>
      <c r="M30" s="64">
        <f t="shared" si="7"/>
        <v>11785214</v>
      </c>
      <c r="N30" s="64">
        <f t="shared" si="7"/>
        <v>6366242</v>
      </c>
      <c r="O30" s="64">
        <f t="shared" si="7"/>
        <v>500810</v>
      </c>
      <c r="P30" s="64">
        <f t="shared" si="7"/>
        <v>24878664</v>
      </c>
      <c r="Q30" s="64">
        <f t="shared" si="7"/>
        <v>24008109.82</v>
      </c>
      <c r="R30" s="64">
        <f t="shared" si="7"/>
        <v>6548567.959999999</v>
      </c>
      <c r="S30" s="64">
        <f t="shared" si="7"/>
        <v>2738926.31</v>
      </c>
      <c r="T30" s="64">
        <f t="shared" si="7"/>
        <v>283745.27</v>
      </c>
      <c r="U30" s="64">
        <f t="shared" si="7"/>
        <v>17459541.86</v>
      </c>
      <c r="V30" s="125">
        <f t="shared" si="3"/>
        <v>65.48164332207303</v>
      </c>
      <c r="W30" s="64">
        <f t="shared" si="7"/>
        <v>125365601.37</v>
      </c>
      <c r="X30" s="145"/>
      <c r="Y30" s="99"/>
    </row>
    <row r="31" spans="1:25" s="17" customFormat="1" ht="18" customHeight="1">
      <c r="A31" s="20"/>
      <c r="B31" s="24" t="s">
        <v>84</v>
      </c>
      <c r="C31" s="24" t="s">
        <v>201</v>
      </c>
      <c r="D31" s="25" t="s">
        <v>85</v>
      </c>
      <c r="E31" s="53">
        <f>'дод. 3'!E66+'дод. 3'!E159</f>
        <v>177372858.43</v>
      </c>
      <c r="F31" s="53">
        <f>'дод. 3'!F66+'дод. 3'!F159</f>
        <v>103400916</v>
      </c>
      <c r="G31" s="53">
        <f>'дод. 3'!G66+'дод. 3'!G159</f>
        <v>15447851</v>
      </c>
      <c r="H31" s="53">
        <f>'дод. 3'!H66+'дод. 3'!H159</f>
        <v>81715616.23</v>
      </c>
      <c r="I31" s="53">
        <f>'дод. 3'!I66+'дод. 3'!I159</f>
        <v>48713211.76</v>
      </c>
      <c r="J31" s="53">
        <f>'дод. 3'!J66+'дод. 3'!J159</f>
        <v>8290351.41</v>
      </c>
      <c r="K31" s="76">
        <f t="shared" si="2"/>
        <v>46.069966371009905</v>
      </c>
      <c r="L31" s="53">
        <f>M31+P31</f>
        <v>26349782</v>
      </c>
      <c r="M31" s="53">
        <f>'дод. 3'!M66+'дод. 3'!M159</f>
        <v>7844182</v>
      </c>
      <c r="N31" s="53">
        <f>'дод. 3'!N66+'дод. 3'!N159</f>
        <v>4083407</v>
      </c>
      <c r="O31" s="53">
        <f>'дод. 3'!O66+'дод. 3'!O159</f>
        <v>177480</v>
      </c>
      <c r="P31" s="53">
        <f>'дод. 3'!P66+'дод. 3'!P159</f>
        <v>18505600</v>
      </c>
      <c r="Q31" s="53">
        <f>R31+U31</f>
        <v>18467506.41</v>
      </c>
      <c r="R31" s="53">
        <f>'дод. 3'!R66+'дод. 3'!R159</f>
        <v>4712160.9</v>
      </c>
      <c r="S31" s="53">
        <f>'дод. 3'!S66+'дод. 3'!S159</f>
        <v>1816933.26</v>
      </c>
      <c r="T31" s="53">
        <f>'дод. 3'!T66+'дод. 3'!T159</f>
        <v>115428.2</v>
      </c>
      <c r="U31" s="53">
        <f>'дод. 3'!U66+'дод. 3'!U159</f>
        <v>13755345.51</v>
      </c>
      <c r="V31" s="76">
        <f t="shared" si="3"/>
        <v>70.0859931592603</v>
      </c>
      <c r="W31" s="53">
        <f aca="true" t="shared" si="8" ref="W31:W38">H31+Q31</f>
        <v>100183122.64</v>
      </c>
      <c r="X31" s="145"/>
      <c r="Y31" s="99"/>
    </row>
    <row r="32" spans="1:25" s="17" customFormat="1" ht="15">
      <c r="A32" s="20"/>
      <c r="B32" s="30" t="s">
        <v>86</v>
      </c>
      <c r="C32" s="30" t="s">
        <v>202</v>
      </c>
      <c r="D32" s="31" t="s">
        <v>87</v>
      </c>
      <c r="E32" s="53">
        <f>'дод. 3'!E67</f>
        <v>18320764</v>
      </c>
      <c r="F32" s="53">
        <f>'дод. 3'!F67</f>
        <v>11745230</v>
      </c>
      <c r="G32" s="53">
        <f>'дод. 3'!G67</f>
        <v>2655803</v>
      </c>
      <c r="H32" s="53">
        <f>'дод. 3'!H67</f>
        <v>8806753.44</v>
      </c>
      <c r="I32" s="53">
        <f>'дод. 3'!I67</f>
        <v>5701263.34</v>
      </c>
      <c r="J32" s="53">
        <f>'дод. 3'!J67</f>
        <v>1317408.42</v>
      </c>
      <c r="K32" s="76">
        <f t="shared" si="2"/>
        <v>48.06979359594392</v>
      </c>
      <c r="L32" s="53">
        <f aca="true" t="shared" si="9" ref="L32:L38">M32+P32</f>
        <v>2919304</v>
      </c>
      <c r="M32" s="53">
        <f>'дод. 3'!M67</f>
        <v>25240</v>
      </c>
      <c r="N32" s="53">
        <f>'дод. 3'!N67</f>
        <v>9460</v>
      </c>
      <c r="O32" s="53">
        <f>'дод. 3'!O67</f>
        <v>4150</v>
      </c>
      <c r="P32" s="53">
        <f>'дод. 3'!P67</f>
        <v>2894064</v>
      </c>
      <c r="Q32" s="53">
        <f aca="true" t="shared" si="10" ref="Q32:Q38">R32+U32</f>
        <v>1343996.6500000001</v>
      </c>
      <c r="R32" s="53">
        <f>'дод. 3'!R67</f>
        <v>65363.34</v>
      </c>
      <c r="S32" s="53">
        <f>'дод. 3'!S67</f>
        <v>7808.31</v>
      </c>
      <c r="T32" s="53">
        <f>'дод. 3'!T67</f>
        <v>0</v>
      </c>
      <c r="U32" s="53">
        <f>'дод. 3'!U67</f>
        <v>1278633.31</v>
      </c>
      <c r="V32" s="76">
        <f t="shared" si="3"/>
        <v>46.03825603637032</v>
      </c>
      <c r="W32" s="53">
        <f t="shared" si="8"/>
        <v>10150750.09</v>
      </c>
      <c r="X32" s="145"/>
      <c r="Y32" s="99"/>
    </row>
    <row r="33" spans="1:25" s="17" customFormat="1" ht="60">
      <c r="A33" s="20"/>
      <c r="B33" s="24" t="s">
        <v>236</v>
      </c>
      <c r="C33" s="24" t="s">
        <v>237</v>
      </c>
      <c r="D33" s="25" t="s">
        <v>238</v>
      </c>
      <c r="E33" s="53">
        <f>'дод. 3'!E68</f>
        <v>1631938</v>
      </c>
      <c r="F33" s="53">
        <f>'дод. 3'!F68</f>
        <v>1227889</v>
      </c>
      <c r="G33" s="53">
        <f>'дод. 3'!G68</f>
        <v>76813</v>
      </c>
      <c r="H33" s="53">
        <f>'дод. 3'!H68</f>
        <v>775767.36</v>
      </c>
      <c r="I33" s="53">
        <f>'дод. 3'!I68</f>
        <v>588666.89</v>
      </c>
      <c r="J33" s="53">
        <f>'дод. 3'!J68</f>
        <v>44100.37</v>
      </c>
      <c r="K33" s="76">
        <f t="shared" si="2"/>
        <v>47.536570629521464</v>
      </c>
      <c r="L33" s="53">
        <f t="shared" si="9"/>
        <v>407000</v>
      </c>
      <c r="M33" s="53">
        <f>'дод. 3'!M68</f>
        <v>407000</v>
      </c>
      <c r="N33" s="53">
        <f>'дод. 3'!N68</f>
        <v>98000</v>
      </c>
      <c r="O33" s="53">
        <f>'дод. 3'!O68</f>
        <v>132800</v>
      </c>
      <c r="P33" s="53">
        <f>'дод. 3'!P68</f>
        <v>0</v>
      </c>
      <c r="Q33" s="53">
        <f t="shared" si="10"/>
        <v>287337.85</v>
      </c>
      <c r="R33" s="53">
        <f>'дод. 3'!R68</f>
        <v>287337.85</v>
      </c>
      <c r="S33" s="53">
        <f>'дод. 3'!S68</f>
        <v>52775.83</v>
      </c>
      <c r="T33" s="53">
        <f>'дод. 3'!T68</f>
        <v>72528.62</v>
      </c>
      <c r="U33" s="53">
        <f>'дод. 3'!U68</f>
        <v>0</v>
      </c>
      <c r="V33" s="76">
        <f t="shared" si="3"/>
        <v>70.59898034398033</v>
      </c>
      <c r="W33" s="53">
        <f t="shared" si="8"/>
        <v>1063105.21</v>
      </c>
      <c r="X33" s="145"/>
      <c r="Y33" s="99"/>
    </row>
    <row r="34" spans="1:25" s="17" customFormat="1" ht="30">
      <c r="A34" s="20"/>
      <c r="B34" s="24" t="s">
        <v>88</v>
      </c>
      <c r="C34" s="24" t="s">
        <v>203</v>
      </c>
      <c r="D34" s="25" t="s">
        <v>89</v>
      </c>
      <c r="E34" s="53">
        <f>'дод. 3'!E69</f>
        <v>4298380</v>
      </c>
      <c r="F34" s="53">
        <f>'дод. 3'!F69</f>
        <v>3017148</v>
      </c>
      <c r="G34" s="53">
        <f>'дод. 3'!G69</f>
        <v>339954</v>
      </c>
      <c r="H34" s="53">
        <f>'дод. 3'!H69</f>
        <v>1984805.65</v>
      </c>
      <c r="I34" s="53">
        <f>'дод. 3'!I69</f>
        <v>1354139.85</v>
      </c>
      <c r="J34" s="53">
        <f>'дод. 3'!J69</f>
        <v>184380.18</v>
      </c>
      <c r="K34" s="76">
        <f t="shared" si="2"/>
        <v>46.17566734444139</v>
      </c>
      <c r="L34" s="53">
        <f t="shared" si="9"/>
        <v>4353292</v>
      </c>
      <c r="M34" s="53">
        <f>'дод. 3'!M69</f>
        <v>3353292</v>
      </c>
      <c r="N34" s="53">
        <f>'дод. 3'!N69</f>
        <v>2153375</v>
      </c>
      <c r="O34" s="53">
        <f>'дод. 3'!O69</f>
        <v>166719</v>
      </c>
      <c r="P34" s="53">
        <f>'дод. 3'!P69</f>
        <v>1000000</v>
      </c>
      <c r="Q34" s="53">
        <f t="shared" si="10"/>
        <v>2548701.56</v>
      </c>
      <c r="R34" s="53">
        <f>'дод. 3'!R69</f>
        <v>1402721.52</v>
      </c>
      <c r="S34" s="53">
        <f>'дод. 3'!S69</f>
        <v>846086.99</v>
      </c>
      <c r="T34" s="53">
        <f>'дод. 3'!T69</f>
        <v>85226.61</v>
      </c>
      <c r="U34" s="53">
        <f>'дод. 3'!U69</f>
        <v>1145980.04</v>
      </c>
      <c r="V34" s="76">
        <f t="shared" si="3"/>
        <v>58.5465335199201</v>
      </c>
      <c r="W34" s="53">
        <f t="shared" si="8"/>
        <v>4533507.21</v>
      </c>
      <c r="X34" s="145"/>
      <c r="Y34" s="99"/>
    </row>
    <row r="35" spans="1:25" s="17" customFormat="1" ht="30">
      <c r="A35" s="20"/>
      <c r="B35" s="24" t="s">
        <v>90</v>
      </c>
      <c r="C35" s="24" t="s">
        <v>204</v>
      </c>
      <c r="D35" s="31" t="s">
        <v>91</v>
      </c>
      <c r="E35" s="53">
        <f>'дод. 3'!E70</f>
        <v>9327474</v>
      </c>
      <c r="F35" s="53">
        <f>'дод. 3'!F70</f>
        <v>6060985</v>
      </c>
      <c r="G35" s="53">
        <f>'дод. 3'!G70</f>
        <v>564989</v>
      </c>
      <c r="H35" s="53">
        <f>'дод. 3'!H70</f>
        <v>4292901.3</v>
      </c>
      <c r="I35" s="53">
        <f>'дод. 3'!I70</f>
        <v>2798828</v>
      </c>
      <c r="J35" s="53">
        <f>'дод. 3'!J70</f>
        <v>265255.43</v>
      </c>
      <c r="K35" s="76">
        <f t="shared" si="2"/>
        <v>46.024264447159005</v>
      </c>
      <c r="L35" s="53">
        <f t="shared" si="9"/>
        <v>2574500</v>
      </c>
      <c r="M35" s="53">
        <f>'дод. 3'!M70</f>
        <v>155500</v>
      </c>
      <c r="N35" s="53">
        <f>'дод. 3'!N70</f>
        <v>22000</v>
      </c>
      <c r="O35" s="53">
        <f>'дод. 3'!O70</f>
        <v>19661</v>
      </c>
      <c r="P35" s="53">
        <f>'дод. 3'!P70</f>
        <v>2419000</v>
      </c>
      <c r="Q35" s="53">
        <f t="shared" si="10"/>
        <v>1300627.35</v>
      </c>
      <c r="R35" s="53">
        <f>'дод. 3'!R70</f>
        <v>80984.35</v>
      </c>
      <c r="S35" s="53">
        <f>'дод. 3'!S70</f>
        <v>15321.92</v>
      </c>
      <c r="T35" s="53">
        <f>'дод. 3'!T70</f>
        <v>10561.84</v>
      </c>
      <c r="U35" s="53">
        <f>'дод. 3'!U70</f>
        <v>1219643</v>
      </c>
      <c r="V35" s="76">
        <f t="shared" si="3"/>
        <v>50.51960963293843</v>
      </c>
      <c r="W35" s="53">
        <f t="shared" si="8"/>
        <v>5593528.65</v>
      </c>
      <c r="X35" s="145"/>
      <c r="Y35" s="99"/>
    </row>
    <row r="36" spans="1:25" s="17" customFormat="1" ht="15">
      <c r="A36" s="20"/>
      <c r="B36" s="24" t="s">
        <v>92</v>
      </c>
      <c r="C36" s="24" t="s">
        <v>205</v>
      </c>
      <c r="D36" s="25" t="s">
        <v>93</v>
      </c>
      <c r="E36" s="53">
        <f>'дод. 3'!E71</f>
        <v>1979149</v>
      </c>
      <c r="F36" s="53">
        <f>'дод. 3'!F71</f>
        <v>419377</v>
      </c>
      <c r="G36" s="53">
        <f>'дод. 3'!G71</f>
        <v>11415</v>
      </c>
      <c r="H36" s="53">
        <f>'дод. 3'!H71</f>
        <v>959434.65</v>
      </c>
      <c r="I36" s="53">
        <f>'дод. 3'!I71</f>
        <v>193008.02</v>
      </c>
      <c r="J36" s="53">
        <f>'дод. 3'!J71</f>
        <v>5225.16</v>
      </c>
      <c r="K36" s="76">
        <f t="shared" si="2"/>
        <v>48.47713082744149</v>
      </c>
      <c r="L36" s="53">
        <f t="shared" si="9"/>
        <v>20000</v>
      </c>
      <c r="M36" s="53">
        <f>'дод. 3'!M71</f>
        <v>0</v>
      </c>
      <c r="N36" s="53">
        <f>'дод. 3'!N71</f>
        <v>0</v>
      </c>
      <c r="O36" s="53">
        <f>'дод. 3'!O71</f>
        <v>0</v>
      </c>
      <c r="P36" s="53">
        <f>'дод. 3'!P71</f>
        <v>20000</v>
      </c>
      <c r="Q36" s="53">
        <f t="shared" si="10"/>
        <v>19980</v>
      </c>
      <c r="R36" s="53">
        <f>'дод. 3'!R71</f>
        <v>0</v>
      </c>
      <c r="S36" s="53">
        <f>'дод. 3'!S71</f>
        <v>0</v>
      </c>
      <c r="T36" s="53">
        <f>'дод. 3'!T71</f>
        <v>0</v>
      </c>
      <c r="U36" s="53">
        <f>'дод. 3'!U71</f>
        <v>19980</v>
      </c>
      <c r="V36" s="76">
        <f t="shared" si="3"/>
        <v>99.9</v>
      </c>
      <c r="W36" s="53">
        <f t="shared" si="8"/>
        <v>979414.65</v>
      </c>
      <c r="X36" s="145"/>
      <c r="Y36" s="99"/>
    </row>
    <row r="37" spans="1:25" s="17" customFormat="1" ht="75">
      <c r="A37" s="20"/>
      <c r="B37" s="30" t="s">
        <v>94</v>
      </c>
      <c r="C37" s="30" t="s">
        <v>205</v>
      </c>
      <c r="D37" s="31" t="s">
        <v>95</v>
      </c>
      <c r="E37" s="53">
        <f>'дод. 3'!E72</f>
        <v>656274</v>
      </c>
      <c r="F37" s="53">
        <f>'дод. 3'!F72</f>
        <v>435814</v>
      </c>
      <c r="G37" s="53">
        <f>'дод. 3'!G72</f>
        <v>18580</v>
      </c>
      <c r="H37" s="53">
        <f>'дод. 3'!H72</f>
        <v>285277.15</v>
      </c>
      <c r="I37" s="53">
        <f>'дод. 3'!I72</f>
        <v>205662.9</v>
      </c>
      <c r="J37" s="53">
        <f>'дод. 3'!J72</f>
        <v>7062.94</v>
      </c>
      <c r="K37" s="76">
        <f t="shared" si="2"/>
        <v>43.46921407826609</v>
      </c>
      <c r="L37" s="53">
        <f t="shared" si="9"/>
        <v>40000</v>
      </c>
      <c r="M37" s="53">
        <f>'дод. 3'!M72</f>
        <v>0</v>
      </c>
      <c r="N37" s="53">
        <f>'дод. 3'!N72</f>
        <v>0</v>
      </c>
      <c r="O37" s="53">
        <f>'дод. 3'!O72</f>
        <v>0</v>
      </c>
      <c r="P37" s="53">
        <f>'дод. 3'!P72</f>
        <v>40000</v>
      </c>
      <c r="Q37" s="53">
        <f t="shared" si="10"/>
        <v>39960</v>
      </c>
      <c r="R37" s="53">
        <f>'дод. 3'!R72</f>
        <v>0</v>
      </c>
      <c r="S37" s="53">
        <f>'дод. 3'!S72</f>
        <v>0</v>
      </c>
      <c r="T37" s="53">
        <f>'дод. 3'!T72</f>
        <v>0</v>
      </c>
      <c r="U37" s="53">
        <f>'дод. 3'!U72</f>
        <v>39960</v>
      </c>
      <c r="V37" s="76">
        <f t="shared" si="3"/>
        <v>99.9</v>
      </c>
      <c r="W37" s="53">
        <f t="shared" si="8"/>
        <v>325237.15</v>
      </c>
      <c r="X37" s="145"/>
      <c r="Y37" s="99"/>
    </row>
    <row r="38" spans="1:25" s="17" customFormat="1" ht="45">
      <c r="A38" s="20"/>
      <c r="B38" s="30" t="s">
        <v>250</v>
      </c>
      <c r="C38" s="30" t="s">
        <v>205</v>
      </c>
      <c r="D38" s="25" t="s">
        <v>251</v>
      </c>
      <c r="E38" s="53">
        <f>'дод. 3'!E73</f>
        <v>10347290</v>
      </c>
      <c r="F38" s="53">
        <f>'дод. 3'!F73</f>
        <v>0</v>
      </c>
      <c r="G38" s="53">
        <f>'дод. 3'!G73</f>
        <v>0</v>
      </c>
      <c r="H38" s="53">
        <f>'дод. 3'!H73</f>
        <v>2536935.77</v>
      </c>
      <c r="I38" s="53">
        <f>'дод. 3'!I73</f>
        <v>0</v>
      </c>
      <c r="J38" s="53">
        <f>'дод. 3'!J73</f>
        <v>0</v>
      </c>
      <c r="K38" s="76">
        <f t="shared" si="2"/>
        <v>24.51787637149437</v>
      </c>
      <c r="L38" s="53">
        <f t="shared" si="9"/>
        <v>0</v>
      </c>
      <c r="M38" s="53">
        <f>'дод. 3'!M73</f>
        <v>0</v>
      </c>
      <c r="N38" s="53">
        <f>'дод. 3'!N73</f>
        <v>0</v>
      </c>
      <c r="O38" s="53">
        <f>'дод. 3'!O73</f>
        <v>0</v>
      </c>
      <c r="P38" s="53">
        <f>'дод. 3'!P73</f>
        <v>0</v>
      </c>
      <c r="Q38" s="53">
        <f t="shared" si="10"/>
        <v>0</v>
      </c>
      <c r="R38" s="53">
        <f>'дод. 3'!R73</f>
        <v>0</v>
      </c>
      <c r="S38" s="53">
        <f>'дод. 3'!S73</f>
        <v>0</v>
      </c>
      <c r="T38" s="53">
        <f>'дод. 3'!T73</f>
        <v>0</v>
      </c>
      <c r="U38" s="53">
        <f>'дод. 3'!U73</f>
        <v>0</v>
      </c>
      <c r="V38" s="76"/>
      <c r="W38" s="53">
        <f t="shared" si="8"/>
        <v>2536935.77</v>
      </c>
      <c r="X38" s="145"/>
      <c r="Y38" s="99"/>
    </row>
    <row r="39" spans="1:25" s="17" customFormat="1" ht="28.5">
      <c r="A39" s="20"/>
      <c r="B39" s="49" t="s">
        <v>258</v>
      </c>
      <c r="C39" s="49"/>
      <c r="D39" s="50" t="s">
        <v>259</v>
      </c>
      <c r="E39" s="126">
        <f>E40+E41+E42+E43+E47+E48+E49+E50+E51+E52+E53+E54+E55+E56+E57+E58+E59+E60+E61+E62+E63+E64+E65+E66+E67+E68+E69+E70+E71+E72+E73+E74+E75+E76+E77+E78+E79+E80+E81+E82+E83+E84</f>
        <v>699353887.07</v>
      </c>
      <c r="F39" s="126">
        <f>F40+F41+F42+F43+F47+F48+F49+F50+F51+F52+F53+F54+F55+F56+F57+F58+F59+F60+F61+F62+F63+F64+F65+F66+F67+F68+F69+F70+F71+F72+F73+F74+F75+F76+F77+F78+F79+F80+F81+F82+F83+F84</f>
        <v>6418832.859999999</v>
      </c>
      <c r="G39" s="126">
        <f>G40+G41+G42+G43+G47+G48+G49+G50+G51+G52+G53+G54+G55+G56+G57+G58+G59+G60+G61+G62+G63+G64+G65+G66+G67+G68+G69+G70+G71+G72+G73+G74+G75+G76+G77+G78+G79+G80+G81+G82+G83+G84</f>
        <v>414240</v>
      </c>
      <c r="H39" s="126">
        <f>H40+H41+H42+H43+H47+H48+H49+H50+H51+H52+H53+H54+H55+H56+H57+H58+H59+H60+H61+H62+H63+H64+H65+H66+H67+H68+H69+H70+H71+H72+H73+H74+H75+H76+H77+H78+H79+H80+H81+H82+H83+H84</f>
        <v>343035083.35999995</v>
      </c>
      <c r="I39" s="126">
        <f>I40+I41+I42+I43+I47+I48+I49+I50+I51+I52+I53+I54+I55+I56+I57+I58+I59+I60+I61+I62+I63+I64+I65+I66+I67+I68+I69+I70+I71+I72+I73+I74+I75+I76+I77+I78+I79+I80+I81+I82+I83+I84</f>
        <v>2862067.73</v>
      </c>
      <c r="J39" s="126">
        <f>SUM(J40:J84)</f>
        <v>214644.14999999997</v>
      </c>
      <c r="K39" s="125">
        <f>H39/E39*100</f>
        <v>49.050286228789446</v>
      </c>
      <c r="L39" s="126">
        <f>SUM(L40:L84)</f>
        <v>720945</v>
      </c>
      <c r="M39" s="126">
        <f>M40+M41+M42+M43+M47+M48+M49+M50+M51+M52+M53+M54+M55+M56+M57+M58+M59+M60+M61+M62+M63+M64+M65+M66+M67+M68+M69+M70+M71+M72+M73+M74+M75+M76+M77+M78+M79+M80+M81+M82+M83+M84</f>
        <v>27800</v>
      </c>
      <c r="N39" s="126">
        <f>N40+N41+N42+N43+N47+N48+N49+N50+N51+N52+N53+N54+N55+N56+N57+N58+N59+N60+N61+N62+N63+N64+N65+N66+N67+N68+N69+N70+N71+N72+N73+N74+N75+N76+N77+N78+N79+N80+N81+N82+N83+N84</f>
        <v>18822</v>
      </c>
      <c r="O39" s="126">
        <f>O40+O41+O42+O43+O47+O48+O49+O50+O51+O52+O53+O54+O55+O56+O57+O58+O59+O60+O61+O62+O63+O64+O65+O66+O67+O68+O69+O70+O71+O72+O73+O74+O75+O76+O77+O78+O79+O80+O81+O82+O83+O84</f>
        <v>0</v>
      </c>
      <c r="P39" s="126">
        <f>P40+P41+P42+P43+P47+P48+P49+P50+P51+P52+P53+P54+P55+P56+P57+P58+P59+P60+P61+P62+P63+P64+P65+P66+P67+P68+P69+P70+P71+P72+P73+P74+P75+P76+P77+P78+P79+P80+P81+P82+P83+P84</f>
        <v>693145</v>
      </c>
      <c r="Q39" s="126">
        <f>SUM(Q40:Q84)</f>
        <v>820224.81</v>
      </c>
      <c r="R39" s="126">
        <f aca="true" t="shared" si="11" ref="R39:W39">R40+R41+R42+R43+R47+R48+R49+R50+R51+R52+R53+R54+R55+R56+R57+R58+R59+R60+R61+R62+R63+R64+R65+R66+R67+R68+R69+R70+R71+R72+R73+R74+R75+R76+R77+R78+R79+R80+R81+R82+R83+R84</f>
        <v>730701.4099999999</v>
      </c>
      <c r="S39" s="126">
        <f t="shared" si="11"/>
        <v>12262.68</v>
      </c>
      <c r="T39" s="126">
        <f t="shared" si="11"/>
        <v>0</v>
      </c>
      <c r="U39" s="126">
        <f t="shared" si="11"/>
        <v>89523.4</v>
      </c>
      <c r="V39" s="125">
        <f t="shared" si="3"/>
        <v>113.77078834030337</v>
      </c>
      <c r="W39" s="126">
        <f t="shared" si="11"/>
        <v>343855308.16999996</v>
      </c>
      <c r="X39" s="145"/>
      <c r="Y39" s="99"/>
    </row>
    <row r="40" spans="1:25" s="17" customFormat="1" ht="270">
      <c r="A40" s="20"/>
      <c r="B40" s="24" t="s">
        <v>99</v>
      </c>
      <c r="C40" s="24" t="s">
        <v>206</v>
      </c>
      <c r="D40" s="25" t="s">
        <v>100</v>
      </c>
      <c r="E40" s="53">
        <f>'дод. 3'!E77</f>
        <v>35619200</v>
      </c>
      <c r="F40" s="53">
        <f>'дод. 3'!F77</f>
        <v>0</v>
      </c>
      <c r="G40" s="53">
        <f>'дод. 3'!G77</f>
        <v>0</v>
      </c>
      <c r="H40" s="53">
        <f>'дод. 3'!H77</f>
        <v>14976506.85</v>
      </c>
      <c r="I40" s="53">
        <f>'дод. 3'!I77</f>
        <v>0</v>
      </c>
      <c r="J40" s="53"/>
      <c r="K40" s="76">
        <f>H40/E40*100</f>
        <v>42.046162884062525</v>
      </c>
      <c r="L40" s="53">
        <f>M40+P40</f>
        <v>0</v>
      </c>
      <c r="M40" s="53">
        <f>'дод. 3'!M77</f>
        <v>0</v>
      </c>
      <c r="N40" s="53">
        <f>'дод. 3'!N77</f>
        <v>0</v>
      </c>
      <c r="O40" s="53">
        <f>'дод. 3'!O77</f>
        <v>0</v>
      </c>
      <c r="P40" s="53">
        <f>'дод. 3'!P77</f>
        <v>0</v>
      </c>
      <c r="Q40" s="53">
        <f>R40+U40</f>
        <v>0</v>
      </c>
      <c r="R40" s="53">
        <f>'дод. 3'!R77</f>
        <v>0</v>
      </c>
      <c r="S40" s="53">
        <f>'дод. 3'!S77</f>
        <v>0</v>
      </c>
      <c r="T40" s="53">
        <f>'дод. 3'!T77</f>
        <v>0</v>
      </c>
      <c r="U40" s="53">
        <f>'дод. 3'!U77</f>
        <v>0</v>
      </c>
      <c r="V40" s="76"/>
      <c r="W40" s="53">
        <f>H40+Q40</f>
        <v>14976506.85</v>
      </c>
      <c r="X40" s="145"/>
      <c r="Y40" s="99"/>
    </row>
    <row r="41" spans="1:25" s="17" customFormat="1" ht="225">
      <c r="A41" s="20"/>
      <c r="B41" s="24" t="s">
        <v>101</v>
      </c>
      <c r="C41" s="24" t="s">
        <v>206</v>
      </c>
      <c r="D41" s="25" t="s">
        <v>102</v>
      </c>
      <c r="E41" s="53">
        <f>'дод. 3'!E78</f>
        <v>22188.3</v>
      </c>
      <c r="F41" s="53">
        <f>'дод. 3'!F78</f>
        <v>0</v>
      </c>
      <c r="G41" s="53">
        <f>'дод. 3'!G78</f>
        <v>0</v>
      </c>
      <c r="H41" s="53">
        <f>'дод. 3'!H78</f>
        <v>18701.88</v>
      </c>
      <c r="I41" s="53">
        <f>'дод. 3'!I78</f>
        <v>0</v>
      </c>
      <c r="J41" s="53"/>
      <c r="K41" s="76">
        <f>H41/E41*100</f>
        <v>84.28712429523668</v>
      </c>
      <c r="L41" s="53">
        <f>M41+P41</f>
        <v>0</v>
      </c>
      <c r="M41" s="53">
        <f>'дод. 3'!M78</f>
        <v>0</v>
      </c>
      <c r="N41" s="53">
        <f>'дод. 3'!N78</f>
        <v>0</v>
      </c>
      <c r="O41" s="53">
        <f>'дод. 3'!O78</f>
        <v>0</v>
      </c>
      <c r="P41" s="53">
        <f>'дод. 3'!P78</f>
        <v>0</v>
      </c>
      <c r="Q41" s="53">
        <f>R41+U41</f>
        <v>0</v>
      </c>
      <c r="R41" s="53">
        <f>'дод. 3'!R78</f>
        <v>0</v>
      </c>
      <c r="S41" s="53">
        <f>'дод. 3'!S78</f>
        <v>0</v>
      </c>
      <c r="T41" s="53">
        <f>'дод. 3'!T78</f>
        <v>0</v>
      </c>
      <c r="U41" s="53">
        <f>'дод. 3'!U78</f>
        <v>0</v>
      </c>
      <c r="V41" s="76"/>
      <c r="W41" s="53">
        <f>H41+Q41</f>
        <v>18701.88</v>
      </c>
      <c r="X41" s="145"/>
      <c r="Y41" s="99"/>
    </row>
    <row r="42" spans="1:25" s="17" customFormat="1" ht="255">
      <c r="A42" s="20"/>
      <c r="B42" s="32" t="s">
        <v>329</v>
      </c>
      <c r="C42" s="32" t="s">
        <v>206</v>
      </c>
      <c r="D42" s="95" t="s">
        <v>330</v>
      </c>
      <c r="E42" s="62">
        <f>'дод. 3'!E79</f>
        <v>269119</v>
      </c>
      <c r="F42" s="62">
        <f>'дод. 3'!F79</f>
        <v>0</v>
      </c>
      <c r="G42" s="62">
        <f>'дод. 3'!G79</f>
        <v>0</v>
      </c>
      <c r="H42" s="62">
        <f>'дод. 3'!H79</f>
        <v>8351.17</v>
      </c>
      <c r="I42" s="62">
        <f>'дод. 3'!I79</f>
        <v>0</v>
      </c>
      <c r="J42" s="62"/>
      <c r="K42" s="77">
        <f>H42/E42*100</f>
        <v>3.103151393992992</v>
      </c>
      <c r="L42" s="57">
        <f>M42+P42</f>
        <v>0</v>
      </c>
      <c r="M42" s="62">
        <f>'дод. 3'!M79</f>
        <v>0</v>
      </c>
      <c r="N42" s="62">
        <f>'дод. 3'!N79</f>
        <v>0</v>
      </c>
      <c r="O42" s="62">
        <f>'дод. 3'!O79</f>
        <v>0</v>
      </c>
      <c r="P42" s="62">
        <f>'дод. 3'!P79</f>
        <v>0</v>
      </c>
      <c r="Q42" s="57">
        <f>R42+U42</f>
        <v>0</v>
      </c>
      <c r="R42" s="62">
        <f>'дод. 3'!R79</f>
        <v>0</v>
      </c>
      <c r="S42" s="62">
        <f>'дод. 3'!S79</f>
        <v>0</v>
      </c>
      <c r="T42" s="62">
        <f>'дод. 3'!T79</f>
        <v>0</v>
      </c>
      <c r="U42" s="62">
        <f>'дод. 3'!U79</f>
        <v>0</v>
      </c>
      <c r="V42" s="78"/>
      <c r="W42" s="57">
        <f>H42+Q42</f>
        <v>8351.17</v>
      </c>
      <c r="X42" s="145"/>
      <c r="Y42" s="99"/>
    </row>
    <row r="43" spans="1:25" s="17" customFormat="1" ht="142.5" customHeight="1">
      <c r="A43" s="20"/>
      <c r="B43" s="115" t="s">
        <v>103</v>
      </c>
      <c r="C43" s="115" t="s">
        <v>206</v>
      </c>
      <c r="D43" s="143" t="s">
        <v>230</v>
      </c>
      <c r="E43" s="116">
        <f>'дод. 3'!E80</f>
        <v>5469100</v>
      </c>
      <c r="F43" s="116">
        <f>'дод. 3'!F80</f>
        <v>0</v>
      </c>
      <c r="G43" s="116">
        <f>'дод. 3'!G80</f>
        <v>0</v>
      </c>
      <c r="H43" s="116">
        <f>'дод. 3'!H80</f>
        <v>1979319.37</v>
      </c>
      <c r="I43" s="116">
        <f>'дод. 3'!I80</f>
        <v>0</v>
      </c>
      <c r="J43" s="116"/>
      <c r="K43" s="119">
        <f>H43/E43*100</f>
        <v>36.19095225905542</v>
      </c>
      <c r="L43" s="116">
        <f>M43+P43</f>
        <v>0</v>
      </c>
      <c r="M43" s="116">
        <f>'дод. 3'!M80</f>
        <v>0</v>
      </c>
      <c r="N43" s="116">
        <f>'дод. 3'!N80</f>
        <v>0</v>
      </c>
      <c r="O43" s="116">
        <f>'дод. 3'!O80</f>
        <v>0</v>
      </c>
      <c r="P43" s="116">
        <f>'дод. 3'!P80</f>
        <v>0</v>
      </c>
      <c r="Q43" s="116">
        <f>R43+U43</f>
        <v>0</v>
      </c>
      <c r="R43" s="116">
        <f>'дод. 3'!R80</f>
        <v>0</v>
      </c>
      <c r="S43" s="116">
        <f>'дод. 3'!S80</f>
        <v>0</v>
      </c>
      <c r="T43" s="116">
        <f>'дод. 3'!T80</f>
        <v>0</v>
      </c>
      <c r="U43" s="116">
        <f>'дод. 3'!U80</f>
        <v>0</v>
      </c>
      <c r="V43" s="116"/>
      <c r="W43" s="116">
        <f>Q43+H43</f>
        <v>1979319.37</v>
      </c>
      <c r="X43" s="145"/>
      <c r="Y43" s="99"/>
    </row>
    <row r="44" spans="1:25" s="17" customFormat="1" ht="154.5" customHeight="1">
      <c r="A44" s="20"/>
      <c r="B44" s="33"/>
      <c r="C44" s="33"/>
      <c r="D44" s="144"/>
      <c r="E44" s="117"/>
      <c r="F44" s="117"/>
      <c r="G44" s="117"/>
      <c r="H44" s="117"/>
      <c r="I44" s="117"/>
      <c r="J44" s="117"/>
      <c r="K44" s="120"/>
      <c r="L44" s="117"/>
      <c r="M44" s="117"/>
      <c r="N44" s="117"/>
      <c r="O44" s="117"/>
      <c r="P44" s="117"/>
      <c r="Q44" s="117"/>
      <c r="R44" s="117"/>
      <c r="S44" s="117"/>
      <c r="T44" s="117"/>
      <c r="U44" s="117"/>
      <c r="V44" s="117"/>
      <c r="W44" s="117"/>
      <c r="X44" s="145"/>
      <c r="Y44" s="99"/>
    </row>
    <row r="45" spans="1:25" s="17" customFormat="1" ht="169.5" customHeight="1">
      <c r="A45" s="20"/>
      <c r="B45" s="33"/>
      <c r="C45" s="33"/>
      <c r="D45" s="55" t="s">
        <v>231</v>
      </c>
      <c r="E45" s="117"/>
      <c r="F45" s="117"/>
      <c r="G45" s="117"/>
      <c r="H45" s="117"/>
      <c r="I45" s="117"/>
      <c r="J45" s="117"/>
      <c r="K45" s="120"/>
      <c r="L45" s="117"/>
      <c r="M45" s="117"/>
      <c r="N45" s="117"/>
      <c r="O45" s="117"/>
      <c r="P45" s="117"/>
      <c r="Q45" s="117"/>
      <c r="R45" s="117"/>
      <c r="S45" s="117"/>
      <c r="T45" s="117"/>
      <c r="U45" s="117"/>
      <c r="V45" s="117"/>
      <c r="W45" s="117"/>
      <c r="X45" s="145"/>
      <c r="Y45" s="99"/>
    </row>
    <row r="46" spans="1:25" s="17" customFormat="1" ht="267" customHeight="1">
      <c r="A46" s="20"/>
      <c r="B46" s="54"/>
      <c r="C46" s="54"/>
      <c r="D46" s="56" t="s">
        <v>234</v>
      </c>
      <c r="E46" s="118"/>
      <c r="F46" s="118"/>
      <c r="G46" s="118"/>
      <c r="H46" s="118"/>
      <c r="I46" s="118"/>
      <c r="J46" s="118"/>
      <c r="K46" s="121"/>
      <c r="L46" s="118"/>
      <c r="M46" s="118"/>
      <c r="N46" s="118"/>
      <c r="O46" s="118"/>
      <c r="P46" s="118"/>
      <c r="Q46" s="118"/>
      <c r="R46" s="118"/>
      <c r="S46" s="118"/>
      <c r="T46" s="118"/>
      <c r="U46" s="118"/>
      <c r="V46" s="118"/>
      <c r="W46" s="118"/>
      <c r="X46" s="145"/>
      <c r="Y46" s="99"/>
    </row>
    <row r="47" spans="1:25" s="17" customFormat="1" ht="105">
      <c r="A47" s="20"/>
      <c r="B47" s="24" t="s">
        <v>104</v>
      </c>
      <c r="C47" s="24" t="s">
        <v>207</v>
      </c>
      <c r="D47" s="25" t="s">
        <v>105</v>
      </c>
      <c r="E47" s="53">
        <f>'дод. 3'!E84</f>
        <v>4278400</v>
      </c>
      <c r="F47" s="53">
        <f>'дод. 3'!F84</f>
        <v>0</v>
      </c>
      <c r="G47" s="53">
        <f>'дод. 3'!G84</f>
        <v>0</v>
      </c>
      <c r="H47" s="53">
        <f>'дод. 3'!H84</f>
        <v>1461323.12</v>
      </c>
      <c r="I47" s="53">
        <f>'дод. 3'!I84</f>
        <v>0</v>
      </c>
      <c r="J47" s="53"/>
      <c r="K47" s="76">
        <f>H47/E47*100</f>
        <v>34.15583208676141</v>
      </c>
      <c r="L47" s="53">
        <f>M47+P47</f>
        <v>0</v>
      </c>
      <c r="M47" s="53">
        <f>'дод. 3'!M84</f>
        <v>0</v>
      </c>
      <c r="N47" s="53">
        <f>'дод. 3'!N84</f>
        <v>0</v>
      </c>
      <c r="O47" s="53">
        <f>'дод. 3'!O84</f>
        <v>0</v>
      </c>
      <c r="P47" s="53">
        <f>'дод. 3'!P84</f>
        <v>0</v>
      </c>
      <c r="Q47" s="53">
        <f>R47+U47</f>
        <v>0</v>
      </c>
      <c r="R47" s="53">
        <f>'дод. 3'!R84</f>
        <v>0</v>
      </c>
      <c r="S47" s="53">
        <f>'дод. 3'!S84</f>
        <v>0</v>
      </c>
      <c r="T47" s="53">
        <f>'дод. 3'!T84</f>
        <v>0</v>
      </c>
      <c r="U47" s="53">
        <f>'дод. 3'!U84</f>
        <v>0</v>
      </c>
      <c r="V47" s="76"/>
      <c r="W47" s="53">
        <f>Q47+H47</f>
        <v>1461323.12</v>
      </c>
      <c r="X47" s="145"/>
      <c r="Y47" s="99"/>
    </row>
    <row r="48" spans="1:25" s="17" customFormat="1" ht="105">
      <c r="A48" s="20"/>
      <c r="B48" s="24" t="s">
        <v>313</v>
      </c>
      <c r="C48" s="24" t="s">
        <v>207</v>
      </c>
      <c r="D48" s="25" t="s">
        <v>314</v>
      </c>
      <c r="E48" s="53">
        <f>'дод. 3'!E85</f>
        <v>788</v>
      </c>
      <c r="F48" s="53">
        <f>'дод. 3'!F85</f>
        <v>0</v>
      </c>
      <c r="G48" s="53">
        <f>'дод. 3'!G85</f>
        <v>0</v>
      </c>
      <c r="H48" s="53">
        <f>'дод. 3'!H85</f>
        <v>0</v>
      </c>
      <c r="I48" s="53">
        <f>'дод. 3'!I85</f>
        <v>0</v>
      </c>
      <c r="J48" s="53"/>
      <c r="K48" s="76">
        <f>H48/E48*100</f>
        <v>0</v>
      </c>
      <c r="L48" s="53">
        <f>M48+P48</f>
        <v>0</v>
      </c>
      <c r="M48" s="53">
        <f>'дод. 3'!M85</f>
        <v>0</v>
      </c>
      <c r="N48" s="53">
        <f>'дод. 3'!N85</f>
        <v>0</v>
      </c>
      <c r="O48" s="53">
        <f>'дод. 3'!O85</f>
        <v>0</v>
      </c>
      <c r="P48" s="53">
        <f>'дод. 3'!P85</f>
        <v>0</v>
      </c>
      <c r="Q48" s="53">
        <f aca="true" t="shared" si="12" ref="Q48:Q84">R48+U48</f>
        <v>0</v>
      </c>
      <c r="R48" s="53">
        <f>'дод. 3'!R85</f>
        <v>0</v>
      </c>
      <c r="S48" s="53">
        <f>'дод. 3'!S85</f>
        <v>0</v>
      </c>
      <c r="T48" s="53">
        <f>'дод. 3'!T85</f>
        <v>0</v>
      </c>
      <c r="U48" s="53">
        <f>'дод. 3'!U85</f>
        <v>0</v>
      </c>
      <c r="V48" s="76"/>
      <c r="W48" s="53">
        <f>Q48+H48</f>
        <v>0</v>
      </c>
      <c r="X48" s="145"/>
      <c r="Y48" s="99"/>
    </row>
    <row r="49" spans="1:25" s="17" customFormat="1" ht="90">
      <c r="A49" s="20"/>
      <c r="B49" s="24" t="s">
        <v>331</v>
      </c>
      <c r="C49" s="24" t="s">
        <v>207</v>
      </c>
      <c r="D49" s="25" t="s">
        <v>332</v>
      </c>
      <c r="E49" s="35">
        <f>'дод. 3'!E86</f>
        <v>70400</v>
      </c>
      <c r="F49" s="35">
        <f>'дод. 3'!F86</f>
        <v>0</v>
      </c>
      <c r="G49" s="35">
        <f>'дод. 3'!G86</f>
        <v>0</v>
      </c>
      <c r="H49" s="35">
        <f>'дод. 3'!H86</f>
        <v>9556.85</v>
      </c>
      <c r="I49" s="35">
        <f>'дод. 3'!I86</f>
        <v>0</v>
      </c>
      <c r="J49" s="35"/>
      <c r="K49" s="76">
        <f aca="true" t="shared" si="13" ref="K49:K85">H49/E49*100</f>
        <v>13.575071022727272</v>
      </c>
      <c r="L49" s="53">
        <f aca="true" t="shared" si="14" ref="L49:L84">M49+P49</f>
        <v>0</v>
      </c>
      <c r="M49" s="35">
        <f>'дод. 3'!M86</f>
        <v>0</v>
      </c>
      <c r="N49" s="35">
        <f>'дод. 3'!N86</f>
        <v>0</v>
      </c>
      <c r="O49" s="35">
        <f>'дод. 3'!O86</f>
        <v>0</v>
      </c>
      <c r="P49" s="35">
        <f>'дод. 3'!P86</f>
        <v>0</v>
      </c>
      <c r="Q49" s="53">
        <f t="shared" si="12"/>
        <v>0</v>
      </c>
      <c r="R49" s="35">
        <f>'дод. 3'!R86</f>
        <v>0</v>
      </c>
      <c r="S49" s="35">
        <f>'дод. 3'!S86</f>
        <v>0</v>
      </c>
      <c r="T49" s="35">
        <f>'дод. 3'!T86</f>
        <v>0</v>
      </c>
      <c r="U49" s="35">
        <f>'дод. 3'!U86</f>
        <v>0</v>
      </c>
      <c r="V49" s="76"/>
      <c r="W49" s="53">
        <f>Q49+H49</f>
        <v>9556.85</v>
      </c>
      <c r="X49" s="145"/>
      <c r="Y49" s="99"/>
    </row>
    <row r="50" spans="1:25" s="17" customFormat="1" ht="210">
      <c r="A50" s="20"/>
      <c r="B50" s="24" t="s">
        <v>106</v>
      </c>
      <c r="C50" s="24" t="s">
        <v>207</v>
      </c>
      <c r="D50" s="25" t="s">
        <v>233</v>
      </c>
      <c r="E50" s="35">
        <f>'дод. 3'!E87</f>
        <v>110300</v>
      </c>
      <c r="F50" s="35">
        <f>'дод. 3'!F87</f>
        <v>0</v>
      </c>
      <c r="G50" s="35">
        <f>'дод. 3'!G87</f>
        <v>0</v>
      </c>
      <c r="H50" s="35">
        <f>'дод. 3'!H87</f>
        <v>25500</v>
      </c>
      <c r="I50" s="35">
        <f>'дод. 3'!I87</f>
        <v>0</v>
      </c>
      <c r="J50" s="35"/>
      <c r="K50" s="76">
        <f t="shared" si="13"/>
        <v>23.11876699909338</v>
      </c>
      <c r="L50" s="53">
        <f t="shared" si="14"/>
        <v>0</v>
      </c>
      <c r="M50" s="35">
        <f>'дод. 3'!M87</f>
        <v>0</v>
      </c>
      <c r="N50" s="35">
        <f>'дод. 3'!N87</f>
        <v>0</v>
      </c>
      <c r="O50" s="35">
        <f>'дод. 3'!O87</f>
        <v>0</v>
      </c>
      <c r="P50" s="35">
        <f>'дод. 3'!P87</f>
        <v>0</v>
      </c>
      <c r="Q50" s="53">
        <f t="shared" si="12"/>
        <v>0</v>
      </c>
      <c r="R50" s="35">
        <f>'дод. 3'!R87</f>
        <v>0</v>
      </c>
      <c r="S50" s="35">
        <f>'дод. 3'!S87</f>
        <v>0</v>
      </c>
      <c r="T50" s="35">
        <f>'дод. 3'!T87</f>
        <v>0</v>
      </c>
      <c r="U50" s="35">
        <f>'дод. 3'!U87</f>
        <v>0</v>
      </c>
      <c r="V50" s="76"/>
      <c r="W50" s="53">
        <f aca="true" t="shared" si="15" ref="W50:W92">Q50+H50</f>
        <v>25500</v>
      </c>
      <c r="X50" s="145"/>
      <c r="Y50" s="99"/>
    </row>
    <row r="51" spans="1:25" s="17" customFormat="1" ht="45">
      <c r="A51" s="20"/>
      <c r="B51" s="24" t="s">
        <v>107</v>
      </c>
      <c r="C51" s="24" t="s">
        <v>207</v>
      </c>
      <c r="D51" s="25" t="s">
        <v>108</v>
      </c>
      <c r="E51" s="53">
        <f>'дод. 3'!E88</f>
        <v>882700</v>
      </c>
      <c r="F51" s="53">
        <f>'дод. 3'!F88</f>
        <v>0</v>
      </c>
      <c r="G51" s="53">
        <f>'дод. 3'!G88</f>
        <v>0</v>
      </c>
      <c r="H51" s="53">
        <f>'дод. 3'!H88</f>
        <v>257705.34</v>
      </c>
      <c r="I51" s="53">
        <f>'дод. 3'!I88</f>
        <v>0</v>
      </c>
      <c r="J51" s="53"/>
      <c r="K51" s="76">
        <f t="shared" si="13"/>
        <v>29.19512178543106</v>
      </c>
      <c r="L51" s="53">
        <f t="shared" si="14"/>
        <v>0</v>
      </c>
      <c r="M51" s="53">
        <f>'дод. 3'!M88</f>
        <v>0</v>
      </c>
      <c r="N51" s="53">
        <f>'дод. 3'!N88</f>
        <v>0</v>
      </c>
      <c r="O51" s="53">
        <f>'дод. 3'!O88</f>
        <v>0</v>
      </c>
      <c r="P51" s="53">
        <f>'дод. 3'!P88</f>
        <v>0</v>
      </c>
      <c r="Q51" s="53">
        <f t="shared" si="12"/>
        <v>0</v>
      </c>
      <c r="R51" s="53">
        <f>'дод. 3'!R88</f>
        <v>0</v>
      </c>
      <c r="S51" s="53">
        <f>'дод. 3'!S88</f>
        <v>0</v>
      </c>
      <c r="T51" s="53">
        <f>'дод. 3'!T88</f>
        <v>0</v>
      </c>
      <c r="U51" s="53">
        <f>'дод. 3'!U88</f>
        <v>0</v>
      </c>
      <c r="V51" s="76"/>
      <c r="W51" s="53">
        <f t="shared" si="15"/>
        <v>257705.34</v>
      </c>
      <c r="X51" s="145"/>
      <c r="Y51" s="99"/>
    </row>
    <row r="52" spans="1:25" s="17" customFormat="1" ht="30">
      <c r="A52" s="20"/>
      <c r="B52" s="24" t="s">
        <v>333</v>
      </c>
      <c r="C52" s="24" t="s">
        <v>207</v>
      </c>
      <c r="D52" s="25" t="s">
        <v>334</v>
      </c>
      <c r="E52" s="35">
        <f>'дод. 3'!E89</f>
        <v>1394632</v>
      </c>
      <c r="F52" s="35">
        <f>'дод. 3'!F89</f>
        <v>0</v>
      </c>
      <c r="G52" s="35">
        <f>'дод. 3'!G89</f>
        <v>0</v>
      </c>
      <c r="H52" s="35">
        <f>'дод. 3'!H89</f>
        <v>655298.53</v>
      </c>
      <c r="I52" s="35">
        <f>'дод. 3'!I89</f>
        <v>0</v>
      </c>
      <c r="J52" s="35">
        <f>'дод. 3'!J89</f>
        <v>0</v>
      </c>
      <c r="K52" s="76">
        <f t="shared" si="13"/>
        <v>46.987200207653345</v>
      </c>
      <c r="L52" s="53">
        <f t="shared" si="14"/>
        <v>0</v>
      </c>
      <c r="M52" s="35">
        <f>'дод. 3'!M89</f>
        <v>0</v>
      </c>
      <c r="N52" s="35">
        <f>'дод. 3'!N89</f>
        <v>0</v>
      </c>
      <c r="O52" s="35">
        <f>'дод. 3'!O89</f>
        <v>0</v>
      </c>
      <c r="P52" s="35">
        <f>'дод. 3'!P89</f>
        <v>0</v>
      </c>
      <c r="Q52" s="53">
        <f t="shared" si="12"/>
        <v>0</v>
      </c>
      <c r="R52" s="35">
        <f>'дод. 3'!R89</f>
        <v>0</v>
      </c>
      <c r="S52" s="35">
        <f>'дод. 3'!S89</f>
        <v>0</v>
      </c>
      <c r="T52" s="35">
        <f>'дод. 3'!T89</f>
        <v>0</v>
      </c>
      <c r="U52" s="35">
        <f>'дод. 3'!U89</f>
        <v>0</v>
      </c>
      <c r="V52" s="76"/>
      <c r="W52" s="53">
        <f t="shared" si="15"/>
        <v>655298.53</v>
      </c>
      <c r="X52" s="145"/>
      <c r="Y52" s="99"/>
    </row>
    <row r="53" spans="1:25" s="17" customFormat="1" ht="150">
      <c r="A53" s="20"/>
      <c r="B53" s="24" t="s">
        <v>109</v>
      </c>
      <c r="C53" s="24" t="s">
        <v>207</v>
      </c>
      <c r="D53" s="25" t="s">
        <v>110</v>
      </c>
      <c r="E53" s="35">
        <f>'дод. 3'!E90</f>
        <v>2195200</v>
      </c>
      <c r="F53" s="35">
        <f>'дод. 3'!F90</f>
        <v>0</v>
      </c>
      <c r="G53" s="35">
        <f>'дод. 3'!G90</f>
        <v>0</v>
      </c>
      <c r="H53" s="35">
        <f>'дод. 3'!H90</f>
        <v>619604.89</v>
      </c>
      <c r="I53" s="35">
        <f>'дод. 3'!I90</f>
        <v>0</v>
      </c>
      <c r="J53" s="35">
        <f>'дод. 3'!J90</f>
        <v>0</v>
      </c>
      <c r="K53" s="76">
        <f t="shared" si="13"/>
        <v>28.225441417638486</v>
      </c>
      <c r="L53" s="53">
        <f t="shared" si="14"/>
        <v>0</v>
      </c>
      <c r="M53" s="35">
        <f>'дод. 3'!M90</f>
        <v>0</v>
      </c>
      <c r="N53" s="35">
        <f>'дод. 3'!N90</f>
        <v>0</v>
      </c>
      <c r="O53" s="35">
        <f>'дод. 3'!O90</f>
        <v>0</v>
      </c>
      <c r="P53" s="35">
        <f>'дод. 3'!P90</f>
        <v>0</v>
      </c>
      <c r="Q53" s="53">
        <f t="shared" si="12"/>
        <v>0</v>
      </c>
      <c r="R53" s="35">
        <f>'дод. 3'!R90</f>
        <v>0</v>
      </c>
      <c r="S53" s="35">
        <f>'дод. 3'!S90</f>
        <v>0</v>
      </c>
      <c r="T53" s="35">
        <f>'дод. 3'!T90</f>
        <v>0</v>
      </c>
      <c r="U53" s="35">
        <f>'дод. 3'!U90</f>
        <v>0</v>
      </c>
      <c r="V53" s="76"/>
      <c r="W53" s="53">
        <f t="shared" si="15"/>
        <v>619604.89</v>
      </c>
      <c r="X53" s="145"/>
      <c r="Y53" s="99"/>
    </row>
    <row r="54" spans="1:25" s="17" customFormat="1" ht="150">
      <c r="A54" s="20"/>
      <c r="B54" s="27" t="s">
        <v>111</v>
      </c>
      <c r="C54" s="27" t="s">
        <v>207</v>
      </c>
      <c r="D54" s="25" t="s">
        <v>112</v>
      </c>
      <c r="E54" s="53">
        <f>'дод. 3'!E91</f>
        <v>7515.26</v>
      </c>
      <c r="F54" s="53">
        <f>'дод. 3'!F91</f>
        <v>0</v>
      </c>
      <c r="G54" s="53">
        <f>'дод. 3'!G91</f>
        <v>0</v>
      </c>
      <c r="H54" s="53">
        <f>'дод. 3'!H91</f>
        <v>4140.07</v>
      </c>
      <c r="I54" s="53">
        <f>'дод. 3'!I91</f>
        <v>0</v>
      </c>
      <c r="J54" s="53">
        <f>'дод. 3'!J91</f>
        <v>0</v>
      </c>
      <c r="K54" s="76">
        <f t="shared" si="13"/>
        <v>55.088845894885864</v>
      </c>
      <c r="L54" s="53">
        <f t="shared" si="14"/>
        <v>0</v>
      </c>
      <c r="M54" s="53">
        <f>'дод. 3'!M91</f>
        <v>0</v>
      </c>
      <c r="N54" s="53">
        <f>'дод. 3'!N91</f>
        <v>0</v>
      </c>
      <c r="O54" s="53">
        <f>'дод. 3'!O91</f>
        <v>0</v>
      </c>
      <c r="P54" s="53">
        <f>'дод. 3'!P91</f>
        <v>0</v>
      </c>
      <c r="Q54" s="53">
        <f t="shared" si="12"/>
        <v>0</v>
      </c>
      <c r="R54" s="53">
        <f>'дод. 3'!R91</f>
        <v>0</v>
      </c>
      <c r="S54" s="53">
        <f>'дод. 3'!S91</f>
        <v>0</v>
      </c>
      <c r="T54" s="53">
        <f>'дод. 3'!T91</f>
        <v>0</v>
      </c>
      <c r="U54" s="53">
        <f>'дод. 3'!U91</f>
        <v>0</v>
      </c>
      <c r="V54" s="76"/>
      <c r="W54" s="53">
        <f t="shared" si="15"/>
        <v>4140.07</v>
      </c>
      <c r="X54" s="145"/>
      <c r="Y54" s="99"/>
    </row>
    <row r="55" spans="1:25" s="17" customFormat="1" ht="30">
      <c r="A55" s="20"/>
      <c r="B55" s="24" t="s">
        <v>113</v>
      </c>
      <c r="C55" s="24" t="s">
        <v>182</v>
      </c>
      <c r="D55" s="25" t="s">
        <v>114</v>
      </c>
      <c r="E55" s="53">
        <f>'дод. 3'!E92</f>
        <v>2957400</v>
      </c>
      <c r="F55" s="53">
        <f>'дод. 3'!F92</f>
        <v>0</v>
      </c>
      <c r="G55" s="53">
        <f>'дод. 3'!G92</f>
        <v>0</v>
      </c>
      <c r="H55" s="53">
        <f>'дод. 3'!H92</f>
        <v>1087361.72</v>
      </c>
      <c r="I55" s="53">
        <f>'дод. 3'!I92</f>
        <v>0</v>
      </c>
      <c r="J55" s="53">
        <f>'дод. 3'!J92</f>
        <v>0</v>
      </c>
      <c r="K55" s="76">
        <f t="shared" si="13"/>
        <v>36.76748901061743</v>
      </c>
      <c r="L55" s="53">
        <f t="shared" si="14"/>
        <v>0</v>
      </c>
      <c r="M55" s="53">
        <f>'дод. 3'!M92</f>
        <v>0</v>
      </c>
      <c r="N55" s="53">
        <f>'дод. 3'!N92</f>
        <v>0</v>
      </c>
      <c r="O55" s="53">
        <f>'дод. 3'!O92</f>
        <v>0</v>
      </c>
      <c r="P55" s="53">
        <f>'дод. 3'!P92</f>
        <v>0</v>
      </c>
      <c r="Q55" s="53">
        <f t="shared" si="12"/>
        <v>0</v>
      </c>
      <c r="R55" s="53">
        <f>'дод. 3'!R92</f>
        <v>0</v>
      </c>
      <c r="S55" s="53">
        <f>'дод. 3'!S92</f>
        <v>0</v>
      </c>
      <c r="T55" s="53">
        <f>'дод. 3'!T92</f>
        <v>0</v>
      </c>
      <c r="U55" s="53">
        <f>'дод. 3'!U92</f>
        <v>0</v>
      </c>
      <c r="V55" s="76"/>
      <c r="W55" s="53">
        <f t="shared" si="15"/>
        <v>1087361.72</v>
      </c>
      <c r="X55" s="145"/>
      <c r="Y55" s="99"/>
    </row>
    <row r="56" spans="1:25" s="17" customFormat="1" ht="30">
      <c r="A56" s="20"/>
      <c r="B56" s="24" t="s">
        <v>115</v>
      </c>
      <c r="C56" s="24" t="s">
        <v>182</v>
      </c>
      <c r="D56" s="25" t="s">
        <v>226</v>
      </c>
      <c r="E56" s="53">
        <f>'дод. 3'!E93</f>
        <v>2340000</v>
      </c>
      <c r="F56" s="53">
        <f>'дод. 3'!F93</f>
        <v>0</v>
      </c>
      <c r="G56" s="53">
        <f>'дод. 3'!G93</f>
        <v>0</v>
      </c>
      <c r="H56" s="53">
        <f>'дод. 3'!H93</f>
        <v>1149000.56</v>
      </c>
      <c r="I56" s="53">
        <f>'дод. 3'!I93</f>
        <v>0</v>
      </c>
      <c r="J56" s="53">
        <f>'дод. 3'!J93</f>
        <v>0</v>
      </c>
      <c r="K56" s="76">
        <f t="shared" si="13"/>
        <v>49.10258803418804</v>
      </c>
      <c r="L56" s="53">
        <f t="shared" si="14"/>
        <v>0</v>
      </c>
      <c r="M56" s="53">
        <f>'дод. 3'!M93</f>
        <v>0</v>
      </c>
      <c r="N56" s="53">
        <f>'дод. 3'!N93</f>
        <v>0</v>
      </c>
      <c r="O56" s="53">
        <f>'дод. 3'!O93</f>
        <v>0</v>
      </c>
      <c r="P56" s="53">
        <f>'дод. 3'!P93</f>
        <v>0</v>
      </c>
      <c r="Q56" s="53">
        <f t="shared" si="12"/>
        <v>0</v>
      </c>
      <c r="R56" s="53">
        <f>'дод. 3'!R93</f>
        <v>0</v>
      </c>
      <c r="S56" s="53">
        <f>'дод. 3'!S93</f>
        <v>0</v>
      </c>
      <c r="T56" s="53">
        <f>'дод. 3'!T93</f>
        <v>0</v>
      </c>
      <c r="U56" s="53">
        <f>'дод. 3'!U93</f>
        <v>0</v>
      </c>
      <c r="V56" s="76"/>
      <c r="W56" s="53">
        <f t="shared" si="15"/>
        <v>1149000.56</v>
      </c>
      <c r="X56" s="145"/>
      <c r="Y56" s="99"/>
    </row>
    <row r="57" spans="1:25" s="17" customFormat="1" ht="15">
      <c r="A57" s="20"/>
      <c r="B57" s="24" t="s">
        <v>116</v>
      </c>
      <c r="C57" s="24" t="s">
        <v>182</v>
      </c>
      <c r="D57" s="25" t="s">
        <v>117</v>
      </c>
      <c r="E57" s="53">
        <f>'дод. 3'!E94</f>
        <v>132914300</v>
      </c>
      <c r="F57" s="53">
        <f>'дод. 3'!F94</f>
        <v>0</v>
      </c>
      <c r="G57" s="53">
        <f>'дод. 3'!G94</f>
        <v>0</v>
      </c>
      <c r="H57" s="53">
        <f>'дод. 3'!H94</f>
        <v>65871179.66</v>
      </c>
      <c r="I57" s="53">
        <f>'дод. 3'!I94</f>
        <v>0</v>
      </c>
      <c r="J57" s="53">
        <f>'дод. 3'!J94</f>
        <v>0</v>
      </c>
      <c r="K57" s="76">
        <f t="shared" si="13"/>
        <v>49.55913672193285</v>
      </c>
      <c r="L57" s="53">
        <f t="shared" si="14"/>
        <v>0</v>
      </c>
      <c r="M57" s="53">
        <f>'дод. 3'!M94</f>
        <v>0</v>
      </c>
      <c r="N57" s="53">
        <f>'дод. 3'!N94</f>
        <v>0</v>
      </c>
      <c r="O57" s="53">
        <f>'дод. 3'!O94</f>
        <v>0</v>
      </c>
      <c r="P57" s="53">
        <f>'дод. 3'!P94</f>
        <v>0</v>
      </c>
      <c r="Q57" s="53">
        <f t="shared" si="12"/>
        <v>0</v>
      </c>
      <c r="R57" s="53">
        <f>'дод. 3'!R94</f>
        <v>0</v>
      </c>
      <c r="S57" s="53">
        <f>'дод. 3'!S94</f>
        <v>0</v>
      </c>
      <c r="T57" s="53">
        <f>'дод. 3'!T94</f>
        <v>0</v>
      </c>
      <c r="U57" s="53">
        <f>'дод. 3'!U94</f>
        <v>0</v>
      </c>
      <c r="V57" s="76"/>
      <c r="W57" s="53">
        <f t="shared" si="15"/>
        <v>65871179.66</v>
      </c>
      <c r="X57" s="145"/>
      <c r="Y57" s="99"/>
    </row>
    <row r="58" spans="1:25" s="17" customFormat="1" ht="30">
      <c r="A58" s="20"/>
      <c r="B58" s="24" t="s">
        <v>118</v>
      </c>
      <c r="C58" s="24" t="s">
        <v>182</v>
      </c>
      <c r="D58" s="25" t="s">
        <v>119</v>
      </c>
      <c r="E58" s="53">
        <f>'дод. 3'!E95</f>
        <v>4769000</v>
      </c>
      <c r="F58" s="53">
        <f>'дод. 3'!F95</f>
        <v>0</v>
      </c>
      <c r="G58" s="53">
        <f>'дод. 3'!G95</f>
        <v>0</v>
      </c>
      <c r="H58" s="53">
        <f>'дод. 3'!H95</f>
        <v>3189037.35</v>
      </c>
      <c r="I58" s="53">
        <f>'дод. 3'!I95</f>
        <v>0</v>
      </c>
      <c r="J58" s="53">
        <f>'дод. 3'!J95</f>
        <v>0</v>
      </c>
      <c r="K58" s="76">
        <f t="shared" si="13"/>
        <v>66.8701478297337</v>
      </c>
      <c r="L58" s="53">
        <f t="shared" si="14"/>
        <v>0</v>
      </c>
      <c r="M58" s="53">
        <f>'дод. 3'!M95</f>
        <v>0</v>
      </c>
      <c r="N58" s="53">
        <f>'дод. 3'!N95</f>
        <v>0</v>
      </c>
      <c r="O58" s="53">
        <f>'дод. 3'!O95</f>
        <v>0</v>
      </c>
      <c r="P58" s="53">
        <f>'дод. 3'!P95</f>
        <v>0</v>
      </c>
      <c r="Q58" s="53">
        <f t="shared" si="12"/>
        <v>0</v>
      </c>
      <c r="R58" s="53">
        <f>'дод. 3'!R95</f>
        <v>0</v>
      </c>
      <c r="S58" s="53">
        <f>'дод. 3'!S95</f>
        <v>0</v>
      </c>
      <c r="T58" s="53">
        <f>'дод. 3'!T95</f>
        <v>0</v>
      </c>
      <c r="U58" s="53">
        <f>'дод. 3'!U95</f>
        <v>0</v>
      </c>
      <c r="V58" s="76"/>
      <c r="W58" s="53">
        <f t="shared" si="15"/>
        <v>3189037.35</v>
      </c>
      <c r="X58" s="145"/>
      <c r="Y58" s="99"/>
    </row>
    <row r="59" spans="1:25" s="17" customFormat="1" ht="15">
      <c r="A59" s="20"/>
      <c r="B59" s="24" t="s">
        <v>120</v>
      </c>
      <c r="C59" s="24" t="s">
        <v>182</v>
      </c>
      <c r="D59" s="25" t="s">
        <v>121</v>
      </c>
      <c r="E59" s="53">
        <f>'дод. 3'!E96</f>
        <v>22750500</v>
      </c>
      <c r="F59" s="53">
        <f>'дод. 3'!F96</f>
        <v>0</v>
      </c>
      <c r="G59" s="53">
        <f>'дод. 3'!G96</f>
        <v>0</v>
      </c>
      <c r="H59" s="53">
        <f>'дод. 3'!H96</f>
        <v>12473920.18</v>
      </c>
      <c r="I59" s="53">
        <f>'дод. 3'!I96</f>
        <v>0</v>
      </c>
      <c r="J59" s="53">
        <f>'дод. 3'!J96</f>
        <v>0</v>
      </c>
      <c r="K59" s="76">
        <f t="shared" si="13"/>
        <v>54.829213335970636</v>
      </c>
      <c r="L59" s="53">
        <f t="shared" si="14"/>
        <v>0</v>
      </c>
      <c r="M59" s="53">
        <f>'дод. 3'!M96</f>
        <v>0</v>
      </c>
      <c r="N59" s="53">
        <f>'дод. 3'!N96</f>
        <v>0</v>
      </c>
      <c r="O59" s="53">
        <f>'дод. 3'!O96</f>
        <v>0</v>
      </c>
      <c r="P59" s="53">
        <f>'дод. 3'!P96</f>
        <v>0</v>
      </c>
      <c r="Q59" s="53">
        <f t="shared" si="12"/>
        <v>0</v>
      </c>
      <c r="R59" s="53">
        <f>'дод. 3'!R96</f>
        <v>0</v>
      </c>
      <c r="S59" s="53">
        <f>'дод. 3'!S96</f>
        <v>0</v>
      </c>
      <c r="T59" s="53">
        <f>'дод. 3'!T96</f>
        <v>0</v>
      </c>
      <c r="U59" s="53">
        <f>'дод. 3'!U96</f>
        <v>0</v>
      </c>
      <c r="V59" s="76"/>
      <c r="W59" s="53">
        <f t="shared" si="15"/>
        <v>12473920.18</v>
      </c>
      <c r="X59" s="145"/>
      <c r="Y59" s="99"/>
    </row>
    <row r="60" spans="1:25" s="17" customFormat="1" ht="15">
      <c r="A60" s="20"/>
      <c r="B60" s="24" t="s">
        <v>122</v>
      </c>
      <c r="C60" s="24" t="s">
        <v>182</v>
      </c>
      <c r="D60" s="25" t="s">
        <v>123</v>
      </c>
      <c r="E60" s="53">
        <f>'дод. 3'!E97</f>
        <v>2174200</v>
      </c>
      <c r="F60" s="53">
        <f>'дод. 3'!F97</f>
        <v>0</v>
      </c>
      <c r="G60" s="53">
        <f>'дод. 3'!G97</f>
        <v>0</v>
      </c>
      <c r="H60" s="53">
        <f>'дод. 3'!H97</f>
        <v>557837.3</v>
      </c>
      <c r="I60" s="53">
        <f>'дод. 3'!I97</f>
        <v>0</v>
      </c>
      <c r="J60" s="53">
        <f>'дод. 3'!J97</f>
        <v>0</v>
      </c>
      <c r="K60" s="76">
        <f t="shared" si="13"/>
        <v>25.657129058964216</v>
      </c>
      <c r="L60" s="53">
        <f t="shared" si="14"/>
        <v>0</v>
      </c>
      <c r="M60" s="53">
        <f>'дод. 3'!M97</f>
        <v>0</v>
      </c>
      <c r="N60" s="53">
        <f>'дод. 3'!N97</f>
        <v>0</v>
      </c>
      <c r="O60" s="53">
        <f>'дод. 3'!O97</f>
        <v>0</v>
      </c>
      <c r="P60" s="53">
        <f>'дод. 3'!P97</f>
        <v>0</v>
      </c>
      <c r="Q60" s="53">
        <f t="shared" si="12"/>
        <v>0</v>
      </c>
      <c r="R60" s="53">
        <f>'дод. 3'!R97</f>
        <v>0</v>
      </c>
      <c r="S60" s="53">
        <f>'дод. 3'!S97</f>
        <v>0</v>
      </c>
      <c r="T60" s="53">
        <f>'дод. 3'!T97</f>
        <v>0</v>
      </c>
      <c r="U60" s="53">
        <f>'дод. 3'!U97</f>
        <v>0</v>
      </c>
      <c r="V60" s="76"/>
      <c r="W60" s="53">
        <f t="shared" si="15"/>
        <v>557837.3</v>
      </c>
      <c r="X60" s="145"/>
      <c r="Y60" s="99"/>
    </row>
    <row r="61" spans="1:25" s="17" customFormat="1" ht="15">
      <c r="A61" s="20"/>
      <c r="B61" s="24" t="s">
        <v>124</v>
      </c>
      <c r="C61" s="24" t="s">
        <v>182</v>
      </c>
      <c r="D61" s="25" t="s">
        <v>125</v>
      </c>
      <c r="E61" s="53">
        <f>'дод. 3'!E98</f>
        <v>312200</v>
      </c>
      <c r="F61" s="53">
        <f>'дод. 3'!F98</f>
        <v>0</v>
      </c>
      <c r="G61" s="53">
        <f>'дод. 3'!G98</f>
        <v>0</v>
      </c>
      <c r="H61" s="53">
        <f>'дод. 3'!H98</f>
        <v>93740</v>
      </c>
      <c r="I61" s="53">
        <f>'дод. 3'!I98</f>
        <v>0</v>
      </c>
      <c r="J61" s="53">
        <f>'дод. 3'!J98</f>
        <v>0</v>
      </c>
      <c r="K61" s="76">
        <f t="shared" si="13"/>
        <v>30.02562459961563</v>
      </c>
      <c r="L61" s="53">
        <f t="shared" si="14"/>
        <v>0</v>
      </c>
      <c r="M61" s="53">
        <f>'дод. 3'!M98</f>
        <v>0</v>
      </c>
      <c r="N61" s="53">
        <f>'дод. 3'!N98</f>
        <v>0</v>
      </c>
      <c r="O61" s="53">
        <f>'дод. 3'!O98</f>
        <v>0</v>
      </c>
      <c r="P61" s="53">
        <f>'дод. 3'!P98</f>
        <v>0</v>
      </c>
      <c r="Q61" s="53">
        <f t="shared" si="12"/>
        <v>0</v>
      </c>
      <c r="R61" s="53">
        <f>'дод. 3'!R98</f>
        <v>0</v>
      </c>
      <c r="S61" s="53">
        <f>'дод. 3'!S98</f>
        <v>0</v>
      </c>
      <c r="T61" s="53">
        <f>'дод. 3'!T98</f>
        <v>0</v>
      </c>
      <c r="U61" s="53">
        <f>'дод. 3'!U98</f>
        <v>0</v>
      </c>
      <c r="V61" s="76"/>
      <c r="W61" s="53">
        <f t="shared" si="15"/>
        <v>93740</v>
      </c>
      <c r="X61" s="145"/>
      <c r="Y61" s="99"/>
    </row>
    <row r="62" spans="1:25" s="17" customFormat="1" ht="30">
      <c r="A62" s="20"/>
      <c r="B62" s="24" t="s">
        <v>126</v>
      </c>
      <c r="C62" s="24" t="s">
        <v>182</v>
      </c>
      <c r="D62" s="25" t="s">
        <v>127</v>
      </c>
      <c r="E62" s="53">
        <f>'дод. 3'!E99</f>
        <v>41101000</v>
      </c>
      <c r="F62" s="53">
        <f>'дод. 3'!F99</f>
        <v>0</v>
      </c>
      <c r="G62" s="53">
        <f>'дод. 3'!G99</f>
        <v>0</v>
      </c>
      <c r="H62" s="53">
        <f>'дод. 3'!H99</f>
        <v>20766200.31</v>
      </c>
      <c r="I62" s="53">
        <f>'дод. 3'!I99</f>
        <v>0</v>
      </c>
      <c r="J62" s="53">
        <f>'дод. 3'!J99</f>
        <v>0</v>
      </c>
      <c r="K62" s="76">
        <f t="shared" si="13"/>
        <v>50.52480550351572</v>
      </c>
      <c r="L62" s="53">
        <f t="shared" si="14"/>
        <v>0</v>
      </c>
      <c r="M62" s="53">
        <f>'дод. 3'!M99</f>
        <v>0</v>
      </c>
      <c r="N62" s="53">
        <f>'дод. 3'!N99</f>
        <v>0</v>
      </c>
      <c r="O62" s="53">
        <f>'дод. 3'!O99</f>
        <v>0</v>
      </c>
      <c r="P62" s="53">
        <f>'дод. 3'!P99</f>
        <v>0</v>
      </c>
      <c r="Q62" s="53">
        <f t="shared" si="12"/>
        <v>0</v>
      </c>
      <c r="R62" s="53">
        <f>'дод. 3'!R99</f>
        <v>0</v>
      </c>
      <c r="S62" s="53">
        <f>'дод. 3'!S99</f>
        <v>0</v>
      </c>
      <c r="T62" s="53">
        <f>'дод. 3'!T99</f>
        <v>0</v>
      </c>
      <c r="U62" s="53">
        <f>'дод. 3'!U99</f>
        <v>0</v>
      </c>
      <c r="V62" s="76"/>
      <c r="W62" s="53">
        <f t="shared" si="15"/>
        <v>20766200.31</v>
      </c>
      <c r="X62" s="145"/>
      <c r="Y62" s="99"/>
    </row>
    <row r="63" spans="1:25" s="17" customFormat="1" ht="45">
      <c r="A63" s="20"/>
      <c r="B63" s="24" t="s">
        <v>128</v>
      </c>
      <c r="C63" s="24" t="s">
        <v>208</v>
      </c>
      <c r="D63" s="25" t="s">
        <v>129</v>
      </c>
      <c r="E63" s="53">
        <f>'дод. 3'!E100</f>
        <v>365245700</v>
      </c>
      <c r="F63" s="53">
        <f>'дод. 3'!F100</f>
        <v>0</v>
      </c>
      <c r="G63" s="53">
        <f>'дод. 3'!G100</f>
        <v>0</v>
      </c>
      <c r="H63" s="53">
        <f>'дод. 3'!H100</f>
        <v>182066047.29</v>
      </c>
      <c r="I63" s="53">
        <f>'дод. 3'!I100</f>
        <v>0</v>
      </c>
      <c r="J63" s="53">
        <f>'дод. 3'!J100</f>
        <v>0</v>
      </c>
      <c r="K63" s="76">
        <f t="shared" si="13"/>
        <v>49.84755393150419</v>
      </c>
      <c r="L63" s="53">
        <f t="shared" si="14"/>
        <v>0</v>
      </c>
      <c r="M63" s="53">
        <f>'дод. 3'!M100</f>
        <v>0</v>
      </c>
      <c r="N63" s="53">
        <f>'дод. 3'!N100</f>
        <v>0</v>
      </c>
      <c r="O63" s="53">
        <f>'дод. 3'!O100</f>
        <v>0</v>
      </c>
      <c r="P63" s="53">
        <f>'дод. 3'!P100</f>
        <v>0</v>
      </c>
      <c r="Q63" s="53">
        <f t="shared" si="12"/>
        <v>0</v>
      </c>
      <c r="R63" s="53">
        <f>'дод. 3'!R100</f>
        <v>0</v>
      </c>
      <c r="S63" s="53">
        <f>'дод. 3'!S100</f>
        <v>0</v>
      </c>
      <c r="T63" s="53">
        <f>'дод. 3'!T100</f>
        <v>0</v>
      </c>
      <c r="U63" s="53">
        <f>'дод. 3'!U100</f>
        <v>0</v>
      </c>
      <c r="V63" s="76"/>
      <c r="W63" s="53">
        <f t="shared" si="15"/>
        <v>182066047.29</v>
      </c>
      <c r="X63" s="145"/>
      <c r="Y63" s="99"/>
    </row>
    <row r="64" spans="1:25" s="17" customFormat="1" ht="60">
      <c r="A64" s="20"/>
      <c r="B64" s="24" t="s">
        <v>130</v>
      </c>
      <c r="C64" s="24" t="s">
        <v>208</v>
      </c>
      <c r="D64" s="25" t="s">
        <v>131</v>
      </c>
      <c r="E64" s="53">
        <f>'дод. 3'!E101</f>
        <v>134338.44</v>
      </c>
      <c r="F64" s="53">
        <f>'дод. 3'!F101</f>
        <v>0</v>
      </c>
      <c r="G64" s="53">
        <f>'дод. 3'!G101</f>
        <v>0</v>
      </c>
      <c r="H64" s="53">
        <f>'дод. 3'!H101</f>
        <v>110843.75</v>
      </c>
      <c r="I64" s="53">
        <f>'дод. 3'!I101</f>
        <v>0</v>
      </c>
      <c r="J64" s="53">
        <f>'дод. 3'!J101</f>
        <v>0</v>
      </c>
      <c r="K64" s="76">
        <f t="shared" si="13"/>
        <v>82.51082117672351</v>
      </c>
      <c r="L64" s="53">
        <f t="shared" si="14"/>
        <v>0</v>
      </c>
      <c r="M64" s="53">
        <f>'дод. 3'!M101</f>
        <v>0</v>
      </c>
      <c r="N64" s="53">
        <f>'дод. 3'!N101</f>
        <v>0</v>
      </c>
      <c r="O64" s="53">
        <f>'дод. 3'!O101</f>
        <v>0</v>
      </c>
      <c r="P64" s="53">
        <f>'дод. 3'!P101</f>
        <v>0</v>
      </c>
      <c r="Q64" s="53">
        <f t="shared" si="12"/>
        <v>0</v>
      </c>
      <c r="R64" s="53">
        <f>'дод. 3'!R101</f>
        <v>0</v>
      </c>
      <c r="S64" s="53">
        <f>'дод. 3'!S101</f>
        <v>0</v>
      </c>
      <c r="T64" s="53">
        <f>'дод. 3'!T101</f>
        <v>0</v>
      </c>
      <c r="U64" s="53">
        <f>'дод. 3'!U101</f>
        <v>0</v>
      </c>
      <c r="V64" s="76"/>
      <c r="W64" s="53">
        <f t="shared" si="15"/>
        <v>110843.75</v>
      </c>
      <c r="X64" s="145"/>
      <c r="Y64" s="99"/>
    </row>
    <row r="65" spans="1:25" s="17" customFormat="1" ht="30">
      <c r="A65" s="20"/>
      <c r="B65" s="24" t="s">
        <v>16</v>
      </c>
      <c r="C65" s="24" t="s">
        <v>181</v>
      </c>
      <c r="D65" s="25" t="s">
        <v>17</v>
      </c>
      <c r="E65" s="53">
        <f>'дод. 3'!E102+'дод. 3'!E16</f>
        <v>4006100</v>
      </c>
      <c r="F65" s="53">
        <f>'дод. 3'!F102+'дод. 3'!F16</f>
        <v>0</v>
      </c>
      <c r="G65" s="53">
        <f>'дод. 3'!G102+'дод. 3'!G16</f>
        <v>0</v>
      </c>
      <c r="H65" s="53">
        <f>'дод. 3'!H102+'дод. 3'!H16</f>
        <v>2469837.61</v>
      </c>
      <c r="I65" s="53">
        <f>'дод. 3'!I102+'дод. 3'!I16</f>
        <v>0</v>
      </c>
      <c r="J65" s="53">
        <f>'дод. 3'!J102+'дод. 3'!J16</f>
        <v>0</v>
      </c>
      <c r="K65" s="76">
        <f t="shared" si="13"/>
        <v>61.651921070367685</v>
      </c>
      <c r="L65" s="53">
        <f t="shared" si="14"/>
        <v>0</v>
      </c>
      <c r="M65" s="53">
        <f>'дод. 3'!M102</f>
        <v>0</v>
      </c>
      <c r="N65" s="53">
        <f>'дод. 3'!N102</f>
        <v>0</v>
      </c>
      <c r="O65" s="53">
        <f>'дод. 3'!O102</f>
        <v>0</v>
      </c>
      <c r="P65" s="53">
        <f>'дод. 3'!P102</f>
        <v>0</v>
      </c>
      <c r="Q65" s="53">
        <f t="shared" si="12"/>
        <v>0</v>
      </c>
      <c r="R65" s="53">
        <f>'дод. 3'!R102</f>
        <v>0</v>
      </c>
      <c r="S65" s="53">
        <f>'дод. 3'!S102</f>
        <v>0</v>
      </c>
      <c r="T65" s="53">
        <f>'дод. 3'!T102</f>
        <v>0</v>
      </c>
      <c r="U65" s="53">
        <f>'дод. 3'!U102</f>
        <v>0</v>
      </c>
      <c r="V65" s="76"/>
      <c r="W65" s="53">
        <f t="shared" si="15"/>
        <v>2469837.61</v>
      </c>
      <c r="X65" s="145"/>
      <c r="Y65" s="99"/>
    </row>
    <row r="66" spans="1:25" s="17" customFormat="1" ht="30">
      <c r="A66" s="20"/>
      <c r="B66" s="24" t="s">
        <v>132</v>
      </c>
      <c r="C66" s="24" t="s">
        <v>209</v>
      </c>
      <c r="D66" s="25" t="s">
        <v>133</v>
      </c>
      <c r="E66" s="53">
        <f>'дод. 3'!E103</f>
        <v>7229000</v>
      </c>
      <c r="F66" s="53">
        <f>'дод. 3'!F103</f>
        <v>0</v>
      </c>
      <c r="G66" s="53">
        <f>'дод. 3'!G103</f>
        <v>0</v>
      </c>
      <c r="H66" s="53">
        <f>'дод. 3'!H103</f>
        <v>4065200.1</v>
      </c>
      <c r="I66" s="53">
        <f>'дод. 3'!I103</f>
        <v>0</v>
      </c>
      <c r="J66" s="53">
        <f>'дод. 3'!J103</f>
        <v>0</v>
      </c>
      <c r="K66" s="76">
        <f t="shared" si="13"/>
        <v>56.2346119795269</v>
      </c>
      <c r="L66" s="53">
        <f t="shared" si="14"/>
        <v>0</v>
      </c>
      <c r="M66" s="53">
        <f>'дод. 3'!M103+'дод. 3'!M17</f>
        <v>0</v>
      </c>
      <c r="N66" s="53">
        <f>'дод. 3'!N103+'дод. 3'!N17</f>
        <v>0</v>
      </c>
      <c r="O66" s="53">
        <f>'дод. 3'!O103+'дод. 3'!O17</f>
        <v>0</v>
      </c>
      <c r="P66" s="53">
        <f>'дод. 3'!P103+'дод. 3'!P17</f>
        <v>0</v>
      </c>
      <c r="Q66" s="53">
        <f t="shared" si="12"/>
        <v>0</v>
      </c>
      <c r="R66" s="53">
        <f>'дод. 3'!R103+'дод. 3'!R17</f>
        <v>0</v>
      </c>
      <c r="S66" s="53">
        <f>'дод. 3'!S103+'дод. 3'!S17</f>
        <v>0</v>
      </c>
      <c r="T66" s="53">
        <f>'дод. 3'!T103+'дод. 3'!T17</f>
        <v>0</v>
      </c>
      <c r="U66" s="53">
        <f>'дод. 3'!U103+'дод. 3'!U17</f>
        <v>0</v>
      </c>
      <c r="V66" s="76"/>
      <c r="W66" s="53">
        <f t="shared" si="15"/>
        <v>4065200.1</v>
      </c>
      <c r="X66" s="145"/>
      <c r="Y66" s="99"/>
    </row>
    <row r="67" spans="1:25" s="17" customFormat="1" ht="30">
      <c r="A67" s="20"/>
      <c r="B67" s="24" t="s">
        <v>134</v>
      </c>
      <c r="C67" s="24" t="s">
        <v>206</v>
      </c>
      <c r="D67" s="25" t="s">
        <v>135</v>
      </c>
      <c r="E67" s="53">
        <f>'дод. 3'!E104</f>
        <v>1486404</v>
      </c>
      <c r="F67" s="53">
        <f>'дод. 3'!F104</f>
        <v>0</v>
      </c>
      <c r="G67" s="53">
        <f>'дод. 3'!G104</f>
        <v>0</v>
      </c>
      <c r="H67" s="53">
        <f>'дод. 3'!H104</f>
        <v>582232.8</v>
      </c>
      <c r="I67" s="53">
        <f>'дод. 3'!I104</f>
        <v>0</v>
      </c>
      <c r="J67" s="53">
        <f>'дод. 3'!J104</f>
        <v>0</v>
      </c>
      <c r="K67" s="76">
        <f t="shared" si="13"/>
        <v>39.17056197372989</v>
      </c>
      <c r="L67" s="53">
        <f t="shared" si="14"/>
        <v>0</v>
      </c>
      <c r="M67" s="53">
        <f>'дод. 3'!M104</f>
        <v>0</v>
      </c>
      <c r="N67" s="53">
        <f>'дод. 3'!N104</f>
        <v>0</v>
      </c>
      <c r="O67" s="53">
        <f>'дод. 3'!O104</f>
        <v>0</v>
      </c>
      <c r="P67" s="53">
        <f>'дод. 3'!P104</f>
        <v>0</v>
      </c>
      <c r="Q67" s="53">
        <f t="shared" si="12"/>
        <v>0</v>
      </c>
      <c r="R67" s="53">
        <f>'дод. 3'!R104</f>
        <v>0</v>
      </c>
      <c r="S67" s="53">
        <f>'дод. 3'!S104</f>
        <v>0</v>
      </c>
      <c r="T67" s="53">
        <f>'дод. 3'!T104</f>
        <v>0</v>
      </c>
      <c r="U67" s="53">
        <f>'дод. 3'!U104</f>
        <v>0</v>
      </c>
      <c r="V67" s="76"/>
      <c r="W67" s="53">
        <f t="shared" si="15"/>
        <v>582232.8</v>
      </c>
      <c r="X67" s="145"/>
      <c r="Y67" s="99"/>
    </row>
    <row r="68" spans="1:25" s="17" customFormat="1" ht="30">
      <c r="A68" s="20"/>
      <c r="B68" s="24" t="s">
        <v>241</v>
      </c>
      <c r="C68" s="24" t="s">
        <v>243</v>
      </c>
      <c r="D68" s="25" t="s">
        <v>242</v>
      </c>
      <c r="E68" s="53">
        <f>'дод. 3'!E105</f>
        <v>181400</v>
      </c>
      <c r="F68" s="53">
        <f>'дод. 3'!F105</f>
        <v>0</v>
      </c>
      <c r="G68" s="53">
        <f>'дод. 3'!G105</f>
        <v>0</v>
      </c>
      <c r="H68" s="53">
        <f>'дод. 3'!H105</f>
        <v>62383.4</v>
      </c>
      <c r="I68" s="53">
        <f>'дод. 3'!I105</f>
        <v>0</v>
      </c>
      <c r="J68" s="53">
        <f>'дод. 3'!J105</f>
        <v>0</v>
      </c>
      <c r="K68" s="76">
        <f t="shared" si="13"/>
        <v>34.38996692392503</v>
      </c>
      <c r="L68" s="53">
        <f t="shared" si="14"/>
        <v>0</v>
      </c>
      <c r="M68" s="53">
        <f>'дод. 3'!M105</f>
        <v>0</v>
      </c>
      <c r="N68" s="53">
        <f>'дод. 3'!N105</f>
        <v>0</v>
      </c>
      <c r="O68" s="53">
        <f>'дод. 3'!O105</f>
        <v>0</v>
      </c>
      <c r="P68" s="53">
        <f>'дод. 3'!P105</f>
        <v>0</v>
      </c>
      <c r="Q68" s="53">
        <f t="shared" si="12"/>
        <v>0</v>
      </c>
      <c r="R68" s="53">
        <f>'дод. 3'!R105</f>
        <v>0</v>
      </c>
      <c r="S68" s="53">
        <f>'дод. 3'!S105</f>
        <v>0</v>
      </c>
      <c r="T68" s="53">
        <f>'дод. 3'!T105</f>
        <v>0</v>
      </c>
      <c r="U68" s="53">
        <f>'дод. 3'!U105</f>
        <v>0</v>
      </c>
      <c r="V68" s="76"/>
      <c r="W68" s="53">
        <f t="shared" si="15"/>
        <v>62383.4</v>
      </c>
      <c r="X68" s="145"/>
      <c r="Y68" s="99"/>
    </row>
    <row r="69" spans="1:25" s="17" customFormat="1" ht="30">
      <c r="A69" s="20"/>
      <c r="B69" s="24" t="s">
        <v>297</v>
      </c>
      <c r="C69" s="24" t="s">
        <v>298</v>
      </c>
      <c r="D69" s="25" t="s">
        <v>299</v>
      </c>
      <c r="E69" s="53">
        <f>'дод. 3'!E106+'дод. 3'!E130</f>
        <v>724903.0700000001</v>
      </c>
      <c r="F69" s="53">
        <f>'дод. 3'!F106+'дод. 3'!F130</f>
        <v>307212.86</v>
      </c>
      <c r="G69" s="53">
        <f>'дод. 3'!G106+'дод. 3'!G130</f>
        <v>0</v>
      </c>
      <c r="H69" s="53">
        <f>'дод. 3'!H106+'дод. 3'!H130</f>
        <v>248213.77000000002</v>
      </c>
      <c r="I69" s="53">
        <f>'дод. 3'!I106+'дод. 3'!I130</f>
        <v>114645.69</v>
      </c>
      <c r="J69" s="53">
        <f>'дод. 3'!J106+'дод. 3'!J130</f>
        <v>0</v>
      </c>
      <c r="K69" s="76">
        <f t="shared" si="13"/>
        <v>34.24095996724086</v>
      </c>
      <c r="L69" s="53">
        <f t="shared" si="14"/>
        <v>0</v>
      </c>
      <c r="M69" s="53">
        <f>'дод. 3'!M106</f>
        <v>0</v>
      </c>
      <c r="N69" s="53">
        <f>'дод. 3'!N106</f>
        <v>0</v>
      </c>
      <c r="O69" s="53">
        <f>'дод. 3'!O106</f>
        <v>0</v>
      </c>
      <c r="P69" s="53">
        <f>'дод. 3'!P106</f>
        <v>0</v>
      </c>
      <c r="Q69" s="53">
        <f t="shared" si="12"/>
        <v>0</v>
      </c>
      <c r="R69" s="53">
        <f>'дод. 3'!R106</f>
        <v>0</v>
      </c>
      <c r="S69" s="53">
        <f>'дод. 3'!S106</f>
        <v>0</v>
      </c>
      <c r="T69" s="53">
        <f>'дод. 3'!T106</f>
        <v>0</v>
      </c>
      <c r="U69" s="53">
        <f>'дод. 3'!U106</f>
        <v>0</v>
      </c>
      <c r="V69" s="76"/>
      <c r="W69" s="53">
        <f t="shared" si="15"/>
        <v>248213.77000000002</v>
      </c>
      <c r="X69" s="145"/>
      <c r="Y69" s="99"/>
    </row>
    <row r="70" spans="1:25" s="17" customFormat="1" ht="15">
      <c r="A70" s="20"/>
      <c r="B70" s="24" t="s">
        <v>150</v>
      </c>
      <c r="C70" s="24" t="s">
        <v>182</v>
      </c>
      <c r="D70" s="25" t="s">
        <v>151</v>
      </c>
      <c r="E70" s="53">
        <f>'дод. 3'!E121</f>
        <v>50000</v>
      </c>
      <c r="F70" s="53">
        <f>'дод. 3'!F121</f>
        <v>0</v>
      </c>
      <c r="G70" s="53">
        <f>'дод. 3'!G121</f>
        <v>0</v>
      </c>
      <c r="H70" s="53">
        <f>'дод. 3'!H121</f>
        <v>23146.64</v>
      </c>
      <c r="I70" s="53">
        <f>'дод. 3'!I121</f>
        <v>0</v>
      </c>
      <c r="J70" s="53">
        <f>'дод. 3'!J121</f>
        <v>0</v>
      </c>
      <c r="K70" s="76">
        <f t="shared" si="13"/>
        <v>46.293279999999996</v>
      </c>
      <c r="L70" s="53">
        <f t="shared" si="14"/>
        <v>0</v>
      </c>
      <c r="M70" s="53">
        <f>'дод. 3'!M121</f>
        <v>0</v>
      </c>
      <c r="N70" s="53">
        <f>'дод. 3'!N121</f>
        <v>0</v>
      </c>
      <c r="O70" s="53">
        <f>'дод. 3'!O121</f>
        <v>0</v>
      </c>
      <c r="P70" s="53">
        <f>'дод. 3'!P121</f>
        <v>0</v>
      </c>
      <c r="Q70" s="53">
        <f t="shared" si="12"/>
        <v>0</v>
      </c>
      <c r="R70" s="53">
        <f>'дод. 3'!R121</f>
        <v>0</v>
      </c>
      <c r="S70" s="53">
        <f>'дод. 3'!S121</f>
        <v>0</v>
      </c>
      <c r="T70" s="53">
        <f>'дод. 3'!T121</f>
        <v>0</v>
      </c>
      <c r="U70" s="53">
        <f>'дод. 3'!U121</f>
        <v>0</v>
      </c>
      <c r="V70" s="76"/>
      <c r="W70" s="53">
        <f t="shared" si="15"/>
        <v>23146.64</v>
      </c>
      <c r="X70" s="145"/>
      <c r="Y70" s="99"/>
    </row>
    <row r="71" spans="1:25" s="17" customFormat="1" ht="30">
      <c r="A71" s="20"/>
      <c r="B71" s="24" t="s">
        <v>18</v>
      </c>
      <c r="C71" s="24" t="s">
        <v>182</v>
      </c>
      <c r="D71" s="25" t="s">
        <v>19</v>
      </c>
      <c r="E71" s="53">
        <f>'дод. 3'!E17</f>
        <v>692000</v>
      </c>
      <c r="F71" s="53">
        <f>'дод. 3'!F17</f>
        <v>492950</v>
      </c>
      <c r="G71" s="53">
        <f>'дод. 3'!G17</f>
        <v>55897</v>
      </c>
      <c r="H71" s="53">
        <f>'дод. 3'!H17</f>
        <v>327946.78</v>
      </c>
      <c r="I71" s="53">
        <f>'дод. 3'!I17</f>
        <v>233032.55</v>
      </c>
      <c r="J71" s="53">
        <f>'дод. 3'!J17</f>
        <v>30899.02</v>
      </c>
      <c r="K71" s="76">
        <f t="shared" si="13"/>
        <v>47.39115317919075</v>
      </c>
      <c r="L71" s="53">
        <f t="shared" si="14"/>
        <v>0</v>
      </c>
      <c r="M71" s="53">
        <f>'дод. 3'!M17</f>
        <v>0</v>
      </c>
      <c r="N71" s="53">
        <f>'дод. 3'!N17</f>
        <v>0</v>
      </c>
      <c r="O71" s="53">
        <f>'дод. 3'!O17</f>
        <v>0</v>
      </c>
      <c r="P71" s="53">
        <f>'дод. 3'!P17</f>
        <v>0</v>
      </c>
      <c r="Q71" s="53">
        <f t="shared" si="12"/>
        <v>0</v>
      </c>
      <c r="R71" s="53">
        <f>'дод. 3'!R17</f>
        <v>0</v>
      </c>
      <c r="S71" s="53">
        <f>'дод. 3'!S17</f>
        <v>0</v>
      </c>
      <c r="T71" s="53">
        <f>'дод. 3'!T17</f>
        <v>0</v>
      </c>
      <c r="U71" s="53">
        <f>'дод. 3'!U17</f>
        <v>0</v>
      </c>
      <c r="V71" s="76"/>
      <c r="W71" s="53">
        <f t="shared" si="15"/>
        <v>327946.78</v>
      </c>
      <c r="X71" s="145"/>
      <c r="Y71" s="99"/>
    </row>
    <row r="72" spans="1:25" s="17" customFormat="1" ht="30">
      <c r="A72" s="20"/>
      <c r="B72" s="24" t="s">
        <v>20</v>
      </c>
      <c r="C72" s="24" t="s">
        <v>182</v>
      </c>
      <c r="D72" s="25" t="s">
        <v>21</v>
      </c>
      <c r="E72" s="53">
        <f>'дод. 3'!E18</f>
        <v>40000</v>
      </c>
      <c r="F72" s="53">
        <f>'дод. 3'!F18</f>
        <v>0</v>
      </c>
      <c r="G72" s="53">
        <f>'дод. 3'!G18</f>
        <v>0</v>
      </c>
      <c r="H72" s="53">
        <f>'дод. 3'!H18</f>
        <v>22700</v>
      </c>
      <c r="I72" s="53">
        <f>'дод. 3'!I18</f>
        <v>0</v>
      </c>
      <c r="J72" s="53">
        <f>'дод. 3'!J18</f>
        <v>0</v>
      </c>
      <c r="K72" s="76">
        <f t="shared" si="13"/>
        <v>56.75</v>
      </c>
      <c r="L72" s="53">
        <f t="shared" si="14"/>
        <v>0</v>
      </c>
      <c r="M72" s="53">
        <f>'дод. 3'!M18</f>
        <v>0</v>
      </c>
      <c r="N72" s="53">
        <f>'дод. 3'!N18</f>
        <v>0</v>
      </c>
      <c r="O72" s="53">
        <f>'дод. 3'!O18</f>
        <v>0</v>
      </c>
      <c r="P72" s="53">
        <f>'дод. 3'!P18</f>
        <v>0</v>
      </c>
      <c r="Q72" s="53">
        <f t="shared" si="12"/>
        <v>0</v>
      </c>
      <c r="R72" s="53">
        <f>'дод. 3'!R18</f>
        <v>0</v>
      </c>
      <c r="S72" s="53">
        <f>'дод. 3'!S18</f>
        <v>0</v>
      </c>
      <c r="T72" s="53">
        <f>'дод. 3'!T18</f>
        <v>0</v>
      </c>
      <c r="U72" s="53">
        <f>'дод. 3'!U18</f>
        <v>0</v>
      </c>
      <c r="V72" s="76"/>
      <c r="W72" s="53">
        <f t="shared" si="15"/>
        <v>22700</v>
      </c>
      <c r="X72" s="145"/>
      <c r="Y72" s="99"/>
    </row>
    <row r="73" spans="1:25" s="17" customFormat="1" ht="30">
      <c r="A73" s="20"/>
      <c r="B73" s="24" t="s">
        <v>22</v>
      </c>
      <c r="C73" s="24" t="s">
        <v>182</v>
      </c>
      <c r="D73" s="25" t="s">
        <v>23</v>
      </c>
      <c r="E73" s="53">
        <f>'дод. 3'!E19</f>
        <v>605000</v>
      </c>
      <c r="F73" s="53">
        <f>'дод. 3'!F19</f>
        <v>0</v>
      </c>
      <c r="G73" s="53">
        <f>'дод. 3'!G19</f>
        <v>0</v>
      </c>
      <c r="H73" s="53">
        <f>'дод. 3'!H19</f>
        <v>26887.86</v>
      </c>
      <c r="I73" s="53">
        <f>'дод. 3'!I19</f>
        <v>0</v>
      </c>
      <c r="J73" s="53">
        <f>'дод. 3'!J19</f>
        <v>0</v>
      </c>
      <c r="K73" s="76">
        <f t="shared" si="13"/>
        <v>4.4442743801652895</v>
      </c>
      <c r="L73" s="53">
        <f t="shared" si="14"/>
        <v>0</v>
      </c>
      <c r="M73" s="53">
        <f>'дод. 3'!M19</f>
        <v>0</v>
      </c>
      <c r="N73" s="53">
        <f>'дод. 3'!N19</f>
        <v>0</v>
      </c>
      <c r="O73" s="53">
        <f>'дод. 3'!O19</f>
        <v>0</v>
      </c>
      <c r="P73" s="53">
        <f>'дод. 3'!P19</f>
        <v>0</v>
      </c>
      <c r="Q73" s="53">
        <f t="shared" si="12"/>
        <v>0</v>
      </c>
      <c r="R73" s="53">
        <f>'дод. 3'!R19</f>
        <v>0</v>
      </c>
      <c r="S73" s="53">
        <f>'дод. 3'!S19</f>
        <v>0</v>
      </c>
      <c r="T73" s="53">
        <f>'дод. 3'!T19</f>
        <v>0</v>
      </c>
      <c r="U73" s="53">
        <f>'дод. 3'!U19</f>
        <v>0</v>
      </c>
      <c r="V73" s="76"/>
      <c r="W73" s="53">
        <f t="shared" si="15"/>
        <v>26887.86</v>
      </c>
      <c r="X73" s="145"/>
      <c r="Y73" s="99"/>
    </row>
    <row r="74" spans="1:25" s="17" customFormat="1" ht="15">
      <c r="A74" s="20"/>
      <c r="B74" s="24" t="s">
        <v>24</v>
      </c>
      <c r="C74" s="24" t="s">
        <v>182</v>
      </c>
      <c r="D74" s="25" t="s">
        <v>25</v>
      </c>
      <c r="E74" s="53">
        <f>'дод. 3'!E20</f>
        <v>509900</v>
      </c>
      <c r="F74" s="53">
        <f>'дод. 3'!F20</f>
        <v>337300</v>
      </c>
      <c r="G74" s="53">
        <f>'дод. 3'!G20</f>
        <v>72433</v>
      </c>
      <c r="H74" s="53">
        <f>'дод. 3'!H20</f>
        <v>236551.54</v>
      </c>
      <c r="I74" s="53">
        <f>'дод. 3'!I20</f>
        <v>158161.81</v>
      </c>
      <c r="J74" s="53">
        <f>'дод. 3'!J20</f>
        <v>38716.09</v>
      </c>
      <c r="K74" s="76">
        <f t="shared" si="13"/>
        <v>46.39175132378898</v>
      </c>
      <c r="L74" s="53">
        <f t="shared" si="14"/>
        <v>9645</v>
      </c>
      <c r="M74" s="53">
        <f>'дод. 3'!M20</f>
        <v>0</v>
      </c>
      <c r="N74" s="53">
        <f>'дод. 3'!N20</f>
        <v>0</v>
      </c>
      <c r="O74" s="53">
        <f>'дод. 3'!O20</f>
        <v>0</v>
      </c>
      <c r="P74" s="53">
        <f>'дод. 3'!P20</f>
        <v>9645</v>
      </c>
      <c r="Q74" s="53">
        <f t="shared" si="12"/>
        <v>1665</v>
      </c>
      <c r="R74" s="53">
        <f>'дод. 3'!R20</f>
        <v>1665</v>
      </c>
      <c r="S74" s="53">
        <f>'дод. 3'!S20</f>
        <v>0</v>
      </c>
      <c r="T74" s="53">
        <f>'дод. 3'!T20</f>
        <v>0</v>
      </c>
      <c r="U74" s="53">
        <f>'дод. 3'!U20</f>
        <v>0</v>
      </c>
      <c r="V74" s="76">
        <f>Q74/L74*100</f>
        <v>17.262830482115085</v>
      </c>
      <c r="W74" s="53">
        <f t="shared" si="15"/>
        <v>238216.54</v>
      </c>
      <c r="X74" s="145"/>
      <c r="Y74" s="99"/>
    </row>
    <row r="75" spans="1:25" s="17" customFormat="1" ht="75">
      <c r="A75" s="20"/>
      <c r="B75" s="24" t="s">
        <v>26</v>
      </c>
      <c r="C75" s="24" t="s">
        <v>182</v>
      </c>
      <c r="D75" s="26" t="s">
        <v>27</v>
      </c>
      <c r="E75" s="53">
        <f>'дод. 3'!E21+'дод. 3'!E60</f>
        <v>3216868</v>
      </c>
      <c r="F75" s="53">
        <f>'дод. 3'!F21+'дод. 3'!F60</f>
        <v>0</v>
      </c>
      <c r="G75" s="53">
        <f>'дод. 3'!G21+'дод. 3'!G60</f>
        <v>0</v>
      </c>
      <c r="H75" s="53">
        <f>'дод. 3'!H21+'дод. 3'!H60</f>
        <v>2369496.85</v>
      </c>
      <c r="I75" s="53">
        <f>'дод. 3'!I21+'дод. 3'!I60</f>
        <v>0</v>
      </c>
      <c r="J75" s="53">
        <f>'дод. 3'!J21+'дод. 3'!J60</f>
        <v>0</v>
      </c>
      <c r="K75" s="76">
        <f t="shared" si="13"/>
        <v>73.65850417238133</v>
      </c>
      <c r="L75" s="53">
        <f t="shared" si="14"/>
        <v>0</v>
      </c>
      <c r="M75" s="53">
        <f>'дод. 3'!M21+'дод. 3'!M60</f>
        <v>0</v>
      </c>
      <c r="N75" s="53">
        <f>'дод. 3'!N21+'дод. 3'!N60</f>
        <v>0</v>
      </c>
      <c r="O75" s="53">
        <f>'дод. 3'!O21+'дод. 3'!O60</f>
        <v>0</v>
      </c>
      <c r="P75" s="53">
        <f>'дод. 3'!P21+'дод. 3'!P60</f>
        <v>0</v>
      </c>
      <c r="Q75" s="53">
        <f t="shared" si="12"/>
        <v>576278.51</v>
      </c>
      <c r="R75" s="53">
        <f>'дод. 3'!R21+'дод. 3'!R60</f>
        <v>576278.51</v>
      </c>
      <c r="S75" s="53">
        <f>'дод. 3'!S21+'дод. 3'!S60</f>
        <v>0</v>
      </c>
      <c r="T75" s="53">
        <f>'дод. 3'!T21+'дод. 3'!T60</f>
        <v>0</v>
      </c>
      <c r="U75" s="53">
        <f>'дод. 3'!U21+'дод. 3'!U60</f>
        <v>0</v>
      </c>
      <c r="V75" s="76"/>
      <c r="W75" s="53">
        <f t="shared" si="15"/>
        <v>2945775.3600000003</v>
      </c>
      <c r="X75" s="145"/>
      <c r="Y75" s="99"/>
    </row>
    <row r="76" spans="1:25" s="17" customFormat="1" ht="45">
      <c r="A76" s="20"/>
      <c r="B76" s="24" t="s">
        <v>136</v>
      </c>
      <c r="C76" s="24" t="s">
        <v>210</v>
      </c>
      <c r="D76" s="25" t="s">
        <v>137</v>
      </c>
      <c r="E76" s="53">
        <f>'дод. 3'!E107</f>
        <v>5914458</v>
      </c>
      <c r="F76" s="53">
        <f>'дод. 3'!F107</f>
        <v>4387170</v>
      </c>
      <c r="G76" s="53">
        <f>'дод. 3'!G107</f>
        <v>156566</v>
      </c>
      <c r="H76" s="53">
        <f>'дод. 3'!H107</f>
        <v>2649886.39</v>
      </c>
      <c r="I76" s="53">
        <f>'дод. 3'!I107</f>
        <v>1983026.48</v>
      </c>
      <c r="J76" s="53">
        <f>'дод. 3'!J107</f>
        <v>92768.68</v>
      </c>
      <c r="K76" s="76">
        <f t="shared" si="13"/>
        <v>44.80353719647684</v>
      </c>
      <c r="L76" s="53">
        <f t="shared" si="14"/>
        <v>467800</v>
      </c>
      <c r="M76" s="53">
        <f>'дод. 3'!M107</f>
        <v>27800</v>
      </c>
      <c r="N76" s="53">
        <f>'дод. 3'!N107</f>
        <v>18822</v>
      </c>
      <c r="O76" s="53">
        <f>'дод. 3'!O107</f>
        <v>0</v>
      </c>
      <c r="P76" s="53">
        <f>'дод. 3'!P107</f>
        <v>440000</v>
      </c>
      <c r="Q76" s="53">
        <f t="shared" si="12"/>
        <v>92830.6</v>
      </c>
      <c r="R76" s="53">
        <f>'дод. 3'!R107</f>
        <v>46537.2</v>
      </c>
      <c r="S76" s="53">
        <f>'дод. 3'!S107</f>
        <v>12262.68</v>
      </c>
      <c r="T76" s="53">
        <f>'дод. 3'!T107</f>
        <v>0</v>
      </c>
      <c r="U76" s="53">
        <f>'дод. 3'!U107</f>
        <v>46293.4</v>
      </c>
      <c r="V76" s="76">
        <f>Q76/L76*100</f>
        <v>19.844078666096625</v>
      </c>
      <c r="W76" s="53">
        <f t="shared" si="15"/>
        <v>2742716.99</v>
      </c>
      <c r="X76" s="145"/>
      <c r="Y76" s="99"/>
    </row>
    <row r="77" spans="1:25" s="17" customFormat="1" ht="90">
      <c r="A77" s="20"/>
      <c r="B77" s="24" t="s">
        <v>138</v>
      </c>
      <c r="C77" s="24" t="s">
        <v>209</v>
      </c>
      <c r="D77" s="25" t="s">
        <v>139</v>
      </c>
      <c r="E77" s="53">
        <f>'дод. 3'!E108</f>
        <v>1397200</v>
      </c>
      <c r="F77" s="53">
        <f>'дод. 3'!F108</f>
        <v>0</v>
      </c>
      <c r="G77" s="53">
        <f>'дод. 3'!G108</f>
        <v>0</v>
      </c>
      <c r="H77" s="53">
        <f>'дод. 3'!H108</f>
        <v>520543.28</v>
      </c>
      <c r="I77" s="53">
        <f>'дод. 3'!I108</f>
        <v>0</v>
      </c>
      <c r="J77" s="53">
        <f>'дод. 3'!J108</f>
        <v>0</v>
      </c>
      <c r="K77" s="76">
        <f t="shared" si="13"/>
        <v>37.25617520755797</v>
      </c>
      <c r="L77" s="53">
        <f t="shared" si="14"/>
        <v>0</v>
      </c>
      <c r="M77" s="53">
        <f>'дод. 3'!M108</f>
        <v>0</v>
      </c>
      <c r="N77" s="53">
        <f>'дод. 3'!N108</f>
        <v>0</v>
      </c>
      <c r="O77" s="53">
        <f>'дод. 3'!O108</f>
        <v>0</v>
      </c>
      <c r="P77" s="53">
        <f>'дод. 3'!P108</f>
        <v>0</v>
      </c>
      <c r="Q77" s="53">
        <f t="shared" si="12"/>
        <v>0</v>
      </c>
      <c r="R77" s="53">
        <f>'дод. 3'!R108</f>
        <v>0</v>
      </c>
      <c r="S77" s="53">
        <f>'дод. 3'!S108</f>
        <v>0</v>
      </c>
      <c r="T77" s="53">
        <f>'дод. 3'!T108</f>
        <v>0</v>
      </c>
      <c r="U77" s="53">
        <f>'дод. 3'!U108</f>
        <v>0</v>
      </c>
      <c r="V77" s="76"/>
      <c r="W77" s="53">
        <f t="shared" si="15"/>
        <v>520543.28</v>
      </c>
      <c r="X77" s="145"/>
      <c r="Y77" s="99"/>
    </row>
    <row r="78" spans="1:25" s="17" customFormat="1" ht="90">
      <c r="A78" s="20"/>
      <c r="B78" s="24" t="s">
        <v>140</v>
      </c>
      <c r="C78" s="24" t="s">
        <v>208</v>
      </c>
      <c r="D78" s="25" t="s">
        <v>141</v>
      </c>
      <c r="E78" s="53">
        <f>'дод. 3'!E109</f>
        <v>2482439</v>
      </c>
      <c r="F78" s="53">
        <f>'дод. 3'!F109</f>
        <v>0</v>
      </c>
      <c r="G78" s="53">
        <f>'дод. 3'!G109</f>
        <v>0</v>
      </c>
      <c r="H78" s="53">
        <f>'дод. 3'!H109</f>
        <v>666499.16</v>
      </c>
      <c r="I78" s="53">
        <f>'дод. 3'!I109</f>
        <v>0</v>
      </c>
      <c r="J78" s="53">
        <f>'дод. 3'!J109</f>
        <v>0</v>
      </c>
      <c r="K78" s="76">
        <f t="shared" si="13"/>
        <v>26.84856143494362</v>
      </c>
      <c r="L78" s="53">
        <f t="shared" si="14"/>
        <v>0</v>
      </c>
      <c r="M78" s="53">
        <f>'дод. 3'!M109</f>
        <v>0</v>
      </c>
      <c r="N78" s="53">
        <f>'дод. 3'!N109</f>
        <v>0</v>
      </c>
      <c r="O78" s="53">
        <f>'дод. 3'!O109</f>
        <v>0</v>
      </c>
      <c r="P78" s="53">
        <f>'дод. 3'!P109</f>
        <v>0</v>
      </c>
      <c r="Q78" s="53">
        <f t="shared" si="12"/>
        <v>0</v>
      </c>
      <c r="R78" s="53">
        <f>'дод. 3'!R109</f>
        <v>0</v>
      </c>
      <c r="S78" s="53">
        <f>'дод. 3'!S109</f>
        <v>0</v>
      </c>
      <c r="T78" s="53">
        <f>'дод. 3'!T109</f>
        <v>0</v>
      </c>
      <c r="U78" s="53">
        <f>'дод. 3'!U109</f>
        <v>0</v>
      </c>
      <c r="V78" s="76"/>
      <c r="W78" s="53">
        <f t="shared" si="15"/>
        <v>666499.16</v>
      </c>
      <c r="X78" s="145"/>
      <c r="Y78" s="99"/>
    </row>
    <row r="79" spans="1:25" s="17" customFormat="1" ht="30">
      <c r="A79" s="20"/>
      <c r="B79" s="24" t="s">
        <v>142</v>
      </c>
      <c r="C79" s="24" t="s">
        <v>206</v>
      </c>
      <c r="D79" s="25" t="s">
        <v>143</v>
      </c>
      <c r="E79" s="53">
        <f>'дод. 3'!E110</f>
        <v>798900</v>
      </c>
      <c r="F79" s="53">
        <f>'дод. 3'!F110</f>
        <v>0</v>
      </c>
      <c r="G79" s="53">
        <f>'дод. 3'!G110</f>
        <v>0</v>
      </c>
      <c r="H79" s="53">
        <f>'дод. 3'!H110</f>
        <v>323743.77</v>
      </c>
      <c r="I79" s="53">
        <f>'дод. 3'!I110</f>
        <v>0</v>
      </c>
      <c r="J79" s="53">
        <f>'дод. 3'!J110</f>
        <v>0</v>
      </c>
      <c r="K79" s="76">
        <f t="shared" si="13"/>
        <v>40.52369132557266</v>
      </c>
      <c r="L79" s="53">
        <f t="shared" si="14"/>
        <v>0</v>
      </c>
      <c r="M79" s="53">
        <f>'дод. 3'!M110</f>
        <v>0</v>
      </c>
      <c r="N79" s="53">
        <f>'дод. 3'!N110</f>
        <v>0</v>
      </c>
      <c r="O79" s="53">
        <f>'дод. 3'!O110</f>
        <v>0</v>
      </c>
      <c r="P79" s="53">
        <f>'дод. 3'!P110</f>
        <v>0</v>
      </c>
      <c r="Q79" s="53">
        <f t="shared" si="12"/>
        <v>0</v>
      </c>
      <c r="R79" s="53">
        <f>'дод. 3'!R110</f>
        <v>0</v>
      </c>
      <c r="S79" s="53">
        <f>'дод. 3'!S110</f>
        <v>0</v>
      </c>
      <c r="T79" s="53">
        <f>'дод. 3'!T110</f>
        <v>0</v>
      </c>
      <c r="U79" s="53">
        <f>'дод. 3'!U110</f>
        <v>0</v>
      </c>
      <c r="V79" s="76"/>
      <c r="W79" s="53">
        <f t="shared" si="15"/>
        <v>323743.77</v>
      </c>
      <c r="X79" s="145"/>
      <c r="Y79" s="99"/>
    </row>
    <row r="80" spans="1:25" s="17" customFormat="1" ht="30">
      <c r="A80" s="20"/>
      <c r="B80" s="24" t="s">
        <v>244</v>
      </c>
      <c r="C80" s="24" t="s">
        <v>181</v>
      </c>
      <c r="D80" s="25" t="s">
        <v>245</v>
      </c>
      <c r="E80" s="53">
        <f>'дод. 3'!E111</f>
        <v>111717</v>
      </c>
      <c r="F80" s="53">
        <f>'дод. 3'!F111</f>
        <v>0</v>
      </c>
      <c r="G80" s="53">
        <f>'дод. 3'!G111</f>
        <v>0</v>
      </c>
      <c r="H80" s="53">
        <f>'дод. 3'!H111</f>
        <v>70200.5</v>
      </c>
      <c r="I80" s="53">
        <f>'дод. 3'!I111</f>
        <v>0</v>
      </c>
      <c r="J80" s="53">
        <f>'дод. 3'!J111</f>
        <v>0</v>
      </c>
      <c r="K80" s="76">
        <f t="shared" si="13"/>
        <v>62.83779550113232</v>
      </c>
      <c r="L80" s="53">
        <f t="shared" si="14"/>
        <v>0</v>
      </c>
      <c r="M80" s="53">
        <f>'дод. 3'!M111</f>
        <v>0</v>
      </c>
      <c r="N80" s="53">
        <f>'дод. 3'!N111</f>
        <v>0</v>
      </c>
      <c r="O80" s="53">
        <f>'дод. 3'!O111</f>
        <v>0</v>
      </c>
      <c r="P80" s="53">
        <f>'дод. 3'!P111</f>
        <v>0</v>
      </c>
      <c r="Q80" s="53">
        <f t="shared" si="12"/>
        <v>0</v>
      </c>
      <c r="R80" s="53">
        <f>'дод. 3'!R111</f>
        <v>0</v>
      </c>
      <c r="S80" s="53">
        <f>'дод. 3'!S111</f>
        <v>0</v>
      </c>
      <c r="T80" s="53">
        <f>'дод. 3'!T111</f>
        <v>0</v>
      </c>
      <c r="U80" s="53">
        <f>'дод. 3'!U111</f>
        <v>0</v>
      </c>
      <c r="V80" s="76"/>
      <c r="W80" s="53">
        <f t="shared" si="15"/>
        <v>70200.5</v>
      </c>
      <c r="X80" s="145"/>
      <c r="Y80" s="99"/>
    </row>
    <row r="81" spans="1:25" s="17" customFormat="1" ht="15">
      <c r="A81" s="20"/>
      <c r="B81" s="24" t="s">
        <v>144</v>
      </c>
      <c r="C81" s="24" t="s">
        <v>181</v>
      </c>
      <c r="D81" s="25" t="s">
        <v>145</v>
      </c>
      <c r="E81" s="53">
        <f>'дод. 3'!E112</f>
        <v>1476842</v>
      </c>
      <c r="F81" s="53">
        <f>'дод. 3'!F112</f>
        <v>894200</v>
      </c>
      <c r="G81" s="53">
        <f>'дод. 3'!G112</f>
        <v>129344</v>
      </c>
      <c r="H81" s="53">
        <f>'дод. 3'!H112</f>
        <v>642757.58</v>
      </c>
      <c r="I81" s="53">
        <f>'дод. 3'!I112</f>
        <v>373201.2</v>
      </c>
      <c r="J81" s="53">
        <f>'дод. 3'!J112</f>
        <v>52260.36</v>
      </c>
      <c r="K81" s="76">
        <f t="shared" si="13"/>
        <v>43.52243367943219</v>
      </c>
      <c r="L81" s="53">
        <f t="shared" si="14"/>
        <v>243500</v>
      </c>
      <c r="M81" s="53">
        <f>'дод. 3'!M112</f>
        <v>0</v>
      </c>
      <c r="N81" s="53">
        <f>'дод. 3'!N112</f>
        <v>0</v>
      </c>
      <c r="O81" s="53">
        <f>'дод. 3'!O112</f>
        <v>0</v>
      </c>
      <c r="P81" s="53">
        <f>'дод. 3'!P112</f>
        <v>243500</v>
      </c>
      <c r="Q81" s="53">
        <f t="shared" si="12"/>
        <v>149450.7</v>
      </c>
      <c r="R81" s="53">
        <f>'дод. 3'!R112</f>
        <v>106220.7</v>
      </c>
      <c r="S81" s="53">
        <f>'дод. 3'!S112</f>
        <v>0</v>
      </c>
      <c r="T81" s="53">
        <f>'дод. 3'!T112</f>
        <v>0</v>
      </c>
      <c r="U81" s="53">
        <f>'дод. 3'!U112</f>
        <v>43230</v>
      </c>
      <c r="V81" s="76">
        <f>Q81/L81*100</f>
        <v>61.37605749486653</v>
      </c>
      <c r="W81" s="53">
        <f t="shared" si="15"/>
        <v>792208.28</v>
      </c>
      <c r="X81" s="145"/>
      <c r="Y81" s="99"/>
    </row>
    <row r="82" spans="1:25" s="17" customFormat="1" ht="30">
      <c r="A82" s="20"/>
      <c r="B82" s="24" t="s">
        <v>146</v>
      </c>
      <c r="C82" s="24" t="s">
        <v>209</v>
      </c>
      <c r="D82" s="25" t="s">
        <v>147</v>
      </c>
      <c r="E82" s="53">
        <f>'дод. 3'!E113</f>
        <v>43245500</v>
      </c>
      <c r="F82" s="53">
        <f>'дод. 3'!F113</f>
        <v>0</v>
      </c>
      <c r="G82" s="53">
        <f>'дод. 3'!G113</f>
        <v>0</v>
      </c>
      <c r="H82" s="53">
        <f>'дод. 3'!H113</f>
        <v>20273098.49</v>
      </c>
      <c r="I82" s="53">
        <f>'дод. 3'!I113</f>
        <v>0</v>
      </c>
      <c r="J82" s="53" t="str">
        <f>'дод. 3'!J113</f>
        <v> </v>
      </c>
      <c r="K82" s="76">
        <f t="shared" si="13"/>
        <v>46.87909375541964</v>
      </c>
      <c r="L82" s="53">
        <f t="shared" si="14"/>
        <v>0</v>
      </c>
      <c r="M82" s="53">
        <f>'дод. 3'!M113</f>
        <v>0</v>
      </c>
      <c r="N82" s="53">
        <f>'дод. 3'!N113</f>
        <v>0</v>
      </c>
      <c r="O82" s="53">
        <f>'дод. 3'!O113</f>
        <v>0</v>
      </c>
      <c r="P82" s="53">
        <f>'дод. 3'!P113</f>
        <v>0</v>
      </c>
      <c r="Q82" s="53">
        <f t="shared" si="12"/>
        <v>0</v>
      </c>
      <c r="R82" s="53">
        <f>'дод. 3'!R113</f>
        <v>0</v>
      </c>
      <c r="S82" s="53">
        <f>'дод. 3'!S113</f>
        <v>0</v>
      </c>
      <c r="T82" s="53">
        <f>'дод. 3'!T113</f>
        <v>0</v>
      </c>
      <c r="U82" s="53">
        <f>'дод. 3'!U113</f>
        <v>0</v>
      </c>
      <c r="V82" s="76"/>
      <c r="W82" s="53">
        <f t="shared" si="15"/>
        <v>20273098.49</v>
      </c>
      <c r="X82" s="145"/>
      <c r="Y82" s="99"/>
    </row>
    <row r="83" spans="1:25" s="17" customFormat="1" ht="60">
      <c r="A83" s="20"/>
      <c r="B83" s="24" t="s">
        <v>246</v>
      </c>
      <c r="C83" s="24" t="s">
        <v>209</v>
      </c>
      <c r="D83" s="25" t="s">
        <v>247</v>
      </c>
      <c r="E83" s="53">
        <f>'дод. 3'!E114</f>
        <v>162275</v>
      </c>
      <c r="F83" s="53">
        <f>'дод. 3'!F114</f>
        <v>0</v>
      </c>
      <c r="G83" s="53">
        <f>'дод. 3'!G114</f>
        <v>0</v>
      </c>
      <c r="H83" s="53">
        <f>'дод. 3'!H114</f>
        <v>71908.65</v>
      </c>
      <c r="I83" s="53">
        <f>'дод. 3'!I114</f>
        <v>0</v>
      </c>
      <c r="J83" s="53">
        <f>'дод. 3'!J114</f>
        <v>0</v>
      </c>
      <c r="K83" s="76">
        <f t="shared" si="13"/>
        <v>44.31283315359729</v>
      </c>
      <c r="L83" s="53">
        <f t="shared" si="14"/>
        <v>0</v>
      </c>
      <c r="M83" s="53">
        <f>'дод. 3'!M114</f>
        <v>0</v>
      </c>
      <c r="N83" s="53">
        <f>'дод. 3'!N114</f>
        <v>0</v>
      </c>
      <c r="O83" s="53">
        <f>'дод. 3'!O114</f>
        <v>0</v>
      </c>
      <c r="P83" s="53">
        <f>'дод. 3'!P114</f>
        <v>0</v>
      </c>
      <c r="Q83" s="53">
        <f t="shared" si="12"/>
        <v>0</v>
      </c>
      <c r="R83" s="53">
        <f>'дод. 3'!R114</f>
        <v>0</v>
      </c>
      <c r="S83" s="53">
        <f>'дод. 3'!S114</f>
        <v>0</v>
      </c>
      <c r="T83" s="53">
        <f>'дод. 3'!T114</f>
        <v>0</v>
      </c>
      <c r="U83" s="53">
        <f>'дод. 3'!U114</f>
        <v>0</v>
      </c>
      <c r="V83" s="76"/>
      <c r="W83" s="53">
        <f t="shared" si="15"/>
        <v>71908.65</v>
      </c>
      <c r="X83" s="145"/>
      <c r="Y83" s="99"/>
    </row>
    <row r="84" spans="1:25" s="17" customFormat="1" ht="30">
      <c r="A84" s="20"/>
      <c r="B84" s="24" t="s">
        <v>248</v>
      </c>
      <c r="C84" s="24" t="s">
        <v>209</v>
      </c>
      <c r="D84" s="25" t="s">
        <v>249</v>
      </c>
      <c r="E84" s="53">
        <f>'дод. 3'!E115</f>
        <v>4800</v>
      </c>
      <c r="F84" s="53">
        <f>'дод. 3'!F115</f>
        <v>0</v>
      </c>
      <c r="G84" s="53">
        <f>'дод. 3'!G115</f>
        <v>0</v>
      </c>
      <c r="H84" s="53">
        <f>'дод. 3'!H115</f>
        <v>672</v>
      </c>
      <c r="I84" s="53">
        <f>'дод. 3'!I115</f>
        <v>0</v>
      </c>
      <c r="J84" s="53">
        <f>'дод. 3'!J115</f>
        <v>0</v>
      </c>
      <c r="K84" s="76">
        <f t="shared" si="13"/>
        <v>14.000000000000002</v>
      </c>
      <c r="L84" s="53">
        <f t="shared" si="14"/>
        <v>0</v>
      </c>
      <c r="M84" s="53">
        <f>'дод. 3'!M115</f>
        <v>0</v>
      </c>
      <c r="N84" s="53">
        <f>'дод. 3'!N115</f>
        <v>0</v>
      </c>
      <c r="O84" s="53">
        <f>'дод. 3'!O115</f>
        <v>0</v>
      </c>
      <c r="P84" s="53">
        <f>'дод. 3'!P115</f>
        <v>0</v>
      </c>
      <c r="Q84" s="53">
        <f t="shared" si="12"/>
        <v>0</v>
      </c>
      <c r="R84" s="53">
        <f>'дод. 3'!R115</f>
        <v>0</v>
      </c>
      <c r="S84" s="53">
        <f>'дод. 3'!S115</f>
        <v>0</v>
      </c>
      <c r="T84" s="53">
        <f>'дод. 3'!T115</f>
        <v>0</v>
      </c>
      <c r="U84" s="53">
        <f>'дод. 3'!U115</f>
        <v>0</v>
      </c>
      <c r="V84" s="76"/>
      <c r="W84" s="53">
        <f t="shared" si="15"/>
        <v>672</v>
      </c>
      <c r="X84" s="145"/>
      <c r="Y84" s="99"/>
    </row>
    <row r="85" spans="1:25" s="17" customFormat="1" ht="15">
      <c r="A85" s="20"/>
      <c r="B85" s="49" t="s">
        <v>260</v>
      </c>
      <c r="C85" s="49"/>
      <c r="D85" s="50" t="s">
        <v>261</v>
      </c>
      <c r="E85" s="126">
        <f>SUM(E86:E92)</f>
        <v>91978063.39</v>
      </c>
      <c r="F85" s="126">
        <f aca="true" t="shared" si="16" ref="F85:W85">SUM(F86:F92)</f>
        <v>0</v>
      </c>
      <c r="G85" s="126">
        <f t="shared" si="16"/>
        <v>7268679.79</v>
      </c>
      <c r="H85" s="126">
        <f t="shared" si="16"/>
        <v>40407139.230000004</v>
      </c>
      <c r="I85" s="126">
        <f t="shared" si="16"/>
        <v>0</v>
      </c>
      <c r="J85" s="126">
        <f t="shared" si="16"/>
        <v>3264965.11</v>
      </c>
      <c r="K85" s="125">
        <f t="shared" si="13"/>
        <v>43.931278547003124</v>
      </c>
      <c r="L85" s="126">
        <f t="shared" si="16"/>
        <v>155639341.34</v>
      </c>
      <c r="M85" s="126">
        <f t="shared" si="16"/>
        <v>0</v>
      </c>
      <c r="N85" s="126">
        <f t="shared" si="16"/>
        <v>0</v>
      </c>
      <c r="O85" s="126">
        <f t="shared" si="16"/>
        <v>0</v>
      </c>
      <c r="P85" s="126">
        <f t="shared" si="16"/>
        <v>155639341.34</v>
      </c>
      <c r="Q85" s="126">
        <f t="shared" si="16"/>
        <v>24057839.849999998</v>
      </c>
      <c r="R85" s="126">
        <f t="shared" si="16"/>
        <v>0</v>
      </c>
      <c r="S85" s="126">
        <f t="shared" si="16"/>
        <v>0</v>
      </c>
      <c r="T85" s="126">
        <f t="shared" si="16"/>
        <v>0</v>
      </c>
      <c r="U85" s="126">
        <f t="shared" si="16"/>
        <v>24057839.849999998</v>
      </c>
      <c r="V85" s="125">
        <f aca="true" t="shared" si="17" ref="V85:V148">Q85/L85*100</f>
        <v>15.457428464339706</v>
      </c>
      <c r="W85" s="126">
        <f t="shared" si="16"/>
        <v>64464979.080000006</v>
      </c>
      <c r="X85" s="145"/>
      <c r="Y85" s="99"/>
    </row>
    <row r="86" spans="1:25" s="17" customFormat="1" ht="15">
      <c r="A86" s="20"/>
      <c r="B86" s="24" t="s">
        <v>315</v>
      </c>
      <c r="C86" s="24" t="s">
        <v>216</v>
      </c>
      <c r="D86" s="25" t="s">
        <v>316</v>
      </c>
      <c r="E86" s="53">
        <f>'дод. 3'!E131</f>
        <v>1680000</v>
      </c>
      <c r="F86" s="53">
        <f>'дод. 3'!F131</f>
        <v>0</v>
      </c>
      <c r="G86" s="53">
        <f>'дод. 3'!G131</f>
        <v>0</v>
      </c>
      <c r="H86" s="53">
        <f>'дод. 3'!H131</f>
        <v>178041.07</v>
      </c>
      <c r="I86" s="53">
        <f>'дод. 3'!I131</f>
        <v>0</v>
      </c>
      <c r="J86" s="53">
        <f>'дод. 3'!J131</f>
        <v>0</v>
      </c>
      <c r="K86" s="76">
        <f>H86/E86*100</f>
        <v>10.597682738095239</v>
      </c>
      <c r="L86" s="53">
        <f>M86+P86</f>
        <v>0</v>
      </c>
      <c r="M86" s="53">
        <f>'дод. 3'!M131</f>
        <v>0</v>
      </c>
      <c r="N86" s="53">
        <f>'дод. 3'!N131</f>
        <v>0</v>
      </c>
      <c r="O86" s="53">
        <f>'дод. 3'!O131</f>
        <v>0</v>
      </c>
      <c r="P86" s="53">
        <f>'дод. 3'!P131</f>
        <v>0</v>
      </c>
      <c r="Q86" s="53">
        <f>R86+U86</f>
        <v>0</v>
      </c>
      <c r="R86" s="53">
        <f>'дод. 3'!R131</f>
        <v>0</v>
      </c>
      <c r="S86" s="53">
        <f>'дод. 3'!S131</f>
        <v>0</v>
      </c>
      <c r="T86" s="53">
        <f>'дод. 3'!T131</f>
        <v>0</v>
      </c>
      <c r="U86" s="53">
        <f>'дод. 3'!U131</f>
        <v>0</v>
      </c>
      <c r="V86" s="76"/>
      <c r="W86" s="53">
        <f t="shared" si="15"/>
        <v>178041.07</v>
      </c>
      <c r="X86" s="145"/>
      <c r="Y86" s="99"/>
    </row>
    <row r="87" spans="1:25" s="17" customFormat="1" ht="30">
      <c r="A87" s="20"/>
      <c r="B87" s="24" t="s">
        <v>158</v>
      </c>
      <c r="C87" s="24" t="s">
        <v>216</v>
      </c>
      <c r="D87" s="25" t="s">
        <v>159</v>
      </c>
      <c r="E87" s="53">
        <f>'дод. 3'!E132</f>
        <v>195000</v>
      </c>
      <c r="F87" s="53">
        <f>'дод. 3'!F132</f>
        <v>0</v>
      </c>
      <c r="G87" s="53">
        <f>'дод. 3'!G132</f>
        <v>0</v>
      </c>
      <c r="H87" s="53">
        <f>'дод. 3'!H132</f>
        <v>65825.88</v>
      </c>
      <c r="I87" s="53">
        <f>'дод. 3'!I132</f>
        <v>0</v>
      </c>
      <c r="J87" s="53">
        <f>'дод. 3'!J132</f>
        <v>0</v>
      </c>
      <c r="K87" s="76">
        <f>H87/E87*100</f>
        <v>33.75686153846154</v>
      </c>
      <c r="L87" s="53">
        <f aca="true" t="shared" si="18" ref="L87:L92">M87+P87</f>
        <v>52814931.14</v>
      </c>
      <c r="M87" s="53">
        <f>'дод. 3'!M132</f>
        <v>0</v>
      </c>
      <c r="N87" s="53">
        <f>'дод. 3'!N132</f>
        <v>0</v>
      </c>
      <c r="O87" s="53">
        <f>'дод. 3'!O132</f>
        <v>0</v>
      </c>
      <c r="P87" s="53">
        <f>'дод. 3'!P132</f>
        <v>52814931.14</v>
      </c>
      <c r="Q87" s="53">
        <f aca="true" t="shared" si="19" ref="Q87:Q92">R87+U87</f>
        <v>9909222.04</v>
      </c>
      <c r="R87" s="53">
        <f>'дод. 3'!R132</f>
        <v>0</v>
      </c>
      <c r="S87" s="53">
        <f>'дод. 3'!S132</f>
        <v>0</v>
      </c>
      <c r="T87" s="53">
        <f>'дод. 3'!T132</f>
        <v>0</v>
      </c>
      <c r="U87" s="53">
        <f>'дод. 3'!U132</f>
        <v>9909222.04</v>
      </c>
      <c r="V87" s="76">
        <f t="shared" si="17"/>
        <v>18.762160294657914</v>
      </c>
      <c r="W87" s="53">
        <f t="shared" si="15"/>
        <v>9975047.92</v>
      </c>
      <c r="X87" s="145"/>
      <c r="Y87" s="99"/>
    </row>
    <row r="88" spans="1:25" s="17" customFormat="1" ht="45">
      <c r="A88" s="20"/>
      <c r="B88" s="24" t="s">
        <v>160</v>
      </c>
      <c r="C88" s="24" t="s">
        <v>216</v>
      </c>
      <c r="D88" s="25" t="s">
        <v>161</v>
      </c>
      <c r="E88" s="53">
        <f>'дод. 3'!E133</f>
        <v>0</v>
      </c>
      <c r="F88" s="53">
        <f>'дод. 3'!F133</f>
        <v>0</v>
      </c>
      <c r="G88" s="53">
        <f>'дод. 3'!G133</f>
        <v>0</v>
      </c>
      <c r="H88" s="53">
        <f>'дод. 3'!H133</f>
        <v>0</v>
      </c>
      <c r="I88" s="53">
        <f>'дод. 3'!I133</f>
        <v>0</v>
      </c>
      <c r="J88" s="53">
        <f>'дод. 3'!J133</f>
        <v>0</v>
      </c>
      <c r="K88" s="76"/>
      <c r="L88" s="53">
        <f t="shared" si="18"/>
        <v>6000000</v>
      </c>
      <c r="M88" s="53">
        <f>'дод. 3'!M133</f>
        <v>0</v>
      </c>
      <c r="N88" s="53">
        <f>'дод. 3'!N133</f>
        <v>0</v>
      </c>
      <c r="O88" s="53">
        <f>'дод. 3'!O133</f>
        <v>0</v>
      </c>
      <c r="P88" s="53">
        <f>'дод. 3'!P133</f>
        <v>6000000</v>
      </c>
      <c r="Q88" s="53">
        <f t="shared" si="19"/>
        <v>212143.49</v>
      </c>
      <c r="R88" s="53">
        <f>'дод. 3'!R133</f>
        <v>0</v>
      </c>
      <c r="S88" s="53">
        <f>'дод. 3'!S133</f>
        <v>0</v>
      </c>
      <c r="T88" s="53">
        <f>'дод. 3'!T133</f>
        <v>0</v>
      </c>
      <c r="U88" s="53">
        <f>'дод. 3'!U133</f>
        <v>212143.49</v>
      </c>
      <c r="V88" s="76">
        <f t="shared" si="17"/>
        <v>3.5357248333333335</v>
      </c>
      <c r="W88" s="53">
        <f t="shared" si="15"/>
        <v>212143.49</v>
      </c>
      <c r="X88" s="145"/>
      <c r="Y88" s="99"/>
    </row>
    <row r="89" spans="1:25" s="17" customFormat="1" ht="15">
      <c r="A89" s="20"/>
      <c r="B89" s="24" t="s">
        <v>162</v>
      </c>
      <c r="C89" s="24" t="s">
        <v>183</v>
      </c>
      <c r="D89" s="25" t="s">
        <v>163</v>
      </c>
      <c r="E89" s="53">
        <f>'дод. 3'!E134</f>
        <v>2445103</v>
      </c>
      <c r="F89" s="53">
        <f>'дод. 3'!F134</f>
        <v>0</v>
      </c>
      <c r="G89" s="53">
        <f>'дод. 3'!G134</f>
        <v>0</v>
      </c>
      <c r="H89" s="53">
        <f>'дод. 3'!H134</f>
        <v>1414784</v>
      </c>
      <c r="I89" s="53">
        <f>'дод. 3'!I134</f>
        <v>0</v>
      </c>
      <c r="J89" s="53">
        <f>'дод. 3'!J134</f>
        <v>0</v>
      </c>
      <c r="K89" s="76">
        <f>H89/E89*100</f>
        <v>57.861938740412974</v>
      </c>
      <c r="L89" s="53">
        <f t="shared" si="18"/>
        <v>4094734</v>
      </c>
      <c r="M89" s="53">
        <f>'дод. 3'!M134</f>
        <v>0</v>
      </c>
      <c r="N89" s="53">
        <f>'дод. 3'!N134</f>
        <v>0</v>
      </c>
      <c r="O89" s="53">
        <f>'дод. 3'!O134</f>
        <v>0</v>
      </c>
      <c r="P89" s="53">
        <f>'дод. 3'!P134</f>
        <v>4094734</v>
      </c>
      <c r="Q89" s="53">
        <f t="shared" si="19"/>
        <v>446786.74</v>
      </c>
      <c r="R89" s="53">
        <f>'дод. 3'!R134</f>
        <v>0</v>
      </c>
      <c r="S89" s="53">
        <f>'дод. 3'!S134</f>
        <v>0</v>
      </c>
      <c r="T89" s="53">
        <f>'дод. 3'!T134</f>
        <v>0</v>
      </c>
      <c r="U89" s="53">
        <f>'дод. 3'!U134</f>
        <v>446786.74</v>
      </c>
      <c r="V89" s="76">
        <f t="shared" si="17"/>
        <v>10.911251866421603</v>
      </c>
      <c r="W89" s="53">
        <f t="shared" si="15"/>
        <v>1861570.74</v>
      </c>
      <c r="X89" s="145"/>
      <c r="Y89" s="99"/>
    </row>
    <row r="90" spans="1:25" s="17" customFormat="1" ht="15">
      <c r="A90" s="20"/>
      <c r="B90" s="24" t="s">
        <v>28</v>
      </c>
      <c r="C90" s="24" t="s">
        <v>183</v>
      </c>
      <c r="D90" s="25" t="s">
        <v>29</v>
      </c>
      <c r="E90" s="53">
        <f>'дод. 3'!E22+'дод. 3'!E135+'дод. 3'!E160</f>
        <v>87557960.39</v>
      </c>
      <c r="F90" s="53">
        <f>'дод. 3'!F22+'дод. 3'!F135+'дод. 3'!F160</f>
        <v>0</v>
      </c>
      <c r="G90" s="53">
        <f>'дод. 3'!G22+'дод. 3'!G135+'дод. 3'!G160</f>
        <v>7268679.79</v>
      </c>
      <c r="H90" s="53">
        <f>'дод. 3'!H22+'дод. 3'!H135+'дод. 3'!H160</f>
        <v>38648488.28</v>
      </c>
      <c r="I90" s="53">
        <f>'дод. 3'!I22+'дод. 3'!I135+'дод. 3'!I160</f>
        <v>0</v>
      </c>
      <c r="J90" s="53">
        <f>'дод. 3'!J22+'дод. 3'!J135+'дод. 3'!J160</f>
        <v>3264965.11</v>
      </c>
      <c r="K90" s="76">
        <f>H90/E90*100</f>
        <v>44.14046205262457</v>
      </c>
      <c r="L90" s="53">
        <f t="shared" si="18"/>
        <v>91883738.2</v>
      </c>
      <c r="M90" s="53">
        <f>'дод. 3'!M22+'дод. 3'!M135+'дод. 3'!M160</f>
        <v>0</v>
      </c>
      <c r="N90" s="53">
        <f>'дод. 3'!N22+'дод. 3'!N135+'дод. 3'!N160</f>
        <v>0</v>
      </c>
      <c r="O90" s="53">
        <f>'дод. 3'!O22+'дод. 3'!O135+'дод. 3'!O160</f>
        <v>0</v>
      </c>
      <c r="P90" s="53">
        <f>'дод. 3'!P22+'дод. 3'!P135+'дод. 3'!P160</f>
        <v>91883738.2</v>
      </c>
      <c r="Q90" s="53">
        <f t="shared" si="19"/>
        <v>13383047.45</v>
      </c>
      <c r="R90" s="53">
        <f>'дод. 3'!R22+'дод. 3'!R135+'дод. 3'!R160</f>
        <v>0</v>
      </c>
      <c r="S90" s="53">
        <f>'дод. 3'!S22+'дод. 3'!S135+'дод. 3'!S160</f>
        <v>0</v>
      </c>
      <c r="T90" s="53">
        <f>'дод. 3'!T22+'дод. 3'!T135+'дод. 3'!T160</f>
        <v>0</v>
      </c>
      <c r="U90" s="53">
        <f>'дод. 3'!U22+'дод. 3'!U135+'дод. 3'!U160</f>
        <v>13383047.45</v>
      </c>
      <c r="V90" s="76">
        <f t="shared" si="17"/>
        <v>14.565196967573963</v>
      </c>
      <c r="W90" s="53">
        <f t="shared" si="15"/>
        <v>52031535.730000004</v>
      </c>
      <c r="X90" s="145"/>
      <c r="Y90" s="99"/>
    </row>
    <row r="91" spans="1:25" s="17" customFormat="1" ht="45">
      <c r="A91" s="20"/>
      <c r="B91" s="24" t="s">
        <v>304</v>
      </c>
      <c r="C91" s="24" t="s">
        <v>305</v>
      </c>
      <c r="D91" s="25" t="s">
        <v>306</v>
      </c>
      <c r="E91" s="53">
        <f>'дод. 3'!E136</f>
        <v>0</v>
      </c>
      <c r="F91" s="53">
        <f>'дод. 3'!F136</f>
        <v>0</v>
      </c>
      <c r="G91" s="53">
        <f>'дод. 3'!G136</f>
        <v>0</v>
      </c>
      <c r="H91" s="53">
        <f>'дод. 3'!H136</f>
        <v>0</v>
      </c>
      <c r="I91" s="53">
        <f>'дод. 3'!I136</f>
        <v>0</v>
      </c>
      <c r="J91" s="53">
        <f>'дод. 3'!J136</f>
        <v>0</v>
      </c>
      <c r="K91" s="76"/>
      <c r="L91" s="53">
        <f t="shared" si="18"/>
        <v>845938</v>
      </c>
      <c r="M91" s="53">
        <f>'дод. 3'!M136</f>
        <v>0</v>
      </c>
      <c r="N91" s="53">
        <f>'дод. 3'!N136</f>
        <v>0</v>
      </c>
      <c r="O91" s="53">
        <f>'дод. 3'!O136</f>
        <v>0</v>
      </c>
      <c r="P91" s="53">
        <f>'дод. 3'!P136</f>
        <v>845938</v>
      </c>
      <c r="Q91" s="53">
        <f t="shared" si="19"/>
        <v>106640.13</v>
      </c>
      <c r="R91" s="53">
        <f>'дод. 3'!R136</f>
        <v>0</v>
      </c>
      <c r="S91" s="53">
        <f>'дод. 3'!S136</f>
        <v>0</v>
      </c>
      <c r="T91" s="53">
        <f>'дод. 3'!T136</f>
        <v>0</v>
      </c>
      <c r="U91" s="53">
        <f>'дод. 3'!U136</f>
        <v>106640.13</v>
      </c>
      <c r="V91" s="76">
        <f t="shared" si="17"/>
        <v>12.606140166300603</v>
      </c>
      <c r="W91" s="53">
        <f t="shared" si="15"/>
        <v>106640.13</v>
      </c>
      <c r="X91" s="145"/>
      <c r="Y91" s="99"/>
    </row>
    <row r="92" spans="1:25" s="17" customFormat="1" ht="60">
      <c r="A92" s="20"/>
      <c r="B92" s="24" t="s">
        <v>337</v>
      </c>
      <c r="C92" s="24" t="s">
        <v>183</v>
      </c>
      <c r="D92" s="25" t="s">
        <v>338</v>
      </c>
      <c r="E92" s="35">
        <f>'дод. 3'!E137</f>
        <v>100000</v>
      </c>
      <c r="F92" s="35">
        <f>'дод. 3'!F137</f>
        <v>0</v>
      </c>
      <c r="G92" s="35">
        <f>'дод. 3'!G137</f>
        <v>0</v>
      </c>
      <c r="H92" s="35">
        <f>'дод. 3'!H137</f>
        <v>100000</v>
      </c>
      <c r="I92" s="35">
        <f>'дод. 3'!I137</f>
        <v>0</v>
      </c>
      <c r="J92" s="35">
        <f>'дод. 3'!J137</f>
        <v>0</v>
      </c>
      <c r="K92" s="76">
        <f>H92/E92*100</f>
        <v>100</v>
      </c>
      <c r="L92" s="53">
        <f t="shared" si="18"/>
        <v>0</v>
      </c>
      <c r="M92" s="35">
        <f>'дод. 3'!M137</f>
        <v>0</v>
      </c>
      <c r="N92" s="35">
        <f>'дод. 3'!N137</f>
        <v>0</v>
      </c>
      <c r="O92" s="35">
        <f>'дод. 3'!O137</f>
        <v>0</v>
      </c>
      <c r="P92" s="35">
        <f>'дод. 3'!P137</f>
        <v>0</v>
      </c>
      <c r="Q92" s="53">
        <f t="shared" si="19"/>
        <v>0</v>
      </c>
      <c r="R92" s="35">
        <f>'дод. 3'!R137</f>
        <v>0</v>
      </c>
      <c r="S92" s="35">
        <f>'дод. 3'!S137</f>
        <v>0</v>
      </c>
      <c r="T92" s="35">
        <f>'дод. 3'!T137</f>
        <v>0</v>
      </c>
      <c r="U92" s="35">
        <f>'дод. 3'!U137</f>
        <v>0</v>
      </c>
      <c r="V92" s="76"/>
      <c r="W92" s="53">
        <f t="shared" si="15"/>
        <v>100000</v>
      </c>
      <c r="X92" s="145"/>
      <c r="Y92" s="99"/>
    </row>
    <row r="93" spans="1:25" s="17" customFormat="1" ht="15">
      <c r="A93" s="20"/>
      <c r="B93" s="49" t="s">
        <v>262</v>
      </c>
      <c r="C93" s="49"/>
      <c r="D93" s="50" t="s">
        <v>263</v>
      </c>
      <c r="E93" s="126">
        <f>E94+E95+E96+E97</f>
        <v>30935326</v>
      </c>
      <c r="F93" s="126">
        <f aca="true" t="shared" si="20" ref="F93:W93">F94+F95+F96+F97</f>
        <v>21670640</v>
      </c>
      <c r="G93" s="126">
        <f t="shared" si="20"/>
        <v>1855080</v>
      </c>
      <c r="H93" s="126">
        <f t="shared" si="20"/>
        <v>16690864.79</v>
      </c>
      <c r="I93" s="126">
        <f t="shared" si="20"/>
        <v>12341971.850000001</v>
      </c>
      <c r="J93" s="126">
        <f t="shared" si="20"/>
        <v>957935.9099999999</v>
      </c>
      <c r="K93" s="125">
        <f aca="true" t="shared" si="21" ref="K93:K149">H93/E93*100</f>
        <v>53.954061418328024</v>
      </c>
      <c r="L93" s="126">
        <f t="shared" si="20"/>
        <v>2581679</v>
      </c>
      <c r="M93" s="126">
        <f t="shared" si="20"/>
        <v>1320320</v>
      </c>
      <c r="N93" s="126">
        <f t="shared" si="20"/>
        <v>953732</v>
      </c>
      <c r="O93" s="126">
        <f t="shared" si="20"/>
        <v>0</v>
      </c>
      <c r="P93" s="126">
        <f t="shared" si="20"/>
        <v>1261359</v>
      </c>
      <c r="Q93" s="126">
        <f t="shared" si="20"/>
        <v>1113262.16</v>
      </c>
      <c r="R93" s="126">
        <f t="shared" si="20"/>
        <v>794327.2699999999</v>
      </c>
      <c r="S93" s="126">
        <f t="shared" si="20"/>
        <v>626413.72</v>
      </c>
      <c r="T93" s="126">
        <f t="shared" si="20"/>
        <v>0</v>
      </c>
      <c r="U93" s="126">
        <f t="shared" si="20"/>
        <v>318934.89</v>
      </c>
      <c r="V93" s="125">
        <f t="shared" si="17"/>
        <v>43.121633634545574</v>
      </c>
      <c r="W93" s="126">
        <f t="shared" si="20"/>
        <v>17804126.95</v>
      </c>
      <c r="X93" s="145"/>
      <c r="Y93" s="99"/>
    </row>
    <row r="94" spans="1:25" s="17" customFormat="1" ht="30">
      <c r="A94" s="20"/>
      <c r="B94" s="24" t="s">
        <v>152</v>
      </c>
      <c r="C94" s="24" t="s">
        <v>213</v>
      </c>
      <c r="D94" s="25" t="s">
        <v>153</v>
      </c>
      <c r="E94" s="53">
        <f>'дод. 3'!E124</f>
        <v>1030000</v>
      </c>
      <c r="F94" s="53">
        <f>'дод. 3'!F124</f>
        <v>0</v>
      </c>
      <c r="G94" s="53">
        <f>'дод. 3'!G124</f>
        <v>0</v>
      </c>
      <c r="H94" s="53">
        <f>'дод. 3'!H124</f>
        <v>190023.68</v>
      </c>
      <c r="I94" s="53">
        <f>'дод. 3'!I124</f>
        <v>0</v>
      </c>
      <c r="J94" s="53">
        <f>'дод. 3'!J124</f>
        <v>0</v>
      </c>
      <c r="K94" s="76">
        <f t="shared" si="21"/>
        <v>18.448900970873787</v>
      </c>
      <c r="L94" s="53">
        <f aca="true" t="shared" si="22" ref="L94:L99">M94+P94</f>
        <v>0</v>
      </c>
      <c r="M94" s="53">
        <f>'дод. 3'!M124</f>
        <v>0</v>
      </c>
      <c r="N94" s="53">
        <f>'дод. 3'!N124</f>
        <v>0</v>
      </c>
      <c r="O94" s="53">
        <f>'дод. 3'!O124</f>
        <v>0</v>
      </c>
      <c r="P94" s="53">
        <f>'дод. 3'!P124</f>
        <v>0</v>
      </c>
      <c r="Q94" s="53">
        <f aca="true" t="shared" si="23" ref="Q94:Q99">R94+U94</f>
        <v>0</v>
      </c>
      <c r="R94" s="53">
        <f>'дод. 3'!R124</f>
        <v>0</v>
      </c>
      <c r="S94" s="53">
        <f>'дод. 3'!S124</f>
        <v>0</v>
      </c>
      <c r="T94" s="53">
        <f>'дод. 3'!T124</f>
        <v>0</v>
      </c>
      <c r="U94" s="53">
        <f>'дод. 3'!U124</f>
        <v>0</v>
      </c>
      <c r="V94" s="76"/>
      <c r="W94" s="53">
        <f>Q94+H94</f>
        <v>190023.68</v>
      </c>
      <c r="X94" s="145"/>
      <c r="Y94" s="99"/>
    </row>
    <row r="95" spans="1:25" s="17" customFormat="1" ht="15">
      <c r="A95" s="20"/>
      <c r="B95" s="24" t="s">
        <v>154</v>
      </c>
      <c r="C95" s="24" t="s">
        <v>214</v>
      </c>
      <c r="D95" s="25" t="s">
        <v>155</v>
      </c>
      <c r="E95" s="53">
        <f>'дод. 3'!E125</f>
        <v>10466931</v>
      </c>
      <c r="F95" s="53">
        <f>'дод. 3'!F125</f>
        <v>7077480</v>
      </c>
      <c r="G95" s="53">
        <f>'дод. 3'!G125</f>
        <v>1039633</v>
      </c>
      <c r="H95" s="53">
        <f>'дод. 3'!H125</f>
        <v>5032768.31</v>
      </c>
      <c r="I95" s="53">
        <f>'дод. 3'!I125</f>
        <v>3537152.03</v>
      </c>
      <c r="J95" s="53">
        <f>'дод. 3'!J125</f>
        <v>538894.36</v>
      </c>
      <c r="K95" s="76">
        <f t="shared" si="21"/>
        <v>48.08255934810308</v>
      </c>
      <c r="L95" s="53">
        <f t="shared" si="22"/>
        <v>700500</v>
      </c>
      <c r="M95" s="53">
        <f>'дод. 3'!M125</f>
        <v>21000</v>
      </c>
      <c r="N95" s="53">
        <f>'дод. 3'!N125</f>
        <v>5000</v>
      </c>
      <c r="O95" s="53">
        <f>'дод. 3'!O125</f>
        <v>0</v>
      </c>
      <c r="P95" s="53">
        <f>'дод. 3'!P125</f>
        <v>679500</v>
      </c>
      <c r="Q95" s="53">
        <f t="shared" si="23"/>
        <v>182225.19</v>
      </c>
      <c r="R95" s="53">
        <f>'дод. 3'!R125</f>
        <v>5095.82</v>
      </c>
      <c r="S95" s="53">
        <f>'дод. 3'!S125</f>
        <v>950</v>
      </c>
      <c r="T95" s="53">
        <f>'дод. 3'!T125</f>
        <v>0</v>
      </c>
      <c r="U95" s="53">
        <f>'дод. 3'!U125</f>
        <v>177129.37</v>
      </c>
      <c r="V95" s="76">
        <f t="shared" si="17"/>
        <v>26.01358886509636</v>
      </c>
      <c r="W95" s="53">
        <f>Q95+H95</f>
        <v>5214993.5</v>
      </c>
      <c r="X95" s="145"/>
      <c r="Y95" s="99"/>
    </row>
    <row r="96" spans="1:25" s="17" customFormat="1" ht="15">
      <c r="A96" s="20"/>
      <c r="B96" s="24" t="s">
        <v>156</v>
      </c>
      <c r="C96" s="24" t="s">
        <v>197</v>
      </c>
      <c r="D96" s="25" t="s">
        <v>157</v>
      </c>
      <c r="E96" s="53">
        <f>'дод. 3'!E126</f>
        <v>16950076</v>
      </c>
      <c r="F96" s="53">
        <f>'дод. 3'!F126</f>
        <v>13068040</v>
      </c>
      <c r="G96" s="53">
        <f>'дод. 3'!G126</f>
        <v>702306</v>
      </c>
      <c r="H96" s="53">
        <f>'дод. 3'!H126</f>
        <v>10352519.76</v>
      </c>
      <c r="I96" s="53">
        <f>'дод. 3'!I126</f>
        <v>8077239.11</v>
      </c>
      <c r="J96" s="53">
        <f>'дод. 3'!J126</f>
        <v>365458.49</v>
      </c>
      <c r="K96" s="76">
        <f t="shared" si="21"/>
        <v>61.07653888985512</v>
      </c>
      <c r="L96" s="53">
        <f t="shared" si="22"/>
        <v>1741420</v>
      </c>
      <c r="M96" s="53">
        <f>'дод. 3'!M126</f>
        <v>1299320</v>
      </c>
      <c r="N96" s="53">
        <f>'дод. 3'!N126</f>
        <v>948732</v>
      </c>
      <c r="O96" s="53">
        <f>'дод. 3'!O126</f>
        <v>0</v>
      </c>
      <c r="P96" s="53">
        <f>'дод. 3'!P126</f>
        <v>442100</v>
      </c>
      <c r="Q96" s="53">
        <f t="shared" si="23"/>
        <v>805929.25</v>
      </c>
      <c r="R96" s="53">
        <f>'дод. 3'!R126</f>
        <v>774771.45</v>
      </c>
      <c r="S96" s="53">
        <f>'дод. 3'!S126</f>
        <v>625463.72</v>
      </c>
      <c r="T96" s="53">
        <f>'дод. 3'!T126</f>
        <v>0</v>
      </c>
      <c r="U96" s="53">
        <f>'дод. 3'!U126</f>
        <v>31157.8</v>
      </c>
      <c r="V96" s="76">
        <f t="shared" si="17"/>
        <v>46.28000424940566</v>
      </c>
      <c r="W96" s="53">
        <f>Q96+H96</f>
        <v>11158449.01</v>
      </c>
      <c r="X96" s="145"/>
      <c r="Y96" s="99"/>
    </row>
    <row r="97" spans="1:25" s="17" customFormat="1" ht="15">
      <c r="A97" s="20"/>
      <c r="B97" s="24" t="s">
        <v>30</v>
      </c>
      <c r="C97" s="24" t="s">
        <v>184</v>
      </c>
      <c r="D97" s="25" t="s">
        <v>31</v>
      </c>
      <c r="E97" s="53">
        <f>'дод. 3'!E127+'дод. 3'!E23</f>
        <v>2488319</v>
      </c>
      <c r="F97" s="53">
        <f>'дод. 3'!F127+'дод. 3'!F23</f>
        <v>1525120</v>
      </c>
      <c r="G97" s="53">
        <f>'дод. 3'!G127+'дод. 3'!G23</f>
        <v>113141</v>
      </c>
      <c r="H97" s="53">
        <f>'дод. 3'!H127+'дод. 3'!H23</f>
        <v>1115553.04</v>
      </c>
      <c r="I97" s="53">
        <f>'дод. 3'!I127+'дод. 3'!I23</f>
        <v>727580.71</v>
      </c>
      <c r="J97" s="53">
        <f>'дод. 3'!J127+'дод. 3'!J23</f>
        <v>53583.06</v>
      </c>
      <c r="K97" s="76">
        <f t="shared" si="21"/>
        <v>44.83159273388983</v>
      </c>
      <c r="L97" s="53">
        <f t="shared" si="22"/>
        <v>139759</v>
      </c>
      <c r="M97" s="53">
        <f>'дод. 3'!M127+'дод. 3'!M23</f>
        <v>0</v>
      </c>
      <c r="N97" s="53">
        <f>'дод. 3'!N127+'дод. 3'!N23</f>
        <v>0</v>
      </c>
      <c r="O97" s="53">
        <f>'дод. 3'!O127+'дод. 3'!O23</f>
        <v>0</v>
      </c>
      <c r="P97" s="53">
        <f>'дод. 3'!P127+'дод. 3'!P23</f>
        <v>139759</v>
      </c>
      <c r="Q97" s="53">
        <f t="shared" si="23"/>
        <v>125107.72</v>
      </c>
      <c r="R97" s="53">
        <f>'дод. 3'!R127+'дод. 3'!R23</f>
        <v>14460</v>
      </c>
      <c r="S97" s="53">
        <f>'дод. 3'!S127+'дод. 3'!S23</f>
        <v>0</v>
      </c>
      <c r="T97" s="53">
        <f>'дод. 3'!T127+'дод. 3'!T23</f>
        <v>0</v>
      </c>
      <c r="U97" s="53">
        <f>'дод. 3'!U127+'дод. 3'!U23</f>
        <v>110647.72</v>
      </c>
      <c r="V97" s="76">
        <f t="shared" si="17"/>
        <v>89.51675384053979</v>
      </c>
      <c r="W97" s="53">
        <f>Q97+H97</f>
        <v>1240660.76</v>
      </c>
      <c r="X97" s="145"/>
      <c r="Y97" s="99"/>
    </row>
    <row r="98" spans="1:25" s="17" customFormat="1" ht="15">
      <c r="A98" s="20"/>
      <c r="B98" s="49" t="s">
        <v>294</v>
      </c>
      <c r="C98" s="49"/>
      <c r="D98" s="50" t="s">
        <v>295</v>
      </c>
      <c r="E98" s="126">
        <f>E99</f>
        <v>90300</v>
      </c>
      <c r="F98" s="126">
        <f aca="true" t="shared" si="24" ref="F98:W98">F99</f>
        <v>0</v>
      </c>
      <c r="G98" s="126">
        <f t="shared" si="24"/>
        <v>0</v>
      </c>
      <c r="H98" s="126">
        <f t="shared" si="24"/>
        <v>6249</v>
      </c>
      <c r="I98" s="126">
        <f t="shared" si="24"/>
        <v>0</v>
      </c>
      <c r="J98" s="126">
        <f t="shared" si="24"/>
        <v>0</v>
      </c>
      <c r="K98" s="76">
        <f t="shared" si="21"/>
        <v>6.920265780730897</v>
      </c>
      <c r="L98" s="53">
        <f t="shared" si="22"/>
        <v>0</v>
      </c>
      <c r="M98" s="126">
        <f t="shared" si="24"/>
        <v>0</v>
      </c>
      <c r="N98" s="126">
        <f t="shared" si="24"/>
        <v>0</v>
      </c>
      <c r="O98" s="126">
        <f t="shared" si="24"/>
        <v>0</v>
      </c>
      <c r="P98" s="126">
        <f t="shared" si="24"/>
        <v>0</v>
      </c>
      <c r="Q98" s="53">
        <f t="shared" si="23"/>
        <v>0</v>
      </c>
      <c r="R98" s="126">
        <f t="shared" si="24"/>
        <v>0</v>
      </c>
      <c r="S98" s="126">
        <f t="shared" si="24"/>
        <v>0</v>
      </c>
      <c r="T98" s="126">
        <f t="shared" si="24"/>
        <v>0</v>
      </c>
      <c r="U98" s="126">
        <f t="shared" si="24"/>
        <v>0</v>
      </c>
      <c r="V98" s="76"/>
      <c r="W98" s="126">
        <f t="shared" si="24"/>
        <v>6249</v>
      </c>
      <c r="X98" s="145"/>
      <c r="Y98" s="99"/>
    </row>
    <row r="99" spans="1:25" s="17" customFormat="1" ht="15">
      <c r="A99" s="20"/>
      <c r="B99" s="24" t="s">
        <v>285</v>
      </c>
      <c r="C99" s="24" t="s">
        <v>286</v>
      </c>
      <c r="D99" s="25" t="s">
        <v>287</v>
      </c>
      <c r="E99" s="53">
        <f>'дод. 3'!E24</f>
        <v>90300</v>
      </c>
      <c r="F99" s="53">
        <f>'дод. 3'!F24</f>
        <v>0</v>
      </c>
      <c r="G99" s="53">
        <f>'дод. 3'!G24</f>
        <v>0</v>
      </c>
      <c r="H99" s="53">
        <f>'дод. 3'!H24</f>
        <v>6249</v>
      </c>
      <c r="I99" s="53">
        <f>'дод. 3'!I24</f>
        <v>0</v>
      </c>
      <c r="J99" s="53">
        <f>'дод. 3'!J24</f>
        <v>0</v>
      </c>
      <c r="K99" s="76">
        <f t="shared" si="21"/>
        <v>6.920265780730897</v>
      </c>
      <c r="L99" s="53">
        <f t="shared" si="22"/>
        <v>0</v>
      </c>
      <c r="M99" s="53">
        <f>'дод. 3'!M24</f>
        <v>0</v>
      </c>
      <c r="N99" s="53">
        <f>'дод. 3'!N24</f>
        <v>0</v>
      </c>
      <c r="O99" s="53">
        <f>'дод. 3'!O24</f>
        <v>0</v>
      </c>
      <c r="P99" s="53">
        <f>'дод. 3'!P24</f>
        <v>0</v>
      </c>
      <c r="Q99" s="53">
        <f t="shared" si="23"/>
        <v>0</v>
      </c>
      <c r="R99" s="53">
        <f>'дод. 3'!R24</f>
        <v>0</v>
      </c>
      <c r="S99" s="53">
        <f>'дод. 3'!S24</f>
        <v>0</v>
      </c>
      <c r="T99" s="53">
        <f>'дод. 3'!T24</f>
        <v>0</v>
      </c>
      <c r="U99" s="53">
        <f>'дод. 3'!U24</f>
        <v>0</v>
      </c>
      <c r="V99" s="76"/>
      <c r="W99" s="53">
        <f>Q99+H99</f>
        <v>6249</v>
      </c>
      <c r="X99" s="145"/>
      <c r="Y99" s="99"/>
    </row>
    <row r="100" spans="1:25" s="17" customFormat="1" ht="15">
      <c r="A100" s="20"/>
      <c r="B100" s="49" t="s">
        <v>264</v>
      </c>
      <c r="C100" s="49"/>
      <c r="D100" s="50" t="s">
        <v>265</v>
      </c>
      <c r="E100" s="126">
        <f>E101+E102+E103+E104+E105+E106</f>
        <v>17016200</v>
      </c>
      <c r="F100" s="126">
        <f aca="true" t="shared" si="25" ref="F100:W100">F101+F102+F103+F104+F105+F106</f>
        <v>6280345</v>
      </c>
      <c r="G100" s="126">
        <f t="shared" si="25"/>
        <v>976907</v>
      </c>
      <c r="H100" s="126">
        <f t="shared" si="25"/>
        <v>8206968.069999999</v>
      </c>
      <c r="I100" s="126">
        <f t="shared" si="25"/>
        <v>2987723.66</v>
      </c>
      <c r="J100" s="126">
        <f t="shared" si="25"/>
        <v>531213.21</v>
      </c>
      <c r="K100" s="125">
        <f t="shared" si="21"/>
        <v>48.23032210481776</v>
      </c>
      <c r="L100" s="126">
        <f t="shared" si="25"/>
        <v>1039714</v>
      </c>
      <c r="M100" s="126">
        <f t="shared" si="25"/>
        <v>317714</v>
      </c>
      <c r="N100" s="126">
        <f t="shared" si="25"/>
        <v>144491</v>
      </c>
      <c r="O100" s="126">
        <f t="shared" si="25"/>
        <v>97628</v>
      </c>
      <c r="P100" s="126">
        <f t="shared" si="25"/>
        <v>722000</v>
      </c>
      <c r="Q100" s="126">
        <f t="shared" si="25"/>
        <v>828932.25</v>
      </c>
      <c r="R100" s="126">
        <f t="shared" si="25"/>
        <v>125023.11</v>
      </c>
      <c r="S100" s="126">
        <f t="shared" si="25"/>
        <v>45930.94</v>
      </c>
      <c r="T100" s="126">
        <f t="shared" si="25"/>
        <v>37071.54</v>
      </c>
      <c r="U100" s="126">
        <f t="shared" si="25"/>
        <v>703909.14</v>
      </c>
      <c r="V100" s="125">
        <f t="shared" si="17"/>
        <v>79.72694894942262</v>
      </c>
      <c r="W100" s="126">
        <f t="shared" si="25"/>
        <v>9035900.32</v>
      </c>
      <c r="X100" s="145"/>
      <c r="Y100" s="99"/>
    </row>
    <row r="101" spans="1:25" s="17" customFormat="1" ht="30">
      <c r="A101" s="20"/>
      <c r="B101" s="24" t="s">
        <v>32</v>
      </c>
      <c r="C101" s="24" t="s">
        <v>185</v>
      </c>
      <c r="D101" s="25" t="s">
        <v>33</v>
      </c>
      <c r="E101" s="53">
        <f>'дод. 3'!E25</f>
        <v>500000</v>
      </c>
      <c r="F101" s="53">
        <f>'дод. 3'!F25</f>
        <v>0</v>
      </c>
      <c r="G101" s="53">
        <f>'дод. 3'!G25</f>
        <v>0</v>
      </c>
      <c r="H101" s="53">
        <f>'дод. 3'!H25</f>
        <v>119032.22</v>
      </c>
      <c r="I101" s="53">
        <f>'дод. 3'!I25</f>
        <v>0</v>
      </c>
      <c r="J101" s="53">
        <f>'дод. 3'!J25</f>
        <v>0</v>
      </c>
      <c r="K101" s="76">
        <f t="shared" si="21"/>
        <v>23.806444000000003</v>
      </c>
      <c r="L101" s="53">
        <f aca="true" t="shared" si="26" ref="L101:L106">M101+P101</f>
        <v>0</v>
      </c>
      <c r="M101" s="53">
        <f>'дод. 3'!M25</f>
        <v>0</v>
      </c>
      <c r="N101" s="53">
        <f>'дод. 3'!N25</f>
        <v>0</v>
      </c>
      <c r="O101" s="53">
        <f>'дод. 3'!O25</f>
        <v>0</v>
      </c>
      <c r="P101" s="53">
        <f>'дод. 3'!P25</f>
        <v>0</v>
      </c>
      <c r="Q101" s="53">
        <f aca="true" t="shared" si="27" ref="Q101:Q106">R101+U101</f>
        <v>0</v>
      </c>
      <c r="R101" s="53">
        <f>'дод. 3'!R25</f>
        <v>0</v>
      </c>
      <c r="S101" s="53">
        <f>'дод. 3'!S25</f>
        <v>0</v>
      </c>
      <c r="T101" s="53">
        <f>'дод. 3'!T25</f>
        <v>0</v>
      </c>
      <c r="U101" s="53">
        <f>'дод. 3'!U25</f>
        <v>0</v>
      </c>
      <c r="V101" s="76"/>
      <c r="W101" s="53">
        <f aca="true" t="shared" si="28" ref="W101:W106">Q101+H101</f>
        <v>119032.22</v>
      </c>
      <c r="X101" s="145"/>
      <c r="Y101" s="99"/>
    </row>
    <row r="102" spans="1:25" s="17" customFormat="1" ht="45">
      <c r="A102" s="20"/>
      <c r="B102" s="24" t="s">
        <v>34</v>
      </c>
      <c r="C102" s="24" t="s">
        <v>185</v>
      </c>
      <c r="D102" s="25" t="s">
        <v>35</v>
      </c>
      <c r="E102" s="53">
        <f>'дод. 3'!E26</f>
        <v>523780</v>
      </c>
      <c r="F102" s="53">
        <f>'дод. 3'!F26</f>
        <v>0</v>
      </c>
      <c r="G102" s="53">
        <f>'дод. 3'!G26</f>
        <v>0</v>
      </c>
      <c r="H102" s="53">
        <f>'дод. 3'!H26</f>
        <v>132085.08</v>
      </c>
      <c r="I102" s="53">
        <f>'дод. 3'!I26</f>
        <v>0</v>
      </c>
      <c r="J102" s="53">
        <f>'дод. 3'!J26</f>
        <v>0</v>
      </c>
      <c r="K102" s="76">
        <f t="shared" si="21"/>
        <v>25.217663904692806</v>
      </c>
      <c r="L102" s="53">
        <f t="shared" si="26"/>
        <v>0</v>
      </c>
      <c r="M102" s="53">
        <f>'дод. 3'!M26</f>
        <v>0</v>
      </c>
      <c r="N102" s="53">
        <f>'дод. 3'!N26</f>
        <v>0</v>
      </c>
      <c r="O102" s="53">
        <f>'дод. 3'!O26</f>
        <v>0</v>
      </c>
      <c r="P102" s="53">
        <f>'дод. 3'!P26</f>
        <v>0</v>
      </c>
      <c r="Q102" s="53">
        <f t="shared" si="27"/>
        <v>0</v>
      </c>
      <c r="R102" s="53">
        <f>'дод. 3'!R26</f>
        <v>0</v>
      </c>
      <c r="S102" s="53">
        <f>'дод. 3'!S26</f>
        <v>0</v>
      </c>
      <c r="T102" s="53">
        <f>'дод. 3'!T26</f>
        <v>0</v>
      </c>
      <c r="U102" s="53">
        <f>'дод. 3'!U26</f>
        <v>0</v>
      </c>
      <c r="V102" s="76"/>
      <c r="W102" s="53">
        <f t="shared" si="28"/>
        <v>132085.08</v>
      </c>
      <c r="X102" s="145"/>
      <c r="Y102" s="99"/>
    </row>
    <row r="103" spans="1:25" s="17" customFormat="1" ht="45">
      <c r="A103" s="20"/>
      <c r="B103" s="24" t="s">
        <v>36</v>
      </c>
      <c r="C103" s="24" t="s">
        <v>185</v>
      </c>
      <c r="D103" s="25" t="s">
        <v>37</v>
      </c>
      <c r="E103" s="53">
        <f>'дод. 3'!E27+'дод. 3'!E61</f>
        <v>7747195</v>
      </c>
      <c r="F103" s="53">
        <f>'дод. 3'!F27+'дод. 3'!F61</f>
        <v>5350039</v>
      </c>
      <c r="G103" s="53">
        <f>'дод. 3'!G27+'дод. 3'!G61</f>
        <v>592617</v>
      </c>
      <c r="H103" s="53">
        <f>'дод. 3'!H27+'дод. 3'!H61</f>
        <v>3691640.11</v>
      </c>
      <c r="I103" s="53">
        <f>'дод. 3'!I27+'дод. 3'!I61</f>
        <v>2549566.62</v>
      </c>
      <c r="J103" s="53">
        <f>'дод. 3'!J27+'дод. 3'!J61</f>
        <v>355733.04</v>
      </c>
      <c r="K103" s="76">
        <f t="shared" si="21"/>
        <v>47.651312636380005</v>
      </c>
      <c r="L103" s="53">
        <f t="shared" si="26"/>
        <v>210000</v>
      </c>
      <c r="M103" s="53">
        <f>'дод. 3'!M27+'дод. 3'!M61</f>
        <v>0</v>
      </c>
      <c r="N103" s="53">
        <f>'дод. 3'!N27+'дод. 3'!N61</f>
        <v>0</v>
      </c>
      <c r="O103" s="53">
        <f>'дод. 3'!O27+'дод. 3'!O61</f>
        <v>0</v>
      </c>
      <c r="P103" s="53">
        <f>'дод. 3'!P27+'дод. 3'!P61</f>
        <v>210000</v>
      </c>
      <c r="Q103" s="53">
        <f t="shared" si="27"/>
        <v>196379.6</v>
      </c>
      <c r="R103" s="53">
        <f>'дод. 3'!R27+'дод. 3'!R61</f>
        <v>0</v>
      </c>
      <c r="S103" s="53">
        <f>'дод. 3'!S27+'дод. 3'!S61</f>
        <v>0</v>
      </c>
      <c r="T103" s="53">
        <f>'дод. 3'!T27+'дод. 3'!T61</f>
        <v>0</v>
      </c>
      <c r="U103" s="53">
        <f>'дод. 3'!U27+'дод. 3'!U61</f>
        <v>196379.6</v>
      </c>
      <c r="V103" s="76">
        <f t="shared" si="17"/>
        <v>93.51409523809524</v>
      </c>
      <c r="W103" s="53">
        <f t="shared" si="28"/>
        <v>3888019.71</v>
      </c>
      <c r="X103" s="145"/>
      <c r="Y103" s="99"/>
    </row>
    <row r="104" spans="1:25" s="17" customFormat="1" ht="15">
      <c r="A104" s="20"/>
      <c r="B104" s="24" t="s">
        <v>38</v>
      </c>
      <c r="C104" s="24" t="s">
        <v>185</v>
      </c>
      <c r="D104" s="25" t="s">
        <v>25</v>
      </c>
      <c r="E104" s="53">
        <f>'дод. 3'!E28</f>
        <v>2367168</v>
      </c>
      <c r="F104" s="53">
        <f>'дод. 3'!F28</f>
        <v>0</v>
      </c>
      <c r="G104" s="53">
        <f>'дод. 3'!G28</f>
        <v>0</v>
      </c>
      <c r="H104" s="53">
        <f>'дод. 3'!H28</f>
        <v>1526520.34</v>
      </c>
      <c r="I104" s="53">
        <f>'дод. 3'!I28</f>
        <v>0</v>
      </c>
      <c r="J104" s="53">
        <f>'дод. 3'!J28</f>
        <v>0</v>
      </c>
      <c r="K104" s="76">
        <f t="shared" si="21"/>
        <v>64.4871990496661</v>
      </c>
      <c r="L104" s="53">
        <f t="shared" si="26"/>
        <v>0</v>
      </c>
      <c r="M104" s="53">
        <f>'дод. 3'!M28</f>
        <v>0</v>
      </c>
      <c r="N104" s="53">
        <f>'дод. 3'!N28</f>
        <v>0</v>
      </c>
      <c r="O104" s="53">
        <f>'дод. 3'!O28</f>
        <v>0</v>
      </c>
      <c r="P104" s="53">
        <f>'дод. 3'!P28</f>
        <v>0</v>
      </c>
      <c r="Q104" s="53">
        <f t="shared" si="27"/>
        <v>0</v>
      </c>
      <c r="R104" s="53">
        <f>'дод. 3'!R28</f>
        <v>0</v>
      </c>
      <c r="S104" s="53">
        <f>'дод. 3'!S28</f>
        <v>0</v>
      </c>
      <c r="T104" s="53">
        <f>'дод. 3'!T28</f>
        <v>0</v>
      </c>
      <c r="U104" s="53">
        <f>'дод. 3'!U28</f>
        <v>0</v>
      </c>
      <c r="V104" s="76"/>
      <c r="W104" s="53">
        <f t="shared" si="28"/>
        <v>1526520.34</v>
      </c>
      <c r="X104" s="145"/>
      <c r="Y104" s="99"/>
    </row>
    <row r="105" spans="1:25" s="17" customFormat="1" ht="30">
      <c r="A105" s="20"/>
      <c r="B105" s="24" t="s">
        <v>39</v>
      </c>
      <c r="C105" s="24" t="s">
        <v>185</v>
      </c>
      <c r="D105" s="25" t="s">
        <v>40</v>
      </c>
      <c r="E105" s="53">
        <f>'дод. 3'!E29</f>
        <v>1718839</v>
      </c>
      <c r="F105" s="53">
        <f>'дод. 3'!F29</f>
        <v>930306</v>
      </c>
      <c r="G105" s="53">
        <f>'дод. 3'!G29</f>
        <v>384290</v>
      </c>
      <c r="H105" s="53">
        <f>'дод. 3'!H29</f>
        <v>822620.02</v>
      </c>
      <c r="I105" s="53">
        <f>'дод. 3'!I29</f>
        <v>438157.04</v>
      </c>
      <c r="J105" s="53">
        <f>'дод. 3'!J29</f>
        <v>175480.17</v>
      </c>
      <c r="K105" s="76">
        <f t="shared" si="21"/>
        <v>47.85905020772743</v>
      </c>
      <c r="L105" s="53">
        <f t="shared" si="26"/>
        <v>817714</v>
      </c>
      <c r="M105" s="53">
        <f>'дод. 3'!M29</f>
        <v>317714</v>
      </c>
      <c r="N105" s="53">
        <f>'дод. 3'!N29</f>
        <v>144491</v>
      </c>
      <c r="O105" s="53">
        <f>'дод. 3'!O29</f>
        <v>97628</v>
      </c>
      <c r="P105" s="53">
        <f>'дод. 3'!P29</f>
        <v>500000</v>
      </c>
      <c r="Q105" s="53">
        <f t="shared" si="27"/>
        <v>620552.65</v>
      </c>
      <c r="R105" s="53">
        <f>'дод. 3'!R29</f>
        <v>125023.11</v>
      </c>
      <c r="S105" s="53">
        <f>'дод. 3'!S29</f>
        <v>45930.94</v>
      </c>
      <c r="T105" s="53">
        <f>'дод. 3'!T29</f>
        <v>37071.54</v>
      </c>
      <c r="U105" s="53">
        <f>'дод. 3'!U29</f>
        <v>495529.54</v>
      </c>
      <c r="V105" s="76">
        <f t="shared" si="17"/>
        <v>75.88871536992151</v>
      </c>
      <c r="W105" s="53">
        <f t="shared" si="28"/>
        <v>1443172.67</v>
      </c>
      <c r="X105" s="145"/>
      <c r="Y105" s="99"/>
    </row>
    <row r="106" spans="1:25" s="17" customFormat="1" ht="75">
      <c r="A106" s="20"/>
      <c r="B106" s="24" t="s">
        <v>41</v>
      </c>
      <c r="C106" s="24" t="s">
        <v>185</v>
      </c>
      <c r="D106" s="25" t="s">
        <v>42</v>
      </c>
      <c r="E106" s="53">
        <f>'дод. 3'!E30</f>
        <v>4159218</v>
      </c>
      <c r="F106" s="53">
        <f>'дод. 3'!F30</f>
        <v>0</v>
      </c>
      <c r="G106" s="53">
        <f>'дод. 3'!G30</f>
        <v>0</v>
      </c>
      <c r="H106" s="53">
        <f>'дод. 3'!H30</f>
        <v>1915070.3</v>
      </c>
      <c r="I106" s="53">
        <f>'дод. 3'!I30</f>
        <v>0</v>
      </c>
      <c r="J106" s="53">
        <f>'дод. 3'!J30</f>
        <v>0</v>
      </c>
      <c r="K106" s="76">
        <f t="shared" si="21"/>
        <v>46.043999136376115</v>
      </c>
      <c r="L106" s="53">
        <f t="shared" si="26"/>
        <v>12000</v>
      </c>
      <c r="M106" s="53">
        <f>'дод. 3'!M30</f>
        <v>0</v>
      </c>
      <c r="N106" s="53">
        <f>'дод. 3'!N30</f>
        <v>0</v>
      </c>
      <c r="O106" s="53">
        <f>'дод. 3'!O30</f>
        <v>0</v>
      </c>
      <c r="P106" s="53">
        <f>'дод. 3'!P30</f>
        <v>12000</v>
      </c>
      <c r="Q106" s="53">
        <f t="shared" si="27"/>
        <v>12000</v>
      </c>
      <c r="R106" s="53">
        <f>'дод. 3'!R30</f>
        <v>0</v>
      </c>
      <c r="S106" s="53">
        <f>'дод. 3'!S30</f>
        <v>0</v>
      </c>
      <c r="T106" s="53">
        <f>'дод. 3'!T30</f>
        <v>0</v>
      </c>
      <c r="U106" s="53">
        <f>'дод. 3'!U30</f>
        <v>12000</v>
      </c>
      <c r="V106" s="76">
        <f t="shared" si="17"/>
        <v>100</v>
      </c>
      <c r="W106" s="53">
        <f t="shared" si="28"/>
        <v>1927070.3</v>
      </c>
      <c r="X106" s="145"/>
      <c r="Y106" s="99"/>
    </row>
    <row r="107" spans="1:25" s="17" customFormat="1" ht="15">
      <c r="A107" s="20"/>
      <c r="B107" s="49" t="s">
        <v>266</v>
      </c>
      <c r="C107" s="49"/>
      <c r="D107" s="50" t="s">
        <v>267</v>
      </c>
      <c r="E107" s="126">
        <f>SUM(E108:E110)</f>
        <v>764000</v>
      </c>
      <c r="F107" s="126">
        <f aca="true" t="shared" si="29" ref="F107:W107">SUM(F108:F110)</f>
        <v>0</v>
      </c>
      <c r="G107" s="126">
        <f t="shared" si="29"/>
        <v>0</v>
      </c>
      <c r="H107" s="126">
        <f t="shared" si="29"/>
        <v>99000</v>
      </c>
      <c r="I107" s="126">
        <f t="shared" si="29"/>
        <v>0</v>
      </c>
      <c r="J107" s="126">
        <f>J108+J109+J110</f>
        <v>0</v>
      </c>
      <c r="K107" s="125">
        <f t="shared" si="21"/>
        <v>12.958115183246074</v>
      </c>
      <c r="L107" s="126">
        <f t="shared" si="29"/>
        <v>141145084.94</v>
      </c>
      <c r="M107" s="126">
        <f t="shared" si="29"/>
        <v>0</v>
      </c>
      <c r="N107" s="126">
        <f t="shared" si="29"/>
        <v>0</v>
      </c>
      <c r="O107" s="126">
        <f t="shared" si="29"/>
        <v>0</v>
      </c>
      <c r="P107" s="126">
        <f t="shared" si="29"/>
        <v>141145084.94</v>
      </c>
      <c r="Q107" s="126">
        <f t="shared" si="29"/>
        <v>29852380</v>
      </c>
      <c r="R107" s="126">
        <f t="shared" si="29"/>
        <v>0</v>
      </c>
      <c r="S107" s="126">
        <f t="shared" si="29"/>
        <v>0</v>
      </c>
      <c r="T107" s="126">
        <f t="shared" si="29"/>
        <v>0</v>
      </c>
      <c r="U107" s="126">
        <f t="shared" si="29"/>
        <v>29852380</v>
      </c>
      <c r="V107" s="125">
        <f t="shared" si="17"/>
        <v>21.15013782640046</v>
      </c>
      <c r="W107" s="126">
        <f t="shared" si="29"/>
        <v>29951380</v>
      </c>
      <c r="X107" s="145"/>
      <c r="Y107" s="99"/>
    </row>
    <row r="108" spans="1:25" s="17" customFormat="1" ht="15">
      <c r="A108" s="20"/>
      <c r="B108" s="24" t="s">
        <v>172</v>
      </c>
      <c r="C108" s="24" t="s">
        <v>188</v>
      </c>
      <c r="D108" s="25" t="s">
        <v>173</v>
      </c>
      <c r="E108" s="53">
        <f>'дод. 3'!E161</f>
        <v>0</v>
      </c>
      <c r="F108" s="53">
        <f>'дод. 3'!F161</f>
        <v>0</v>
      </c>
      <c r="G108" s="53">
        <f>'дод. 3'!G161</f>
        <v>0</v>
      </c>
      <c r="H108" s="53">
        <f>'дод. 3'!H161</f>
        <v>0</v>
      </c>
      <c r="I108" s="53">
        <f>'дод. 3'!I161</f>
        <v>0</v>
      </c>
      <c r="J108" s="53">
        <f>'дод. 3'!J161</f>
        <v>0</v>
      </c>
      <c r="K108" s="76"/>
      <c r="L108" s="53">
        <f>M108+P108</f>
        <v>140945084.94</v>
      </c>
      <c r="M108" s="53">
        <f>'дод. 3'!M161</f>
        <v>0</v>
      </c>
      <c r="N108" s="53">
        <f>'дод. 3'!N161</f>
        <v>0</v>
      </c>
      <c r="O108" s="53">
        <f>'дод. 3'!O161</f>
        <v>0</v>
      </c>
      <c r="P108" s="53">
        <f>'дод. 3'!P161</f>
        <v>140945084.94</v>
      </c>
      <c r="Q108" s="53">
        <f>R108+U108</f>
        <v>29852380</v>
      </c>
      <c r="R108" s="53">
        <f>'дод. 3'!R161</f>
        <v>0</v>
      </c>
      <c r="S108" s="53">
        <f>'дод. 3'!S161</f>
        <v>0</v>
      </c>
      <c r="T108" s="53">
        <f>'дод. 3'!T161</f>
        <v>0</v>
      </c>
      <c r="U108" s="53">
        <f>'дод. 3'!U161</f>
        <v>29852380</v>
      </c>
      <c r="V108" s="76">
        <f t="shared" si="17"/>
        <v>21.180149710582736</v>
      </c>
      <c r="W108" s="53">
        <f>Q108+H108</f>
        <v>29852380</v>
      </c>
      <c r="X108" s="145"/>
      <c r="Y108" s="99"/>
    </row>
    <row r="109" spans="1:25" s="17" customFormat="1" ht="30">
      <c r="A109" s="20"/>
      <c r="B109" s="24" t="s">
        <v>340</v>
      </c>
      <c r="C109" s="24" t="s">
        <v>184</v>
      </c>
      <c r="D109" s="25" t="s">
        <v>341</v>
      </c>
      <c r="E109" s="53">
        <f>'дод. 3'!E162</f>
        <v>0</v>
      </c>
      <c r="F109" s="53">
        <f>'дод. 3'!F162</f>
        <v>0</v>
      </c>
      <c r="G109" s="53">
        <f>'дод. 3'!G162</f>
        <v>0</v>
      </c>
      <c r="H109" s="53">
        <f>'дод. 3'!H162</f>
        <v>0</v>
      </c>
      <c r="I109" s="53">
        <f>'дод. 3'!I162</f>
        <v>0</v>
      </c>
      <c r="J109" s="53">
        <f>'дод. 3'!J162</f>
        <v>0</v>
      </c>
      <c r="K109" s="76"/>
      <c r="L109" s="53">
        <f>M109+P109</f>
        <v>200000</v>
      </c>
      <c r="M109" s="53">
        <f>'дод. 3'!M162</f>
        <v>0</v>
      </c>
      <c r="N109" s="53">
        <f>'дод. 3'!N162</f>
        <v>0</v>
      </c>
      <c r="O109" s="53">
        <f>'дод. 3'!O162</f>
        <v>0</v>
      </c>
      <c r="P109" s="53">
        <f>'дод. 3'!P162</f>
        <v>200000</v>
      </c>
      <c r="Q109" s="53">
        <f>R109+U109</f>
        <v>0</v>
      </c>
      <c r="R109" s="53">
        <f>'дод. 3'!R162</f>
        <v>0</v>
      </c>
      <c r="S109" s="53">
        <f>'дод. 3'!S162</f>
        <v>0</v>
      </c>
      <c r="T109" s="53">
        <f>'дод. 3'!T162</f>
        <v>0</v>
      </c>
      <c r="U109" s="53">
        <f>'дод. 3'!U162</f>
        <v>0</v>
      </c>
      <c r="V109" s="76">
        <f t="shared" si="17"/>
        <v>0</v>
      </c>
      <c r="W109" s="53">
        <f>Q109+H109</f>
        <v>0</v>
      </c>
      <c r="X109" s="145"/>
      <c r="Y109" s="99"/>
    </row>
    <row r="110" spans="1:25" s="17" customFormat="1" ht="30">
      <c r="A110" s="20"/>
      <c r="B110" s="24" t="s">
        <v>289</v>
      </c>
      <c r="C110" s="24" t="s">
        <v>290</v>
      </c>
      <c r="D110" s="25" t="s">
        <v>291</v>
      </c>
      <c r="E110" s="53">
        <f>'дод. 3'!E31+'дод. 3'!E138+'дод. 3'!E163</f>
        <v>764000</v>
      </c>
      <c r="F110" s="53">
        <f>'дод. 3'!F31+'дод. 3'!F138+'дод. 3'!F163</f>
        <v>0</v>
      </c>
      <c r="G110" s="53">
        <f>'дод. 3'!G31+'дод. 3'!G138+'дод. 3'!G163</f>
        <v>0</v>
      </c>
      <c r="H110" s="53">
        <f>'дод. 3'!H31+'дод. 3'!H138+'дод. 3'!H163</f>
        <v>99000</v>
      </c>
      <c r="I110" s="53">
        <f>'дод. 3'!I31+'дод. 3'!I138+'дод. 3'!I163</f>
        <v>0</v>
      </c>
      <c r="J110" s="53">
        <f>'дод. 3'!J31+'дод. 3'!J138+'дод. 3'!J163</f>
        <v>0</v>
      </c>
      <c r="K110" s="76">
        <f t="shared" si="21"/>
        <v>12.958115183246074</v>
      </c>
      <c r="L110" s="53">
        <f>M110+P110</f>
        <v>0</v>
      </c>
      <c r="M110" s="53">
        <f>'дод. 3'!M31+'дод. 3'!M138+'дод. 3'!M163</f>
        <v>0</v>
      </c>
      <c r="N110" s="53">
        <f>'дод. 3'!N31+'дод. 3'!N138+'дод. 3'!N163</f>
        <v>0</v>
      </c>
      <c r="O110" s="53">
        <f>'дод. 3'!O31+'дод. 3'!O138+'дод. 3'!O163</f>
        <v>0</v>
      </c>
      <c r="P110" s="53">
        <f>'дод. 3'!P31+'дод. 3'!P138+'дод. 3'!P163</f>
        <v>0</v>
      </c>
      <c r="Q110" s="53">
        <f>R110+U110</f>
        <v>0</v>
      </c>
      <c r="R110" s="53">
        <f>'дод. 3'!R31+'дод. 3'!R138+'дод. 3'!R163</f>
        <v>0</v>
      </c>
      <c r="S110" s="53">
        <f>'дод. 3'!S31+'дод. 3'!S138+'дод. 3'!S163</f>
        <v>0</v>
      </c>
      <c r="T110" s="53">
        <f>'дод. 3'!T31+'дод. 3'!T138+'дод. 3'!T163</f>
        <v>0</v>
      </c>
      <c r="U110" s="53">
        <f>'дод. 3'!U31+'дод. 3'!U138</f>
        <v>0</v>
      </c>
      <c r="V110" s="76"/>
      <c r="W110" s="53">
        <f>Q110+H110</f>
        <v>99000</v>
      </c>
      <c r="X110" s="145"/>
      <c r="Y110" s="99"/>
    </row>
    <row r="111" spans="1:25" s="17" customFormat="1" ht="28.5">
      <c r="A111" s="20"/>
      <c r="B111" s="49" t="s">
        <v>268</v>
      </c>
      <c r="C111" s="49"/>
      <c r="D111" s="50" t="s">
        <v>269</v>
      </c>
      <c r="E111" s="126">
        <f>E112</f>
        <v>1736351</v>
      </c>
      <c r="F111" s="126">
        <f aca="true" t="shared" si="30" ref="F111:W111">F112</f>
        <v>0</v>
      </c>
      <c r="G111" s="126">
        <f t="shared" si="30"/>
        <v>0</v>
      </c>
      <c r="H111" s="126">
        <f t="shared" si="30"/>
        <v>43300</v>
      </c>
      <c r="I111" s="126">
        <f t="shared" si="30"/>
        <v>0</v>
      </c>
      <c r="J111" s="126">
        <f>J112</f>
        <v>0</v>
      </c>
      <c r="K111" s="125">
        <f t="shared" si="21"/>
        <v>2.4937354256138304</v>
      </c>
      <c r="L111" s="126">
        <f t="shared" si="30"/>
        <v>148000</v>
      </c>
      <c r="M111" s="126">
        <f t="shared" si="30"/>
        <v>0</v>
      </c>
      <c r="N111" s="126">
        <f t="shared" si="30"/>
        <v>0</v>
      </c>
      <c r="O111" s="126">
        <f t="shared" si="30"/>
        <v>0</v>
      </c>
      <c r="P111" s="126">
        <f t="shared" si="30"/>
        <v>148000</v>
      </c>
      <c r="Q111" s="126">
        <f t="shared" si="30"/>
        <v>7000</v>
      </c>
      <c r="R111" s="126">
        <f t="shared" si="30"/>
        <v>0</v>
      </c>
      <c r="S111" s="126">
        <f t="shared" si="30"/>
        <v>0</v>
      </c>
      <c r="T111" s="126">
        <f t="shared" si="30"/>
        <v>0</v>
      </c>
      <c r="U111" s="126">
        <f t="shared" si="30"/>
        <v>7000</v>
      </c>
      <c r="V111" s="125">
        <f t="shared" si="17"/>
        <v>4.72972972972973</v>
      </c>
      <c r="W111" s="126">
        <f t="shared" si="30"/>
        <v>50300</v>
      </c>
      <c r="X111" s="145"/>
      <c r="Y111" s="99"/>
    </row>
    <row r="112" spans="1:25" s="17" customFormat="1" ht="15">
      <c r="A112" s="20"/>
      <c r="B112" s="24" t="s">
        <v>164</v>
      </c>
      <c r="C112" s="24" t="s">
        <v>217</v>
      </c>
      <c r="D112" s="25" t="s">
        <v>165</v>
      </c>
      <c r="E112" s="53">
        <f>'дод. 3'!E139+'дод. 3'!E151+'дод. 3'!E173+'дод. 3'!E164+'дод. 3'!E155</f>
        <v>1736351</v>
      </c>
      <c r="F112" s="53">
        <f>'дод. 3'!F139+'дод. 3'!F151+'дод. 3'!F173+'дод. 3'!F164+'дод. 3'!F155</f>
        <v>0</v>
      </c>
      <c r="G112" s="53">
        <f>'дод. 3'!G139+'дод. 3'!G151+'дод. 3'!G173+'дод. 3'!G164+'дод. 3'!G155</f>
        <v>0</v>
      </c>
      <c r="H112" s="53">
        <f>'дод. 3'!H139+'дод. 3'!H151+'дод. 3'!H173+'дод. 3'!H164+'дод. 3'!H155</f>
        <v>43300</v>
      </c>
      <c r="I112" s="53">
        <f>'дод. 3'!I139+'дод. 3'!I151+'дод. 3'!I173+'дод. 3'!I164+'дод. 3'!I155</f>
        <v>0</v>
      </c>
      <c r="J112" s="53">
        <f>'дод. 3'!J139+'дод. 3'!J151+'дод. 3'!J173+'дод. 3'!J164+'дод. 3'!J155</f>
        <v>0</v>
      </c>
      <c r="K112" s="76">
        <f t="shared" si="21"/>
        <v>2.4937354256138304</v>
      </c>
      <c r="L112" s="53">
        <f>M112+P112</f>
        <v>148000</v>
      </c>
      <c r="M112" s="53">
        <f>'дод. 3'!M139+'дод. 3'!M151+'дод. 3'!M173+'дод. 3'!M164+'дод. 3'!M155</f>
        <v>0</v>
      </c>
      <c r="N112" s="53">
        <f>'дод. 3'!N139+'дод. 3'!N151+'дод. 3'!N173+'дод. 3'!N164+'дод. 3'!N155</f>
        <v>0</v>
      </c>
      <c r="O112" s="53">
        <f>'дод. 3'!O139+'дод. 3'!O151+'дод. 3'!O173+'дод. 3'!O164+'дод. 3'!O155</f>
        <v>0</v>
      </c>
      <c r="P112" s="53">
        <f>'дод. 3'!P139+'дод. 3'!P151+'дод. 3'!P173+'дод. 3'!P164+'дод. 3'!P155</f>
        <v>148000</v>
      </c>
      <c r="Q112" s="53">
        <f>R112+U112</f>
        <v>7000</v>
      </c>
      <c r="R112" s="53">
        <f>'дод. 3'!R139+'дод. 3'!R151+'дод. 3'!R173+'дод. 3'!R164+'дод. 3'!R155</f>
        <v>0</v>
      </c>
      <c r="S112" s="53">
        <f>'дод. 3'!S139+'дод. 3'!S151+'дод. 3'!S173+'дод. 3'!S164+'дод. 3'!S155</f>
        <v>0</v>
      </c>
      <c r="T112" s="53">
        <f>'дод. 3'!T139+'дод. 3'!T151+'дод. 3'!T173+'дод. 3'!T164+'дод. 3'!T155</f>
        <v>0</v>
      </c>
      <c r="U112" s="53">
        <f>'дод. 3'!U139+'дод. 3'!U151+'дод. 3'!U173+'дод. 3'!U164+'дод. 3'!U155</f>
        <v>7000</v>
      </c>
      <c r="V112" s="76">
        <f t="shared" si="17"/>
        <v>4.72972972972973</v>
      </c>
      <c r="W112" s="53">
        <f>Q112+H112</f>
        <v>50300</v>
      </c>
      <c r="X112" s="145"/>
      <c r="Y112" s="99"/>
    </row>
    <row r="113" spans="1:25" s="17" customFormat="1" ht="42.75">
      <c r="A113" s="20"/>
      <c r="B113" s="49" t="s">
        <v>270</v>
      </c>
      <c r="C113" s="49"/>
      <c r="D113" s="50" t="s">
        <v>271</v>
      </c>
      <c r="E113" s="126">
        <f>SUM(E114:E119)</f>
        <v>31078740</v>
      </c>
      <c r="F113" s="126">
        <f aca="true" t="shared" si="31" ref="F113:W113">SUM(F114:F119)</f>
        <v>0</v>
      </c>
      <c r="G113" s="126">
        <f t="shared" si="31"/>
        <v>0</v>
      </c>
      <c r="H113" s="126">
        <f t="shared" si="31"/>
        <v>14111357.01</v>
      </c>
      <c r="I113" s="126">
        <f t="shared" si="31"/>
        <v>0</v>
      </c>
      <c r="J113" s="126">
        <f>J114+J115+J116+J117+J118+J119</f>
        <v>0</v>
      </c>
      <c r="K113" s="125">
        <f t="shared" si="21"/>
        <v>45.405177333444016</v>
      </c>
      <c r="L113" s="126">
        <f t="shared" si="31"/>
        <v>0</v>
      </c>
      <c r="M113" s="126">
        <f t="shared" si="31"/>
        <v>0</v>
      </c>
      <c r="N113" s="126">
        <f t="shared" si="31"/>
        <v>0</v>
      </c>
      <c r="O113" s="126">
        <f t="shared" si="31"/>
        <v>0</v>
      </c>
      <c r="P113" s="126">
        <f t="shared" si="31"/>
        <v>0</v>
      </c>
      <c r="Q113" s="53">
        <f aca="true" t="shared" si="32" ref="Q113:Q119">R113+U113</f>
        <v>0</v>
      </c>
      <c r="R113" s="126">
        <f t="shared" si="31"/>
        <v>0</v>
      </c>
      <c r="S113" s="126">
        <f t="shared" si="31"/>
        <v>0</v>
      </c>
      <c r="T113" s="126">
        <f t="shared" si="31"/>
        <v>0</v>
      </c>
      <c r="U113" s="126">
        <f t="shared" si="31"/>
        <v>0</v>
      </c>
      <c r="V113" s="76"/>
      <c r="W113" s="126">
        <f t="shared" si="31"/>
        <v>14111357.01</v>
      </c>
      <c r="X113" s="145"/>
      <c r="Y113" s="99"/>
    </row>
    <row r="114" spans="1:25" s="17" customFormat="1" ht="35.25" customHeight="1">
      <c r="A114" s="20"/>
      <c r="B114" s="127" t="s">
        <v>300</v>
      </c>
      <c r="C114" s="127" t="s">
        <v>325</v>
      </c>
      <c r="D114" s="51" t="s">
        <v>302</v>
      </c>
      <c r="E114" s="53">
        <f>'дод. 3'!E32</f>
        <v>1642000</v>
      </c>
      <c r="F114" s="53">
        <f>'дод. 3'!F32</f>
        <v>0</v>
      </c>
      <c r="G114" s="53">
        <f>'дод. 3'!G32</f>
        <v>0</v>
      </c>
      <c r="H114" s="53">
        <f>'дод. 3'!H32</f>
        <v>260889.5</v>
      </c>
      <c r="I114" s="53">
        <f>'дод. 3'!I32</f>
        <v>0</v>
      </c>
      <c r="J114" s="53">
        <f>'дод. 3'!J32</f>
        <v>0</v>
      </c>
      <c r="K114" s="76">
        <f t="shared" si="21"/>
        <v>15.888520097442143</v>
      </c>
      <c r="L114" s="53">
        <f aca="true" t="shared" si="33" ref="L114:L119">M114+P114</f>
        <v>0</v>
      </c>
      <c r="M114" s="53">
        <f>'дод. 3'!M32</f>
        <v>0</v>
      </c>
      <c r="N114" s="53">
        <f>'дод. 3'!N32</f>
        <v>0</v>
      </c>
      <c r="O114" s="53">
        <f>'дод. 3'!O32</f>
        <v>0</v>
      </c>
      <c r="P114" s="53">
        <f>'дод. 3'!P32</f>
        <v>0</v>
      </c>
      <c r="Q114" s="53">
        <f t="shared" si="32"/>
        <v>0</v>
      </c>
      <c r="R114" s="53">
        <f>'дод. 3'!R32</f>
        <v>0</v>
      </c>
      <c r="S114" s="53">
        <f>'дод. 3'!S32</f>
        <v>0</v>
      </c>
      <c r="T114" s="53">
        <f>'дод. 3'!T32</f>
        <v>0</v>
      </c>
      <c r="U114" s="53">
        <f>'дод. 3'!U32</f>
        <v>0</v>
      </c>
      <c r="V114" s="76"/>
      <c r="W114" s="53">
        <f aca="true" t="shared" si="34" ref="W114:W119">Q114+H114</f>
        <v>260889.5</v>
      </c>
      <c r="X114" s="145"/>
      <c r="Y114" s="99"/>
    </row>
    <row r="115" spans="1:25" s="17" customFormat="1" ht="45">
      <c r="A115" s="20"/>
      <c r="B115" s="127" t="s">
        <v>335</v>
      </c>
      <c r="C115" s="127" t="s">
        <v>207</v>
      </c>
      <c r="D115" s="25" t="s">
        <v>336</v>
      </c>
      <c r="E115" s="53">
        <f>'дод. 3'!E116</f>
        <v>3009742</v>
      </c>
      <c r="F115" s="53">
        <f>'дод. 3'!F116</f>
        <v>0</v>
      </c>
      <c r="G115" s="53">
        <f>'дод. 3'!G116</f>
        <v>0</v>
      </c>
      <c r="H115" s="53">
        <f>'дод. 3'!H116</f>
        <v>0</v>
      </c>
      <c r="I115" s="53">
        <f>'дод. 3'!I116</f>
        <v>0</v>
      </c>
      <c r="J115" s="53">
        <f>'дод. 3'!J116</f>
        <v>0</v>
      </c>
      <c r="K115" s="76">
        <f t="shared" si="21"/>
        <v>0</v>
      </c>
      <c r="L115" s="53">
        <f t="shared" si="33"/>
        <v>0</v>
      </c>
      <c r="M115" s="53">
        <f>'дод. 3'!M116</f>
        <v>0</v>
      </c>
      <c r="N115" s="53">
        <f>'дод. 3'!N116</f>
        <v>0</v>
      </c>
      <c r="O115" s="53">
        <f>'дод. 3'!O116</f>
        <v>0</v>
      </c>
      <c r="P115" s="53">
        <f>'дод. 3'!P116</f>
        <v>0</v>
      </c>
      <c r="Q115" s="53">
        <f t="shared" si="32"/>
        <v>0</v>
      </c>
      <c r="R115" s="53">
        <f>'дод. 3'!R116</f>
        <v>0</v>
      </c>
      <c r="S115" s="53">
        <f>'дод. 3'!S116</f>
        <v>0</v>
      </c>
      <c r="T115" s="53">
        <f>'дод. 3'!T116</f>
        <v>0</v>
      </c>
      <c r="U115" s="53">
        <f>'дод. 3'!U116</f>
        <v>0</v>
      </c>
      <c r="V115" s="76"/>
      <c r="W115" s="53">
        <f t="shared" si="34"/>
        <v>0</v>
      </c>
      <c r="X115" s="145"/>
      <c r="Y115" s="99"/>
    </row>
    <row r="116" spans="1:25" s="17" customFormat="1" ht="30">
      <c r="A116" s="20"/>
      <c r="B116" s="24" t="s">
        <v>307</v>
      </c>
      <c r="C116" s="24" t="s">
        <v>325</v>
      </c>
      <c r="D116" s="25" t="s">
        <v>308</v>
      </c>
      <c r="E116" s="53">
        <f>'дод. 3'!E33</f>
        <v>2447500</v>
      </c>
      <c r="F116" s="53">
        <f>'дод. 3'!F33</f>
        <v>0</v>
      </c>
      <c r="G116" s="53">
        <f>'дод. 3'!G33</f>
        <v>0</v>
      </c>
      <c r="H116" s="53">
        <f>'дод. 3'!H33</f>
        <v>2445565.01</v>
      </c>
      <c r="I116" s="53">
        <f>'дод. 3'!I33</f>
        <v>0</v>
      </c>
      <c r="J116" s="53">
        <f>'дод. 3'!J33</f>
        <v>0</v>
      </c>
      <c r="K116" s="76">
        <f t="shared" si="21"/>
        <v>99.92094014300305</v>
      </c>
      <c r="L116" s="53">
        <f t="shared" si="33"/>
        <v>0</v>
      </c>
      <c r="M116" s="53">
        <f>'дод. 3'!M33</f>
        <v>0</v>
      </c>
      <c r="N116" s="53">
        <f>'дод. 3'!N33</f>
        <v>0</v>
      </c>
      <c r="O116" s="53">
        <f>'дод. 3'!O33</f>
        <v>0</v>
      </c>
      <c r="P116" s="53">
        <f>'дод. 3'!P33</f>
        <v>0</v>
      </c>
      <c r="Q116" s="53">
        <f t="shared" si="32"/>
        <v>0</v>
      </c>
      <c r="R116" s="53">
        <f>'дод. 3'!R33</f>
        <v>0</v>
      </c>
      <c r="S116" s="53">
        <f>'дод. 3'!S33</f>
        <v>0</v>
      </c>
      <c r="T116" s="53">
        <f>'дод. 3'!T33</f>
        <v>0</v>
      </c>
      <c r="U116" s="53">
        <f>'дод. 3'!U33</f>
        <v>0</v>
      </c>
      <c r="V116" s="76"/>
      <c r="W116" s="53">
        <f t="shared" si="34"/>
        <v>2445565.01</v>
      </c>
      <c r="X116" s="145"/>
      <c r="Y116" s="99"/>
    </row>
    <row r="117" spans="1:25" s="17" customFormat="1" ht="30">
      <c r="A117" s="20"/>
      <c r="B117" s="24" t="s">
        <v>301</v>
      </c>
      <c r="C117" s="24" t="s">
        <v>326</v>
      </c>
      <c r="D117" s="25" t="s">
        <v>303</v>
      </c>
      <c r="E117" s="53">
        <f>'дод. 3'!E34</f>
        <v>3607600</v>
      </c>
      <c r="F117" s="53">
        <f>'дод. 3'!F34</f>
        <v>0</v>
      </c>
      <c r="G117" s="53">
        <f>'дод. 3'!G34</f>
        <v>0</v>
      </c>
      <c r="H117" s="53">
        <f>'дод. 3'!H34</f>
        <v>718470</v>
      </c>
      <c r="I117" s="53">
        <f>'дод. 3'!I34</f>
        <v>0</v>
      </c>
      <c r="J117" s="53">
        <f>'дод. 3'!J34</f>
        <v>0</v>
      </c>
      <c r="K117" s="76">
        <f t="shared" si="21"/>
        <v>19.91545625900876</v>
      </c>
      <c r="L117" s="53">
        <f t="shared" si="33"/>
        <v>0</v>
      </c>
      <c r="M117" s="53">
        <f>'дод. 3'!M34</f>
        <v>0</v>
      </c>
      <c r="N117" s="53">
        <f>'дод. 3'!N34</f>
        <v>0</v>
      </c>
      <c r="O117" s="53">
        <f>'дод. 3'!O34</f>
        <v>0</v>
      </c>
      <c r="P117" s="53">
        <f>'дод. 3'!P34</f>
        <v>0</v>
      </c>
      <c r="Q117" s="53">
        <f t="shared" si="32"/>
        <v>0</v>
      </c>
      <c r="R117" s="53">
        <f>'дод. 3'!R34</f>
        <v>0</v>
      </c>
      <c r="S117" s="53">
        <f>'дод. 3'!S34</f>
        <v>0</v>
      </c>
      <c r="T117" s="53">
        <f>'дод. 3'!T34</f>
        <v>0</v>
      </c>
      <c r="U117" s="53">
        <f>'дод. 3'!U34</f>
        <v>0</v>
      </c>
      <c r="V117" s="76"/>
      <c r="W117" s="53">
        <f t="shared" si="34"/>
        <v>718470</v>
      </c>
      <c r="X117" s="145"/>
      <c r="Y117" s="99"/>
    </row>
    <row r="118" spans="1:25" s="17" customFormat="1" ht="45">
      <c r="A118" s="20"/>
      <c r="B118" s="24" t="s">
        <v>148</v>
      </c>
      <c r="C118" s="24" t="s">
        <v>207</v>
      </c>
      <c r="D118" s="25" t="s">
        <v>149</v>
      </c>
      <c r="E118" s="53">
        <f>'дод. 3'!E117+'дод. 3'!E35</f>
        <v>9720158</v>
      </c>
      <c r="F118" s="53">
        <f>'дод. 3'!F117+'дод. 3'!F35</f>
        <v>0</v>
      </c>
      <c r="G118" s="53">
        <f>'дод. 3'!G117+'дод. 3'!G35</f>
        <v>0</v>
      </c>
      <c r="H118" s="53">
        <f>'дод. 3'!H117+'дод. 3'!H35</f>
        <v>35082.5</v>
      </c>
      <c r="I118" s="53">
        <f>'дод. 3'!I117+'дод. 3'!I35</f>
        <v>0</v>
      </c>
      <c r="J118" s="53">
        <f>'дод. 3'!J117+'дод. 3'!J35</f>
        <v>0</v>
      </c>
      <c r="K118" s="76">
        <f t="shared" si="21"/>
        <v>0.3609252030676868</v>
      </c>
      <c r="L118" s="53">
        <f t="shared" si="33"/>
        <v>0</v>
      </c>
      <c r="M118" s="53">
        <f>'дод. 3'!M117+'дод. 3'!M35</f>
        <v>0</v>
      </c>
      <c r="N118" s="53">
        <f>'дод. 3'!N117+'дод. 3'!N35</f>
        <v>0</v>
      </c>
      <c r="O118" s="53">
        <f>'дод. 3'!O117+'дод. 3'!O35</f>
        <v>0</v>
      </c>
      <c r="P118" s="53">
        <f>'дод. 3'!P117+'дод. 3'!P35</f>
        <v>0</v>
      </c>
      <c r="Q118" s="53">
        <f t="shared" si="32"/>
        <v>0</v>
      </c>
      <c r="R118" s="53">
        <f>'дод. 3'!R117+'дод. 3'!R35</f>
        <v>0</v>
      </c>
      <c r="S118" s="53">
        <f>'дод. 3'!S117+'дод. 3'!S35</f>
        <v>0</v>
      </c>
      <c r="T118" s="53">
        <f>'дод. 3'!T117+'дод. 3'!T35</f>
        <v>0</v>
      </c>
      <c r="U118" s="53">
        <f>'дод. 3'!U117+'дод. 3'!U35</f>
        <v>0</v>
      </c>
      <c r="V118" s="76"/>
      <c r="W118" s="53">
        <f t="shared" si="34"/>
        <v>35082.5</v>
      </c>
      <c r="X118" s="145"/>
      <c r="Y118" s="99"/>
    </row>
    <row r="119" spans="1:25" s="17" customFormat="1" ht="15">
      <c r="A119" s="20"/>
      <c r="B119" s="24" t="s">
        <v>43</v>
      </c>
      <c r="C119" s="24" t="s">
        <v>186</v>
      </c>
      <c r="D119" s="25" t="s">
        <v>44</v>
      </c>
      <c r="E119" s="53">
        <f>'дод. 3'!E36</f>
        <v>10651740</v>
      </c>
      <c r="F119" s="53">
        <f>'дод. 3'!F36</f>
        <v>0</v>
      </c>
      <c r="G119" s="53">
        <f>'дод. 3'!G36</f>
        <v>0</v>
      </c>
      <c r="H119" s="53">
        <f>'дод. 3'!H36</f>
        <v>10651350</v>
      </c>
      <c r="I119" s="53">
        <f>'дод. 3'!I36</f>
        <v>0</v>
      </c>
      <c r="J119" s="53">
        <f>'дод. 3'!J36</f>
        <v>0</v>
      </c>
      <c r="K119" s="76">
        <f t="shared" si="21"/>
        <v>99.99633862636527</v>
      </c>
      <c r="L119" s="53">
        <f t="shared" si="33"/>
        <v>0</v>
      </c>
      <c r="M119" s="53">
        <f>'дод. 3'!M36</f>
        <v>0</v>
      </c>
      <c r="N119" s="53">
        <f>'дод. 3'!N36</f>
        <v>0</v>
      </c>
      <c r="O119" s="53">
        <f>'дод. 3'!O36</f>
        <v>0</v>
      </c>
      <c r="P119" s="53">
        <f>'дод. 3'!P36</f>
        <v>0</v>
      </c>
      <c r="Q119" s="53">
        <f t="shared" si="32"/>
        <v>0</v>
      </c>
      <c r="R119" s="53">
        <f>'дод. 3'!R36</f>
        <v>0</v>
      </c>
      <c r="S119" s="53">
        <f>'дод. 3'!S36</f>
        <v>0</v>
      </c>
      <c r="T119" s="53">
        <f>'дод. 3'!T36</f>
        <v>0</v>
      </c>
      <c r="U119" s="53">
        <f>'дод. 3'!U36</f>
        <v>0</v>
      </c>
      <c r="V119" s="76"/>
      <c r="W119" s="53">
        <f t="shared" si="34"/>
        <v>10651350</v>
      </c>
      <c r="X119" s="145"/>
      <c r="Y119" s="99"/>
    </row>
    <row r="120" spans="1:25" s="17" customFormat="1" ht="28.5">
      <c r="A120" s="20"/>
      <c r="B120" s="49" t="s">
        <v>272</v>
      </c>
      <c r="C120" s="49"/>
      <c r="D120" s="50" t="s">
        <v>273</v>
      </c>
      <c r="E120" s="126">
        <f>E121+E122+E123+E124</f>
        <v>1952300</v>
      </c>
      <c r="F120" s="126">
        <f aca="true" t="shared" si="35" ref="F120:W120">F121+F122+F123+F124</f>
        <v>0</v>
      </c>
      <c r="G120" s="126">
        <f t="shared" si="35"/>
        <v>0</v>
      </c>
      <c r="H120" s="126">
        <f t="shared" si="35"/>
        <v>347095.84</v>
      </c>
      <c r="I120" s="126">
        <f t="shared" si="35"/>
        <v>0</v>
      </c>
      <c r="J120" s="126">
        <f>J121+J122+J123+J124</f>
        <v>0</v>
      </c>
      <c r="K120" s="125">
        <f t="shared" si="21"/>
        <v>17.77881678020796</v>
      </c>
      <c r="L120" s="126">
        <f t="shared" si="35"/>
        <v>83238509</v>
      </c>
      <c r="M120" s="126">
        <f t="shared" si="35"/>
        <v>0</v>
      </c>
      <c r="N120" s="126">
        <f t="shared" si="35"/>
        <v>0</v>
      </c>
      <c r="O120" s="126">
        <f t="shared" si="35"/>
        <v>0</v>
      </c>
      <c r="P120" s="126">
        <f t="shared" si="35"/>
        <v>83238509</v>
      </c>
      <c r="Q120" s="126">
        <f t="shared" si="35"/>
        <v>23083550</v>
      </c>
      <c r="R120" s="126">
        <f t="shared" si="35"/>
        <v>0</v>
      </c>
      <c r="S120" s="126">
        <f t="shared" si="35"/>
        <v>0</v>
      </c>
      <c r="T120" s="126">
        <f t="shared" si="35"/>
        <v>0</v>
      </c>
      <c r="U120" s="126">
        <f t="shared" si="35"/>
        <v>23083550</v>
      </c>
      <c r="V120" s="125">
        <f t="shared" si="17"/>
        <v>27.73181581135722</v>
      </c>
      <c r="W120" s="126">
        <f t="shared" si="35"/>
        <v>23430645.84</v>
      </c>
      <c r="X120" s="145"/>
      <c r="Y120" s="99"/>
    </row>
    <row r="121" spans="1:25" s="17" customFormat="1" ht="30">
      <c r="A121" s="20"/>
      <c r="B121" s="24" t="s">
        <v>45</v>
      </c>
      <c r="C121" s="24" t="s">
        <v>187</v>
      </c>
      <c r="D121" s="25" t="s">
        <v>46</v>
      </c>
      <c r="E121" s="53">
        <f>'дод. 3'!E37</f>
        <v>85000</v>
      </c>
      <c r="F121" s="53">
        <f>'дод. 3'!F37</f>
        <v>0</v>
      </c>
      <c r="G121" s="53">
        <f>'дод. 3'!G37</f>
        <v>0</v>
      </c>
      <c r="H121" s="53">
        <f>'дод. 3'!H37</f>
        <v>37332</v>
      </c>
      <c r="I121" s="53">
        <f>'дод. 3'!I37</f>
        <v>0</v>
      </c>
      <c r="J121" s="53">
        <f>'дод. 3'!J37</f>
        <v>0</v>
      </c>
      <c r="K121" s="76">
        <f t="shared" si="21"/>
        <v>43.919999999999995</v>
      </c>
      <c r="L121" s="53">
        <f>M121+P121</f>
        <v>0</v>
      </c>
      <c r="M121" s="53">
        <f>'дод. 3'!M37</f>
        <v>0</v>
      </c>
      <c r="N121" s="53">
        <f>'дод. 3'!N37</f>
        <v>0</v>
      </c>
      <c r="O121" s="53">
        <f>'дод. 3'!O37</f>
        <v>0</v>
      </c>
      <c r="P121" s="53">
        <f>'дод. 3'!P37</f>
        <v>0</v>
      </c>
      <c r="Q121" s="53">
        <f aca="true" t="shared" si="36" ref="Q121:Q126">R121+U121</f>
        <v>0</v>
      </c>
      <c r="R121" s="53">
        <f>'дод. 3'!R37</f>
        <v>0</v>
      </c>
      <c r="S121" s="53">
        <f>'дод. 3'!S37</f>
        <v>0</v>
      </c>
      <c r="T121" s="53">
        <f>'дод. 3'!T37</f>
        <v>0</v>
      </c>
      <c r="U121" s="53">
        <f>'дод. 3'!U37</f>
        <v>0</v>
      </c>
      <c r="V121" s="76"/>
      <c r="W121" s="53">
        <f aca="true" t="shared" si="37" ref="W121:W126">Q121+H121</f>
        <v>37332</v>
      </c>
      <c r="X121" s="145"/>
      <c r="Y121" s="99"/>
    </row>
    <row r="122" spans="1:25" s="17" customFormat="1" ht="15">
      <c r="A122" s="20"/>
      <c r="B122" s="24" t="s">
        <v>166</v>
      </c>
      <c r="C122" s="24" t="s">
        <v>218</v>
      </c>
      <c r="D122" s="25" t="s">
        <v>167</v>
      </c>
      <c r="E122" s="53">
        <f>'дод. 3'!E140</f>
        <v>1030000</v>
      </c>
      <c r="F122" s="53">
        <f>'дод. 3'!F140</f>
        <v>0</v>
      </c>
      <c r="G122" s="53">
        <f>'дод. 3'!G140</f>
        <v>0</v>
      </c>
      <c r="H122" s="53">
        <f>'дод. 3'!H140</f>
        <v>302968.2</v>
      </c>
      <c r="I122" s="53">
        <f>'дод. 3'!I140</f>
        <v>0</v>
      </c>
      <c r="J122" s="53">
        <f>'дод. 3'!J140</f>
        <v>0</v>
      </c>
      <c r="K122" s="76">
        <f t="shared" si="21"/>
        <v>29.414388349514564</v>
      </c>
      <c r="L122" s="53">
        <f>M122+P122</f>
        <v>0</v>
      </c>
      <c r="M122" s="53">
        <f>'дод. 3'!M140</f>
        <v>0</v>
      </c>
      <c r="N122" s="53">
        <f>'дод. 3'!N140</f>
        <v>0</v>
      </c>
      <c r="O122" s="53">
        <f>'дод. 3'!O140</f>
        <v>0</v>
      </c>
      <c r="P122" s="53">
        <f>'дод. 3'!P140</f>
        <v>0</v>
      </c>
      <c r="Q122" s="53">
        <f t="shared" si="36"/>
        <v>0</v>
      </c>
      <c r="R122" s="53">
        <f>'дод. 3'!R140</f>
        <v>0</v>
      </c>
      <c r="S122" s="53">
        <f>'дод. 3'!S140</f>
        <v>0</v>
      </c>
      <c r="T122" s="53">
        <f>'дод. 3'!T140</f>
        <v>0</v>
      </c>
      <c r="U122" s="53">
        <f>'дод. 3'!U140</f>
        <v>0</v>
      </c>
      <c r="V122" s="76"/>
      <c r="W122" s="53">
        <f t="shared" si="37"/>
        <v>302968.2</v>
      </c>
      <c r="X122" s="145"/>
      <c r="Y122" s="99"/>
    </row>
    <row r="123" spans="1:25" s="17" customFormat="1" ht="60">
      <c r="A123" s="20"/>
      <c r="B123" s="24" t="s">
        <v>47</v>
      </c>
      <c r="C123" s="24" t="s">
        <v>188</v>
      </c>
      <c r="D123" s="25" t="s">
        <v>48</v>
      </c>
      <c r="E123" s="53">
        <f>'дод. 3'!E38+'дод. 3'!E141+'дод. 3'!E165+'дод. 3'!E178</f>
        <v>0</v>
      </c>
      <c r="F123" s="53">
        <f>'дод. 3'!F38+'дод. 3'!F141+'дод. 3'!F165+'дод. 3'!F178</f>
        <v>0</v>
      </c>
      <c r="G123" s="53">
        <f>'дод. 3'!G38+'дод. 3'!G141+'дод. 3'!G165+'дод. 3'!G178</f>
        <v>0</v>
      </c>
      <c r="H123" s="53">
        <f>'дод. 3'!H38+'дод. 3'!H141+'дод. 3'!H165+'дод. 3'!H178</f>
        <v>0</v>
      </c>
      <c r="I123" s="53">
        <f>'дод. 3'!I38+'дод. 3'!I141+'дод. 3'!I165+'дод. 3'!I178</f>
        <v>0</v>
      </c>
      <c r="J123" s="53">
        <f>'дод. 3'!J38+'дод. 3'!J141+'дод. 3'!J165+'дод. 3'!J178</f>
        <v>0</v>
      </c>
      <c r="K123" s="76"/>
      <c r="L123" s="53">
        <f>M123+P123</f>
        <v>83238509</v>
      </c>
      <c r="M123" s="53">
        <f>'дод. 3'!M38+'дод. 3'!M141+'дод. 3'!M165+'дод. 3'!M178</f>
        <v>0</v>
      </c>
      <c r="N123" s="53">
        <f>'дод. 3'!N38+'дод. 3'!N141+'дод. 3'!N165+'дод. 3'!N178</f>
        <v>0</v>
      </c>
      <c r="O123" s="53">
        <f>'дод. 3'!O38+'дод. 3'!O141+'дод. 3'!O165+'дод. 3'!O178</f>
        <v>0</v>
      </c>
      <c r="P123" s="53">
        <f>'дод. 3'!P38+'дод. 3'!P141+'дод. 3'!P165+'дод. 3'!P178</f>
        <v>83238509</v>
      </c>
      <c r="Q123" s="53">
        <f t="shared" si="36"/>
        <v>23083550</v>
      </c>
      <c r="R123" s="53">
        <f>'дод. 3'!R38+'дод. 3'!R141+'дод. 3'!R165+'дод. 3'!R178</f>
        <v>0</v>
      </c>
      <c r="S123" s="53">
        <f>'дод. 3'!S38+'дод. 3'!S141+'дод. 3'!S165+'дод. 3'!S178</f>
        <v>0</v>
      </c>
      <c r="T123" s="53">
        <f>'дод. 3'!T38+'дод. 3'!T141+'дод. 3'!T165+'дод. 3'!T178</f>
        <v>0</v>
      </c>
      <c r="U123" s="53">
        <f>'дод. 3'!U38+'дод. 3'!U141+'дод. 3'!U165+'дод. 3'!U178</f>
        <v>23083550</v>
      </c>
      <c r="V123" s="76">
        <f t="shared" si="17"/>
        <v>27.73181581135722</v>
      </c>
      <c r="W123" s="53">
        <f t="shared" si="37"/>
        <v>23083550</v>
      </c>
      <c r="X123" s="145"/>
      <c r="Y123" s="99"/>
    </row>
    <row r="124" spans="1:25" s="17" customFormat="1" ht="30">
      <c r="A124" s="20"/>
      <c r="B124" s="24" t="s">
        <v>49</v>
      </c>
      <c r="C124" s="24" t="s">
        <v>187</v>
      </c>
      <c r="D124" s="25" t="s">
        <v>50</v>
      </c>
      <c r="E124" s="53">
        <f>'дод. 3'!E39</f>
        <v>837300</v>
      </c>
      <c r="F124" s="53">
        <f>'дод. 3'!F39</f>
        <v>0</v>
      </c>
      <c r="G124" s="53">
        <f>'дод. 3'!G39</f>
        <v>0</v>
      </c>
      <c r="H124" s="53">
        <f>'дод. 3'!H39</f>
        <v>6795.64</v>
      </c>
      <c r="I124" s="53">
        <f>'дод. 3'!I39</f>
        <v>0</v>
      </c>
      <c r="J124" s="53">
        <f>'дод. 3'!J39</f>
        <v>0</v>
      </c>
      <c r="K124" s="76">
        <f t="shared" si="21"/>
        <v>0.8116135196464827</v>
      </c>
      <c r="L124" s="53">
        <f>M124+P124</f>
        <v>0</v>
      </c>
      <c r="M124" s="53">
        <f>'дод. 3'!M39</f>
        <v>0</v>
      </c>
      <c r="N124" s="53">
        <f>'дод. 3'!N39</f>
        <v>0</v>
      </c>
      <c r="O124" s="53">
        <f>'дод. 3'!O39</f>
        <v>0</v>
      </c>
      <c r="P124" s="53">
        <f>'дод. 3'!P39</f>
        <v>0</v>
      </c>
      <c r="Q124" s="53">
        <f t="shared" si="36"/>
        <v>0</v>
      </c>
      <c r="R124" s="53">
        <f>'дод. 3'!R39</f>
        <v>0</v>
      </c>
      <c r="S124" s="53">
        <f>'дод. 3'!S39</f>
        <v>0</v>
      </c>
      <c r="T124" s="53">
        <f>'дод. 3'!T39</f>
        <v>0</v>
      </c>
      <c r="U124" s="53">
        <f>'дод. 3'!U39</f>
        <v>0</v>
      </c>
      <c r="V124" s="76"/>
      <c r="W124" s="53">
        <f t="shared" si="37"/>
        <v>6795.64</v>
      </c>
      <c r="X124" s="145"/>
      <c r="Y124" s="99"/>
    </row>
    <row r="125" spans="1:25" s="17" customFormat="1" ht="28.5">
      <c r="A125" s="20"/>
      <c r="B125" s="49" t="s">
        <v>292</v>
      </c>
      <c r="C125" s="49"/>
      <c r="D125" s="50" t="s">
        <v>293</v>
      </c>
      <c r="E125" s="126">
        <f>E126</f>
        <v>158800</v>
      </c>
      <c r="F125" s="126">
        <f aca="true" t="shared" si="38" ref="F125:W125">F126</f>
        <v>0</v>
      </c>
      <c r="G125" s="126">
        <f t="shared" si="38"/>
        <v>0</v>
      </c>
      <c r="H125" s="126">
        <f t="shared" si="38"/>
        <v>120743.14</v>
      </c>
      <c r="I125" s="126">
        <f t="shared" si="38"/>
        <v>0</v>
      </c>
      <c r="J125" s="126">
        <f>J126</f>
        <v>0</v>
      </c>
      <c r="K125" s="125">
        <f t="shared" si="21"/>
        <v>76.03472292191435</v>
      </c>
      <c r="L125" s="126">
        <f t="shared" si="38"/>
        <v>0</v>
      </c>
      <c r="M125" s="126">
        <f t="shared" si="38"/>
        <v>0</v>
      </c>
      <c r="N125" s="126">
        <f t="shared" si="38"/>
        <v>0</v>
      </c>
      <c r="O125" s="126">
        <f t="shared" si="38"/>
        <v>0</v>
      </c>
      <c r="P125" s="126">
        <f t="shared" si="38"/>
        <v>0</v>
      </c>
      <c r="Q125" s="53">
        <f t="shared" si="36"/>
        <v>0</v>
      </c>
      <c r="R125" s="126">
        <f t="shared" si="38"/>
        <v>0</v>
      </c>
      <c r="S125" s="126">
        <f t="shared" si="38"/>
        <v>0</v>
      </c>
      <c r="T125" s="126">
        <f t="shared" si="38"/>
        <v>0</v>
      </c>
      <c r="U125" s="126">
        <f t="shared" si="38"/>
        <v>0</v>
      </c>
      <c r="V125" s="76"/>
      <c r="W125" s="126">
        <f t="shared" si="38"/>
        <v>120743.14</v>
      </c>
      <c r="X125" s="145"/>
      <c r="Y125" s="99"/>
    </row>
    <row r="126" spans="1:25" s="17" customFormat="1" ht="15">
      <c r="A126" s="20"/>
      <c r="B126" s="24" t="s">
        <v>288</v>
      </c>
      <c r="C126" s="24" t="s">
        <v>199</v>
      </c>
      <c r="D126" s="25" t="s">
        <v>83</v>
      </c>
      <c r="E126" s="53">
        <f>'дод. 3'!E142</f>
        <v>158800</v>
      </c>
      <c r="F126" s="53">
        <f>'дод. 3'!F142</f>
        <v>0</v>
      </c>
      <c r="G126" s="53">
        <f>'дод. 3'!G142</f>
        <v>0</v>
      </c>
      <c r="H126" s="53">
        <f>'дод. 3'!H142</f>
        <v>120743.14</v>
      </c>
      <c r="I126" s="53">
        <f>'дод. 3'!I142</f>
        <v>0</v>
      </c>
      <c r="J126" s="53">
        <f>'дод. 3'!J142</f>
        <v>0</v>
      </c>
      <c r="K126" s="76">
        <f t="shared" si="21"/>
        <v>76.03472292191435</v>
      </c>
      <c r="L126" s="53">
        <f>M126+P126</f>
        <v>0</v>
      </c>
      <c r="M126" s="53">
        <f>'дод. 3'!M142</f>
        <v>0</v>
      </c>
      <c r="N126" s="53">
        <f>'дод. 3'!N142</f>
        <v>0</v>
      </c>
      <c r="O126" s="53">
        <f>'дод. 3'!O142</f>
        <v>0</v>
      </c>
      <c r="P126" s="53">
        <f>'дод. 3'!P142</f>
        <v>0</v>
      </c>
      <c r="Q126" s="53">
        <f t="shared" si="36"/>
        <v>0</v>
      </c>
      <c r="R126" s="53">
        <f>'дод. 3'!R142</f>
        <v>0</v>
      </c>
      <c r="S126" s="53">
        <f>'дод. 3'!S142</f>
        <v>0</v>
      </c>
      <c r="T126" s="53">
        <f>'дод. 3'!T142</f>
        <v>0</v>
      </c>
      <c r="U126" s="53">
        <f>'дод. 3'!U142</f>
        <v>0</v>
      </c>
      <c r="V126" s="76"/>
      <c r="W126" s="53">
        <f t="shared" si="37"/>
        <v>120743.14</v>
      </c>
      <c r="X126" s="145"/>
      <c r="Y126" s="99"/>
    </row>
    <row r="127" spans="1:25" s="17" customFormat="1" ht="42.75">
      <c r="A127" s="20"/>
      <c r="B127" s="49" t="s">
        <v>274</v>
      </c>
      <c r="C127" s="49"/>
      <c r="D127" s="50" t="s">
        <v>275</v>
      </c>
      <c r="E127" s="126">
        <f>E128+E129</f>
        <v>1059826</v>
      </c>
      <c r="F127" s="126">
        <f aca="true" t="shared" si="39" ref="F127:W127">F128+F129</f>
        <v>638100</v>
      </c>
      <c r="G127" s="126">
        <f t="shared" si="39"/>
        <v>50677</v>
      </c>
      <c r="H127" s="126">
        <f t="shared" si="39"/>
        <v>380814.48</v>
      </c>
      <c r="I127" s="126">
        <f t="shared" si="39"/>
        <v>285900.43</v>
      </c>
      <c r="J127" s="126">
        <f>J128+J129</f>
        <v>15119.72</v>
      </c>
      <c r="K127" s="125">
        <f t="shared" si="21"/>
        <v>35.93179257727211</v>
      </c>
      <c r="L127" s="126">
        <f t="shared" si="39"/>
        <v>348574</v>
      </c>
      <c r="M127" s="126">
        <f t="shared" si="39"/>
        <v>4700</v>
      </c>
      <c r="N127" s="126">
        <f t="shared" si="39"/>
        <v>0</v>
      </c>
      <c r="O127" s="126">
        <f t="shared" si="39"/>
        <v>720</v>
      </c>
      <c r="P127" s="126">
        <f t="shared" si="39"/>
        <v>343874</v>
      </c>
      <c r="Q127" s="126">
        <f t="shared" si="39"/>
        <v>3885</v>
      </c>
      <c r="R127" s="126">
        <f t="shared" si="39"/>
        <v>3885</v>
      </c>
      <c r="S127" s="126">
        <f t="shared" si="39"/>
        <v>0</v>
      </c>
      <c r="T127" s="126">
        <f t="shared" si="39"/>
        <v>0</v>
      </c>
      <c r="U127" s="126">
        <f t="shared" si="39"/>
        <v>0</v>
      </c>
      <c r="V127" s="125">
        <f t="shared" si="17"/>
        <v>1.114540958304406</v>
      </c>
      <c r="W127" s="126">
        <f t="shared" si="39"/>
        <v>384699.48</v>
      </c>
      <c r="X127" s="145"/>
      <c r="Y127" s="99"/>
    </row>
    <row r="128" spans="1:25" s="17" customFormat="1" ht="45">
      <c r="A128" s="20"/>
      <c r="B128" s="24" t="s">
        <v>51</v>
      </c>
      <c r="C128" s="24" t="s">
        <v>189</v>
      </c>
      <c r="D128" s="25" t="s">
        <v>52</v>
      </c>
      <c r="E128" s="53">
        <f>'дод. 3'!E40</f>
        <v>162726</v>
      </c>
      <c r="F128" s="53">
        <f>'дод. 3'!F40</f>
        <v>0</v>
      </c>
      <c r="G128" s="53">
        <f>'дод. 3'!G40</f>
        <v>4300</v>
      </c>
      <c r="H128" s="53">
        <f>'дод. 3'!H40</f>
        <v>2800.25</v>
      </c>
      <c r="I128" s="53">
        <f>'дод. 3'!I40</f>
        <v>0</v>
      </c>
      <c r="J128" s="53">
        <f>'дод. 3'!J40</f>
        <v>1833.73</v>
      </c>
      <c r="K128" s="76">
        <f t="shared" si="21"/>
        <v>1.7208374814104692</v>
      </c>
      <c r="L128" s="53">
        <f>M128+P128</f>
        <v>343874</v>
      </c>
      <c r="M128" s="53">
        <f>'дод. 3'!M40</f>
        <v>0</v>
      </c>
      <c r="N128" s="53">
        <f>'дод. 3'!N40</f>
        <v>0</v>
      </c>
      <c r="O128" s="53">
        <f>'дод. 3'!O40</f>
        <v>0</v>
      </c>
      <c r="P128" s="53">
        <f>'дод. 3'!P40</f>
        <v>343874</v>
      </c>
      <c r="Q128" s="53">
        <f>R128+U128</f>
        <v>0</v>
      </c>
      <c r="R128" s="53">
        <f>'дод. 3'!R40</f>
        <v>0</v>
      </c>
      <c r="S128" s="53">
        <f>'дод. 3'!S40</f>
        <v>0</v>
      </c>
      <c r="T128" s="53">
        <f>'дод. 3'!T40</f>
        <v>0</v>
      </c>
      <c r="U128" s="53">
        <f>'дод. 3'!U40</f>
        <v>0</v>
      </c>
      <c r="V128" s="76">
        <f t="shared" si="17"/>
        <v>0</v>
      </c>
      <c r="W128" s="53">
        <f>Q128+H128</f>
        <v>2800.25</v>
      </c>
      <c r="X128" s="145"/>
      <c r="Y128" s="99"/>
    </row>
    <row r="129" spans="1:25" s="17" customFormat="1" ht="15">
      <c r="A129" s="20"/>
      <c r="B129" s="27" t="s">
        <v>53</v>
      </c>
      <c r="C129" s="27" t="s">
        <v>190</v>
      </c>
      <c r="D129" s="25" t="s">
        <v>54</v>
      </c>
      <c r="E129" s="53">
        <f>'дод. 3'!E41</f>
        <v>897100</v>
      </c>
      <c r="F129" s="53">
        <f>'дод. 3'!F41</f>
        <v>638100</v>
      </c>
      <c r="G129" s="53">
        <f>'дод. 3'!G41</f>
        <v>46377</v>
      </c>
      <c r="H129" s="53">
        <f>'дод. 3'!H41</f>
        <v>378014.23</v>
      </c>
      <c r="I129" s="53">
        <f>'дод. 3'!I41</f>
        <v>285900.43</v>
      </c>
      <c r="J129" s="53">
        <f>'дод. 3'!J41</f>
        <v>13285.99</v>
      </c>
      <c r="K129" s="76">
        <f t="shared" si="21"/>
        <v>42.13735703934901</v>
      </c>
      <c r="L129" s="53">
        <f>M129+P129</f>
        <v>4700</v>
      </c>
      <c r="M129" s="53">
        <f>'дод. 3'!M41</f>
        <v>4700</v>
      </c>
      <c r="N129" s="53">
        <f>'дод. 3'!N41</f>
        <v>0</v>
      </c>
      <c r="O129" s="53">
        <f>'дод. 3'!O41</f>
        <v>720</v>
      </c>
      <c r="P129" s="53">
        <f>'дод. 3'!P41</f>
        <v>0</v>
      </c>
      <c r="Q129" s="53">
        <f>R129+U129</f>
        <v>3885</v>
      </c>
      <c r="R129" s="53">
        <f>'дод. 3'!R41</f>
        <v>3885</v>
      </c>
      <c r="S129" s="53">
        <f>'дод. 3'!S41</f>
        <v>0</v>
      </c>
      <c r="T129" s="53">
        <f>'дод. 3'!T41</f>
        <v>0</v>
      </c>
      <c r="U129" s="53">
        <f>'дод. 3'!U41</f>
        <v>0</v>
      </c>
      <c r="V129" s="76">
        <f t="shared" si="17"/>
        <v>82.65957446808511</v>
      </c>
      <c r="W129" s="53">
        <f>Q129+H129</f>
        <v>381899.23</v>
      </c>
      <c r="X129" s="145"/>
      <c r="Y129" s="99"/>
    </row>
    <row r="130" spans="1:25" s="129" customFormat="1" ht="15">
      <c r="A130" s="128"/>
      <c r="B130" s="28" t="s">
        <v>317</v>
      </c>
      <c r="C130" s="28"/>
      <c r="D130" s="29" t="s">
        <v>319</v>
      </c>
      <c r="E130" s="126">
        <f>E131</f>
        <v>130883.85</v>
      </c>
      <c r="F130" s="126">
        <f aca="true" t="shared" si="40" ref="F130:W130">F131</f>
        <v>0</v>
      </c>
      <c r="G130" s="126">
        <f t="shared" si="40"/>
        <v>0</v>
      </c>
      <c r="H130" s="126">
        <f t="shared" si="40"/>
        <v>15342.5</v>
      </c>
      <c r="I130" s="126">
        <f t="shared" si="40"/>
        <v>0</v>
      </c>
      <c r="J130" s="126" t="str">
        <f>J131</f>
        <v> </v>
      </c>
      <c r="K130" s="125">
        <f t="shared" si="21"/>
        <v>11.722225469376092</v>
      </c>
      <c r="L130" s="126">
        <f t="shared" si="40"/>
        <v>0</v>
      </c>
      <c r="M130" s="126">
        <f t="shared" si="40"/>
        <v>0</v>
      </c>
      <c r="N130" s="126">
        <f t="shared" si="40"/>
        <v>0</v>
      </c>
      <c r="O130" s="126">
        <f t="shared" si="40"/>
        <v>0</v>
      </c>
      <c r="P130" s="126">
        <f t="shared" si="40"/>
        <v>0</v>
      </c>
      <c r="Q130" s="126">
        <f>Q131</f>
        <v>0</v>
      </c>
      <c r="R130" s="126">
        <f>R131</f>
        <v>0</v>
      </c>
      <c r="S130" s="126">
        <f>S131</f>
        <v>0</v>
      </c>
      <c r="T130" s="126">
        <f t="shared" si="40"/>
        <v>0</v>
      </c>
      <c r="U130" s="126">
        <f t="shared" si="40"/>
        <v>0</v>
      </c>
      <c r="V130" s="76"/>
      <c r="W130" s="126">
        <f t="shared" si="40"/>
        <v>15342.5</v>
      </c>
      <c r="X130" s="145"/>
      <c r="Y130" s="99"/>
    </row>
    <row r="131" spans="1:25" s="17" customFormat="1" ht="15">
      <c r="A131" s="20"/>
      <c r="B131" s="24" t="s">
        <v>317</v>
      </c>
      <c r="C131" s="24" t="s">
        <v>318</v>
      </c>
      <c r="D131" s="25" t="s">
        <v>319</v>
      </c>
      <c r="E131" s="53">
        <f>'дод. 3'!E189</f>
        <v>130883.85</v>
      </c>
      <c r="F131" s="53">
        <f>'дод. 3'!F189</f>
        <v>0</v>
      </c>
      <c r="G131" s="53">
        <f>'дод. 3'!G189</f>
        <v>0</v>
      </c>
      <c r="H131" s="53">
        <f>'дод. 3'!H189</f>
        <v>15342.5</v>
      </c>
      <c r="I131" s="53">
        <f>'дод. 3'!I189</f>
        <v>0</v>
      </c>
      <c r="J131" s="53" t="str">
        <f>'дод. 3'!J189</f>
        <v> </v>
      </c>
      <c r="K131" s="76">
        <f t="shared" si="21"/>
        <v>11.722225469376092</v>
      </c>
      <c r="L131" s="53">
        <f>M131+P131</f>
        <v>0</v>
      </c>
      <c r="M131" s="53">
        <f>'дод. 3'!M189</f>
        <v>0</v>
      </c>
      <c r="N131" s="53">
        <f>'дод. 3'!N189</f>
        <v>0</v>
      </c>
      <c r="O131" s="53">
        <f>'дод. 3'!O189</f>
        <v>0</v>
      </c>
      <c r="P131" s="53">
        <f>'дод. 3'!P189</f>
        <v>0</v>
      </c>
      <c r="Q131" s="53">
        <f>R131+U131</f>
        <v>0</v>
      </c>
      <c r="R131" s="53">
        <f>'дод. 3'!R189</f>
        <v>0</v>
      </c>
      <c r="S131" s="53">
        <f>'дод. 3'!S189</f>
        <v>0</v>
      </c>
      <c r="T131" s="53">
        <f>'дод. 3'!T189</f>
        <v>0</v>
      </c>
      <c r="U131" s="53">
        <f>'дод. 3'!U189</f>
        <v>0</v>
      </c>
      <c r="V131" s="76"/>
      <c r="W131" s="53">
        <f>Q131+H131</f>
        <v>15342.5</v>
      </c>
      <c r="X131" s="145"/>
      <c r="Y131" s="99"/>
    </row>
    <row r="132" spans="1:25" s="17" customFormat="1" ht="15">
      <c r="A132" s="20"/>
      <c r="B132" s="49" t="s">
        <v>276</v>
      </c>
      <c r="C132" s="49"/>
      <c r="D132" s="50" t="s">
        <v>277</v>
      </c>
      <c r="E132" s="126">
        <f aca="true" t="shared" si="41" ref="E132:J132">E133+E134+E135+E136+E137+E138</f>
        <v>0</v>
      </c>
      <c r="F132" s="126">
        <f t="shared" si="41"/>
        <v>0</v>
      </c>
      <c r="G132" s="126">
        <f t="shared" si="41"/>
        <v>0</v>
      </c>
      <c r="H132" s="126">
        <f t="shared" si="41"/>
        <v>0</v>
      </c>
      <c r="I132" s="126">
        <f t="shared" si="41"/>
        <v>0</v>
      </c>
      <c r="J132" s="126">
        <f t="shared" si="41"/>
        <v>0</v>
      </c>
      <c r="K132" s="76"/>
      <c r="L132" s="126">
        <f aca="true" t="shared" si="42" ref="L132:W132">SUM(L133:L138)</f>
        <v>9500040.79</v>
      </c>
      <c r="M132" s="126">
        <f t="shared" si="42"/>
        <v>1830743.47</v>
      </c>
      <c r="N132" s="126">
        <f t="shared" si="42"/>
        <v>0</v>
      </c>
      <c r="O132" s="126">
        <f t="shared" si="42"/>
        <v>0</v>
      </c>
      <c r="P132" s="126">
        <f t="shared" si="42"/>
        <v>7669297.32</v>
      </c>
      <c r="Q132" s="126">
        <f t="shared" si="42"/>
        <v>574793.4</v>
      </c>
      <c r="R132" s="126">
        <f t="shared" si="42"/>
        <v>223626.73</v>
      </c>
      <c r="S132" s="126">
        <f t="shared" si="42"/>
        <v>0</v>
      </c>
      <c r="T132" s="126">
        <f t="shared" si="42"/>
        <v>0</v>
      </c>
      <c r="U132" s="126">
        <f t="shared" si="42"/>
        <v>351166.67</v>
      </c>
      <c r="V132" s="125">
        <f t="shared" si="17"/>
        <v>6.050430863465799</v>
      </c>
      <c r="W132" s="126">
        <f t="shared" si="42"/>
        <v>574793.4</v>
      </c>
      <c r="X132" s="145"/>
      <c r="Y132" s="99"/>
    </row>
    <row r="133" spans="1:25" s="17" customFormat="1" ht="30">
      <c r="A133" s="20"/>
      <c r="B133" s="24" t="s">
        <v>168</v>
      </c>
      <c r="C133" s="24" t="s">
        <v>219</v>
      </c>
      <c r="D133" s="25" t="s">
        <v>169</v>
      </c>
      <c r="E133" s="53">
        <f>'дод. 3'!E143+'дод. 3'!E166</f>
        <v>0</v>
      </c>
      <c r="F133" s="53">
        <f>'дод. 3'!F143+'дод. 3'!F166</f>
        <v>0</v>
      </c>
      <c r="G133" s="53">
        <f>'дод. 3'!G143+'дод. 3'!G166</f>
        <v>0</v>
      </c>
      <c r="H133" s="53">
        <f>'дод. 3'!H143+'дод. 3'!H166</f>
        <v>0</v>
      </c>
      <c r="I133" s="53">
        <f>'дод. 3'!I143+'дод. 3'!I166</f>
        <v>0</v>
      </c>
      <c r="J133" s="53">
        <f>'дод. 3'!J143+'дод. 3'!J166</f>
        <v>0</v>
      </c>
      <c r="K133" s="76"/>
      <c r="L133" s="53">
        <f aca="true" t="shared" si="43" ref="L133:L138">M133+P133</f>
        <v>5806738</v>
      </c>
      <c r="M133" s="53">
        <f>'дод. 3'!M143+'дод. 3'!M166</f>
        <v>470000</v>
      </c>
      <c r="N133" s="53">
        <f>'дод. 3'!N143+'дод. 3'!N166</f>
        <v>0</v>
      </c>
      <c r="O133" s="53">
        <f>'дод. 3'!O143+'дод. 3'!O166</f>
        <v>0</v>
      </c>
      <c r="P133" s="53">
        <f>'дод. 3'!P143+'дод. 3'!P166</f>
        <v>5336738</v>
      </c>
      <c r="Q133" s="53">
        <f aca="true" t="shared" si="44" ref="Q133:Q138">R133+U133</f>
        <v>269918.01</v>
      </c>
      <c r="R133" s="53">
        <f>'дод. 3'!R143+'дод. 3'!R166</f>
        <v>34833.34</v>
      </c>
      <c r="S133" s="53">
        <f>'дод. 3'!S143+'дод. 3'!S166</f>
        <v>0</v>
      </c>
      <c r="T133" s="53">
        <f>'дод. 3'!T143+'дод. 3'!T166</f>
        <v>0</v>
      </c>
      <c r="U133" s="53">
        <f>'дод. 3'!U143+'дод. 3'!U166</f>
        <v>235084.66999999998</v>
      </c>
      <c r="V133" s="76">
        <f t="shared" si="17"/>
        <v>4.648358682620088</v>
      </c>
      <c r="W133" s="53">
        <f aca="true" t="shared" si="45" ref="W133:W138">Q133+H133</f>
        <v>269918.01</v>
      </c>
      <c r="X133" s="145"/>
      <c r="Y133" s="99"/>
    </row>
    <row r="134" spans="1:25" s="17" customFormat="1" ht="15">
      <c r="A134" s="20"/>
      <c r="B134" s="24" t="s">
        <v>170</v>
      </c>
      <c r="C134" s="24" t="s">
        <v>220</v>
      </c>
      <c r="D134" s="25" t="s">
        <v>171</v>
      </c>
      <c r="E134" s="53">
        <f>'дод. 3'!E144</f>
        <v>0</v>
      </c>
      <c r="F134" s="53">
        <f>'дод. 3'!F144</f>
        <v>0</v>
      </c>
      <c r="G134" s="53">
        <f>'дод. 3'!G144</f>
        <v>0</v>
      </c>
      <c r="H134" s="53">
        <f>'дод. 3'!H144</f>
        <v>0</v>
      </c>
      <c r="I134" s="53">
        <f>'дод. 3'!I144</f>
        <v>0</v>
      </c>
      <c r="J134" s="53">
        <f>'дод. 3'!J144</f>
        <v>0</v>
      </c>
      <c r="K134" s="76"/>
      <c r="L134" s="53">
        <f t="shared" si="43"/>
        <v>250000</v>
      </c>
      <c r="M134" s="53">
        <f>'дод. 3'!M144</f>
        <v>250000</v>
      </c>
      <c r="N134" s="53">
        <f>'дод. 3'!N144</f>
        <v>0</v>
      </c>
      <c r="O134" s="53">
        <f>'дод. 3'!O144</f>
        <v>0</v>
      </c>
      <c r="P134" s="53">
        <f>'дод. 3'!P144</f>
        <v>0</v>
      </c>
      <c r="Q134" s="53">
        <f t="shared" si="44"/>
        <v>59126.1</v>
      </c>
      <c r="R134" s="53">
        <f>'дод. 3'!R144</f>
        <v>59126.1</v>
      </c>
      <c r="S134" s="53">
        <f>'дод. 3'!S144</f>
        <v>0</v>
      </c>
      <c r="T134" s="53">
        <f>'дод. 3'!T144</f>
        <v>0</v>
      </c>
      <c r="U134" s="53">
        <f>'дод. 3'!U144</f>
        <v>0</v>
      </c>
      <c r="V134" s="76">
        <f t="shared" si="17"/>
        <v>23.65044</v>
      </c>
      <c r="W134" s="53">
        <f t="shared" si="45"/>
        <v>59126.1</v>
      </c>
      <c r="X134" s="145"/>
      <c r="Y134" s="99"/>
    </row>
    <row r="135" spans="1:25" s="17" customFormat="1" ht="30">
      <c r="A135" s="20"/>
      <c r="B135" s="24" t="s">
        <v>342</v>
      </c>
      <c r="C135" s="24" t="s">
        <v>343</v>
      </c>
      <c r="D135" s="25" t="s">
        <v>344</v>
      </c>
      <c r="E135" s="53">
        <f>'дод. 3'!E167</f>
        <v>0</v>
      </c>
      <c r="F135" s="53">
        <f>'дод. 3'!F167</f>
        <v>0</v>
      </c>
      <c r="G135" s="53">
        <f>'дод. 3'!G167</f>
        <v>0</v>
      </c>
      <c r="H135" s="53">
        <f>'дод. 3'!H167</f>
        <v>0</v>
      </c>
      <c r="I135" s="53">
        <f>'дод. 3'!I167</f>
        <v>0</v>
      </c>
      <c r="J135" s="53">
        <f>'дод. 3'!J167</f>
        <v>0</v>
      </c>
      <c r="K135" s="76"/>
      <c r="L135" s="53">
        <f t="shared" si="43"/>
        <v>1340330</v>
      </c>
      <c r="M135" s="53">
        <f>'дод. 3'!M167</f>
        <v>0</v>
      </c>
      <c r="N135" s="53">
        <f>'дод. 3'!N167</f>
        <v>0</v>
      </c>
      <c r="O135" s="53">
        <f>'дод. 3'!O167</f>
        <v>0</v>
      </c>
      <c r="P135" s="53">
        <f>'дод. 3'!P167</f>
        <v>1340330</v>
      </c>
      <c r="Q135" s="53">
        <f t="shared" si="44"/>
        <v>0</v>
      </c>
      <c r="R135" s="53">
        <f>'дод. 3'!R167</f>
        <v>0</v>
      </c>
      <c r="S135" s="53">
        <f>'дод. 3'!S167</f>
        <v>0</v>
      </c>
      <c r="T135" s="53">
        <f>'дод. 3'!T167</f>
        <v>0</v>
      </c>
      <c r="U135" s="53">
        <f>'дод. 3'!U167</f>
        <v>0</v>
      </c>
      <c r="V135" s="76">
        <f t="shared" si="17"/>
        <v>0</v>
      </c>
      <c r="W135" s="53">
        <f t="shared" si="45"/>
        <v>0</v>
      </c>
      <c r="X135" s="145"/>
      <c r="Y135" s="99"/>
    </row>
    <row r="136" spans="1:25" s="17" customFormat="1" ht="30">
      <c r="A136" s="20"/>
      <c r="B136" s="24" t="s">
        <v>55</v>
      </c>
      <c r="C136" s="24" t="s">
        <v>191</v>
      </c>
      <c r="D136" s="25" t="s">
        <v>56</v>
      </c>
      <c r="E136" s="53">
        <f>'дод. 3'!E42+'дод. 3'!E62+'дод. 3'!E190</f>
        <v>0</v>
      </c>
      <c r="F136" s="53">
        <f>'дод. 3'!F42+'дод. 3'!F62+'дод. 3'!F190</f>
        <v>0</v>
      </c>
      <c r="G136" s="53">
        <f>'дод. 3'!G42+'дод. 3'!G62+'дод. 3'!G190</f>
        <v>0</v>
      </c>
      <c r="H136" s="53">
        <f>'дод. 3'!H42+'дод. 3'!H62+'дод. 3'!H190</f>
        <v>0</v>
      </c>
      <c r="I136" s="53">
        <f>'дод. 3'!I42+'дод. 3'!I62+'дод. 3'!I190</f>
        <v>0</v>
      </c>
      <c r="J136" s="53">
        <f>'дод. 3'!J42+'дод. 3'!J62+'дод. 3'!J190</f>
        <v>0</v>
      </c>
      <c r="K136" s="76"/>
      <c r="L136" s="53">
        <f t="shared" si="43"/>
        <v>118600</v>
      </c>
      <c r="M136" s="53">
        <f>'дод. 3'!M42+'дод. 3'!M62+'дод. 3'!M190</f>
        <v>88600</v>
      </c>
      <c r="N136" s="53">
        <f>'дод. 3'!N42+'дод. 3'!N62+'дод. 3'!N190</f>
        <v>0</v>
      </c>
      <c r="O136" s="53">
        <f>'дод. 3'!O42+'дод. 3'!O62+'дод. 3'!O190</f>
        <v>0</v>
      </c>
      <c r="P136" s="53">
        <f>'дод. 3'!P42+'дод. 3'!P62+'дод. 3'!P190</f>
        <v>30000</v>
      </c>
      <c r="Q136" s="53">
        <f t="shared" si="44"/>
        <v>23970</v>
      </c>
      <c r="R136" s="53">
        <f>'дод. 3'!R42+'дод. 3'!R62+'дод. 3'!R190</f>
        <v>23970</v>
      </c>
      <c r="S136" s="53">
        <f>'дод. 3'!S42+'дод. 3'!S62+'дод. 3'!S190</f>
        <v>0</v>
      </c>
      <c r="T136" s="53">
        <f>'дод. 3'!T42+'дод. 3'!T62+'дод. 3'!T190</f>
        <v>0</v>
      </c>
      <c r="U136" s="53">
        <f>'дод. 3'!U42+'дод. 3'!U62+'дод. 3'!U190</f>
        <v>0</v>
      </c>
      <c r="V136" s="76">
        <f t="shared" si="17"/>
        <v>20.21079258010118</v>
      </c>
      <c r="W136" s="53">
        <f t="shared" si="45"/>
        <v>23970</v>
      </c>
      <c r="X136" s="145"/>
      <c r="Y136" s="99"/>
    </row>
    <row r="137" spans="1:25" s="17" customFormat="1" ht="15">
      <c r="A137" s="20"/>
      <c r="B137" s="24" t="s">
        <v>82</v>
      </c>
      <c r="C137" s="24" t="s">
        <v>199</v>
      </c>
      <c r="D137" s="25" t="s">
        <v>83</v>
      </c>
      <c r="E137" s="53">
        <f>'дод. 3'!E63+'дод. 3'!E145+'дод. 3'!E168</f>
        <v>0</v>
      </c>
      <c r="F137" s="53">
        <f>'дод. 3'!F63+'дод. 3'!F145+'дод. 3'!F168</f>
        <v>0</v>
      </c>
      <c r="G137" s="53">
        <f>'дод. 3'!G63+'дод. 3'!G145+'дод. 3'!G168</f>
        <v>0</v>
      </c>
      <c r="H137" s="53">
        <f>'дод. 3'!H63+'дод. 3'!H145+'дод. 3'!H168</f>
        <v>0</v>
      </c>
      <c r="I137" s="53">
        <f>'дод. 3'!I63+'дод. 3'!I145+'дод. 3'!I168</f>
        <v>0</v>
      </c>
      <c r="J137" s="53">
        <f>'дод. 3'!J63+'дод. 3'!J145+'дод. 3'!J168</f>
        <v>0</v>
      </c>
      <c r="K137" s="76"/>
      <c r="L137" s="53">
        <f t="shared" si="43"/>
        <v>901200</v>
      </c>
      <c r="M137" s="53">
        <f>'дод. 3'!M63+'дод. 3'!M145+'дод. 3'!M168</f>
        <v>411200</v>
      </c>
      <c r="N137" s="53">
        <f>'дод. 3'!N63+'дод. 3'!N145+'дод. 3'!N168</f>
        <v>0</v>
      </c>
      <c r="O137" s="53">
        <f>'дод. 3'!O63+'дод. 3'!O145+'дод. 3'!O168</f>
        <v>0</v>
      </c>
      <c r="P137" s="53">
        <f>'дод. 3'!P63+'дод. 3'!P145+'дод. 3'!P168</f>
        <v>490000</v>
      </c>
      <c r="Q137" s="53">
        <f t="shared" si="44"/>
        <v>116082</v>
      </c>
      <c r="R137" s="53">
        <f>'дод. 3'!R63+'дод. 3'!R145+'дод. 3'!R168</f>
        <v>0</v>
      </c>
      <c r="S137" s="53">
        <f>'дод. 3'!S63+'дод. 3'!S145+'дод. 3'!S168</f>
        <v>0</v>
      </c>
      <c r="T137" s="53">
        <f>'дод. 3'!T63+'дод. 3'!T145+'дод. 3'!T168</f>
        <v>0</v>
      </c>
      <c r="U137" s="53">
        <f>'дод. 3'!U63+'дод. 3'!U145+'дод. 3'!U168</f>
        <v>116082</v>
      </c>
      <c r="V137" s="76">
        <f t="shared" si="17"/>
        <v>12.880825565912119</v>
      </c>
      <c r="W137" s="53">
        <f t="shared" si="45"/>
        <v>116082</v>
      </c>
      <c r="X137" s="145"/>
      <c r="Y137" s="99"/>
    </row>
    <row r="138" spans="1:25" s="17" customFormat="1" ht="60">
      <c r="A138" s="20"/>
      <c r="B138" s="24" t="s">
        <v>57</v>
      </c>
      <c r="C138" s="24" t="s">
        <v>192</v>
      </c>
      <c r="D138" s="25" t="s">
        <v>58</v>
      </c>
      <c r="E138" s="53">
        <f>'дод. 3'!E43+'дод. 3'!E146+'дод. 3'!E174+'дод. 3'!E179</f>
        <v>0</v>
      </c>
      <c r="F138" s="53">
        <f>'дод. 3'!F43+'дод. 3'!F146+'дод. 3'!F174+'дод. 3'!F179</f>
        <v>0</v>
      </c>
      <c r="G138" s="53">
        <f>'дод. 3'!G43+'дод. 3'!G146+'дод. 3'!G174+'дод. 3'!G179</f>
        <v>0</v>
      </c>
      <c r="H138" s="53">
        <f>'дод. 3'!H43+'дод. 3'!H146+'дод. 3'!H174+'дод. 3'!H179</f>
        <v>0</v>
      </c>
      <c r="I138" s="53">
        <f>'дод. 3'!I43+'дод. 3'!I146+'дод. 3'!I174+'дод. 3'!I179</f>
        <v>0</v>
      </c>
      <c r="J138" s="53">
        <f>'дод. 3'!J43+'дод. 3'!J146+'дод. 3'!J174+'дод. 3'!J179</f>
        <v>0</v>
      </c>
      <c r="K138" s="76"/>
      <c r="L138" s="53">
        <f t="shared" si="43"/>
        <v>1083172.79</v>
      </c>
      <c r="M138" s="53">
        <f>'дод. 3'!M43+'дод. 3'!M146+'дод. 3'!M174+'дод. 3'!M179</f>
        <v>610943.47</v>
      </c>
      <c r="N138" s="53">
        <f>'дод. 3'!N43+'дод. 3'!N146+'дод. 3'!N174+'дод. 3'!N179</f>
        <v>0</v>
      </c>
      <c r="O138" s="53">
        <f>'дод. 3'!O43+'дод. 3'!O146+'дод. 3'!O174+'дод. 3'!O179</f>
        <v>0</v>
      </c>
      <c r="P138" s="53">
        <f>'дод. 3'!P43+'дод. 3'!P146+'дод. 3'!P174+'дод. 3'!P179</f>
        <v>472229.32</v>
      </c>
      <c r="Q138" s="53">
        <f t="shared" si="44"/>
        <v>105697.29000000001</v>
      </c>
      <c r="R138" s="53">
        <f>'дод. 3'!R43+'дод. 3'!R146+'дод. 3'!R174+'дод. 3'!R179</f>
        <v>105697.29000000001</v>
      </c>
      <c r="S138" s="53">
        <f>'дод. 3'!S43+'дод. 3'!S146+'дод. 3'!S174+'дод. 3'!S179</f>
        <v>0</v>
      </c>
      <c r="T138" s="53">
        <f>'дод. 3'!T43+'дод. 3'!T146+'дод. 3'!T174+'дод. 3'!T179</f>
        <v>0</v>
      </c>
      <c r="U138" s="53">
        <f>'дод. 3'!U43+'дод. 3'!U146+'дод. 3'!U174+'дод. 3'!U179</f>
        <v>0</v>
      </c>
      <c r="V138" s="76">
        <f t="shared" si="17"/>
        <v>9.758119016265171</v>
      </c>
      <c r="W138" s="53">
        <f t="shared" si="45"/>
        <v>105697.29000000001</v>
      </c>
      <c r="X138" s="145"/>
      <c r="Y138" s="99"/>
    </row>
    <row r="139" spans="1:25" s="17" customFormat="1" ht="28.5">
      <c r="A139" s="20"/>
      <c r="B139" s="49" t="s">
        <v>278</v>
      </c>
      <c r="C139" s="49"/>
      <c r="D139" s="50" t="s">
        <v>279</v>
      </c>
      <c r="E139" s="126">
        <f>SUM(E140:E142)</f>
        <v>16326699.15</v>
      </c>
      <c r="F139" s="126">
        <f aca="true" t="shared" si="46" ref="F139:W139">SUM(F140:F142)</f>
        <v>0</v>
      </c>
      <c r="G139" s="126">
        <f t="shared" si="46"/>
        <v>268820</v>
      </c>
      <c r="H139" s="126">
        <f t="shared" si="46"/>
        <v>1319689.45</v>
      </c>
      <c r="I139" s="126">
        <f t="shared" si="46"/>
        <v>0</v>
      </c>
      <c r="J139" s="126">
        <f t="shared" si="46"/>
        <v>119007.93</v>
      </c>
      <c r="K139" s="125">
        <f>H139/E139*100</f>
        <v>8.083014440797115</v>
      </c>
      <c r="L139" s="126">
        <f t="shared" si="46"/>
        <v>150027.53</v>
      </c>
      <c r="M139" s="126">
        <f t="shared" si="46"/>
        <v>36027.53</v>
      </c>
      <c r="N139" s="126">
        <f t="shared" si="46"/>
        <v>0</v>
      </c>
      <c r="O139" s="126">
        <f t="shared" si="46"/>
        <v>0</v>
      </c>
      <c r="P139" s="126">
        <f t="shared" si="46"/>
        <v>114000</v>
      </c>
      <c r="Q139" s="126">
        <f t="shared" si="46"/>
        <v>0</v>
      </c>
      <c r="R139" s="126">
        <f t="shared" si="46"/>
        <v>0</v>
      </c>
      <c r="S139" s="126">
        <f t="shared" si="46"/>
        <v>0</v>
      </c>
      <c r="T139" s="126">
        <f t="shared" si="46"/>
        <v>0</v>
      </c>
      <c r="U139" s="126">
        <f t="shared" si="46"/>
        <v>0</v>
      </c>
      <c r="V139" s="76">
        <f t="shared" si="17"/>
        <v>0</v>
      </c>
      <c r="W139" s="126">
        <f t="shared" si="46"/>
        <v>1319689.45</v>
      </c>
      <c r="X139" s="145"/>
      <c r="Y139" s="99"/>
    </row>
    <row r="140" spans="1:25" s="17" customFormat="1" ht="15">
      <c r="A140" s="20"/>
      <c r="B140" s="24" t="s">
        <v>176</v>
      </c>
      <c r="C140" s="24" t="s">
        <v>192</v>
      </c>
      <c r="D140" s="25" t="s">
        <v>177</v>
      </c>
      <c r="E140" s="53">
        <f>'дод. 3'!E192</f>
        <v>11126248.15</v>
      </c>
      <c r="F140" s="53">
        <f>'дод. 3'!F192</f>
        <v>0</v>
      </c>
      <c r="G140" s="53">
        <f>'дод. 3'!G192</f>
        <v>0</v>
      </c>
      <c r="H140" s="53">
        <f>'дод. 3'!H192</f>
        <v>0</v>
      </c>
      <c r="I140" s="53">
        <f>'дод. 3'!I192</f>
        <v>0</v>
      </c>
      <c r="J140" s="53">
        <f>'дод. 3'!J192</f>
        <v>0</v>
      </c>
      <c r="K140" s="76">
        <f>H140/E140*100</f>
        <v>0</v>
      </c>
      <c r="L140" s="53">
        <f>M140+P140</f>
        <v>0</v>
      </c>
      <c r="M140" s="53">
        <f>'дод. 3'!M192</f>
        <v>0</v>
      </c>
      <c r="N140" s="53">
        <f>'дод. 3'!N192</f>
        <v>0</v>
      </c>
      <c r="O140" s="53">
        <f>'дод. 3'!O192</f>
        <v>0</v>
      </c>
      <c r="P140" s="53">
        <f>'дод. 3'!P192</f>
        <v>0</v>
      </c>
      <c r="Q140" s="53">
        <f>R140+U140</f>
        <v>0</v>
      </c>
      <c r="R140" s="53">
        <f>'дод. 3'!R192</f>
        <v>0</v>
      </c>
      <c r="S140" s="53">
        <f>'дод. 3'!S192</f>
        <v>0</v>
      </c>
      <c r="T140" s="53">
        <f>'дод. 3'!T192</f>
        <v>0</v>
      </c>
      <c r="U140" s="53">
        <f>'дод. 3'!U192</f>
        <v>0</v>
      </c>
      <c r="V140" s="76"/>
      <c r="W140" s="53">
        <f>Q140+H140</f>
        <v>0</v>
      </c>
      <c r="X140" s="145"/>
      <c r="Y140" s="99"/>
    </row>
    <row r="141" spans="1:25" s="17" customFormat="1" ht="15">
      <c r="A141" s="20"/>
      <c r="B141" s="24" t="s">
        <v>59</v>
      </c>
      <c r="C141" s="24" t="s">
        <v>192</v>
      </c>
      <c r="D141" s="25" t="s">
        <v>25</v>
      </c>
      <c r="E141" s="53">
        <f>'дод. 3'!E45+'дод. 3'!E148+'дод. 3'!E152+'дод. 3'!E169+'дод. 3'!E175+'дод. 3'!E186+'дод. 3'!E156+'дод. 3'!E180</f>
        <v>5115546</v>
      </c>
      <c r="F141" s="53">
        <f>'дод. 3'!F45+'дод. 3'!F148+'дод. 3'!F152+'дод. 3'!F169+'дод. 3'!F175+'дод. 3'!F186+'дод. 3'!F156+'дод. 3'!F180</f>
        <v>0</v>
      </c>
      <c r="G141" s="53">
        <f>'дод. 3'!G45+'дод. 3'!G148+'дод. 3'!G152+'дод. 3'!G169+'дод. 3'!G175+'дод. 3'!G186+'дод. 3'!G156+'дод. 3'!G180</f>
        <v>268820</v>
      </c>
      <c r="H141" s="53">
        <f>'дод. 3'!H45+'дод. 3'!H148+'дод. 3'!H152+'дод. 3'!H169+'дод. 3'!H175+'дод. 3'!H186+'дод. 3'!H156+'дод. 3'!H180</f>
        <v>1299781.65</v>
      </c>
      <c r="I141" s="53">
        <f>'дод. 3'!I45+'дод. 3'!I148+'дод. 3'!I152+'дод. 3'!I169+'дод. 3'!I175+'дод. 3'!I186+'дод. 3'!I156+'дод. 3'!I180</f>
        <v>0</v>
      </c>
      <c r="J141" s="53">
        <f>'дод. 3'!J45+'дод. 3'!J148+'дод. 3'!J152+'дод. 3'!J169+'дод. 3'!J175+'дод. 3'!J186+'дод. 3'!J156+'дод. 3'!J180</f>
        <v>119007.93</v>
      </c>
      <c r="K141" s="76">
        <f>H141/E141*100</f>
        <v>25.40846372997134</v>
      </c>
      <c r="L141" s="53">
        <f>M141+P141</f>
        <v>114000</v>
      </c>
      <c r="M141" s="53">
        <f>'дод. 3'!M45+'дод. 3'!M148+'дод. 3'!M152+'дод. 3'!M169+'дод. 3'!M175+'дод. 3'!M186+'дод. 3'!M156+'дод. 3'!M180</f>
        <v>0</v>
      </c>
      <c r="N141" s="53">
        <f>'дод. 3'!N45+'дод. 3'!N148+'дод. 3'!N152+'дод. 3'!N169+'дод. 3'!N175+'дод. 3'!N186+'дод. 3'!N156+'дод. 3'!N180</f>
        <v>0</v>
      </c>
      <c r="O141" s="53">
        <f>'дод. 3'!O45+'дод. 3'!O148+'дод. 3'!O152+'дод. 3'!O169+'дод. 3'!O175+'дод. 3'!O186+'дод. 3'!O156+'дод. 3'!O180</f>
        <v>0</v>
      </c>
      <c r="P141" s="53">
        <f>'дод. 3'!P45+'дод. 3'!P148+'дод. 3'!P152+'дод. 3'!P169+'дод. 3'!P175+'дод. 3'!P186+'дод. 3'!P156+'дод. 3'!P180</f>
        <v>114000</v>
      </c>
      <c r="Q141" s="53">
        <f>R141+U141</f>
        <v>0</v>
      </c>
      <c r="R141" s="53">
        <f>'дод. 3'!R45+'дод. 3'!R148+'дод. 3'!R152+'дод. 3'!R169+'дод. 3'!R175+'дод. 3'!R186+'дод. 3'!R156+'дод. 3'!R180</f>
        <v>0</v>
      </c>
      <c r="S141" s="53">
        <f>'дод. 3'!S45+'дод. 3'!S148+'дод. 3'!S152+'дод. 3'!S169+'дод. 3'!S175+'дод. 3'!S186+'дод. 3'!S156+'дод. 3'!S180</f>
        <v>0</v>
      </c>
      <c r="T141" s="53">
        <f>'дод. 3'!T45+'дод. 3'!T148+'дод. 3'!T152+'дод. 3'!T169+'дод. 3'!T175+'дод. 3'!T186+'дод. 3'!T156+'дод. 3'!T180</f>
        <v>0</v>
      </c>
      <c r="U141" s="53">
        <f>'дод. 3'!U45+'дод. 3'!U148+'дод. 3'!U152+'дод. 3'!U169+'дод. 3'!U175+'дод. 3'!U186+'дод. 3'!U156+'дод. 3'!U180</f>
        <v>0</v>
      </c>
      <c r="V141" s="76">
        <f t="shared" si="17"/>
        <v>0</v>
      </c>
      <c r="W141" s="53">
        <f>Q141+H141</f>
        <v>1299781.65</v>
      </c>
      <c r="X141" s="145"/>
      <c r="Y141" s="99"/>
    </row>
    <row r="142" spans="1:25" s="17" customFormat="1" ht="75">
      <c r="A142" s="20"/>
      <c r="B142" s="27" t="s">
        <v>174</v>
      </c>
      <c r="C142" s="27" t="s">
        <v>208</v>
      </c>
      <c r="D142" s="25" t="s">
        <v>175</v>
      </c>
      <c r="E142" s="53">
        <f>'дод. 3'!E170</f>
        <v>84905</v>
      </c>
      <c r="F142" s="53">
        <f>'дод. 3'!F170</f>
        <v>0</v>
      </c>
      <c r="G142" s="53">
        <f>'дод. 3'!G170</f>
        <v>0</v>
      </c>
      <c r="H142" s="53">
        <f>'дод. 3'!H170</f>
        <v>19907.8</v>
      </c>
      <c r="I142" s="53">
        <f>'дод. 3'!I170</f>
        <v>0</v>
      </c>
      <c r="J142" s="53">
        <f>'дод. 3'!J170</f>
        <v>0</v>
      </c>
      <c r="K142" s="76">
        <f>H142/E142*100</f>
        <v>23.447146811141863</v>
      </c>
      <c r="L142" s="53">
        <f>M142+P142</f>
        <v>36027.53</v>
      </c>
      <c r="M142" s="53">
        <f>'дод. 3'!M170</f>
        <v>36027.53</v>
      </c>
      <c r="N142" s="53">
        <f>'дод. 3'!N170</f>
        <v>0</v>
      </c>
      <c r="O142" s="53">
        <f>'дод. 3'!O170</f>
        <v>0</v>
      </c>
      <c r="P142" s="53">
        <f>'дод. 3'!P170</f>
        <v>0</v>
      </c>
      <c r="Q142" s="53">
        <f>R142+U142</f>
        <v>0</v>
      </c>
      <c r="R142" s="53">
        <f>'дод. 3'!R170</f>
        <v>0</v>
      </c>
      <c r="S142" s="53">
        <f>'дод. 3'!S170</f>
        <v>0</v>
      </c>
      <c r="T142" s="53">
        <f>'дод. 3'!T170</f>
        <v>0</v>
      </c>
      <c r="U142" s="53">
        <f>'дод. 3'!U170</f>
        <v>0</v>
      </c>
      <c r="V142" s="76">
        <f t="shared" si="17"/>
        <v>0</v>
      </c>
      <c r="W142" s="53">
        <f>Q142+H142</f>
        <v>19907.8</v>
      </c>
      <c r="X142" s="145"/>
      <c r="Y142" s="99"/>
    </row>
    <row r="143" spans="1:25" s="17" customFormat="1" ht="15">
      <c r="A143" s="20"/>
      <c r="B143" s="30"/>
      <c r="C143" s="30"/>
      <c r="D143" s="52" t="s">
        <v>2</v>
      </c>
      <c r="E143" s="126">
        <f>E14+E16+E30+E39+E85+E93+E98+E100+E107+E111+E113+E120+E125+E127+E130+E132+E139</f>
        <v>1609249276.18</v>
      </c>
      <c r="F143" s="126">
        <f>F14+F16+F30+F39+F85+F93+F98+F100+F107+F111+F113+F120+F125+F127+F130+F132+F139</f>
        <v>453040295.86</v>
      </c>
      <c r="G143" s="126">
        <f>G14+G16+G30+G39+G85+G93+G98+G100+G107+G111+G113+G120+G125+G127+G130+G132+G139</f>
        <v>92371235.79</v>
      </c>
      <c r="H143" s="126">
        <f>H14+H16+H30+H39+H85+H93+H98+H100+H107+H111+H113+H120+H125+H127+H130+H132+H139</f>
        <v>774668323.7600001</v>
      </c>
      <c r="I143" s="126">
        <f>I14+I16+I30+I39+I85+I93+I98+I100+I107+I111+I113+I120+I125+I127+I130+I132+I139</f>
        <v>229403764.16</v>
      </c>
      <c r="J143" s="126">
        <f>J14+J16+J30+J39+J85+J93+J100+J127+J139</f>
        <v>49423863.67999999</v>
      </c>
      <c r="K143" s="125">
        <f t="shared" si="21"/>
        <v>48.13849135908207</v>
      </c>
      <c r="L143" s="126">
        <f aca="true" t="shared" si="47" ref="L143:U143">L14+L16+L30+L39+L85+L93+L98+L100+L107+L111+L113+L120+L125+L127+L130+L132+L139</f>
        <v>492320048.05</v>
      </c>
      <c r="M143" s="126">
        <f t="shared" si="47"/>
        <v>53843800</v>
      </c>
      <c r="N143" s="126">
        <f t="shared" si="47"/>
        <v>11367440</v>
      </c>
      <c r="O143" s="126">
        <f t="shared" si="47"/>
        <v>2168292</v>
      </c>
      <c r="P143" s="126">
        <f t="shared" si="47"/>
        <v>438476248.05</v>
      </c>
      <c r="Q143" s="126">
        <f t="shared" si="47"/>
        <v>132274992.42</v>
      </c>
      <c r="R143" s="126">
        <f t="shared" si="47"/>
        <v>23962695.229999997</v>
      </c>
      <c r="S143" s="126">
        <f t="shared" si="47"/>
        <v>5235296.27</v>
      </c>
      <c r="T143" s="126">
        <f t="shared" si="47"/>
        <v>1059327.27</v>
      </c>
      <c r="U143" s="126">
        <f t="shared" si="47"/>
        <v>108312297.19</v>
      </c>
      <c r="V143" s="125">
        <f>Q143/L143*100</f>
        <v>26.867683520896584</v>
      </c>
      <c r="W143" s="126">
        <f>W14+W16+W30+W39+W85+W93+W98+W100+W107+W111+W113+W120+W125+W127+W130+W132+W139</f>
        <v>906943316.1800002</v>
      </c>
      <c r="X143" s="145"/>
      <c r="Y143" s="99"/>
    </row>
    <row r="144" spans="1:25" s="17" customFormat="1" ht="15">
      <c r="A144" s="20"/>
      <c r="B144" s="30"/>
      <c r="C144" s="30"/>
      <c r="D144" s="52" t="s">
        <v>280</v>
      </c>
      <c r="E144" s="126">
        <f>SUM(E145:E148)</f>
        <v>59451913</v>
      </c>
      <c r="F144" s="126">
        <f aca="true" t="shared" si="48" ref="F144:W144">SUM(F145:F148)</f>
        <v>0</v>
      </c>
      <c r="G144" s="126">
        <f t="shared" si="48"/>
        <v>0</v>
      </c>
      <c r="H144" s="126">
        <f t="shared" si="48"/>
        <v>27139432</v>
      </c>
      <c r="I144" s="126">
        <f t="shared" si="48"/>
        <v>0</v>
      </c>
      <c r="J144" s="126">
        <f t="shared" si="48"/>
        <v>0</v>
      </c>
      <c r="K144" s="76">
        <f t="shared" si="21"/>
        <v>45.6493838978739</v>
      </c>
      <c r="L144" s="126">
        <f t="shared" si="48"/>
        <v>1550000</v>
      </c>
      <c r="M144" s="126">
        <f t="shared" si="48"/>
        <v>0</v>
      </c>
      <c r="N144" s="126">
        <f t="shared" si="48"/>
        <v>0</v>
      </c>
      <c r="O144" s="126">
        <f t="shared" si="48"/>
        <v>0</v>
      </c>
      <c r="P144" s="126">
        <f t="shared" si="48"/>
        <v>1550000</v>
      </c>
      <c r="Q144" s="126">
        <f t="shared" si="48"/>
        <v>720100</v>
      </c>
      <c r="R144" s="126">
        <f t="shared" si="48"/>
        <v>0</v>
      </c>
      <c r="S144" s="126">
        <f t="shared" si="48"/>
        <v>0</v>
      </c>
      <c r="T144" s="126">
        <f t="shared" si="48"/>
        <v>0</v>
      </c>
      <c r="U144" s="126">
        <f t="shared" si="48"/>
        <v>720100</v>
      </c>
      <c r="V144" s="125">
        <f t="shared" si="17"/>
        <v>46.458064516129035</v>
      </c>
      <c r="W144" s="126">
        <f t="shared" si="48"/>
        <v>27859532</v>
      </c>
      <c r="X144" s="145"/>
      <c r="Y144" s="99"/>
    </row>
    <row r="145" spans="1:25" s="17" customFormat="1" ht="15">
      <c r="A145" s="20"/>
      <c r="B145" s="24" t="s">
        <v>227</v>
      </c>
      <c r="C145" s="24" t="s">
        <v>224</v>
      </c>
      <c r="D145" s="25" t="s">
        <v>228</v>
      </c>
      <c r="E145" s="53">
        <f>'дод. 3'!E193</f>
        <v>56401300</v>
      </c>
      <c r="F145" s="53">
        <f>'дод. 3'!F193</f>
        <v>0</v>
      </c>
      <c r="G145" s="53">
        <f>'дод. 3'!G193</f>
        <v>0</v>
      </c>
      <c r="H145" s="53">
        <f>'дод. 3'!H193</f>
        <v>26633900</v>
      </c>
      <c r="I145" s="53">
        <f>'дод. 3'!I193</f>
        <v>0</v>
      </c>
      <c r="J145" s="53">
        <f>'дод. 3'!J193</f>
        <v>0</v>
      </c>
      <c r="K145" s="76">
        <f t="shared" si="21"/>
        <v>47.222138496807695</v>
      </c>
      <c r="L145" s="53">
        <f>M145+P145</f>
        <v>0</v>
      </c>
      <c r="M145" s="53">
        <f>'дод. 3'!M193</f>
        <v>0</v>
      </c>
      <c r="N145" s="53">
        <f>'дод. 3'!N193</f>
        <v>0</v>
      </c>
      <c r="O145" s="53">
        <f>'дод. 3'!O193</f>
        <v>0</v>
      </c>
      <c r="P145" s="53">
        <f>'дод. 3'!P193</f>
        <v>0</v>
      </c>
      <c r="Q145" s="53">
        <f>R145+U145</f>
        <v>0</v>
      </c>
      <c r="R145" s="53">
        <f>'дод. 3'!R193</f>
        <v>0</v>
      </c>
      <c r="S145" s="53">
        <f>'дод. 3'!S193</f>
        <v>0</v>
      </c>
      <c r="T145" s="53">
        <f>'дод. 3'!T193</f>
        <v>0</v>
      </c>
      <c r="U145" s="53">
        <f>'дод. 3'!U193</f>
        <v>0</v>
      </c>
      <c r="V145" s="76"/>
      <c r="W145" s="53">
        <f>Q145+H145</f>
        <v>26633900</v>
      </c>
      <c r="X145" s="145"/>
      <c r="Y145" s="99"/>
    </row>
    <row r="146" spans="1:25" s="17" customFormat="1" ht="15">
      <c r="A146" s="20"/>
      <c r="B146" s="24" t="s">
        <v>229</v>
      </c>
      <c r="C146" s="24" t="s">
        <v>224</v>
      </c>
      <c r="D146" s="25" t="s">
        <v>235</v>
      </c>
      <c r="E146" s="53">
        <f>'дод. 3'!E194</f>
        <v>141957</v>
      </c>
      <c r="F146" s="53">
        <f>'дод. 3'!F194</f>
        <v>0</v>
      </c>
      <c r="G146" s="53">
        <f>'дод. 3'!G194</f>
        <v>0</v>
      </c>
      <c r="H146" s="53">
        <f>'дод. 3'!H194</f>
        <v>47032</v>
      </c>
      <c r="I146" s="53">
        <f>'дод. 3'!I194</f>
        <v>0</v>
      </c>
      <c r="J146" s="53">
        <f>'дод. 3'!J194</f>
        <v>0</v>
      </c>
      <c r="K146" s="76">
        <f t="shared" si="21"/>
        <v>33.13115943560374</v>
      </c>
      <c r="L146" s="53">
        <f>M146+P146</f>
        <v>0</v>
      </c>
      <c r="M146" s="53">
        <f>'дод. 3'!M194</f>
        <v>0</v>
      </c>
      <c r="N146" s="53">
        <f>'дод. 3'!N194</f>
        <v>0</v>
      </c>
      <c r="O146" s="53">
        <f>'дод. 3'!O194</f>
        <v>0</v>
      </c>
      <c r="P146" s="53">
        <f>'дод. 3'!P194</f>
        <v>0</v>
      </c>
      <c r="Q146" s="53">
        <f>R146+U146</f>
        <v>0</v>
      </c>
      <c r="R146" s="53">
        <f>'дод. 3'!R194</f>
        <v>0</v>
      </c>
      <c r="S146" s="53">
        <f>'дод. 3'!S194</f>
        <v>0</v>
      </c>
      <c r="T146" s="53">
        <f>'дод. 3'!T194</f>
        <v>0</v>
      </c>
      <c r="U146" s="53">
        <f>'дод. 3'!U194</f>
        <v>0</v>
      </c>
      <c r="V146" s="76"/>
      <c r="W146" s="53">
        <f>Q146+H146</f>
        <v>47032</v>
      </c>
      <c r="X146" s="145"/>
      <c r="Y146" s="99"/>
    </row>
    <row r="147" spans="1:25" s="17" customFormat="1" ht="60">
      <c r="A147" s="20"/>
      <c r="B147" s="24" t="s">
        <v>327</v>
      </c>
      <c r="C147" s="24" t="s">
        <v>224</v>
      </c>
      <c r="D147" s="25" t="s">
        <v>328</v>
      </c>
      <c r="E147" s="53">
        <f>'дод. 3'!E44</f>
        <v>320000</v>
      </c>
      <c r="F147" s="53">
        <f>'дод. 3'!F44</f>
        <v>0</v>
      </c>
      <c r="G147" s="53">
        <f>'дод. 3'!G44</f>
        <v>0</v>
      </c>
      <c r="H147" s="53">
        <f>'дод. 3'!H44</f>
        <v>300000</v>
      </c>
      <c r="I147" s="53">
        <f>'дод. 3'!I44</f>
        <v>0</v>
      </c>
      <c r="J147" s="53">
        <f>'дод. 3'!J44</f>
        <v>0</v>
      </c>
      <c r="K147" s="76">
        <f t="shared" si="21"/>
        <v>93.75</v>
      </c>
      <c r="L147" s="53">
        <f>M147+P147</f>
        <v>0</v>
      </c>
      <c r="M147" s="53">
        <f>'дод. 3'!M44</f>
        <v>0</v>
      </c>
      <c r="N147" s="53">
        <f>'дод. 3'!N44</f>
        <v>0</v>
      </c>
      <c r="O147" s="53">
        <f>'дод. 3'!O44</f>
        <v>0</v>
      </c>
      <c r="P147" s="53">
        <f>'дод. 3'!P44</f>
        <v>0</v>
      </c>
      <c r="Q147" s="53">
        <f>R147+U147</f>
        <v>0</v>
      </c>
      <c r="R147" s="53">
        <f>'дод. 3'!R44</f>
        <v>0</v>
      </c>
      <c r="S147" s="53">
        <f>'дод. 3'!S44</f>
        <v>0</v>
      </c>
      <c r="T147" s="53">
        <f>'дод. 3'!T44</f>
        <v>0</v>
      </c>
      <c r="U147" s="53">
        <f>'дод. 3'!U44</f>
        <v>0</v>
      </c>
      <c r="V147" s="76"/>
      <c r="W147" s="53">
        <f>Q147+H147</f>
        <v>300000</v>
      </c>
      <c r="X147" s="145"/>
      <c r="Y147" s="99"/>
    </row>
    <row r="148" spans="1:25" s="17" customFormat="1" ht="15">
      <c r="A148" s="20"/>
      <c r="B148" s="24" t="s">
        <v>178</v>
      </c>
      <c r="C148" s="24" t="s">
        <v>224</v>
      </c>
      <c r="D148" s="34" t="s">
        <v>179</v>
      </c>
      <c r="E148" s="53">
        <f>'дод. 3'!E118+'дод. 3'!E147+'дод. 3'!E181+'дод. 3'!E195</f>
        <v>2588656</v>
      </c>
      <c r="F148" s="53">
        <f>'дод. 3'!F118+'дод. 3'!F147+'дод. 3'!F181+'дод. 3'!F195</f>
        <v>0</v>
      </c>
      <c r="G148" s="53">
        <f>'дод. 3'!G118+'дод. 3'!G147+'дод. 3'!G181+'дод. 3'!G195</f>
        <v>0</v>
      </c>
      <c r="H148" s="53">
        <f>'дод. 3'!H118+'дод. 3'!H147+'дод. 3'!H181+'дод. 3'!H195</f>
        <v>158500</v>
      </c>
      <c r="I148" s="53">
        <f>'дод. 3'!I118+'дод. 3'!I147+'дод. 3'!I181+'дод. 3'!I195</f>
        <v>0</v>
      </c>
      <c r="J148" s="53">
        <f>'дод. 3'!J118+'дод. 3'!J147+'дод. 3'!J181+'дод. 3'!J195</f>
        <v>0</v>
      </c>
      <c r="K148" s="76">
        <f t="shared" si="21"/>
        <v>6.122868391937747</v>
      </c>
      <c r="L148" s="53">
        <f>M148+P148</f>
        <v>1550000</v>
      </c>
      <c r="M148" s="53">
        <f>'дод. 3'!M118+'дод. 3'!M147+'дод. 3'!M181+'дод. 3'!M195</f>
        <v>0</v>
      </c>
      <c r="N148" s="53">
        <f>'дод. 3'!N118+'дод. 3'!N147+'дод. 3'!N181+'дод. 3'!N195</f>
        <v>0</v>
      </c>
      <c r="O148" s="53">
        <f>'дод. 3'!O118+'дод. 3'!O147+'дод. 3'!O181+'дод. 3'!O195</f>
        <v>0</v>
      </c>
      <c r="P148" s="53">
        <f>'дод. 3'!P118+'дод. 3'!P147+'дод. 3'!P181+'дод. 3'!P195</f>
        <v>1550000</v>
      </c>
      <c r="Q148" s="53">
        <f>R148+U148</f>
        <v>720100</v>
      </c>
      <c r="R148" s="53">
        <f>'дод. 3'!R118+'дод. 3'!R147+'дод. 3'!R181+'дод. 3'!R195</f>
        <v>0</v>
      </c>
      <c r="S148" s="53">
        <f>'дод. 3'!S118+'дод. 3'!S147+'дод. 3'!S181+'дод. 3'!S195</f>
        <v>0</v>
      </c>
      <c r="T148" s="53">
        <f>'дод. 3'!T118+'дод. 3'!T147+'дод. 3'!T181+'дод. 3'!T195</f>
        <v>0</v>
      </c>
      <c r="U148" s="53">
        <f>'дод. 3'!U118+'дод. 3'!U147+'дод. 3'!U181+'дод. 3'!U195</f>
        <v>720100</v>
      </c>
      <c r="V148" s="76">
        <f t="shared" si="17"/>
        <v>46.458064516129035</v>
      </c>
      <c r="W148" s="53">
        <f>Q148+H148</f>
        <v>878600</v>
      </c>
      <c r="X148" s="145"/>
      <c r="Y148" s="99"/>
    </row>
    <row r="149" spans="1:25" s="17" customFormat="1" ht="15">
      <c r="A149" s="20"/>
      <c r="B149" s="24"/>
      <c r="C149" s="24"/>
      <c r="D149" s="29" t="s">
        <v>180</v>
      </c>
      <c r="E149" s="126">
        <f>E144+E143</f>
        <v>1668701189.18</v>
      </c>
      <c r="F149" s="126">
        <f aca="true" t="shared" si="49" ref="F149:W149">F144+F143</f>
        <v>453040295.86</v>
      </c>
      <c r="G149" s="126">
        <f t="shared" si="49"/>
        <v>92371235.79</v>
      </c>
      <c r="H149" s="126">
        <f t="shared" si="49"/>
        <v>801807755.7600001</v>
      </c>
      <c r="I149" s="126">
        <f t="shared" si="49"/>
        <v>229403764.16</v>
      </c>
      <c r="J149" s="126">
        <f t="shared" si="49"/>
        <v>49423863.67999999</v>
      </c>
      <c r="K149" s="125">
        <f t="shared" si="21"/>
        <v>48.049810293118355</v>
      </c>
      <c r="L149" s="126">
        <f t="shared" si="49"/>
        <v>493870048.05</v>
      </c>
      <c r="M149" s="126">
        <f t="shared" si="49"/>
        <v>53843800</v>
      </c>
      <c r="N149" s="126">
        <f t="shared" si="49"/>
        <v>11367440</v>
      </c>
      <c r="O149" s="126">
        <f t="shared" si="49"/>
        <v>2168292</v>
      </c>
      <c r="P149" s="126">
        <f t="shared" si="49"/>
        <v>440026248.05</v>
      </c>
      <c r="Q149" s="126">
        <f t="shared" si="49"/>
        <v>132995092.42</v>
      </c>
      <c r="R149" s="126">
        <f t="shared" si="49"/>
        <v>23962695.229999997</v>
      </c>
      <c r="S149" s="126">
        <f t="shared" si="49"/>
        <v>5235296.27</v>
      </c>
      <c r="T149" s="126">
        <f t="shared" si="49"/>
        <v>1059327.27</v>
      </c>
      <c r="U149" s="126">
        <f t="shared" si="49"/>
        <v>109032397.19</v>
      </c>
      <c r="V149" s="125">
        <f>Q149/L149*100</f>
        <v>26.929167489528627</v>
      </c>
      <c r="W149" s="126">
        <f t="shared" si="49"/>
        <v>934802848.1800002</v>
      </c>
      <c r="X149" s="145"/>
      <c r="Y149" s="99"/>
    </row>
    <row r="150" spans="1:24" ht="12.75">
      <c r="A150" s="14"/>
      <c r="B150" s="14"/>
      <c r="C150" s="14"/>
      <c r="D150" s="14"/>
      <c r="E150" s="38"/>
      <c r="F150" s="38"/>
      <c r="G150" s="38"/>
      <c r="H150" s="38"/>
      <c r="I150" s="38"/>
      <c r="J150" s="38"/>
      <c r="K150" s="91"/>
      <c r="L150" s="38"/>
      <c r="M150" s="38"/>
      <c r="N150" s="38"/>
      <c r="O150" s="38"/>
      <c r="P150" s="38"/>
      <c r="Q150" s="38"/>
      <c r="R150" s="38"/>
      <c r="S150" s="38"/>
      <c r="T150" s="38"/>
      <c r="U150" s="38"/>
      <c r="V150" s="91"/>
      <c r="W150" s="38"/>
      <c r="X150" s="137"/>
    </row>
    <row r="151" spans="5:24" ht="12.75">
      <c r="E151" s="104"/>
      <c r="F151" s="104"/>
      <c r="G151" s="104"/>
      <c r="H151" s="104"/>
      <c r="I151" s="104"/>
      <c r="J151" s="104"/>
      <c r="K151" s="109"/>
      <c r="L151" s="104"/>
      <c r="M151" s="104"/>
      <c r="N151" s="104"/>
      <c r="O151" s="104"/>
      <c r="P151" s="104"/>
      <c r="Q151" s="104"/>
      <c r="R151" s="104"/>
      <c r="S151" s="104"/>
      <c r="T151" s="104"/>
      <c r="U151" s="104"/>
      <c r="V151" s="109"/>
      <c r="W151" s="104"/>
      <c r="X151" s="137"/>
    </row>
    <row r="152" spans="5:24" ht="12.75">
      <c r="E152" s="104"/>
      <c r="F152" s="104"/>
      <c r="G152" s="104"/>
      <c r="H152" s="104"/>
      <c r="I152" s="104"/>
      <c r="J152" s="104"/>
      <c r="K152" s="109"/>
      <c r="L152" s="104"/>
      <c r="M152" s="104"/>
      <c r="N152" s="104"/>
      <c r="O152" s="104"/>
      <c r="P152" s="104"/>
      <c r="Q152" s="104"/>
      <c r="R152" s="104"/>
      <c r="S152" s="104"/>
      <c r="T152" s="104"/>
      <c r="U152" s="104"/>
      <c r="V152" s="109"/>
      <c r="W152" s="104"/>
      <c r="X152" s="137"/>
    </row>
    <row r="153" spans="1:25" s="43" customFormat="1" ht="24" customHeight="1">
      <c r="A153" s="42"/>
      <c r="B153" s="142" t="s">
        <v>239</v>
      </c>
      <c r="C153" s="142"/>
      <c r="D153" s="142"/>
      <c r="E153" s="84"/>
      <c r="F153" s="85"/>
      <c r="G153" s="85"/>
      <c r="H153" s="85"/>
      <c r="I153" s="85"/>
      <c r="J153" s="110"/>
      <c r="K153" s="79"/>
      <c r="L153" s="85"/>
      <c r="M153" s="85"/>
      <c r="N153" s="85"/>
      <c r="O153" s="158" t="s">
        <v>240</v>
      </c>
      <c r="P153" s="158"/>
      <c r="Q153" s="158"/>
      <c r="R153" s="158"/>
      <c r="S153" s="85"/>
      <c r="T153" s="85"/>
      <c r="U153" s="85"/>
      <c r="V153" s="79"/>
      <c r="W153" s="86"/>
      <c r="X153" s="137"/>
      <c r="Y153" s="97"/>
    </row>
    <row r="154" spans="1:25" s="11" customFormat="1" ht="23.25">
      <c r="A154" s="8"/>
      <c r="B154" s="140"/>
      <c r="C154" s="140"/>
      <c r="D154" s="9"/>
      <c r="E154" s="72"/>
      <c r="F154" s="72"/>
      <c r="G154" s="72"/>
      <c r="H154" s="72"/>
      <c r="I154" s="72"/>
      <c r="J154" s="72"/>
      <c r="K154" s="80"/>
      <c r="L154" s="72"/>
      <c r="M154" s="72"/>
      <c r="N154" s="141"/>
      <c r="O154" s="141"/>
      <c r="P154" s="141"/>
      <c r="Q154" s="87"/>
      <c r="R154" s="87"/>
      <c r="S154" s="87"/>
      <c r="T154" s="87"/>
      <c r="U154" s="87"/>
      <c r="V154" s="87"/>
      <c r="W154" s="73"/>
      <c r="X154" s="137"/>
      <c r="Y154" s="100"/>
    </row>
    <row r="155" spans="1:25" s="11" customFormat="1" ht="23.25">
      <c r="A155" s="8"/>
      <c r="B155" s="11" t="s">
        <v>346</v>
      </c>
      <c r="C155" s="12"/>
      <c r="D155" s="12"/>
      <c r="E155" s="12"/>
      <c r="F155" s="12"/>
      <c r="G155" s="12"/>
      <c r="H155" s="12"/>
      <c r="I155" s="12"/>
      <c r="J155" s="12"/>
      <c r="K155" s="81"/>
      <c r="L155" s="88"/>
      <c r="M155" s="88"/>
      <c r="N155" s="88"/>
      <c r="O155" s="88"/>
      <c r="P155" s="73"/>
      <c r="Q155" s="73"/>
      <c r="R155" s="73"/>
      <c r="S155" s="73"/>
      <c r="T155" s="73"/>
      <c r="U155" s="73"/>
      <c r="V155" s="73"/>
      <c r="W155" s="73"/>
      <c r="X155" s="137"/>
      <c r="Y155" s="100"/>
    </row>
    <row r="156" spans="1:25" s="11" customFormat="1" ht="23.25">
      <c r="A156" s="8"/>
      <c r="B156" s="171"/>
      <c r="C156" s="171"/>
      <c r="D156" s="172"/>
      <c r="K156" s="82"/>
      <c r="P156" s="8"/>
      <c r="Q156" s="8"/>
      <c r="R156" s="8"/>
      <c r="S156" s="8"/>
      <c r="T156" s="8"/>
      <c r="U156" s="8"/>
      <c r="V156" s="8"/>
      <c r="W156" s="8"/>
      <c r="X156" s="45"/>
      <c r="Y156" s="100"/>
    </row>
    <row r="157" spans="1:25" s="7" customFormat="1" ht="23.25">
      <c r="A157" s="6"/>
      <c r="B157" s="15"/>
      <c r="C157" s="8"/>
      <c r="D157" s="8"/>
      <c r="E157" s="8"/>
      <c r="F157" s="8"/>
      <c r="G157" s="8"/>
      <c r="H157" s="8"/>
      <c r="I157" s="8"/>
      <c r="J157" s="8"/>
      <c r="K157" s="83"/>
      <c r="L157" s="8"/>
      <c r="M157" s="8"/>
      <c r="N157" s="8"/>
      <c r="O157" s="8"/>
      <c r="P157" s="8"/>
      <c r="Q157" s="8"/>
      <c r="R157" s="8"/>
      <c r="S157" s="8"/>
      <c r="T157" s="8"/>
      <c r="U157" s="8"/>
      <c r="V157" s="8"/>
      <c r="W157" s="6"/>
      <c r="X157" s="45"/>
      <c r="Y157" s="101"/>
    </row>
    <row r="158" spans="1:24" ht="12.75">
      <c r="A158" s="13"/>
      <c r="B158" s="13"/>
      <c r="C158" s="13"/>
      <c r="D158" s="13"/>
      <c r="E158" s="13"/>
      <c r="F158" s="13"/>
      <c r="G158" s="13"/>
      <c r="H158" s="13"/>
      <c r="I158" s="13"/>
      <c r="J158" s="13"/>
      <c r="K158" s="94"/>
      <c r="L158" s="13"/>
      <c r="M158" s="13"/>
      <c r="N158" s="13"/>
      <c r="O158" s="13"/>
      <c r="P158" s="13"/>
      <c r="Q158" s="13"/>
      <c r="R158" s="13"/>
      <c r="S158" s="13"/>
      <c r="T158" s="13"/>
      <c r="U158" s="13"/>
      <c r="V158" s="13"/>
      <c r="W158" s="13"/>
      <c r="X158" s="45"/>
    </row>
    <row r="159" spans="11:24" ht="12.75">
      <c r="K159" s="109"/>
      <c r="X159" s="45"/>
    </row>
    <row r="160" spans="11:24" ht="12.75">
      <c r="K160" s="109"/>
      <c r="X160" s="45"/>
    </row>
    <row r="161" spans="11:24" ht="12.75">
      <c r="K161" s="109"/>
      <c r="X161" s="45"/>
    </row>
    <row r="162" spans="11:24" ht="12.75">
      <c r="K162" s="109"/>
      <c r="X162" s="45"/>
    </row>
    <row r="163" spans="11:24" ht="12.75">
      <c r="K163" s="109"/>
      <c r="X163" s="45"/>
    </row>
    <row r="164" spans="11:24" ht="12.75">
      <c r="K164" s="109"/>
      <c r="X164" s="45"/>
    </row>
    <row r="165" spans="11:24" ht="12.75">
      <c r="K165" s="109"/>
      <c r="X165" s="45"/>
    </row>
    <row r="166" spans="11:24" ht="12.75">
      <c r="K166" s="109"/>
      <c r="X166" s="45"/>
    </row>
    <row r="167" spans="11:24" ht="12.75">
      <c r="K167" s="109"/>
      <c r="X167" s="45"/>
    </row>
    <row r="168" spans="11:24" ht="12.75">
      <c r="K168" s="109"/>
      <c r="X168" s="45"/>
    </row>
    <row r="169" spans="11:24" ht="12.75">
      <c r="K169" s="109"/>
      <c r="X169" s="45"/>
    </row>
    <row r="170" spans="11:24" ht="12.75">
      <c r="K170" s="109"/>
      <c r="X170" s="45"/>
    </row>
    <row r="171" spans="11:24" ht="12.75">
      <c r="K171" s="109"/>
      <c r="X171" s="45"/>
    </row>
    <row r="172" spans="11:24" ht="12.75">
      <c r="K172" s="109"/>
      <c r="X172" s="45"/>
    </row>
    <row r="173" spans="11:24" ht="12.75">
      <c r="K173" s="109"/>
      <c r="X173" s="45"/>
    </row>
    <row r="174" spans="11:24" ht="12.75">
      <c r="K174" s="109"/>
      <c r="X174" s="45"/>
    </row>
    <row r="175" spans="11:24" ht="12.75">
      <c r="K175" s="109"/>
      <c r="X175" s="45"/>
    </row>
    <row r="176" spans="11:24" ht="12.75">
      <c r="K176" s="109"/>
      <c r="X176" s="45"/>
    </row>
    <row r="177" spans="11:24" ht="12.75">
      <c r="K177" s="109"/>
      <c r="X177" s="45"/>
    </row>
    <row r="178" spans="11:24" ht="12.75">
      <c r="K178" s="109"/>
      <c r="X178" s="45"/>
    </row>
    <row r="179" ht="12.75">
      <c r="K179" s="109"/>
    </row>
    <row r="180" ht="12.75">
      <c r="K180" s="109"/>
    </row>
    <row r="181" ht="12.75">
      <c r="K181" s="109"/>
    </row>
    <row r="182" ht="12.75">
      <c r="K182" s="109"/>
    </row>
    <row r="183" ht="12.75">
      <c r="K183" s="109"/>
    </row>
    <row r="184" ht="12.75">
      <c r="K184" s="109"/>
    </row>
    <row r="185" ht="12.75">
      <c r="K185" s="109"/>
    </row>
    <row r="186" ht="12.75">
      <c r="K186" s="109"/>
    </row>
    <row r="187" ht="12.75">
      <c r="K187" s="109"/>
    </row>
    <row r="188" ht="12.75">
      <c r="K188" s="109"/>
    </row>
    <row r="189" ht="12.75">
      <c r="K189" s="109"/>
    </row>
    <row r="190" ht="12.75">
      <c r="K190" s="109"/>
    </row>
    <row r="191" ht="12.75">
      <c r="K191" s="109"/>
    </row>
    <row r="192" ht="12.75">
      <c r="K192" s="109"/>
    </row>
    <row r="193" ht="12.75">
      <c r="K193" s="109"/>
    </row>
    <row r="194" ht="12.75">
      <c r="K194" s="109"/>
    </row>
    <row r="195" ht="12.75">
      <c r="K195" s="109"/>
    </row>
    <row r="196" ht="12.75">
      <c r="K196" s="109"/>
    </row>
    <row r="197" ht="12.75">
      <c r="K197" s="109"/>
    </row>
    <row r="198" ht="12.75">
      <c r="K198" s="109"/>
    </row>
    <row r="199" ht="12.75">
      <c r="K199" s="109"/>
    </row>
    <row r="200" ht="12.75">
      <c r="K200" s="109"/>
    </row>
    <row r="201" ht="12.75">
      <c r="K201" s="109"/>
    </row>
    <row r="202" ht="12.75">
      <c r="K202" s="109"/>
    </row>
    <row r="203" ht="12.75">
      <c r="K203" s="109"/>
    </row>
    <row r="204" ht="12.75">
      <c r="K204" s="109"/>
    </row>
    <row r="205" ht="12.75">
      <c r="K205" s="109"/>
    </row>
    <row r="206" ht="12.75">
      <c r="K206" s="109"/>
    </row>
    <row r="207" ht="12.75">
      <c r="K207" s="109"/>
    </row>
    <row r="208" ht="12.75">
      <c r="K208" s="109"/>
    </row>
    <row r="209" ht="12.75">
      <c r="K209" s="109"/>
    </row>
    <row r="210" ht="12.75">
      <c r="K210" s="109"/>
    </row>
    <row r="211" ht="12.75">
      <c r="K211" s="109"/>
    </row>
    <row r="212" ht="12.75">
      <c r="K212" s="109"/>
    </row>
    <row r="213" ht="12.75">
      <c r="K213" s="109"/>
    </row>
    <row r="214" ht="12.75">
      <c r="K214" s="109"/>
    </row>
    <row r="215" ht="12.75">
      <c r="K215" s="109"/>
    </row>
    <row r="216" ht="12.75">
      <c r="K216" s="109"/>
    </row>
  </sheetData>
  <sheetProtection/>
  <mergeCells count="45">
    <mergeCell ref="R5:W5"/>
    <mergeCell ref="O153:R153"/>
    <mergeCell ref="R1:W1"/>
    <mergeCell ref="R2:W2"/>
    <mergeCell ref="R3:W3"/>
    <mergeCell ref="R4:W4"/>
    <mergeCell ref="L9:U9"/>
    <mergeCell ref="L10:P10"/>
    <mergeCell ref="Q10:U10"/>
    <mergeCell ref="V9:V13"/>
    <mergeCell ref="R11:R13"/>
    <mergeCell ref="S11:T11"/>
    <mergeCell ref="U11:U13"/>
    <mergeCell ref="S12:S13"/>
    <mergeCell ref="T12:T13"/>
    <mergeCell ref="W9:W13"/>
    <mergeCell ref="Q11:Q13"/>
    <mergeCell ref="N11:O11"/>
    <mergeCell ref="D9:D13"/>
    <mergeCell ref="F12:F13"/>
    <mergeCell ref="E11:E13"/>
    <mergeCell ref="M11:M13"/>
    <mergeCell ref="G12:G13"/>
    <mergeCell ref="O12:O13"/>
    <mergeCell ref="E10:G10"/>
    <mergeCell ref="E9:J9"/>
    <mergeCell ref="K9:K13"/>
    <mergeCell ref="H11:H13"/>
    <mergeCell ref="I11:J11"/>
    <mergeCell ref="I12:I13"/>
    <mergeCell ref="J12:J13"/>
    <mergeCell ref="L11:L13"/>
    <mergeCell ref="P11:P13"/>
    <mergeCell ref="F11:G11"/>
    <mergeCell ref="H10:J10"/>
    <mergeCell ref="X150:X155"/>
    <mergeCell ref="N12:N13"/>
    <mergeCell ref="B154:C154"/>
    <mergeCell ref="N154:P154"/>
    <mergeCell ref="B153:D153"/>
    <mergeCell ref="D43:D44"/>
    <mergeCell ref="X1:X149"/>
    <mergeCell ref="B7:W7"/>
    <mergeCell ref="B9:B13"/>
    <mergeCell ref="C9:C13"/>
  </mergeCells>
  <printOptions horizontalCentered="1"/>
  <pageMargins left="0.2" right="0.2" top="0.85" bottom="0.41" header="0.35433070866141736" footer="0.2362204724409449"/>
  <pageSetup fitToHeight="10" fitToWidth="1" horizontalDpi="300" verticalDpi="300" orientation="landscape" paperSize="9" scale="38" r:id="rId1"/>
  <headerFooter alignWithMargins="0">
    <oddFooter>&amp;RСторінка &amp;P</oddFooter>
  </headerFooter>
  <rowBreaks count="1" manualBreakCount="1">
    <brk id="114" max="22" man="1"/>
  </rowBreaks>
</worksheet>
</file>

<file path=xl/worksheets/sheet2.xml><?xml version="1.0" encoding="utf-8"?>
<worksheet xmlns="http://schemas.openxmlformats.org/spreadsheetml/2006/main" xmlns:r="http://schemas.openxmlformats.org/officeDocument/2006/relationships">
  <sheetPr codeName="Лист2"/>
  <dimension ref="A1:Z225"/>
  <sheetViews>
    <sheetView showGridLines="0" showZeros="0" tabSelected="1" view="pageBreakPreview" zoomScale="55" zoomScaleNormal="70" zoomScaleSheetLayoutView="55" zoomScalePageLayoutView="0" workbookViewId="0" topLeftCell="B1">
      <selection activeCell="R2" sqref="R2:W5"/>
    </sheetView>
  </sheetViews>
  <sheetFormatPr defaultColWidth="9.16015625" defaultRowHeight="12.75"/>
  <cols>
    <col min="1" max="1" width="3.83203125" style="106" hidden="1" customWidth="1"/>
    <col min="2" max="3" width="11.66015625" style="106" customWidth="1"/>
    <col min="4" max="4" width="46" style="106" customWidth="1"/>
    <col min="5" max="5" width="18.66015625" style="106" customWidth="1"/>
    <col min="6" max="6" width="24.5" style="106" customWidth="1"/>
    <col min="7" max="7" width="15.83203125" style="106" customWidth="1"/>
    <col min="8" max="8" width="16.5" style="106" customWidth="1"/>
    <col min="9" max="9" width="16.66015625" style="106" customWidth="1"/>
    <col min="10" max="10" width="15.83203125" style="104" customWidth="1"/>
    <col min="11" max="11" width="9.33203125" style="106" customWidth="1"/>
    <col min="12" max="12" width="17.16015625" style="106" customWidth="1"/>
    <col min="13" max="13" width="15.83203125" style="106" customWidth="1"/>
    <col min="14" max="14" width="17.16015625" style="106" customWidth="1"/>
    <col min="15" max="15" width="15.5" style="106" customWidth="1"/>
    <col min="16" max="16" width="17.66015625" style="106" customWidth="1"/>
    <col min="17" max="17" width="17.83203125" style="106" customWidth="1"/>
    <col min="18" max="18" width="15.16015625" style="106" customWidth="1"/>
    <col min="19" max="19" width="14.33203125" style="106" customWidth="1"/>
    <col min="20" max="21" width="16.66015625" style="106" customWidth="1"/>
    <col min="22" max="22" width="7.33203125" style="106" customWidth="1"/>
    <col min="23" max="23" width="16.66015625" style="106" customWidth="1"/>
    <col min="24" max="24" width="2.83203125" style="44" customWidth="1"/>
    <col min="25" max="25" width="20.83203125" style="105" customWidth="1"/>
    <col min="26" max="26" width="14.16015625" style="105" bestFit="1" customWidth="1"/>
    <col min="27" max="16384" width="9.16015625" style="105" customWidth="1"/>
  </cols>
  <sheetData>
    <row r="1" spans="1:24" ht="26.25">
      <c r="A1" s="1"/>
      <c r="B1" s="1"/>
      <c r="C1" s="1"/>
      <c r="D1" s="1"/>
      <c r="E1" s="1"/>
      <c r="F1" s="1"/>
      <c r="G1" s="1"/>
      <c r="H1" s="1"/>
      <c r="I1" s="1"/>
      <c r="J1" s="48"/>
      <c r="K1" s="1"/>
      <c r="L1" s="1"/>
      <c r="M1" s="1"/>
      <c r="N1" s="40"/>
      <c r="O1" s="40"/>
      <c r="P1" s="40"/>
      <c r="Q1" s="40"/>
      <c r="R1" s="157" t="s">
        <v>312</v>
      </c>
      <c r="S1" s="157"/>
      <c r="T1" s="157"/>
      <c r="U1" s="157"/>
      <c r="V1" s="157"/>
      <c r="W1" s="157"/>
      <c r="X1" s="145"/>
    </row>
    <row r="2" spans="14:24" ht="26.25">
      <c r="N2" s="59"/>
      <c r="O2" s="40"/>
      <c r="P2" s="40"/>
      <c r="Q2" s="40"/>
      <c r="R2" s="157" t="s">
        <v>284</v>
      </c>
      <c r="S2" s="157"/>
      <c r="T2" s="157"/>
      <c r="U2" s="157"/>
      <c r="V2" s="157"/>
      <c r="W2" s="157"/>
      <c r="X2" s="145"/>
    </row>
    <row r="3" spans="14:24" ht="26.25">
      <c r="N3" s="61"/>
      <c r="O3" s="61"/>
      <c r="P3" s="61"/>
      <c r="Q3" s="61"/>
      <c r="R3" s="159" t="s">
        <v>283</v>
      </c>
      <c r="S3" s="159"/>
      <c r="T3" s="159"/>
      <c r="U3" s="159"/>
      <c r="V3" s="159"/>
      <c r="W3" s="159"/>
      <c r="X3" s="145"/>
    </row>
    <row r="4" spans="14:24" ht="26.25">
      <c r="N4" s="61"/>
      <c r="O4" s="61"/>
      <c r="P4" s="61"/>
      <c r="Q4" s="61"/>
      <c r="R4" s="159" t="s">
        <v>348</v>
      </c>
      <c r="S4" s="159"/>
      <c r="T4" s="159"/>
      <c r="U4" s="159"/>
      <c r="V4" s="159"/>
      <c r="W4" s="159"/>
      <c r="X4" s="145"/>
    </row>
    <row r="5" spans="14:24" ht="26.25">
      <c r="N5" s="40"/>
      <c r="O5" s="40"/>
      <c r="P5" s="40"/>
      <c r="Q5" s="40"/>
      <c r="R5" s="157" t="s">
        <v>352</v>
      </c>
      <c r="S5" s="157"/>
      <c r="T5" s="157"/>
      <c r="U5" s="157"/>
      <c r="V5" s="157"/>
      <c r="W5" s="157"/>
      <c r="X5" s="145"/>
    </row>
    <row r="6" spans="14:24" ht="26.25">
      <c r="N6" s="40"/>
      <c r="O6" s="40"/>
      <c r="P6" s="41"/>
      <c r="Q6" s="41"/>
      <c r="R6" s="41"/>
      <c r="S6" s="41"/>
      <c r="T6" s="41"/>
      <c r="U6" s="41"/>
      <c r="V6" s="41"/>
      <c r="W6" s="41"/>
      <c r="X6" s="145"/>
    </row>
    <row r="7" spans="2:24" ht="50.25" customHeight="1">
      <c r="B7" s="146" t="s">
        <v>324</v>
      </c>
      <c r="C7" s="146"/>
      <c r="D7" s="146"/>
      <c r="E7" s="146"/>
      <c r="F7" s="146"/>
      <c r="G7" s="146"/>
      <c r="H7" s="146"/>
      <c r="I7" s="146"/>
      <c r="J7" s="146"/>
      <c r="K7" s="146"/>
      <c r="L7" s="146"/>
      <c r="M7" s="146"/>
      <c r="N7" s="146"/>
      <c r="O7" s="146"/>
      <c r="P7" s="146"/>
      <c r="Q7" s="146"/>
      <c r="R7" s="146"/>
      <c r="S7" s="146"/>
      <c r="T7" s="146"/>
      <c r="U7" s="146"/>
      <c r="V7" s="146"/>
      <c r="W7" s="146"/>
      <c r="X7" s="145"/>
    </row>
    <row r="8" spans="2:24" ht="18.75">
      <c r="B8" s="107"/>
      <c r="C8" s="107"/>
      <c r="D8" s="107"/>
      <c r="E8" s="107"/>
      <c r="F8" s="5"/>
      <c r="G8" s="2"/>
      <c r="H8" s="60"/>
      <c r="I8" s="60"/>
      <c r="J8" s="108"/>
      <c r="K8" s="60"/>
      <c r="L8" s="3"/>
      <c r="M8" s="4"/>
      <c r="N8" s="4"/>
      <c r="O8" s="4"/>
      <c r="P8" s="4"/>
      <c r="Q8" s="4"/>
      <c r="R8" s="4"/>
      <c r="S8" s="4"/>
      <c r="T8" s="4"/>
      <c r="U8" s="4"/>
      <c r="V8" s="4"/>
      <c r="W8" s="39" t="s">
        <v>13</v>
      </c>
      <c r="X8" s="145"/>
    </row>
    <row r="9" spans="1:24" s="17" customFormat="1" ht="31.5" customHeight="1">
      <c r="A9" s="16"/>
      <c r="B9" s="138" t="s">
        <v>12</v>
      </c>
      <c r="C9" s="138" t="s">
        <v>10</v>
      </c>
      <c r="D9" s="138" t="s">
        <v>232</v>
      </c>
      <c r="E9" s="153" t="s">
        <v>0</v>
      </c>
      <c r="F9" s="153"/>
      <c r="G9" s="153"/>
      <c r="H9" s="153"/>
      <c r="I9" s="153"/>
      <c r="J9" s="153"/>
      <c r="K9" s="154" t="s">
        <v>322</v>
      </c>
      <c r="L9" s="153" t="s">
        <v>1</v>
      </c>
      <c r="M9" s="153"/>
      <c r="N9" s="153"/>
      <c r="O9" s="153"/>
      <c r="P9" s="153"/>
      <c r="Q9" s="153"/>
      <c r="R9" s="153"/>
      <c r="S9" s="153"/>
      <c r="T9" s="153"/>
      <c r="U9" s="153"/>
      <c r="V9" s="154" t="s">
        <v>322</v>
      </c>
      <c r="W9" s="138" t="s">
        <v>2</v>
      </c>
      <c r="X9" s="145"/>
    </row>
    <row r="10" spans="1:24" s="17" customFormat="1" ht="27" customHeight="1">
      <c r="A10" s="18"/>
      <c r="B10" s="147"/>
      <c r="C10" s="147"/>
      <c r="D10" s="147"/>
      <c r="E10" s="153" t="s">
        <v>281</v>
      </c>
      <c r="F10" s="153"/>
      <c r="G10" s="153"/>
      <c r="H10" s="153" t="s">
        <v>282</v>
      </c>
      <c r="I10" s="153"/>
      <c r="J10" s="153"/>
      <c r="K10" s="155"/>
      <c r="L10" s="153" t="s">
        <v>281</v>
      </c>
      <c r="M10" s="153"/>
      <c r="N10" s="153"/>
      <c r="O10" s="153"/>
      <c r="P10" s="153"/>
      <c r="Q10" s="153" t="s">
        <v>282</v>
      </c>
      <c r="R10" s="153"/>
      <c r="S10" s="153"/>
      <c r="T10" s="153"/>
      <c r="U10" s="153"/>
      <c r="V10" s="155"/>
      <c r="W10" s="147"/>
      <c r="X10" s="145"/>
    </row>
    <row r="11" spans="1:24" s="17" customFormat="1" ht="27" customHeight="1">
      <c r="A11" s="18"/>
      <c r="B11" s="147"/>
      <c r="C11" s="147"/>
      <c r="D11" s="147"/>
      <c r="E11" s="138" t="s">
        <v>3</v>
      </c>
      <c r="F11" s="151" t="s">
        <v>5</v>
      </c>
      <c r="G11" s="152"/>
      <c r="H11" s="138" t="s">
        <v>3</v>
      </c>
      <c r="I11" s="151" t="s">
        <v>5</v>
      </c>
      <c r="J11" s="152"/>
      <c r="K11" s="155"/>
      <c r="L11" s="138" t="s">
        <v>3</v>
      </c>
      <c r="M11" s="138" t="s">
        <v>4</v>
      </c>
      <c r="N11" s="151" t="s">
        <v>5</v>
      </c>
      <c r="O11" s="152"/>
      <c r="P11" s="138" t="s">
        <v>6</v>
      </c>
      <c r="Q11" s="138" t="s">
        <v>3</v>
      </c>
      <c r="R11" s="138" t="s">
        <v>4</v>
      </c>
      <c r="S11" s="151" t="s">
        <v>5</v>
      </c>
      <c r="T11" s="152"/>
      <c r="U11" s="138" t="s">
        <v>6</v>
      </c>
      <c r="V11" s="155"/>
      <c r="W11" s="147"/>
      <c r="X11" s="145"/>
    </row>
    <row r="12" spans="1:24" s="17" customFormat="1" ht="15">
      <c r="A12" s="19"/>
      <c r="B12" s="147"/>
      <c r="C12" s="147"/>
      <c r="D12" s="147"/>
      <c r="E12" s="147"/>
      <c r="F12" s="138" t="s">
        <v>7</v>
      </c>
      <c r="G12" s="138" t="s">
        <v>8</v>
      </c>
      <c r="H12" s="147"/>
      <c r="I12" s="138" t="s">
        <v>7</v>
      </c>
      <c r="J12" s="165" t="s">
        <v>8</v>
      </c>
      <c r="K12" s="155"/>
      <c r="L12" s="147"/>
      <c r="M12" s="147"/>
      <c r="N12" s="138" t="s">
        <v>7</v>
      </c>
      <c r="O12" s="138" t="s">
        <v>8</v>
      </c>
      <c r="P12" s="147"/>
      <c r="Q12" s="147"/>
      <c r="R12" s="147"/>
      <c r="S12" s="138" t="s">
        <v>7</v>
      </c>
      <c r="T12" s="138" t="s">
        <v>8</v>
      </c>
      <c r="U12" s="147"/>
      <c r="V12" s="155"/>
      <c r="W12" s="147"/>
      <c r="X12" s="145"/>
    </row>
    <row r="13" spans="1:24" s="17" customFormat="1" ht="105.75" customHeight="1">
      <c r="A13" s="20"/>
      <c r="B13" s="139"/>
      <c r="C13" s="139"/>
      <c r="D13" s="139"/>
      <c r="E13" s="139"/>
      <c r="F13" s="139"/>
      <c r="G13" s="139"/>
      <c r="H13" s="139"/>
      <c r="I13" s="139"/>
      <c r="J13" s="166"/>
      <c r="K13" s="156"/>
      <c r="L13" s="139"/>
      <c r="M13" s="139"/>
      <c r="N13" s="139"/>
      <c r="O13" s="139"/>
      <c r="P13" s="139"/>
      <c r="Q13" s="139"/>
      <c r="R13" s="139"/>
      <c r="S13" s="139"/>
      <c r="T13" s="139"/>
      <c r="U13" s="139"/>
      <c r="V13" s="156"/>
      <c r="W13" s="139"/>
      <c r="X13" s="145"/>
    </row>
    <row r="14" spans="1:25" s="23" customFormat="1" ht="28.5">
      <c r="A14" s="21"/>
      <c r="B14" s="74"/>
      <c r="C14" s="74"/>
      <c r="D14" s="22" t="s">
        <v>14</v>
      </c>
      <c r="E14" s="36">
        <f aca="true" t="shared" si="0" ref="E14:J14">SUM(E15:E45)</f>
        <v>71726020.78999999</v>
      </c>
      <c r="F14" s="36">
        <f t="shared" si="0"/>
        <v>25015688</v>
      </c>
      <c r="G14" s="36">
        <f t="shared" si="0"/>
        <v>2945047.79</v>
      </c>
      <c r="H14" s="36">
        <f t="shared" si="0"/>
        <v>38944649.21999999</v>
      </c>
      <c r="I14" s="36">
        <f t="shared" si="0"/>
        <v>12563964.870000001</v>
      </c>
      <c r="J14" s="36">
        <f t="shared" si="0"/>
        <v>1465962.8199999998</v>
      </c>
      <c r="K14" s="89">
        <f>H14/E14*100</f>
        <v>54.29640288288464</v>
      </c>
      <c r="L14" s="36">
        <f aca="true" t="shared" si="1" ref="L14:U14">SUM(L15:L45)</f>
        <v>57223215.47</v>
      </c>
      <c r="M14" s="36">
        <f t="shared" si="1"/>
        <v>473457.47</v>
      </c>
      <c r="N14" s="36">
        <f t="shared" si="1"/>
        <v>144491</v>
      </c>
      <c r="O14" s="36">
        <f t="shared" si="1"/>
        <v>98348</v>
      </c>
      <c r="P14" s="36">
        <f t="shared" si="1"/>
        <v>56749758</v>
      </c>
      <c r="Q14" s="36">
        <f t="shared" si="1"/>
        <v>7428808.11</v>
      </c>
      <c r="R14" s="36">
        <f t="shared" si="1"/>
        <v>199577.24</v>
      </c>
      <c r="S14" s="36">
        <f t="shared" si="1"/>
        <v>45930.94</v>
      </c>
      <c r="T14" s="36">
        <f t="shared" si="1"/>
        <v>37071.54</v>
      </c>
      <c r="U14" s="36">
        <f t="shared" si="1"/>
        <v>7229230.87</v>
      </c>
      <c r="V14" s="89">
        <f>Q14/L14*100</f>
        <v>12.982157764089031</v>
      </c>
      <c r="W14" s="36">
        <f>SUM(W15:W45)</f>
        <v>46373457.32999998</v>
      </c>
      <c r="X14" s="145"/>
      <c r="Y14" s="46"/>
    </row>
    <row r="15" spans="1:25" s="23" customFormat="1" ht="15">
      <c r="A15" s="21"/>
      <c r="B15" s="24" t="s">
        <v>11</v>
      </c>
      <c r="C15" s="24" t="s">
        <v>9</v>
      </c>
      <c r="D15" s="25" t="s">
        <v>15</v>
      </c>
      <c r="E15" s="35">
        <f>27284910+1516344+285000+126395</f>
        <v>29212649</v>
      </c>
      <c r="F15" s="35">
        <f>16195850+1873700</f>
        <v>18069550</v>
      </c>
      <c r="G15" s="35">
        <v>1520550</v>
      </c>
      <c r="H15" s="35">
        <v>13914959.29</v>
      </c>
      <c r="I15" s="35">
        <v>9325775.52</v>
      </c>
      <c r="J15" s="35">
        <v>704369.6</v>
      </c>
      <c r="K15" s="90">
        <f>H15/E15*100</f>
        <v>47.633336127784915</v>
      </c>
      <c r="L15" s="35">
        <f>M15+P15</f>
        <v>4043480</v>
      </c>
      <c r="M15" s="35"/>
      <c r="N15" s="35"/>
      <c r="O15" s="35"/>
      <c r="P15" s="35">
        <v>4043480</v>
      </c>
      <c r="Q15" s="35">
        <f>R15+U15</f>
        <v>1016373.27</v>
      </c>
      <c r="R15" s="35">
        <v>1699.26</v>
      </c>
      <c r="S15" s="35"/>
      <c r="T15" s="35"/>
      <c r="U15" s="35">
        <v>1014674.01</v>
      </c>
      <c r="V15" s="90">
        <f>Q15/L15*100</f>
        <v>25.136102317805452</v>
      </c>
      <c r="W15" s="35">
        <f>H15+Q15</f>
        <v>14931332.559999999</v>
      </c>
      <c r="X15" s="145"/>
      <c r="Y15" s="46"/>
    </row>
    <row r="16" spans="1:25" s="23" customFormat="1" ht="30">
      <c r="A16" s="21"/>
      <c r="B16" s="24" t="s">
        <v>16</v>
      </c>
      <c r="C16" s="24" t="s">
        <v>181</v>
      </c>
      <c r="D16" s="25" t="s">
        <v>17</v>
      </c>
      <c r="E16" s="35">
        <f>143404+22688+10861</f>
        <v>176953</v>
      </c>
      <c r="F16" s="36"/>
      <c r="G16" s="36"/>
      <c r="H16" s="35">
        <v>84050.21</v>
      </c>
      <c r="I16" s="35"/>
      <c r="J16" s="35"/>
      <c r="K16" s="90">
        <f aca="true" t="shared" si="2" ref="K16:K45">H16/E16*100</f>
        <v>47.49860697473341</v>
      </c>
      <c r="L16" s="35">
        <f aca="true" t="shared" si="3" ref="L16:L45">M16+P16</f>
        <v>0</v>
      </c>
      <c r="M16" s="36"/>
      <c r="N16" s="36"/>
      <c r="O16" s="36"/>
      <c r="P16" s="36"/>
      <c r="Q16" s="35">
        <f aca="true" t="shared" si="4" ref="Q16:Q45">R16+U16</f>
        <v>0</v>
      </c>
      <c r="R16" s="36"/>
      <c r="S16" s="36"/>
      <c r="T16" s="36"/>
      <c r="U16" s="36"/>
      <c r="V16" s="90"/>
      <c r="W16" s="35">
        <f aca="true" t="shared" si="5" ref="W16:W45">H16+Q16</f>
        <v>84050.21</v>
      </c>
      <c r="X16" s="145"/>
      <c r="Y16" s="46"/>
    </row>
    <row r="17" spans="1:25" s="23" customFormat="1" ht="30">
      <c r="A17" s="21"/>
      <c r="B17" s="24" t="s">
        <v>18</v>
      </c>
      <c r="C17" s="24" t="s">
        <v>182</v>
      </c>
      <c r="D17" s="25" t="s">
        <v>19</v>
      </c>
      <c r="E17" s="35">
        <f>687000+5000</f>
        <v>692000</v>
      </c>
      <c r="F17" s="35">
        <v>492950</v>
      </c>
      <c r="G17" s="35">
        <v>55897</v>
      </c>
      <c r="H17" s="35">
        <v>327946.78</v>
      </c>
      <c r="I17" s="35">
        <v>233032.55</v>
      </c>
      <c r="J17" s="35">
        <v>30899.02</v>
      </c>
      <c r="K17" s="90">
        <f t="shared" si="2"/>
        <v>47.39115317919075</v>
      </c>
      <c r="L17" s="35">
        <f t="shared" si="3"/>
        <v>0</v>
      </c>
      <c r="M17" s="35"/>
      <c r="N17" s="35"/>
      <c r="O17" s="35"/>
      <c r="P17" s="35"/>
      <c r="Q17" s="35">
        <f t="shared" si="4"/>
        <v>0</v>
      </c>
      <c r="R17" s="35"/>
      <c r="S17" s="35"/>
      <c r="T17" s="35"/>
      <c r="U17" s="35"/>
      <c r="V17" s="90"/>
      <c r="W17" s="35">
        <f t="shared" si="5"/>
        <v>327946.78</v>
      </c>
      <c r="X17" s="145"/>
      <c r="Y17" s="46"/>
    </row>
    <row r="18" spans="1:25" s="23" customFormat="1" ht="30">
      <c r="A18" s="21"/>
      <c r="B18" s="24" t="s">
        <v>20</v>
      </c>
      <c r="C18" s="24" t="s">
        <v>182</v>
      </c>
      <c r="D18" s="25" t="s">
        <v>21</v>
      </c>
      <c r="E18" s="35">
        <v>40000</v>
      </c>
      <c r="F18" s="35"/>
      <c r="G18" s="35"/>
      <c r="H18" s="35">
        <v>22700</v>
      </c>
      <c r="I18" s="35"/>
      <c r="J18" s="35"/>
      <c r="K18" s="90">
        <f t="shared" si="2"/>
        <v>56.75</v>
      </c>
      <c r="L18" s="35">
        <f t="shared" si="3"/>
        <v>0</v>
      </c>
      <c r="M18" s="35"/>
      <c r="N18" s="35"/>
      <c r="O18" s="35"/>
      <c r="P18" s="35"/>
      <c r="Q18" s="35">
        <f t="shared" si="4"/>
        <v>0</v>
      </c>
      <c r="R18" s="35"/>
      <c r="S18" s="35"/>
      <c r="T18" s="35"/>
      <c r="U18" s="35"/>
      <c r="V18" s="90"/>
      <c r="W18" s="35">
        <f t="shared" si="5"/>
        <v>22700</v>
      </c>
      <c r="X18" s="145"/>
      <c r="Y18" s="46"/>
    </row>
    <row r="19" spans="1:25" s="23" customFormat="1" ht="30">
      <c r="A19" s="21"/>
      <c r="B19" s="24" t="s">
        <v>22</v>
      </c>
      <c r="C19" s="24" t="s">
        <v>182</v>
      </c>
      <c r="D19" s="25" t="s">
        <v>23</v>
      </c>
      <c r="E19" s="35">
        <v>605000</v>
      </c>
      <c r="F19" s="35"/>
      <c r="G19" s="35"/>
      <c r="H19" s="35">
        <v>26887.86</v>
      </c>
      <c r="I19" s="35"/>
      <c r="J19" s="35"/>
      <c r="K19" s="90">
        <f t="shared" si="2"/>
        <v>4.4442743801652895</v>
      </c>
      <c r="L19" s="35">
        <f t="shared" si="3"/>
        <v>0</v>
      </c>
      <c r="M19" s="35"/>
      <c r="N19" s="35"/>
      <c r="O19" s="35"/>
      <c r="P19" s="35"/>
      <c r="Q19" s="35">
        <f t="shared" si="4"/>
        <v>0</v>
      </c>
      <c r="R19" s="35"/>
      <c r="S19" s="35"/>
      <c r="T19" s="35"/>
      <c r="U19" s="35"/>
      <c r="V19" s="90"/>
      <c r="W19" s="35">
        <f t="shared" si="5"/>
        <v>26887.86</v>
      </c>
      <c r="X19" s="145"/>
      <c r="Y19" s="46"/>
    </row>
    <row r="20" spans="1:25" s="23" customFormat="1" ht="15">
      <c r="A20" s="21"/>
      <c r="B20" s="24" t="s">
        <v>24</v>
      </c>
      <c r="C20" s="24" t="s">
        <v>182</v>
      </c>
      <c r="D20" s="25" t="s">
        <v>25</v>
      </c>
      <c r="E20" s="35">
        <v>509900</v>
      </c>
      <c r="F20" s="35">
        <v>337300</v>
      </c>
      <c r="G20" s="35">
        <v>72433</v>
      </c>
      <c r="H20" s="35">
        <v>236551.54</v>
      </c>
      <c r="I20" s="35">
        <v>158161.81</v>
      </c>
      <c r="J20" s="35">
        <v>38716.09</v>
      </c>
      <c r="K20" s="90">
        <f t="shared" si="2"/>
        <v>46.39175132378898</v>
      </c>
      <c r="L20" s="35">
        <f t="shared" si="3"/>
        <v>9645</v>
      </c>
      <c r="M20" s="35"/>
      <c r="N20" s="35"/>
      <c r="O20" s="35"/>
      <c r="P20" s="35">
        <v>9645</v>
      </c>
      <c r="Q20" s="35">
        <f t="shared" si="4"/>
        <v>1665</v>
      </c>
      <c r="R20" s="35">
        <v>1665</v>
      </c>
      <c r="S20" s="35"/>
      <c r="T20" s="35"/>
      <c r="U20" s="35"/>
      <c r="V20" s="90">
        <f aca="true" t="shared" si="6" ref="V20:V74">Q20/L20*100</f>
        <v>17.262830482115085</v>
      </c>
      <c r="W20" s="35">
        <f t="shared" si="5"/>
        <v>238216.54</v>
      </c>
      <c r="X20" s="145"/>
      <c r="Y20" s="46"/>
    </row>
    <row r="21" spans="1:25" s="23" customFormat="1" ht="75">
      <c r="A21" s="21"/>
      <c r="B21" s="24" t="s">
        <v>26</v>
      </c>
      <c r="C21" s="24" t="s">
        <v>182</v>
      </c>
      <c r="D21" s="26" t="s">
        <v>27</v>
      </c>
      <c r="E21" s="35">
        <f>189000+917888</f>
        <v>1106888</v>
      </c>
      <c r="F21" s="35"/>
      <c r="G21" s="35"/>
      <c r="H21" s="35">
        <v>1106340</v>
      </c>
      <c r="I21" s="35"/>
      <c r="J21" s="35"/>
      <c r="K21" s="90">
        <f t="shared" si="2"/>
        <v>99.95049182934498</v>
      </c>
      <c r="L21" s="35">
        <f t="shared" si="3"/>
        <v>0</v>
      </c>
      <c r="M21" s="35"/>
      <c r="N21" s="35"/>
      <c r="O21" s="35"/>
      <c r="P21" s="35"/>
      <c r="Q21" s="35">
        <f t="shared" si="4"/>
        <v>0</v>
      </c>
      <c r="R21" s="35"/>
      <c r="S21" s="35"/>
      <c r="T21" s="35"/>
      <c r="U21" s="35"/>
      <c r="V21" s="90"/>
      <c r="W21" s="35">
        <f t="shared" si="5"/>
        <v>1106340</v>
      </c>
      <c r="X21" s="145"/>
      <c r="Y21" s="46"/>
    </row>
    <row r="22" spans="1:25" s="23" customFormat="1" ht="15">
      <c r="A22" s="21"/>
      <c r="B22" s="24" t="s">
        <v>28</v>
      </c>
      <c r="C22" s="24" t="s">
        <v>183</v>
      </c>
      <c r="D22" s="25" t="s">
        <v>29</v>
      </c>
      <c r="E22" s="35">
        <f>125140+37439.79</f>
        <v>162579.79</v>
      </c>
      <c r="F22" s="35"/>
      <c r="G22" s="35">
        <f>124940+37439.79</f>
        <v>162379.79</v>
      </c>
      <c r="H22" s="35">
        <v>101263.39</v>
      </c>
      <c r="I22" s="35"/>
      <c r="J22" s="35">
        <v>101260.84</v>
      </c>
      <c r="K22" s="90">
        <f t="shared" si="2"/>
        <v>62.28534924297786</v>
      </c>
      <c r="L22" s="35">
        <f t="shared" si="3"/>
        <v>0</v>
      </c>
      <c r="M22" s="35"/>
      <c r="N22" s="35"/>
      <c r="O22" s="35"/>
      <c r="P22" s="35"/>
      <c r="Q22" s="35">
        <f t="shared" si="4"/>
        <v>0</v>
      </c>
      <c r="R22" s="35"/>
      <c r="S22" s="35"/>
      <c r="T22" s="35"/>
      <c r="U22" s="35"/>
      <c r="V22" s="90"/>
      <c r="W22" s="35">
        <f t="shared" si="5"/>
        <v>101263.39</v>
      </c>
      <c r="X22" s="145"/>
      <c r="Y22" s="46"/>
    </row>
    <row r="23" spans="1:25" s="23" customFormat="1" ht="15">
      <c r="A23" s="21"/>
      <c r="B23" s="24" t="s">
        <v>30</v>
      </c>
      <c r="C23" s="24" t="s">
        <v>184</v>
      </c>
      <c r="D23" s="25" t="s">
        <v>31</v>
      </c>
      <c r="E23" s="35">
        <f>1692120-160464+21446+105200+5000+27000+12000+26825</f>
        <v>1729127</v>
      </c>
      <c r="F23" s="35">
        <f>1009375-13215</f>
        <v>996160</v>
      </c>
      <c r="G23" s="35">
        <v>91785</v>
      </c>
      <c r="H23" s="35">
        <v>765771.57</v>
      </c>
      <c r="I23" s="35">
        <v>459459.96</v>
      </c>
      <c r="J23" s="35">
        <v>43179.43</v>
      </c>
      <c r="K23" s="90">
        <f t="shared" si="2"/>
        <v>44.28660069503281</v>
      </c>
      <c r="L23" s="35">
        <f t="shared" si="3"/>
        <v>116759</v>
      </c>
      <c r="M23" s="35"/>
      <c r="N23" s="35"/>
      <c r="O23" s="35"/>
      <c r="P23" s="35">
        <f>70000+4759+69000-27000</f>
        <v>116759</v>
      </c>
      <c r="Q23" s="35">
        <f t="shared" si="4"/>
        <v>116047.72</v>
      </c>
      <c r="R23" s="35">
        <v>5400</v>
      </c>
      <c r="S23" s="35"/>
      <c r="T23" s="35"/>
      <c r="U23" s="35">
        <v>110647.72</v>
      </c>
      <c r="V23" s="90">
        <f t="shared" si="6"/>
        <v>99.39081355612844</v>
      </c>
      <c r="W23" s="35">
        <f t="shared" si="5"/>
        <v>881819.2899999999</v>
      </c>
      <c r="X23" s="145"/>
      <c r="Y23" s="46"/>
    </row>
    <row r="24" spans="1:25" s="23" customFormat="1" ht="15">
      <c r="A24" s="21"/>
      <c r="B24" s="24" t="s">
        <v>285</v>
      </c>
      <c r="C24" s="24" t="s">
        <v>286</v>
      </c>
      <c r="D24" s="25" t="s">
        <v>287</v>
      </c>
      <c r="E24" s="35">
        <v>90300</v>
      </c>
      <c r="F24" s="35"/>
      <c r="G24" s="35"/>
      <c r="H24" s="35">
        <v>6249</v>
      </c>
      <c r="I24" s="35"/>
      <c r="J24" s="35"/>
      <c r="K24" s="90">
        <f t="shared" si="2"/>
        <v>6.920265780730897</v>
      </c>
      <c r="L24" s="35">
        <f t="shared" si="3"/>
        <v>0</v>
      </c>
      <c r="M24" s="35"/>
      <c r="N24" s="35"/>
      <c r="O24" s="35"/>
      <c r="P24" s="35"/>
      <c r="Q24" s="35">
        <f t="shared" si="4"/>
        <v>0</v>
      </c>
      <c r="R24" s="35"/>
      <c r="S24" s="35"/>
      <c r="T24" s="35"/>
      <c r="U24" s="35"/>
      <c r="V24" s="90"/>
      <c r="W24" s="35">
        <f t="shared" si="5"/>
        <v>6249</v>
      </c>
      <c r="X24" s="145"/>
      <c r="Y24" s="46"/>
    </row>
    <row r="25" spans="1:25" s="23" customFormat="1" ht="30">
      <c r="A25" s="21"/>
      <c r="B25" s="24" t="s">
        <v>32</v>
      </c>
      <c r="C25" s="24" t="s">
        <v>185</v>
      </c>
      <c r="D25" s="25" t="s">
        <v>33</v>
      </c>
      <c r="E25" s="35">
        <v>500000</v>
      </c>
      <c r="F25" s="35"/>
      <c r="G25" s="35"/>
      <c r="H25" s="35">
        <v>119032.22</v>
      </c>
      <c r="I25" s="35"/>
      <c r="J25" s="35"/>
      <c r="K25" s="90">
        <f t="shared" si="2"/>
        <v>23.806444000000003</v>
      </c>
      <c r="L25" s="35">
        <f t="shared" si="3"/>
        <v>0</v>
      </c>
      <c r="M25" s="35"/>
      <c r="N25" s="35"/>
      <c r="O25" s="35"/>
      <c r="P25" s="35"/>
      <c r="Q25" s="35">
        <f t="shared" si="4"/>
        <v>0</v>
      </c>
      <c r="R25" s="35"/>
      <c r="S25" s="35"/>
      <c r="T25" s="35"/>
      <c r="U25" s="35"/>
      <c r="V25" s="90"/>
      <c r="W25" s="35">
        <f t="shared" si="5"/>
        <v>119032.22</v>
      </c>
      <c r="X25" s="145"/>
      <c r="Y25" s="46"/>
    </row>
    <row r="26" spans="1:25" s="23" customFormat="1" ht="45">
      <c r="A26" s="21"/>
      <c r="B26" s="24" t="s">
        <v>34</v>
      </c>
      <c r="C26" s="24" t="s">
        <v>185</v>
      </c>
      <c r="D26" s="25" t="s">
        <v>35</v>
      </c>
      <c r="E26" s="35">
        <f>500000+16500+7280</f>
        <v>523780</v>
      </c>
      <c r="F26" s="35"/>
      <c r="G26" s="35"/>
      <c r="H26" s="35">
        <v>132085.08</v>
      </c>
      <c r="I26" s="35"/>
      <c r="J26" s="35"/>
      <c r="K26" s="90">
        <f t="shared" si="2"/>
        <v>25.217663904692806</v>
      </c>
      <c r="L26" s="35">
        <f t="shared" si="3"/>
        <v>0</v>
      </c>
      <c r="M26" s="35"/>
      <c r="N26" s="35"/>
      <c r="O26" s="35"/>
      <c r="P26" s="35"/>
      <c r="Q26" s="35">
        <f t="shared" si="4"/>
        <v>0</v>
      </c>
      <c r="R26" s="35"/>
      <c r="S26" s="35"/>
      <c r="T26" s="35"/>
      <c r="U26" s="35"/>
      <c r="V26" s="90"/>
      <c r="W26" s="35">
        <f t="shared" si="5"/>
        <v>132085.08</v>
      </c>
      <c r="X26" s="145"/>
      <c r="Y26" s="46"/>
    </row>
    <row r="27" spans="1:25" s="23" customFormat="1" ht="45">
      <c r="A27" s="21"/>
      <c r="B27" s="24" t="s">
        <v>36</v>
      </c>
      <c r="C27" s="24" t="s">
        <v>185</v>
      </c>
      <c r="D27" s="25" t="s">
        <v>37</v>
      </c>
      <c r="E27" s="35">
        <f>5633420-548729+30000+7000+34000</f>
        <v>5155691</v>
      </c>
      <c r="F27" s="35">
        <f>3602473-51151</f>
        <v>3551322</v>
      </c>
      <c r="G27" s="35">
        <v>410216</v>
      </c>
      <c r="H27" s="35">
        <v>2416843.76</v>
      </c>
      <c r="I27" s="35">
        <v>1663477.56</v>
      </c>
      <c r="J27" s="35">
        <v>254495.27</v>
      </c>
      <c r="K27" s="90">
        <f t="shared" si="2"/>
        <v>46.87720346312453</v>
      </c>
      <c r="L27" s="35">
        <f t="shared" si="3"/>
        <v>210000</v>
      </c>
      <c r="M27" s="36"/>
      <c r="N27" s="36"/>
      <c r="O27" s="36"/>
      <c r="P27" s="35">
        <f>200000+10000</f>
        <v>210000</v>
      </c>
      <c r="Q27" s="35">
        <f t="shared" si="4"/>
        <v>196379.6</v>
      </c>
      <c r="R27" s="35"/>
      <c r="S27" s="35"/>
      <c r="T27" s="35"/>
      <c r="U27" s="35">
        <v>196379.6</v>
      </c>
      <c r="V27" s="90">
        <f t="shared" si="6"/>
        <v>93.51409523809524</v>
      </c>
      <c r="W27" s="35">
        <f t="shared" si="5"/>
        <v>2613223.36</v>
      </c>
      <c r="X27" s="145"/>
      <c r="Y27" s="46"/>
    </row>
    <row r="28" spans="1:25" s="23" customFormat="1" ht="15">
      <c r="A28" s="21"/>
      <c r="B28" s="24" t="s">
        <v>38</v>
      </c>
      <c r="C28" s="24" t="s">
        <v>185</v>
      </c>
      <c r="D28" s="25" t="s">
        <v>25</v>
      </c>
      <c r="E28" s="35">
        <f>2545380-198212+20000</f>
        <v>2367168</v>
      </c>
      <c r="F28" s="35"/>
      <c r="G28" s="35"/>
      <c r="H28" s="35">
        <v>1526520.34</v>
      </c>
      <c r="I28" s="35"/>
      <c r="J28" s="35"/>
      <c r="K28" s="90">
        <f t="shared" si="2"/>
        <v>64.4871990496661</v>
      </c>
      <c r="L28" s="35">
        <f t="shared" si="3"/>
        <v>0</v>
      </c>
      <c r="M28" s="36"/>
      <c r="N28" s="36"/>
      <c r="O28" s="36"/>
      <c r="P28" s="35"/>
      <c r="Q28" s="35">
        <f t="shared" si="4"/>
        <v>0</v>
      </c>
      <c r="R28" s="35"/>
      <c r="S28" s="35"/>
      <c r="T28" s="35"/>
      <c r="U28" s="35"/>
      <c r="V28" s="90"/>
      <c r="W28" s="35">
        <f t="shared" si="5"/>
        <v>1526520.34</v>
      </c>
      <c r="X28" s="145"/>
      <c r="Y28" s="46"/>
    </row>
    <row r="29" spans="1:25" s="23" customFormat="1" ht="30">
      <c r="A29" s="21"/>
      <c r="B29" s="24" t="s">
        <v>39</v>
      </c>
      <c r="C29" s="24" t="s">
        <v>185</v>
      </c>
      <c r="D29" s="25" t="s">
        <v>40</v>
      </c>
      <c r="E29" s="35">
        <f>1995340-308001+14500+17000</f>
        <v>1718839</v>
      </c>
      <c r="F29" s="35">
        <f>1058675-128369</f>
        <v>930306</v>
      </c>
      <c r="G29" s="35">
        <v>384290</v>
      </c>
      <c r="H29" s="35">
        <v>822620.02</v>
      </c>
      <c r="I29" s="35">
        <v>438157.04</v>
      </c>
      <c r="J29" s="35">
        <v>175480.17</v>
      </c>
      <c r="K29" s="90">
        <f t="shared" si="2"/>
        <v>47.85905020772743</v>
      </c>
      <c r="L29" s="35">
        <f t="shared" si="3"/>
        <v>817714</v>
      </c>
      <c r="M29" s="35">
        <v>317714</v>
      </c>
      <c r="N29" s="35">
        <v>144491</v>
      </c>
      <c r="O29" s="35">
        <v>97628</v>
      </c>
      <c r="P29" s="35">
        <v>500000</v>
      </c>
      <c r="Q29" s="35">
        <f t="shared" si="4"/>
        <v>620552.65</v>
      </c>
      <c r="R29" s="35">
        <v>125023.11</v>
      </c>
      <c r="S29" s="35">
        <v>45930.94</v>
      </c>
      <c r="T29" s="35">
        <v>37071.54</v>
      </c>
      <c r="U29" s="35">
        <v>495529.54</v>
      </c>
      <c r="V29" s="90">
        <f t="shared" si="6"/>
        <v>75.88871536992151</v>
      </c>
      <c r="W29" s="35">
        <f t="shared" si="5"/>
        <v>1443172.67</v>
      </c>
      <c r="X29" s="145"/>
      <c r="Y29" s="46"/>
    </row>
    <row r="30" spans="1:25" s="23" customFormat="1" ht="75">
      <c r="A30" s="21"/>
      <c r="B30" s="24" t="s">
        <v>41</v>
      </c>
      <c r="C30" s="24" t="s">
        <v>185</v>
      </c>
      <c r="D30" s="25" t="s">
        <v>42</v>
      </c>
      <c r="E30" s="35">
        <f>4485660-399442+10000+25000+38000</f>
        <v>4159218</v>
      </c>
      <c r="F30" s="35"/>
      <c r="G30" s="35"/>
      <c r="H30" s="35">
        <v>1915070.3</v>
      </c>
      <c r="I30" s="35"/>
      <c r="J30" s="35"/>
      <c r="K30" s="90">
        <f t="shared" si="2"/>
        <v>46.043999136376115</v>
      </c>
      <c r="L30" s="35">
        <f t="shared" si="3"/>
        <v>12000</v>
      </c>
      <c r="M30" s="36"/>
      <c r="N30" s="36"/>
      <c r="O30" s="36"/>
      <c r="P30" s="35">
        <v>12000</v>
      </c>
      <c r="Q30" s="35">
        <f t="shared" si="4"/>
        <v>12000</v>
      </c>
      <c r="R30" s="35"/>
      <c r="S30" s="35"/>
      <c r="T30" s="35"/>
      <c r="U30" s="35">
        <v>12000</v>
      </c>
      <c r="V30" s="90">
        <f t="shared" si="6"/>
        <v>100</v>
      </c>
      <c r="W30" s="35">
        <f t="shared" si="5"/>
        <v>1927070.3</v>
      </c>
      <c r="X30" s="167"/>
      <c r="Y30" s="46"/>
    </row>
    <row r="31" spans="1:25" s="23" customFormat="1" ht="30">
      <c r="A31" s="21"/>
      <c r="B31" s="24" t="s">
        <v>289</v>
      </c>
      <c r="C31" s="24" t="s">
        <v>290</v>
      </c>
      <c r="D31" s="25" t="s">
        <v>291</v>
      </c>
      <c r="E31" s="35">
        <v>99000</v>
      </c>
      <c r="F31" s="35"/>
      <c r="G31" s="35"/>
      <c r="H31" s="35">
        <v>99000</v>
      </c>
      <c r="I31" s="35"/>
      <c r="J31" s="35"/>
      <c r="K31" s="90">
        <f t="shared" si="2"/>
        <v>100</v>
      </c>
      <c r="L31" s="35">
        <f t="shared" si="3"/>
        <v>0</v>
      </c>
      <c r="M31" s="36"/>
      <c r="N31" s="36"/>
      <c r="O31" s="36"/>
      <c r="P31" s="35"/>
      <c r="Q31" s="35">
        <f t="shared" si="4"/>
        <v>0</v>
      </c>
      <c r="R31" s="35"/>
      <c r="S31" s="35"/>
      <c r="T31" s="35"/>
      <c r="U31" s="35"/>
      <c r="V31" s="90"/>
      <c r="W31" s="35">
        <f t="shared" si="5"/>
        <v>99000</v>
      </c>
      <c r="X31" s="167"/>
      <c r="Y31" s="46"/>
    </row>
    <row r="32" spans="1:25" s="23" customFormat="1" ht="30">
      <c r="A32" s="21"/>
      <c r="B32" s="24" t="s">
        <v>300</v>
      </c>
      <c r="C32" s="24" t="s">
        <v>325</v>
      </c>
      <c r="D32" s="25" t="s">
        <v>302</v>
      </c>
      <c r="E32" s="35">
        <v>1642000</v>
      </c>
      <c r="F32" s="35"/>
      <c r="G32" s="35"/>
      <c r="H32" s="35">
        <v>260889.5</v>
      </c>
      <c r="I32" s="35"/>
      <c r="J32" s="35"/>
      <c r="K32" s="90">
        <f t="shared" si="2"/>
        <v>15.888520097442143</v>
      </c>
      <c r="L32" s="35">
        <f t="shared" si="3"/>
        <v>0</v>
      </c>
      <c r="M32" s="36"/>
      <c r="N32" s="36"/>
      <c r="O32" s="36"/>
      <c r="P32" s="35"/>
      <c r="Q32" s="35">
        <f t="shared" si="4"/>
        <v>0</v>
      </c>
      <c r="R32" s="35"/>
      <c r="S32" s="35"/>
      <c r="T32" s="35"/>
      <c r="U32" s="35"/>
      <c r="V32" s="90"/>
      <c r="W32" s="35">
        <f t="shared" si="5"/>
        <v>260889.5</v>
      </c>
      <c r="X32" s="167"/>
      <c r="Y32" s="46"/>
    </row>
    <row r="33" spans="1:25" s="23" customFormat="1" ht="30">
      <c r="A33" s="21"/>
      <c r="B33" s="24" t="s">
        <v>307</v>
      </c>
      <c r="C33" s="24" t="s">
        <v>325</v>
      </c>
      <c r="D33" s="25" t="s">
        <v>308</v>
      </c>
      <c r="E33" s="35">
        <f>150000+200000+156400+1941100</f>
        <v>2447500</v>
      </c>
      <c r="F33" s="35"/>
      <c r="G33" s="35"/>
      <c r="H33" s="35">
        <v>2445565.01</v>
      </c>
      <c r="I33" s="35"/>
      <c r="J33" s="35"/>
      <c r="K33" s="90">
        <f t="shared" si="2"/>
        <v>99.92094014300305</v>
      </c>
      <c r="L33" s="35">
        <f t="shared" si="3"/>
        <v>0</v>
      </c>
      <c r="M33" s="36"/>
      <c r="N33" s="36"/>
      <c r="O33" s="36"/>
      <c r="P33" s="35"/>
      <c r="Q33" s="35">
        <f t="shared" si="4"/>
        <v>0</v>
      </c>
      <c r="R33" s="35"/>
      <c r="S33" s="35"/>
      <c r="T33" s="35"/>
      <c r="U33" s="35"/>
      <c r="V33" s="90"/>
      <c r="W33" s="35">
        <f t="shared" si="5"/>
        <v>2445565.01</v>
      </c>
      <c r="X33" s="167"/>
      <c r="Y33" s="46"/>
    </row>
    <row r="34" spans="1:25" s="23" customFormat="1" ht="30">
      <c r="A34" s="21"/>
      <c r="B34" s="24" t="s">
        <v>301</v>
      </c>
      <c r="C34" s="24" t="s">
        <v>326</v>
      </c>
      <c r="D34" s="25" t="s">
        <v>303</v>
      </c>
      <c r="E34" s="35">
        <v>3607600</v>
      </c>
      <c r="F34" s="35"/>
      <c r="G34" s="35"/>
      <c r="H34" s="35">
        <v>718470</v>
      </c>
      <c r="I34" s="35"/>
      <c r="J34" s="35"/>
      <c r="K34" s="90">
        <f t="shared" si="2"/>
        <v>19.91545625900876</v>
      </c>
      <c r="L34" s="35">
        <f t="shared" si="3"/>
        <v>0</v>
      </c>
      <c r="M34" s="36"/>
      <c r="N34" s="36"/>
      <c r="O34" s="36"/>
      <c r="P34" s="35"/>
      <c r="Q34" s="35">
        <f t="shared" si="4"/>
        <v>0</v>
      </c>
      <c r="R34" s="35"/>
      <c r="S34" s="35"/>
      <c r="T34" s="35"/>
      <c r="U34" s="35"/>
      <c r="V34" s="90"/>
      <c r="W34" s="35">
        <f t="shared" si="5"/>
        <v>718470</v>
      </c>
      <c r="X34" s="167"/>
      <c r="Y34" s="46"/>
    </row>
    <row r="35" spans="1:25" s="23" customFormat="1" ht="45">
      <c r="A35" s="21"/>
      <c r="B35" s="24" t="s">
        <v>148</v>
      </c>
      <c r="C35" s="24" t="s">
        <v>207</v>
      </c>
      <c r="D35" s="25" t="s">
        <v>149</v>
      </c>
      <c r="E35" s="35">
        <v>32500</v>
      </c>
      <c r="F35" s="35"/>
      <c r="G35" s="35"/>
      <c r="H35" s="35">
        <v>5232.5</v>
      </c>
      <c r="I35" s="35"/>
      <c r="J35" s="35"/>
      <c r="K35" s="90">
        <f t="shared" si="2"/>
        <v>16.1</v>
      </c>
      <c r="L35" s="35">
        <f t="shared" si="3"/>
        <v>0</v>
      </c>
      <c r="M35" s="36"/>
      <c r="N35" s="36"/>
      <c r="O35" s="36"/>
      <c r="P35" s="35"/>
      <c r="Q35" s="35">
        <f t="shared" si="4"/>
        <v>0</v>
      </c>
      <c r="R35" s="35"/>
      <c r="S35" s="35"/>
      <c r="T35" s="35"/>
      <c r="U35" s="35"/>
      <c r="V35" s="90"/>
      <c r="W35" s="35">
        <f t="shared" si="5"/>
        <v>5232.5</v>
      </c>
      <c r="X35" s="167"/>
      <c r="Y35" s="46"/>
    </row>
    <row r="36" spans="1:25" s="23" customFormat="1" ht="15">
      <c r="A36" s="21"/>
      <c r="B36" s="24" t="s">
        <v>43</v>
      </c>
      <c r="C36" s="24" t="s">
        <v>186</v>
      </c>
      <c r="D36" s="25" t="s">
        <v>44</v>
      </c>
      <c r="E36" s="35">
        <f>2000000+2000000+98040+1600000+420000+1474800+3058900</f>
        <v>10651740</v>
      </c>
      <c r="F36" s="36"/>
      <c r="G36" s="36"/>
      <c r="H36" s="35">
        <v>10651350</v>
      </c>
      <c r="I36" s="35"/>
      <c r="J36" s="35"/>
      <c r="K36" s="90">
        <f t="shared" si="2"/>
        <v>99.99633862636527</v>
      </c>
      <c r="L36" s="35">
        <f t="shared" si="3"/>
        <v>0</v>
      </c>
      <c r="M36" s="35"/>
      <c r="N36" s="35"/>
      <c r="O36" s="35"/>
      <c r="P36" s="35"/>
      <c r="Q36" s="35">
        <f t="shared" si="4"/>
        <v>0</v>
      </c>
      <c r="R36" s="35"/>
      <c r="S36" s="35"/>
      <c r="T36" s="35"/>
      <c r="U36" s="35"/>
      <c r="V36" s="90"/>
      <c r="W36" s="35">
        <f t="shared" si="5"/>
        <v>10651350</v>
      </c>
      <c r="X36" s="167"/>
      <c r="Y36" s="46"/>
    </row>
    <row r="37" spans="1:25" s="23" customFormat="1" ht="30">
      <c r="A37" s="21"/>
      <c r="B37" s="24" t="s">
        <v>45</v>
      </c>
      <c r="C37" s="24" t="s">
        <v>187</v>
      </c>
      <c r="D37" s="25" t="s">
        <v>46</v>
      </c>
      <c r="E37" s="35">
        <v>85000</v>
      </c>
      <c r="F37" s="36"/>
      <c r="G37" s="36"/>
      <c r="H37" s="35">
        <v>37332</v>
      </c>
      <c r="I37" s="36"/>
      <c r="J37" s="36"/>
      <c r="K37" s="90">
        <f t="shared" si="2"/>
        <v>43.919999999999995</v>
      </c>
      <c r="L37" s="35">
        <f t="shared" si="3"/>
        <v>0</v>
      </c>
      <c r="M37" s="36"/>
      <c r="N37" s="36"/>
      <c r="O37" s="36"/>
      <c r="P37" s="35"/>
      <c r="Q37" s="35">
        <f t="shared" si="4"/>
        <v>0</v>
      </c>
      <c r="R37" s="35"/>
      <c r="S37" s="35"/>
      <c r="T37" s="35"/>
      <c r="U37" s="35"/>
      <c r="V37" s="90"/>
      <c r="W37" s="35">
        <f t="shared" si="5"/>
        <v>37332</v>
      </c>
      <c r="X37" s="167"/>
      <c r="Y37" s="46"/>
    </row>
    <row r="38" spans="1:25" s="23" customFormat="1" ht="60">
      <c r="A38" s="21"/>
      <c r="B38" s="24" t="s">
        <v>47</v>
      </c>
      <c r="C38" s="24" t="s">
        <v>188</v>
      </c>
      <c r="D38" s="25" t="s">
        <v>48</v>
      </c>
      <c r="E38" s="35">
        <v>0</v>
      </c>
      <c r="F38" s="36"/>
      <c r="G38" s="36"/>
      <c r="H38" s="35"/>
      <c r="I38" s="36"/>
      <c r="J38" s="36"/>
      <c r="K38" s="90"/>
      <c r="L38" s="35">
        <f t="shared" si="3"/>
        <v>51400000</v>
      </c>
      <c r="M38" s="36"/>
      <c r="N38" s="36"/>
      <c r="O38" s="36"/>
      <c r="P38" s="35">
        <f>46000000+5400000</f>
        <v>51400000</v>
      </c>
      <c r="Q38" s="35">
        <f t="shared" si="4"/>
        <v>5400000</v>
      </c>
      <c r="R38" s="35"/>
      <c r="S38" s="35"/>
      <c r="T38" s="35"/>
      <c r="U38" s="35">
        <v>5400000</v>
      </c>
      <c r="V38" s="90">
        <f t="shared" si="6"/>
        <v>10.505836575875486</v>
      </c>
      <c r="W38" s="35">
        <f t="shared" si="5"/>
        <v>5400000</v>
      </c>
      <c r="X38" s="167"/>
      <c r="Y38" s="46"/>
    </row>
    <row r="39" spans="1:25" s="23" customFormat="1" ht="30">
      <c r="A39" s="21"/>
      <c r="B39" s="24" t="s">
        <v>49</v>
      </c>
      <c r="C39" s="24" t="s">
        <v>187</v>
      </c>
      <c r="D39" s="25" t="s">
        <v>50</v>
      </c>
      <c r="E39" s="35">
        <v>837300</v>
      </c>
      <c r="F39" s="36"/>
      <c r="G39" s="36"/>
      <c r="H39" s="35">
        <v>6795.64</v>
      </c>
      <c r="I39" s="35"/>
      <c r="J39" s="35"/>
      <c r="K39" s="90">
        <f t="shared" si="2"/>
        <v>0.8116135196464827</v>
      </c>
      <c r="L39" s="35">
        <f t="shared" si="3"/>
        <v>0</v>
      </c>
      <c r="M39" s="36"/>
      <c r="N39" s="36"/>
      <c r="O39" s="36"/>
      <c r="P39" s="36"/>
      <c r="Q39" s="35">
        <f t="shared" si="4"/>
        <v>0</v>
      </c>
      <c r="R39" s="36"/>
      <c r="S39" s="36"/>
      <c r="T39" s="36"/>
      <c r="U39" s="36"/>
      <c r="V39" s="90"/>
      <c r="W39" s="35">
        <f t="shared" si="5"/>
        <v>6795.64</v>
      </c>
      <c r="X39" s="167"/>
      <c r="Y39" s="46"/>
    </row>
    <row r="40" spans="1:25" s="23" customFormat="1" ht="45">
      <c r="A40" s="21"/>
      <c r="B40" s="24" t="s">
        <v>51</v>
      </c>
      <c r="C40" s="24" t="s">
        <v>189</v>
      </c>
      <c r="D40" s="25" t="s">
        <v>52</v>
      </c>
      <c r="E40" s="35">
        <v>162726</v>
      </c>
      <c r="F40" s="36"/>
      <c r="G40" s="35">
        <v>4300</v>
      </c>
      <c r="H40" s="35">
        <v>2800.25</v>
      </c>
      <c r="I40" s="35"/>
      <c r="J40" s="35">
        <v>1833.73</v>
      </c>
      <c r="K40" s="90">
        <f t="shared" si="2"/>
        <v>1.7208374814104692</v>
      </c>
      <c r="L40" s="35">
        <f t="shared" si="3"/>
        <v>343874</v>
      </c>
      <c r="M40" s="35"/>
      <c r="N40" s="35"/>
      <c r="O40" s="35"/>
      <c r="P40" s="35">
        <v>343874</v>
      </c>
      <c r="Q40" s="35">
        <f t="shared" si="4"/>
        <v>0</v>
      </c>
      <c r="R40" s="35"/>
      <c r="S40" s="35"/>
      <c r="T40" s="35"/>
      <c r="U40" s="35"/>
      <c r="V40" s="90">
        <f t="shared" si="6"/>
        <v>0</v>
      </c>
      <c r="W40" s="35">
        <f t="shared" si="5"/>
        <v>2800.25</v>
      </c>
      <c r="X40" s="167"/>
      <c r="Y40" s="46"/>
    </row>
    <row r="41" spans="1:25" s="23" customFormat="1" ht="15">
      <c r="A41" s="21"/>
      <c r="B41" s="27" t="s">
        <v>53</v>
      </c>
      <c r="C41" s="27" t="s">
        <v>190</v>
      </c>
      <c r="D41" s="25" t="s">
        <v>54</v>
      </c>
      <c r="E41" s="35">
        <f>1027600-160500+30000</f>
        <v>897100</v>
      </c>
      <c r="F41" s="35">
        <f>690800-52700</f>
        <v>638100</v>
      </c>
      <c r="G41" s="35">
        <v>46377</v>
      </c>
      <c r="H41" s="35">
        <v>378014.23</v>
      </c>
      <c r="I41" s="35">
        <v>285900.43</v>
      </c>
      <c r="J41" s="35">
        <v>13285.99</v>
      </c>
      <c r="K41" s="90">
        <f t="shared" si="2"/>
        <v>42.13735703934901</v>
      </c>
      <c r="L41" s="35">
        <f t="shared" si="3"/>
        <v>4700</v>
      </c>
      <c r="M41" s="35">
        <v>4700</v>
      </c>
      <c r="N41" s="35"/>
      <c r="O41" s="35">
        <v>720</v>
      </c>
      <c r="P41" s="35"/>
      <c r="Q41" s="35">
        <f t="shared" si="4"/>
        <v>3885</v>
      </c>
      <c r="R41" s="35">
        <v>3885</v>
      </c>
      <c r="S41" s="35"/>
      <c r="T41" s="35"/>
      <c r="U41" s="35"/>
      <c r="V41" s="90">
        <f t="shared" si="6"/>
        <v>82.65957446808511</v>
      </c>
      <c r="W41" s="35">
        <f t="shared" si="5"/>
        <v>381899.23</v>
      </c>
      <c r="X41" s="167"/>
      <c r="Y41" s="46"/>
    </row>
    <row r="42" spans="1:25" s="23" customFormat="1" ht="30">
      <c r="A42" s="21"/>
      <c r="B42" s="27" t="s">
        <v>55</v>
      </c>
      <c r="C42" s="27" t="s">
        <v>191</v>
      </c>
      <c r="D42" s="25" t="s">
        <v>56</v>
      </c>
      <c r="E42" s="35"/>
      <c r="F42" s="35"/>
      <c r="G42" s="35"/>
      <c r="H42" s="35"/>
      <c r="I42" s="35"/>
      <c r="J42" s="35"/>
      <c r="K42" s="90"/>
      <c r="L42" s="35">
        <f t="shared" si="3"/>
        <v>30600</v>
      </c>
      <c r="M42" s="35">
        <v>30600</v>
      </c>
      <c r="N42" s="35"/>
      <c r="O42" s="35"/>
      <c r="P42" s="35"/>
      <c r="Q42" s="35">
        <f t="shared" si="4"/>
        <v>20600</v>
      </c>
      <c r="R42" s="35">
        <v>20600</v>
      </c>
      <c r="S42" s="35"/>
      <c r="T42" s="35"/>
      <c r="U42" s="35"/>
      <c r="V42" s="90">
        <f t="shared" si="6"/>
        <v>67.3202614379085</v>
      </c>
      <c r="W42" s="35">
        <f t="shared" si="5"/>
        <v>20600</v>
      </c>
      <c r="X42" s="167"/>
      <c r="Y42" s="46"/>
    </row>
    <row r="43" spans="1:25" s="23" customFormat="1" ht="60">
      <c r="A43" s="21"/>
      <c r="B43" s="24" t="s">
        <v>57</v>
      </c>
      <c r="C43" s="24" t="s">
        <v>192</v>
      </c>
      <c r="D43" s="25" t="s">
        <v>58</v>
      </c>
      <c r="E43" s="35">
        <v>0</v>
      </c>
      <c r="F43" s="35"/>
      <c r="G43" s="35"/>
      <c r="H43" s="35"/>
      <c r="I43" s="35"/>
      <c r="J43" s="35"/>
      <c r="K43" s="90"/>
      <c r="L43" s="35">
        <f t="shared" si="3"/>
        <v>120443.47</v>
      </c>
      <c r="M43" s="35">
        <f>119543+900.47</f>
        <v>120443.47</v>
      </c>
      <c r="N43" s="35"/>
      <c r="O43" s="35"/>
      <c r="P43" s="35"/>
      <c r="Q43" s="35">
        <f t="shared" si="4"/>
        <v>41304.87</v>
      </c>
      <c r="R43" s="35">
        <v>41304.87</v>
      </c>
      <c r="S43" s="35"/>
      <c r="T43" s="35"/>
      <c r="U43" s="35"/>
      <c r="V43" s="90">
        <f t="shared" si="6"/>
        <v>34.29398870690126</v>
      </c>
      <c r="W43" s="35">
        <f t="shared" si="5"/>
        <v>41304.87</v>
      </c>
      <c r="X43" s="167"/>
      <c r="Y43" s="46"/>
    </row>
    <row r="44" spans="1:25" s="23" customFormat="1" ht="60">
      <c r="A44" s="21"/>
      <c r="B44" s="24" t="s">
        <v>327</v>
      </c>
      <c r="C44" s="24" t="s">
        <v>224</v>
      </c>
      <c r="D44" s="25" t="s">
        <v>328</v>
      </c>
      <c r="E44" s="35">
        <f>100000+150000+30000+40000</f>
        <v>320000</v>
      </c>
      <c r="F44" s="35"/>
      <c r="G44" s="35"/>
      <c r="H44" s="35">
        <v>300000</v>
      </c>
      <c r="I44" s="35"/>
      <c r="J44" s="35"/>
      <c r="K44" s="90">
        <f t="shared" si="2"/>
        <v>93.75</v>
      </c>
      <c r="L44" s="35">
        <f t="shared" si="3"/>
        <v>0</v>
      </c>
      <c r="M44" s="35"/>
      <c r="N44" s="35"/>
      <c r="O44" s="35"/>
      <c r="P44" s="35"/>
      <c r="Q44" s="35">
        <f t="shared" si="4"/>
        <v>0</v>
      </c>
      <c r="R44" s="35"/>
      <c r="S44" s="35"/>
      <c r="T44" s="35"/>
      <c r="U44" s="35"/>
      <c r="V44" s="90"/>
      <c r="W44" s="35">
        <f t="shared" si="5"/>
        <v>300000</v>
      </c>
      <c r="X44" s="167"/>
      <c r="Y44" s="46"/>
    </row>
    <row r="45" spans="1:25" s="23" customFormat="1" ht="15">
      <c r="A45" s="21"/>
      <c r="B45" s="24" t="s">
        <v>59</v>
      </c>
      <c r="C45" s="24" t="s">
        <v>192</v>
      </c>
      <c r="D45" s="25" t="s">
        <v>25</v>
      </c>
      <c r="E45" s="35">
        <f>952700+602640+80580+303921+268723-97102+67000+15000</f>
        <v>2193462</v>
      </c>
      <c r="F45" s="35"/>
      <c r="G45" s="35">
        <v>196820</v>
      </c>
      <c r="H45" s="35">
        <v>514308.73</v>
      </c>
      <c r="I45" s="35"/>
      <c r="J45" s="35">
        <v>102442.68</v>
      </c>
      <c r="K45" s="90">
        <f t="shared" si="2"/>
        <v>23.447350808903913</v>
      </c>
      <c r="L45" s="35">
        <f t="shared" si="3"/>
        <v>114000</v>
      </c>
      <c r="M45" s="36"/>
      <c r="N45" s="36"/>
      <c r="O45" s="36"/>
      <c r="P45" s="35">
        <f>89000+25000</f>
        <v>114000</v>
      </c>
      <c r="Q45" s="35">
        <f t="shared" si="4"/>
        <v>0</v>
      </c>
      <c r="R45" s="36"/>
      <c r="S45" s="36"/>
      <c r="T45" s="36"/>
      <c r="U45" s="35"/>
      <c r="V45" s="90">
        <f t="shared" si="6"/>
        <v>0</v>
      </c>
      <c r="W45" s="35">
        <f t="shared" si="5"/>
        <v>514308.73</v>
      </c>
      <c r="X45" s="167"/>
      <c r="Y45" s="46"/>
    </row>
    <row r="46" spans="1:25" s="23" customFormat="1" ht="28.5">
      <c r="A46" s="21"/>
      <c r="B46" s="28"/>
      <c r="C46" s="28"/>
      <c r="D46" s="29" t="s">
        <v>193</v>
      </c>
      <c r="E46" s="36">
        <f aca="true" t="shared" si="7" ref="E46:J46">SUM(E47:E63)</f>
        <v>431185042.29</v>
      </c>
      <c r="F46" s="36">
        <f t="shared" si="7"/>
        <v>249425770</v>
      </c>
      <c r="G46" s="36">
        <f t="shared" si="7"/>
        <v>59900211</v>
      </c>
      <c r="H46" s="36">
        <f t="shared" si="7"/>
        <v>219557976.17000005</v>
      </c>
      <c r="I46" s="36">
        <f t="shared" si="7"/>
        <v>130334169.35000001</v>
      </c>
      <c r="J46" s="36">
        <f t="shared" si="7"/>
        <v>32999373.870000005</v>
      </c>
      <c r="K46" s="89">
        <f>H46/E46*100</f>
        <v>50.91966432878555</v>
      </c>
      <c r="L46" s="36">
        <f aca="true" t="shared" si="8" ref="L46:U46">SUM(L47:L63)</f>
        <v>53802440.45</v>
      </c>
      <c r="M46" s="36">
        <f t="shared" si="8"/>
        <v>36441117</v>
      </c>
      <c r="N46" s="36">
        <f t="shared" si="8"/>
        <v>2470383</v>
      </c>
      <c r="O46" s="36">
        <f t="shared" si="8"/>
        <v>1518188</v>
      </c>
      <c r="P46" s="36">
        <f t="shared" si="8"/>
        <v>17361323.45</v>
      </c>
      <c r="Q46" s="36">
        <f t="shared" si="8"/>
        <v>25775094.690000005</v>
      </c>
      <c r="R46" s="36">
        <f t="shared" si="8"/>
        <v>15030105.239999998</v>
      </c>
      <c r="S46" s="36">
        <f t="shared" si="8"/>
        <v>975455.27</v>
      </c>
      <c r="T46" s="36">
        <f t="shared" si="8"/>
        <v>708770.92</v>
      </c>
      <c r="U46" s="36">
        <f t="shared" si="8"/>
        <v>10744989.45</v>
      </c>
      <c r="V46" s="89">
        <f t="shared" si="6"/>
        <v>47.90692480567581</v>
      </c>
      <c r="W46" s="36">
        <f>SUM(W47:W63)</f>
        <v>245333070.85999998</v>
      </c>
      <c r="X46" s="167"/>
      <c r="Y46" s="46"/>
    </row>
    <row r="47" spans="1:25" s="23" customFormat="1" ht="15">
      <c r="A47" s="21"/>
      <c r="B47" s="24" t="s">
        <v>11</v>
      </c>
      <c r="C47" s="24" t="s">
        <v>9</v>
      </c>
      <c r="D47" s="25" t="s">
        <v>15</v>
      </c>
      <c r="E47" s="35">
        <f>1009660-118390+63630+41301+6000</f>
        <v>1002201</v>
      </c>
      <c r="F47" s="35">
        <f>667920-18750+52156+33853</f>
        <v>735179</v>
      </c>
      <c r="G47" s="35">
        <v>24724</v>
      </c>
      <c r="H47" s="35">
        <v>450496.97</v>
      </c>
      <c r="I47" s="35">
        <v>334738.5</v>
      </c>
      <c r="J47" s="35">
        <v>12575.25</v>
      </c>
      <c r="K47" s="90">
        <f>H47/E47*100</f>
        <v>44.950760376411516</v>
      </c>
      <c r="L47" s="35">
        <f>M47+P47</f>
        <v>188000</v>
      </c>
      <c r="M47" s="36"/>
      <c r="N47" s="36"/>
      <c r="O47" s="36"/>
      <c r="P47" s="35">
        <f>20000+150000+24000-6000</f>
        <v>188000</v>
      </c>
      <c r="Q47" s="35">
        <f>R47+U47</f>
        <v>169670.76</v>
      </c>
      <c r="R47" s="35"/>
      <c r="S47" s="35"/>
      <c r="T47" s="35"/>
      <c r="U47" s="35">
        <v>169670.76</v>
      </c>
      <c r="V47" s="90">
        <f t="shared" si="6"/>
        <v>90.25040425531915</v>
      </c>
      <c r="W47" s="35">
        <f>H47+Q47</f>
        <v>620167.73</v>
      </c>
      <c r="X47" s="167"/>
      <c r="Y47" s="46"/>
    </row>
    <row r="48" spans="1:25" s="23" customFormat="1" ht="15">
      <c r="A48" s="21"/>
      <c r="B48" s="24" t="s">
        <v>60</v>
      </c>
      <c r="C48" s="24" t="s">
        <v>194</v>
      </c>
      <c r="D48" s="25" t="s">
        <v>61</v>
      </c>
      <c r="E48" s="35">
        <f>127615802+181800-17960782+85000+2791744+55100+20000+15000+65000+62570+11742+28164+14430+6200+1200</f>
        <v>112992970</v>
      </c>
      <c r="F48" s="35">
        <f>70161106-6341216</f>
        <v>63819890</v>
      </c>
      <c r="G48" s="35">
        <v>19789563</v>
      </c>
      <c r="H48" s="35">
        <v>55533589.71</v>
      </c>
      <c r="I48" s="35">
        <v>31669690.23</v>
      </c>
      <c r="J48" s="35">
        <v>10406630.55</v>
      </c>
      <c r="K48" s="90">
        <f aca="true" t="shared" si="9" ref="K48:K61">H48/E48*100</f>
        <v>49.14782725863388</v>
      </c>
      <c r="L48" s="35">
        <f aca="true" t="shared" si="10" ref="L48:L63">M48+P48</f>
        <v>15237978</v>
      </c>
      <c r="M48" s="35">
        <v>11284686</v>
      </c>
      <c r="N48" s="35"/>
      <c r="O48" s="35"/>
      <c r="P48" s="35">
        <f>2750000+850000+125000+35900+15000+42000+15000+49430-11742+103334-14430-6200</f>
        <v>3953292</v>
      </c>
      <c r="Q48" s="35">
        <f aca="true" t="shared" si="11" ref="Q48:Q63">R48+U48</f>
        <v>7251929.85</v>
      </c>
      <c r="R48" s="35">
        <v>4956207.09</v>
      </c>
      <c r="S48" s="35"/>
      <c r="T48" s="35"/>
      <c r="U48" s="35">
        <v>2295722.76</v>
      </c>
      <c r="V48" s="90">
        <f t="shared" si="6"/>
        <v>47.5911557950799</v>
      </c>
      <c r="W48" s="35">
        <f aca="true" t="shared" si="12" ref="W48:W63">H48+Q48</f>
        <v>62785519.56</v>
      </c>
      <c r="X48" s="167"/>
      <c r="Y48" s="46"/>
    </row>
    <row r="49" spans="1:25" s="23" customFormat="1" ht="60">
      <c r="A49" s="21"/>
      <c r="B49" s="24" t="s">
        <v>62</v>
      </c>
      <c r="C49" s="24" t="s">
        <v>195</v>
      </c>
      <c r="D49" s="25" t="s">
        <v>63</v>
      </c>
      <c r="E49" s="35">
        <f>241356212+318200+8795512-31986943+4220760+3940000+192036+4086044+727101.34+332450+191339+164032.8+19908+54675+11719+54600+224238+98087+11250+95329.4</f>
        <v>232906550.54000002</v>
      </c>
      <c r="F49" s="35">
        <f>142701242+16080119-18252562</f>
        <v>140528799</v>
      </c>
      <c r="G49" s="35">
        <f>31014749+1000000-1000000</f>
        <v>31014749</v>
      </c>
      <c r="H49" s="35">
        <v>122689490.36</v>
      </c>
      <c r="I49" s="35">
        <v>76131257.13</v>
      </c>
      <c r="J49" s="35">
        <v>17284085.17</v>
      </c>
      <c r="K49" s="90">
        <f t="shared" si="9"/>
        <v>52.6775610542259</v>
      </c>
      <c r="L49" s="35">
        <f t="shared" si="10"/>
        <v>30354619.45</v>
      </c>
      <c r="M49" s="35">
        <v>18497171</v>
      </c>
      <c r="N49" s="35">
        <v>740455</v>
      </c>
      <c r="O49" s="35">
        <v>47940</v>
      </c>
      <c r="P49" s="35">
        <f>6090000+2150000+190000+134464+500000+184300+1498110+78400+185661-15000+148820+88075-11719+331212-54600+98780-98087+359032.45</f>
        <v>11857448.45</v>
      </c>
      <c r="Q49" s="35">
        <f t="shared" si="11"/>
        <v>14599771.18</v>
      </c>
      <c r="R49" s="35">
        <v>7035065.51</v>
      </c>
      <c r="S49" s="35">
        <v>339636.1</v>
      </c>
      <c r="T49" s="35">
        <v>22229.17</v>
      </c>
      <c r="U49" s="35">
        <v>7564705.67</v>
      </c>
      <c r="V49" s="90">
        <f t="shared" si="6"/>
        <v>48.09736193217207</v>
      </c>
      <c r="W49" s="35">
        <f t="shared" si="12"/>
        <v>137289261.54</v>
      </c>
      <c r="X49" s="167"/>
      <c r="Y49" s="46"/>
    </row>
    <row r="50" spans="1:25" s="23" customFormat="1" ht="15">
      <c r="A50" s="21"/>
      <c r="B50" s="24" t="s">
        <v>64</v>
      </c>
      <c r="C50" s="24" t="s">
        <v>195</v>
      </c>
      <c r="D50" s="25" t="s">
        <v>65</v>
      </c>
      <c r="E50" s="35">
        <f>372150+25184-39610</f>
        <v>357724</v>
      </c>
      <c r="F50" s="35">
        <f>277448+45301-29836</f>
        <v>292913</v>
      </c>
      <c r="G50" s="35"/>
      <c r="H50" s="35">
        <v>184263</v>
      </c>
      <c r="I50" s="35">
        <v>153379.48</v>
      </c>
      <c r="J50" s="35"/>
      <c r="K50" s="90">
        <f t="shared" si="9"/>
        <v>51.509823215663474</v>
      </c>
      <c r="L50" s="35">
        <f t="shared" si="10"/>
        <v>0</v>
      </c>
      <c r="M50" s="35"/>
      <c r="N50" s="35"/>
      <c r="O50" s="35"/>
      <c r="P50" s="35"/>
      <c r="Q50" s="35">
        <f t="shared" si="11"/>
        <v>0</v>
      </c>
      <c r="R50" s="35"/>
      <c r="S50" s="35"/>
      <c r="T50" s="35"/>
      <c r="U50" s="35"/>
      <c r="V50" s="90"/>
      <c r="W50" s="35">
        <f t="shared" si="12"/>
        <v>184263</v>
      </c>
      <c r="X50" s="167"/>
      <c r="Y50" s="46"/>
    </row>
    <row r="51" spans="1:25" s="23" customFormat="1" ht="60">
      <c r="A51" s="21"/>
      <c r="B51" s="24" t="s">
        <v>66</v>
      </c>
      <c r="C51" s="24" t="s">
        <v>196</v>
      </c>
      <c r="D51" s="25" t="s">
        <v>67</v>
      </c>
      <c r="E51" s="35">
        <f>4650387+37304-453788+49980+60000+30000+97943.75+23000+15000+26417+15000</f>
        <v>4551243.75</v>
      </c>
      <c r="F51" s="35">
        <f>2854137+321793-345065</f>
        <v>2830865</v>
      </c>
      <c r="G51" s="35">
        <v>517072</v>
      </c>
      <c r="H51" s="35">
        <v>2200995.49</v>
      </c>
      <c r="I51" s="35">
        <v>1399644.99</v>
      </c>
      <c r="J51" s="35">
        <v>269705.22</v>
      </c>
      <c r="K51" s="90">
        <f t="shared" si="9"/>
        <v>48.36030788287268</v>
      </c>
      <c r="L51" s="35">
        <f t="shared" si="10"/>
        <v>123583</v>
      </c>
      <c r="M51" s="35"/>
      <c r="N51" s="35"/>
      <c r="O51" s="35"/>
      <c r="P51" s="35">
        <f>150000-26417</f>
        <v>123583</v>
      </c>
      <c r="Q51" s="35">
        <f t="shared" si="11"/>
        <v>19091.17</v>
      </c>
      <c r="R51" s="35">
        <v>17936.75</v>
      </c>
      <c r="S51" s="35"/>
      <c r="T51" s="35"/>
      <c r="U51" s="35">
        <v>1154.42</v>
      </c>
      <c r="V51" s="90">
        <f t="shared" si="6"/>
        <v>15.448055153216863</v>
      </c>
      <c r="W51" s="35">
        <f t="shared" si="12"/>
        <v>2220086.66</v>
      </c>
      <c r="X51" s="167"/>
      <c r="Y51" s="46"/>
    </row>
    <row r="52" spans="1:25" s="23" customFormat="1" ht="30">
      <c r="A52" s="21"/>
      <c r="B52" s="24" t="s">
        <v>68</v>
      </c>
      <c r="C52" s="24" t="s">
        <v>197</v>
      </c>
      <c r="D52" s="25" t="s">
        <v>69</v>
      </c>
      <c r="E52" s="35">
        <f>14471495-2278502+222906+17000+75000</f>
        <v>12507899</v>
      </c>
      <c r="F52" s="35">
        <f>9257594-784442</f>
        <v>8473152</v>
      </c>
      <c r="G52" s="35">
        <v>1785662</v>
      </c>
      <c r="H52" s="35">
        <v>6041248.3</v>
      </c>
      <c r="I52" s="35">
        <v>4050969.59</v>
      </c>
      <c r="J52" s="35">
        <v>997171.73</v>
      </c>
      <c r="K52" s="90">
        <f t="shared" si="9"/>
        <v>48.299465002075884</v>
      </c>
      <c r="L52" s="35">
        <f t="shared" si="10"/>
        <v>450000</v>
      </c>
      <c r="M52" s="35"/>
      <c r="N52" s="35"/>
      <c r="O52" s="35"/>
      <c r="P52" s="35">
        <f>525000-75000</f>
        <v>450000</v>
      </c>
      <c r="Q52" s="35">
        <f t="shared" si="11"/>
        <v>426989.3</v>
      </c>
      <c r="R52" s="35">
        <v>115258.61</v>
      </c>
      <c r="S52" s="35"/>
      <c r="T52" s="35"/>
      <c r="U52" s="35">
        <v>311730.69</v>
      </c>
      <c r="V52" s="90">
        <f t="shared" si="6"/>
        <v>94.8865111111111</v>
      </c>
      <c r="W52" s="35">
        <f t="shared" si="12"/>
        <v>6468237.6</v>
      </c>
      <c r="X52" s="167"/>
      <c r="Y52" s="46"/>
    </row>
    <row r="53" spans="1:25" s="23" customFormat="1" ht="15">
      <c r="A53" s="21"/>
      <c r="B53" s="24" t="s">
        <v>309</v>
      </c>
      <c r="C53" s="24" t="s">
        <v>311</v>
      </c>
      <c r="D53" s="25" t="s">
        <v>310</v>
      </c>
      <c r="E53" s="35">
        <v>55886018</v>
      </c>
      <c r="F53" s="35">
        <v>26608329</v>
      </c>
      <c r="G53" s="35">
        <v>6083140</v>
      </c>
      <c r="H53" s="35">
        <v>27014251.12</v>
      </c>
      <c r="I53" s="35">
        <v>13650118.09</v>
      </c>
      <c r="J53" s="35">
        <v>3713112.82</v>
      </c>
      <c r="K53" s="90">
        <f t="shared" si="9"/>
        <v>48.33812120949466</v>
      </c>
      <c r="L53" s="35">
        <f t="shared" si="10"/>
        <v>6764260</v>
      </c>
      <c r="M53" s="35">
        <v>6459260</v>
      </c>
      <c r="N53" s="35">
        <v>1729928</v>
      </c>
      <c r="O53" s="35">
        <v>1470248</v>
      </c>
      <c r="P53" s="35">
        <v>305000</v>
      </c>
      <c r="Q53" s="35">
        <f t="shared" si="11"/>
        <v>2305324.02</v>
      </c>
      <c r="R53" s="35">
        <v>2168662.02</v>
      </c>
      <c r="S53" s="35">
        <v>635819.17</v>
      </c>
      <c r="T53" s="35">
        <v>686541.75</v>
      </c>
      <c r="U53" s="35">
        <v>136662</v>
      </c>
      <c r="V53" s="90">
        <f t="shared" si="6"/>
        <v>34.08094928343973</v>
      </c>
      <c r="W53" s="35">
        <f t="shared" si="12"/>
        <v>29319575.14</v>
      </c>
      <c r="X53" s="71"/>
      <c r="Y53" s="46"/>
    </row>
    <row r="54" spans="1:25" s="23" customFormat="1" ht="30">
      <c r="A54" s="21"/>
      <c r="B54" s="24" t="s">
        <v>70</v>
      </c>
      <c r="C54" s="24" t="s">
        <v>198</v>
      </c>
      <c r="D54" s="25" t="s">
        <v>71</v>
      </c>
      <c r="E54" s="35">
        <f>2094920-330296+4000+3950</f>
        <v>1772574</v>
      </c>
      <c r="F54" s="35">
        <f>1451158-100640</f>
        <v>1350518</v>
      </c>
      <c r="G54" s="35">
        <v>79885</v>
      </c>
      <c r="H54" s="35">
        <v>880858.11</v>
      </c>
      <c r="I54" s="35">
        <v>666110.5</v>
      </c>
      <c r="J54" s="35">
        <v>45726.07</v>
      </c>
      <c r="K54" s="90">
        <f t="shared" si="9"/>
        <v>49.69372844236686</v>
      </c>
      <c r="L54" s="35">
        <f t="shared" si="10"/>
        <v>121000</v>
      </c>
      <c r="M54" s="35"/>
      <c r="N54" s="35"/>
      <c r="O54" s="35"/>
      <c r="P54" s="35">
        <f>110000+11000</f>
        <v>121000</v>
      </c>
      <c r="Q54" s="35">
        <f t="shared" si="11"/>
        <v>115749.17000000001</v>
      </c>
      <c r="R54" s="35">
        <v>6447.18</v>
      </c>
      <c r="S54" s="35"/>
      <c r="T54" s="35"/>
      <c r="U54" s="35">
        <v>109301.99</v>
      </c>
      <c r="V54" s="90">
        <f t="shared" si="6"/>
        <v>95.66047107438017</v>
      </c>
      <c r="W54" s="35">
        <f t="shared" si="12"/>
        <v>996607.28</v>
      </c>
      <c r="X54" s="167"/>
      <c r="Y54" s="46"/>
    </row>
    <row r="55" spans="1:25" s="23" customFormat="1" ht="30">
      <c r="A55" s="21"/>
      <c r="B55" s="24" t="s">
        <v>72</v>
      </c>
      <c r="C55" s="24" t="s">
        <v>198</v>
      </c>
      <c r="D55" s="25" t="s">
        <v>73</v>
      </c>
      <c r="E55" s="35">
        <f>1911767-371097+104666</f>
        <v>1645336</v>
      </c>
      <c r="F55" s="35">
        <f>1242033-158595+85792</f>
        <v>1169230</v>
      </c>
      <c r="G55" s="35">
        <v>82225</v>
      </c>
      <c r="H55" s="35">
        <v>742575.11</v>
      </c>
      <c r="I55" s="35">
        <v>541518.02</v>
      </c>
      <c r="J55" s="35">
        <v>38288.94</v>
      </c>
      <c r="K55" s="90">
        <f t="shared" si="9"/>
        <v>45.1321255962308</v>
      </c>
      <c r="L55" s="35">
        <f t="shared" si="10"/>
        <v>93000</v>
      </c>
      <c r="M55" s="35"/>
      <c r="N55" s="35"/>
      <c r="O55" s="35"/>
      <c r="P55" s="35">
        <f>75000+18000</f>
        <v>93000</v>
      </c>
      <c r="Q55" s="35">
        <f t="shared" si="11"/>
        <v>74250</v>
      </c>
      <c r="R55" s="35"/>
      <c r="S55" s="35"/>
      <c r="T55" s="35"/>
      <c r="U55" s="35">
        <v>74250</v>
      </c>
      <c r="V55" s="90">
        <f t="shared" si="6"/>
        <v>79.83870967741935</v>
      </c>
      <c r="W55" s="35">
        <f t="shared" si="12"/>
        <v>816825.11</v>
      </c>
      <c r="X55" s="167"/>
      <c r="Y55" s="46"/>
    </row>
    <row r="56" spans="1:25" s="23" customFormat="1" ht="30">
      <c r="A56" s="21"/>
      <c r="B56" s="24" t="s">
        <v>74</v>
      </c>
      <c r="C56" s="24" t="s">
        <v>198</v>
      </c>
      <c r="D56" s="25" t="s">
        <v>75</v>
      </c>
      <c r="E56" s="35">
        <f>206673-44535</f>
        <v>162138</v>
      </c>
      <c r="F56" s="35">
        <f>145804-19414</f>
        <v>126390</v>
      </c>
      <c r="G56" s="35">
        <v>5147</v>
      </c>
      <c r="H56" s="35">
        <v>60861.47</v>
      </c>
      <c r="I56" s="35">
        <v>46854.81</v>
      </c>
      <c r="J56" s="35">
        <v>2646.91</v>
      </c>
      <c r="K56" s="90">
        <f t="shared" si="9"/>
        <v>37.53683282142373</v>
      </c>
      <c r="L56" s="35">
        <f t="shared" si="10"/>
        <v>0</v>
      </c>
      <c r="M56" s="35"/>
      <c r="N56" s="35"/>
      <c r="O56" s="35"/>
      <c r="P56" s="35"/>
      <c r="Q56" s="35">
        <f t="shared" si="11"/>
        <v>232670.73</v>
      </c>
      <c r="R56" s="35">
        <v>150879.57</v>
      </c>
      <c r="S56" s="35"/>
      <c r="T56" s="35"/>
      <c r="U56" s="35">
        <v>81791.16</v>
      </c>
      <c r="V56" s="90"/>
      <c r="W56" s="35">
        <f t="shared" si="12"/>
        <v>293532.2</v>
      </c>
      <c r="X56" s="167"/>
      <c r="Y56" s="46"/>
    </row>
    <row r="57" spans="1:25" s="23" customFormat="1" ht="15">
      <c r="A57" s="21"/>
      <c r="B57" s="24" t="s">
        <v>76</v>
      </c>
      <c r="C57" s="24" t="s">
        <v>198</v>
      </c>
      <c r="D57" s="25" t="s">
        <v>77</v>
      </c>
      <c r="E57" s="35">
        <f>2955196-425073+45291+15000+10000</f>
        <v>2600414</v>
      </c>
      <c r="F57" s="35">
        <f>1837478-145690</f>
        <v>1691788</v>
      </c>
      <c r="G57" s="35">
        <v>335643</v>
      </c>
      <c r="H57" s="35">
        <v>1186883.33</v>
      </c>
      <c r="I57" s="35">
        <v>803798.95</v>
      </c>
      <c r="J57" s="35">
        <v>128193.44</v>
      </c>
      <c r="K57" s="90">
        <f t="shared" si="9"/>
        <v>45.64209122085945</v>
      </c>
      <c r="L57" s="35">
        <f t="shared" si="10"/>
        <v>150000</v>
      </c>
      <c r="M57" s="35"/>
      <c r="N57" s="35"/>
      <c r="O57" s="35"/>
      <c r="P57" s="35">
        <v>150000</v>
      </c>
      <c r="Q57" s="35">
        <f t="shared" si="11"/>
        <v>0</v>
      </c>
      <c r="R57" s="35"/>
      <c r="S57" s="35"/>
      <c r="T57" s="35"/>
      <c r="U57" s="35"/>
      <c r="V57" s="90">
        <f t="shared" si="6"/>
        <v>0</v>
      </c>
      <c r="W57" s="35">
        <f t="shared" si="12"/>
        <v>1186883.33</v>
      </c>
      <c r="X57" s="167"/>
      <c r="Y57" s="46"/>
    </row>
    <row r="58" spans="1:25" s="23" customFormat="1" ht="15">
      <c r="A58" s="21"/>
      <c r="B58" s="24" t="s">
        <v>78</v>
      </c>
      <c r="C58" s="24" t="s">
        <v>198</v>
      </c>
      <c r="D58" s="25" t="s">
        <v>79</v>
      </c>
      <c r="E58" s="35">
        <f>73148-19908</f>
        <v>53240</v>
      </c>
      <c r="F58" s="35"/>
      <c r="G58" s="35"/>
      <c r="H58" s="35">
        <v>21840</v>
      </c>
      <c r="I58" s="35"/>
      <c r="J58" s="35"/>
      <c r="K58" s="90">
        <f t="shared" si="9"/>
        <v>41.021788129226145</v>
      </c>
      <c r="L58" s="35">
        <f t="shared" si="10"/>
        <v>0</v>
      </c>
      <c r="M58" s="35"/>
      <c r="N58" s="35"/>
      <c r="O58" s="35"/>
      <c r="P58" s="35"/>
      <c r="Q58" s="35">
        <f t="shared" si="11"/>
        <v>0</v>
      </c>
      <c r="R58" s="35"/>
      <c r="S58" s="35"/>
      <c r="T58" s="35"/>
      <c r="U58" s="35"/>
      <c r="V58" s="90"/>
      <c r="W58" s="35">
        <f t="shared" si="12"/>
        <v>21840</v>
      </c>
      <c r="X58" s="167"/>
      <c r="Y58" s="46"/>
    </row>
    <row r="59" spans="1:25" s="23" customFormat="1" ht="45">
      <c r="A59" s="21"/>
      <c r="B59" s="24" t="s">
        <v>80</v>
      </c>
      <c r="C59" s="24" t="s">
        <v>198</v>
      </c>
      <c r="D59" s="25" t="s">
        <v>81</v>
      </c>
      <c r="E59" s="35">
        <v>45250</v>
      </c>
      <c r="F59" s="35"/>
      <c r="G59" s="35"/>
      <c r="H59" s="35">
        <v>12670</v>
      </c>
      <c r="I59" s="35"/>
      <c r="J59" s="35"/>
      <c r="K59" s="90">
        <f t="shared" si="9"/>
        <v>28.000000000000004</v>
      </c>
      <c r="L59" s="35">
        <f t="shared" si="10"/>
        <v>0</v>
      </c>
      <c r="M59" s="35"/>
      <c r="N59" s="35"/>
      <c r="O59" s="35"/>
      <c r="P59" s="35"/>
      <c r="Q59" s="35">
        <f t="shared" si="11"/>
        <v>0</v>
      </c>
      <c r="R59" s="35"/>
      <c r="S59" s="35"/>
      <c r="T59" s="35"/>
      <c r="U59" s="35"/>
      <c r="V59" s="90"/>
      <c r="W59" s="35">
        <f t="shared" si="12"/>
        <v>12670</v>
      </c>
      <c r="X59" s="167"/>
      <c r="Y59" s="46"/>
    </row>
    <row r="60" spans="1:25" s="23" customFormat="1" ht="75">
      <c r="A60" s="21"/>
      <c r="B60" s="24" t="s">
        <v>26</v>
      </c>
      <c r="C60" s="24" t="s">
        <v>182</v>
      </c>
      <c r="D60" s="26" t="s">
        <v>27</v>
      </c>
      <c r="E60" s="35">
        <f>2000000+109980</f>
        <v>2109980</v>
      </c>
      <c r="F60" s="35"/>
      <c r="G60" s="35"/>
      <c r="H60" s="35">
        <v>1263156.85</v>
      </c>
      <c r="I60" s="35"/>
      <c r="J60" s="35"/>
      <c r="K60" s="90">
        <f t="shared" si="9"/>
        <v>59.86582100304268</v>
      </c>
      <c r="L60" s="35">
        <f t="shared" si="10"/>
        <v>0</v>
      </c>
      <c r="M60" s="35"/>
      <c r="N60" s="35"/>
      <c r="O60" s="35"/>
      <c r="P60" s="35"/>
      <c r="Q60" s="35">
        <f t="shared" si="11"/>
        <v>576278.51</v>
      </c>
      <c r="R60" s="35">
        <v>576278.51</v>
      </c>
      <c r="S60" s="35"/>
      <c r="T60" s="35"/>
      <c r="U60" s="35"/>
      <c r="V60" s="90"/>
      <c r="W60" s="35">
        <f t="shared" si="12"/>
        <v>1839435.36</v>
      </c>
      <c r="X60" s="167"/>
      <c r="Y60" s="46"/>
    </row>
    <row r="61" spans="1:25" s="23" customFormat="1" ht="45">
      <c r="A61" s="21"/>
      <c r="B61" s="24" t="s">
        <v>36</v>
      </c>
      <c r="C61" s="24" t="s">
        <v>185</v>
      </c>
      <c r="D61" s="25" t="s">
        <v>37</v>
      </c>
      <c r="E61" s="35">
        <f>2940630-378096+28970</f>
        <v>2591504</v>
      </c>
      <c r="F61" s="35">
        <f>1887404-88687</f>
        <v>1798717</v>
      </c>
      <c r="G61" s="35">
        <v>182401</v>
      </c>
      <c r="H61" s="35">
        <v>1274796.35</v>
      </c>
      <c r="I61" s="35">
        <v>886089.06</v>
      </c>
      <c r="J61" s="35">
        <v>101237.77</v>
      </c>
      <c r="K61" s="90">
        <f t="shared" si="9"/>
        <v>49.19137111113855</v>
      </c>
      <c r="L61" s="35">
        <f t="shared" si="10"/>
        <v>0</v>
      </c>
      <c r="M61" s="36"/>
      <c r="N61" s="36"/>
      <c r="O61" s="36"/>
      <c r="P61" s="36"/>
      <c r="Q61" s="35">
        <f t="shared" si="11"/>
        <v>0</v>
      </c>
      <c r="R61" s="35"/>
      <c r="S61" s="35"/>
      <c r="T61" s="35"/>
      <c r="U61" s="35"/>
      <c r="V61" s="90"/>
      <c r="W61" s="35">
        <f t="shared" si="12"/>
        <v>1274796.35</v>
      </c>
      <c r="X61" s="167"/>
      <c r="Y61" s="46"/>
    </row>
    <row r="62" spans="1:25" s="23" customFormat="1" ht="30">
      <c r="A62" s="21"/>
      <c r="B62" s="24" t="s">
        <v>55</v>
      </c>
      <c r="C62" s="24" t="s">
        <v>191</v>
      </c>
      <c r="D62" s="25" t="s">
        <v>56</v>
      </c>
      <c r="E62" s="35"/>
      <c r="F62" s="35"/>
      <c r="G62" s="35"/>
      <c r="H62" s="36"/>
      <c r="I62" s="36"/>
      <c r="J62" s="36"/>
      <c r="K62" s="90"/>
      <c r="L62" s="35">
        <f t="shared" si="10"/>
        <v>70000</v>
      </c>
      <c r="M62" s="35">
        <v>40000</v>
      </c>
      <c r="N62" s="35"/>
      <c r="O62" s="35"/>
      <c r="P62" s="35">
        <v>30000</v>
      </c>
      <c r="Q62" s="35">
        <f t="shared" si="11"/>
        <v>3370</v>
      </c>
      <c r="R62" s="35">
        <v>3370</v>
      </c>
      <c r="S62" s="35"/>
      <c r="T62" s="35"/>
      <c r="U62" s="35"/>
      <c r="V62" s="90">
        <f t="shared" si="6"/>
        <v>4.814285714285714</v>
      </c>
      <c r="W62" s="35">
        <f t="shared" si="12"/>
        <v>3370</v>
      </c>
      <c r="X62" s="167"/>
      <c r="Y62" s="46"/>
    </row>
    <row r="63" spans="1:25" s="23" customFormat="1" ht="15">
      <c r="A63" s="21"/>
      <c r="B63" s="24" t="s">
        <v>82</v>
      </c>
      <c r="C63" s="24" t="s">
        <v>199</v>
      </c>
      <c r="D63" s="25" t="s">
        <v>83</v>
      </c>
      <c r="E63" s="35"/>
      <c r="F63" s="35"/>
      <c r="G63" s="35"/>
      <c r="H63" s="36"/>
      <c r="I63" s="36"/>
      <c r="J63" s="36"/>
      <c r="K63" s="90"/>
      <c r="L63" s="35">
        <f t="shared" si="10"/>
        <v>250000</v>
      </c>
      <c r="M63" s="35">
        <v>160000</v>
      </c>
      <c r="N63" s="35"/>
      <c r="O63" s="35"/>
      <c r="P63" s="35">
        <v>90000</v>
      </c>
      <c r="Q63" s="35">
        <f t="shared" si="11"/>
        <v>0</v>
      </c>
      <c r="R63" s="35"/>
      <c r="S63" s="35"/>
      <c r="T63" s="35"/>
      <c r="U63" s="35"/>
      <c r="V63" s="90">
        <f t="shared" si="6"/>
        <v>0</v>
      </c>
      <c r="W63" s="35">
        <f t="shared" si="12"/>
        <v>0</v>
      </c>
      <c r="X63" s="167"/>
      <c r="Y63" s="46"/>
    </row>
    <row r="64" spans="1:25" s="23" customFormat="1" ht="28.5">
      <c r="A64" s="21"/>
      <c r="B64" s="28"/>
      <c r="C64" s="28"/>
      <c r="D64" s="29" t="s">
        <v>200</v>
      </c>
      <c r="E64" s="36">
        <f aca="true" t="shared" si="13" ref="E64:J64">SUM(E65:E73)</f>
        <v>224461194.43</v>
      </c>
      <c r="F64" s="36">
        <f t="shared" si="13"/>
        <v>126678264</v>
      </c>
      <c r="G64" s="36">
        <f t="shared" si="13"/>
        <v>19133584</v>
      </c>
      <c r="H64" s="36">
        <f t="shared" si="13"/>
        <v>101562735.70000002</v>
      </c>
      <c r="I64" s="36">
        <f t="shared" si="13"/>
        <v>59695246.00000001</v>
      </c>
      <c r="J64" s="36">
        <f t="shared" si="13"/>
        <v>10122858.599999998</v>
      </c>
      <c r="K64" s="89">
        <f>H64/E64*100</f>
        <v>45.247347078371334</v>
      </c>
      <c r="L64" s="36">
        <f aca="true" t="shared" si="14" ref="L64:U64">SUM(L65:L73)</f>
        <v>35387778</v>
      </c>
      <c r="M64" s="36">
        <f t="shared" si="14"/>
        <v>11785214</v>
      </c>
      <c r="N64" s="36">
        <f t="shared" si="14"/>
        <v>6366242</v>
      </c>
      <c r="O64" s="36">
        <f t="shared" si="14"/>
        <v>500810</v>
      </c>
      <c r="P64" s="36">
        <f t="shared" si="14"/>
        <v>23602564</v>
      </c>
      <c r="Q64" s="36">
        <f t="shared" si="14"/>
        <v>24132423.54</v>
      </c>
      <c r="R64" s="36">
        <f t="shared" si="14"/>
        <v>6548567.959999999</v>
      </c>
      <c r="S64" s="36">
        <f t="shared" si="14"/>
        <v>2738926.31</v>
      </c>
      <c r="T64" s="36">
        <f t="shared" si="14"/>
        <v>283745.27</v>
      </c>
      <c r="U64" s="36">
        <f t="shared" si="14"/>
        <v>17583855.580000002</v>
      </c>
      <c r="V64" s="89">
        <f t="shared" si="6"/>
        <v>68.19423231376663</v>
      </c>
      <c r="W64" s="36">
        <f>SUM(W65:W73)</f>
        <v>125695159.24000001</v>
      </c>
      <c r="X64" s="167"/>
      <c r="Y64" s="46"/>
    </row>
    <row r="65" spans="1:25" s="23" customFormat="1" ht="15">
      <c r="A65" s="21"/>
      <c r="B65" s="24" t="s">
        <v>11</v>
      </c>
      <c r="C65" s="24" t="s">
        <v>9</v>
      </c>
      <c r="D65" s="25" t="s">
        <v>15</v>
      </c>
      <c r="E65" s="35">
        <f>501690-36350+9175+52552</f>
        <v>527067</v>
      </c>
      <c r="F65" s="35">
        <f>324260+3570+43075</f>
        <v>370905</v>
      </c>
      <c r="G65" s="35">
        <v>18179</v>
      </c>
      <c r="H65" s="35">
        <v>205244.15</v>
      </c>
      <c r="I65" s="35">
        <v>140465.24</v>
      </c>
      <c r="J65" s="35">
        <v>9074.69</v>
      </c>
      <c r="K65" s="90">
        <f>H65/E65*100</f>
        <v>38.940808284335766</v>
      </c>
      <c r="L65" s="35">
        <f>M65+P65</f>
        <v>447900</v>
      </c>
      <c r="M65" s="36"/>
      <c r="N65" s="36"/>
      <c r="O65" s="36"/>
      <c r="P65" s="35">
        <f>320200+13000+114700</f>
        <v>447900</v>
      </c>
      <c r="Q65" s="35">
        <f>R65+U65</f>
        <v>124313.72</v>
      </c>
      <c r="R65" s="35"/>
      <c r="S65" s="35"/>
      <c r="T65" s="35"/>
      <c r="U65" s="35">
        <v>124313.72</v>
      </c>
      <c r="V65" s="90">
        <f t="shared" si="6"/>
        <v>27.754793480687656</v>
      </c>
      <c r="W65" s="35">
        <f>H65+Q65</f>
        <v>329557.87</v>
      </c>
      <c r="X65" s="167"/>
      <c r="Y65" s="46"/>
    </row>
    <row r="66" spans="1:25" s="23" customFormat="1" ht="15">
      <c r="A66" s="21"/>
      <c r="B66" s="24" t="s">
        <v>84</v>
      </c>
      <c r="C66" s="24" t="s">
        <v>201</v>
      </c>
      <c r="D66" s="25" t="s">
        <v>85</v>
      </c>
      <c r="E66" s="35">
        <f>185364829+8898601-3182667-22578004-57471+416936+263064.43+10000+150000+30000+57500+20000+7536470+25000+152300+186300+60000+20000</f>
        <v>177372858.43</v>
      </c>
      <c r="F66" s="35">
        <f>111910141+7414009-15923234</f>
        <v>103400916</v>
      </c>
      <c r="G66" s="35">
        <v>15447851</v>
      </c>
      <c r="H66" s="35">
        <v>81715616.23</v>
      </c>
      <c r="I66" s="35">
        <v>48713211.76</v>
      </c>
      <c r="J66" s="35">
        <v>8290351.41</v>
      </c>
      <c r="K66" s="90">
        <f aca="true" t="shared" si="15" ref="K66:K74">H66/E66*100</f>
        <v>46.069966371009905</v>
      </c>
      <c r="L66" s="35">
        <f aca="true" t="shared" si="16" ref="L66:L73">M66+P66</f>
        <v>24625782</v>
      </c>
      <c r="M66" s="35">
        <v>7844182</v>
      </c>
      <c r="N66" s="35">
        <v>4083407</v>
      </c>
      <c r="O66" s="35">
        <v>177480</v>
      </c>
      <c r="P66" s="35">
        <f>11900000+100000+4331400+40000+30000+30000+20500+279700+50000</f>
        <v>16781600</v>
      </c>
      <c r="Q66" s="35">
        <f aca="true" t="shared" si="17" ref="Q66:Q73">R66+U66</f>
        <v>18467506.41</v>
      </c>
      <c r="R66" s="35">
        <v>4712160.9</v>
      </c>
      <c r="S66" s="35">
        <v>1816933.26</v>
      </c>
      <c r="T66" s="35">
        <v>115428.2</v>
      </c>
      <c r="U66" s="35">
        <v>13755345.51</v>
      </c>
      <c r="V66" s="90">
        <f t="shared" si="6"/>
        <v>74.99256839843706</v>
      </c>
      <c r="W66" s="35">
        <f aca="true" t="shared" si="18" ref="W66:W73">H66+Q66</f>
        <v>100183122.64</v>
      </c>
      <c r="X66" s="167"/>
      <c r="Y66" s="46"/>
    </row>
    <row r="67" spans="1:25" s="23" customFormat="1" ht="15">
      <c r="A67" s="21"/>
      <c r="B67" s="30" t="s">
        <v>86</v>
      </c>
      <c r="C67" s="30" t="s">
        <v>202</v>
      </c>
      <c r="D67" s="31" t="s">
        <v>87</v>
      </c>
      <c r="E67" s="35">
        <f>21492078-514223-2712091+15000+4400+25000+10600</f>
        <v>18320764</v>
      </c>
      <c r="F67" s="35">
        <f>12880040+855030-1989840</f>
        <v>11745230</v>
      </c>
      <c r="G67" s="35">
        <v>2655803</v>
      </c>
      <c r="H67" s="35">
        <v>8806753.44</v>
      </c>
      <c r="I67" s="35">
        <v>5701263.34</v>
      </c>
      <c r="J67" s="35">
        <v>1317408.42</v>
      </c>
      <c r="K67" s="90">
        <f t="shared" si="15"/>
        <v>48.06979359594392</v>
      </c>
      <c r="L67" s="35">
        <f t="shared" si="16"/>
        <v>2919304</v>
      </c>
      <c r="M67" s="35">
        <v>25240</v>
      </c>
      <c r="N67" s="35">
        <v>9460</v>
      </c>
      <c r="O67" s="35">
        <v>4150</v>
      </c>
      <c r="P67" s="35">
        <f>1500000+500000+879064+15000</f>
        <v>2894064</v>
      </c>
      <c r="Q67" s="35">
        <f t="shared" si="17"/>
        <v>1343996.6500000001</v>
      </c>
      <c r="R67" s="35">
        <v>65363.34</v>
      </c>
      <c r="S67" s="35">
        <v>7808.31</v>
      </c>
      <c r="T67" s="35"/>
      <c r="U67" s="35">
        <v>1278633.31</v>
      </c>
      <c r="V67" s="90">
        <f t="shared" si="6"/>
        <v>46.03825603637032</v>
      </c>
      <c r="W67" s="35">
        <f t="shared" si="18"/>
        <v>10150750.09</v>
      </c>
      <c r="X67" s="167"/>
      <c r="Y67" s="46"/>
    </row>
    <row r="68" spans="1:25" s="23" customFormat="1" ht="60">
      <c r="A68" s="21"/>
      <c r="B68" s="24" t="s">
        <v>236</v>
      </c>
      <c r="C68" s="24" t="s">
        <v>237</v>
      </c>
      <c r="D68" s="25" t="s">
        <v>238</v>
      </c>
      <c r="E68" s="35">
        <f>2196578-72487-512653+1000+19500</f>
        <v>1631938</v>
      </c>
      <c r="F68" s="35">
        <f>1538529+67981-378621</f>
        <v>1227889</v>
      </c>
      <c r="G68" s="35">
        <v>76813</v>
      </c>
      <c r="H68" s="35">
        <v>775767.36</v>
      </c>
      <c r="I68" s="35">
        <v>588666.89</v>
      </c>
      <c r="J68" s="35">
        <v>44100.37</v>
      </c>
      <c r="K68" s="90">
        <f t="shared" si="15"/>
        <v>47.536570629521464</v>
      </c>
      <c r="L68" s="35">
        <f t="shared" si="16"/>
        <v>407000</v>
      </c>
      <c r="M68" s="35">
        <v>407000</v>
      </c>
      <c r="N68" s="35">
        <v>98000</v>
      </c>
      <c r="O68" s="35">
        <v>132800</v>
      </c>
      <c r="P68" s="35"/>
      <c r="Q68" s="35">
        <f t="shared" si="17"/>
        <v>287337.85</v>
      </c>
      <c r="R68" s="35">
        <v>287337.85</v>
      </c>
      <c r="S68" s="35">
        <v>52775.83</v>
      </c>
      <c r="T68" s="35">
        <v>72528.62</v>
      </c>
      <c r="U68" s="35"/>
      <c r="V68" s="90">
        <f t="shared" si="6"/>
        <v>70.59898034398033</v>
      </c>
      <c r="W68" s="35">
        <f t="shared" si="18"/>
        <v>1063105.21</v>
      </c>
      <c r="X68" s="167"/>
      <c r="Y68" s="46"/>
    </row>
    <row r="69" spans="1:25" s="23" customFormat="1" ht="30">
      <c r="A69" s="21"/>
      <c r="B69" s="24" t="s">
        <v>88</v>
      </c>
      <c r="C69" s="24" t="s">
        <v>203</v>
      </c>
      <c r="D69" s="25" t="s">
        <v>89</v>
      </c>
      <c r="E69" s="35">
        <f>5135524-113812-743432+5000+10000+5100</f>
        <v>4298380</v>
      </c>
      <c r="F69" s="35">
        <f>3329538+233048-545438</f>
        <v>3017148</v>
      </c>
      <c r="G69" s="35">
        <v>339954</v>
      </c>
      <c r="H69" s="35">
        <v>1984805.65</v>
      </c>
      <c r="I69" s="35">
        <v>1354139.85</v>
      </c>
      <c r="J69" s="35">
        <v>184380.18</v>
      </c>
      <c r="K69" s="90">
        <f t="shared" si="15"/>
        <v>46.17566734444139</v>
      </c>
      <c r="L69" s="35">
        <f t="shared" si="16"/>
        <v>4353292</v>
      </c>
      <c r="M69" s="35">
        <v>3353292</v>
      </c>
      <c r="N69" s="35">
        <v>2153375</v>
      </c>
      <c r="O69" s="35">
        <v>166719</v>
      </c>
      <c r="P69" s="35">
        <v>1000000</v>
      </c>
      <c r="Q69" s="35">
        <f t="shared" si="17"/>
        <v>2548701.56</v>
      </c>
      <c r="R69" s="35">
        <v>1402721.52</v>
      </c>
      <c r="S69" s="35">
        <v>846086.99</v>
      </c>
      <c r="T69" s="35">
        <v>85226.61</v>
      </c>
      <c r="U69" s="35">
        <v>1145980.04</v>
      </c>
      <c r="V69" s="90">
        <f t="shared" si="6"/>
        <v>58.5465335199201</v>
      </c>
      <c r="W69" s="35">
        <f t="shared" si="18"/>
        <v>4533507.21</v>
      </c>
      <c r="X69" s="167"/>
      <c r="Y69" s="46"/>
    </row>
    <row r="70" spans="1:25" s="23" customFormat="1" ht="30">
      <c r="A70" s="21"/>
      <c r="B70" s="24" t="s">
        <v>90</v>
      </c>
      <c r="C70" s="24" t="s">
        <v>204</v>
      </c>
      <c r="D70" s="31" t="s">
        <v>91</v>
      </c>
      <c r="E70" s="35">
        <f>10647211-240883-1135554+37700+19000</f>
        <v>9327474</v>
      </c>
      <c r="F70" s="35">
        <v>6060985</v>
      </c>
      <c r="G70" s="35">
        <v>564989</v>
      </c>
      <c r="H70" s="35">
        <v>4292901.3</v>
      </c>
      <c r="I70" s="35">
        <v>2798828</v>
      </c>
      <c r="J70" s="35">
        <v>265255.43</v>
      </c>
      <c r="K70" s="90">
        <f t="shared" si="15"/>
        <v>46.024264447159005</v>
      </c>
      <c r="L70" s="35">
        <f t="shared" si="16"/>
        <v>2574500</v>
      </c>
      <c r="M70" s="35">
        <v>155500</v>
      </c>
      <c r="N70" s="35">
        <v>22000</v>
      </c>
      <c r="O70" s="35">
        <v>19661</v>
      </c>
      <c r="P70" s="35">
        <f>1700000+719000</f>
        <v>2419000</v>
      </c>
      <c r="Q70" s="35">
        <f t="shared" si="17"/>
        <v>1300627.35</v>
      </c>
      <c r="R70" s="35">
        <v>80984.35</v>
      </c>
      <c r="S70" s="35">
        <v>15321.92</v>
      </c>
      <c r="T70" s="35">
        <v>10561.84</v>
      </c>
      <c r="U70" s="35">
        <v>1219643</v>
      </c>
      <c r="V70" s="90">
        <f t="shared" si="6"/>
        <v>50.51960963293843</v>
      </c>
      <c r="W70" s="35">
        <f t="shared" si="18"/>
        <v>5593528.65</v>
      </c>
      <c r="X70" s="167"/>
      <c r="Y70" s="46"/>
    </row>
    <row r="71" spans="1:25" s="23" customFormat="1" ht="15">
      <c r="A71" s="21"/>
      <c r="B71" s="24" t="s">
        <v>92</v>
      </c>
      <c r="C71" s="24" t="s">
        <v>205</v>
      </c>
      <c r="D71" s="25" t="s">
        <v>93</v>
      </c>
      <c r="E71" s="35">
        <f>1881157-9626-42382+150000</f>
        <v>1979149</v>
      </c>
      <c r="F71" s="35">
        <f>415979+34677-31279</f>
        <v>419377</v>
      </c>
      <c r="G71" s="35">
        <v>11415</v>
      </c>
      <c r="H71" s="35">
        <v>959434.65</v>
      </c>
      <c r="I71" s="35">
        <v>193008.02</v>
      </c>
      <c r="J71" s="35">
        <v>5225.16</v>
      </c>
      <c r="K71" s="90">
        <f t="shared" si="15"/>
        <v>48.47713082744149</v>
      </c>
      <c r="L71" s="35">
        <f t="shared" si="16"/>
        <v>20000</v>
      </c>
      <c r="M71" s="36"/>
      <c r="N71" s="36"/>
      <c r="O71" s="36"/>
      <c r="P71" s="35">
        <v>20000</v>
      </c>
      <c r="Q71" s="35">
        <f t="shared" si="17"/>
        <v>19980</v>
      </c>
      <c r="R71" s="36"/>
      <c r="S71" s="36"/>
      <c r="T71" s="36"/>
      <c r="U71" s="35">
        <v>19980</v>
      </c>
      <c r="V71" s="90">
        <f t="shared" si="6"/>
        <v>99.9</v>
      </c>
      <c r="W71" s="35">
        <f t="shared" si="18"/>
        <v>979414.65</v>
      </c>
      <c r="X71" s="167"/>
      <c r="Y71" s="46"/>
    </row>
    <row r="72" spans="1:25" s="23" customFormat="1" ht="75">
      <c r="A72" s="21"/>
      <c r="B72" s="30" t="s">
        <v>94</v>
      </c>
      <c r="C72" s="30" t="s">
        <v>205</v>
      </c>
      <c r="D72" s="31" t="s">
        <v>95</v>
      </c>
      <c r="E72" s="35">
        <f>701177-6802-44101+6000</f>
        <v>656274</v>
      </c>
      <c r="F72" s="35">
        <f>430788+37639-32613</f>
        <v>435814</v>
      </c>
      <c r="G72" s="35">
        <v>18580</v>
      </c>
      <c r="H72" s="35">
        <v>285277.15</v>
      </c>
      <c r="I72" s="35">
        <v>205662.9</v>
      </c>
      <c r="J72" s="35">
        <v>7062.94</v>
      </c>
      <c r="K72" s="90">
        <f t="shared" si="15"/>
        <v>43.46921407826609</v>
      </c>
      <c r="L72" s="35">
        <f t="shared" si="16"/>
        <v>40000</v>
      </c>
      <c r="M72" s="36"/>
      <c r="N72" s="36"/>
      <c r="O72" s="36"/>
      <c r="P72" s="35">
        <v>40000</v>
      </c>
      <c r="Q72" s="35">
        <f t="shared" si="17"/>
        <v>39960</v>
      </c>
      <c r="R72" s="35"/>
      <c r="S72" s="35"/>
      <c r="T72" s="35"/>
      <c r="U72" s="35">
        <v>39960</v>
      </c>
      <c r="V72" s="90">
        <f t="shared" si="6"/>
        <v>99.9</v>
      </c>
      <c r="W72" s="35">
        <f t="shared" si="18"/>
        <v>325237.15</v>
      </c>
      <c r="X72" s="167"/>
      <c r="Y72" s="46"/>
    </row>
    <row r="73" spans="1:25" s="23" customFormat="1" ht="45">
      <c r="A73" s="21"/>
      <c r="B73" s="30" t="s">
        <v>250</v>
      </c>
      <c r="C73" s="30" t="s">
        <v>205</v>
      </c>
      <c r="D73" s="25" t="s">
        <v>251</v>
      </c>
      <c r="E73" s="35">
        <f>4846847+371153+5129290</f>
        <v>10347290</v>
      </c>
      <c r="F73" s="35"/>
      <c r="G73" s="35"/>
      <c r="H73" s="35">
        <v>2536935.77</v>
      </c>
      <c r="I73" s="35"/>
      <c r="J73" s="35"/>
      <c r="K73" s="90">
        <f t="shared" si="15"/>
        <v>24.51787637149437</v>
      </c>
      <c r="L73" s="35">
        <f t="shared" si="16"/>
        <v>0</v>
      </c>
      <c r="M73" s="36"/>
      <c r="N73" s="36"/>
      <c r="O73" s="36"/>
      <c r="P73" s="36"/>
      <c r="Q73" s="35">
        <f t="shared" si="17"/>
        <v>0</v>
      </c>
      <c r="R73" s="36"/>
      <c r="S73" s="36"/>
      <c r="T73" s="36"/>
      <c r="U73" s="36"/>
      <c r="V73" s="90"/>
      <c r="W73" s="35">
        <f t="shared" si="18"/>
        <v>2536935.77</v>
      </c>
      <c r="X73" s="167"/>
      <c r="Y73" s="46"/>
    </row>
    <row r="74" spans="1:26" s="23" customFormat="1" ht="28.5">
      <c r="A74" s="21"/>
      <c r="B74" s="28"/>
      <c r="C74" s="28"/>
      <c r="D74" s="29" t="s">
        <v>349</v>
      </c>
      <c r="E74" s="36">
        <f aca="true" t="shared" si="19" ref="E74:J74">SUM(E75:E118)</f>
        <v>725618026.07</v>
      </c>
      <c r="F74" s="36">
        <f t="shared" si="19"/>
        <v>17117657.86</v>
      </c>
      <c r="G74" s="36">
        <f t="shared" si="19"/>
        <v>655383</v>
      </c>
      <c r="H74" s="36">
        <f t="shared" si="19"/>
        <v>347555158.7299999</v>
      </c>
      <c r="I74" s="36">
        <f t="shared" si="19"/>
        <v>7746458.500000001</v>
      </c>
      <c r="J74" s="36">
        <f t="shared" si="19"/>
        <v>341754.93</v>
      </c>
      <c r="K74" s="89">
        <f t="shared" si="15"/>
        <v>47.89781210541087</v>
      </c>
      <c r="L74" s="36">
        <f aca="true" t="shared" si="20" ref="L74:U74">SUM(L75:L118)</f>
        <v>911300</v>
      </c>
      <c r="M74" s="36">
        <f t="shared" si="20"/>
        <v>27800</v>
      </c>
      <c r="N74" s="36">
        <f t="shared" si="20"/>
        <v>18822</v>
      </c>
      <c r="O74" s="36">
        <f t="shared" si="20"/>
        <v>0</v>
      </c>
      <c r="P74" s="36">
        <f t="shared" si="20"/>
        <v>883500</v>
      </c>
      <c r="Q74" s="36">
        <f t="shared" si="20"/>
        <v>582276.75</v>
      </c>
      <c r="R74" s="36">
        <f t="shared" si="20"/>
        <v>292767.35000000003</v>
      </c>
      <c r="S74" s="36">
        <f t="shared" si="20"/>
        <v>126908.37</v>
      </c>
      <c r="T74" s="36">
        <f t="shared" si="20"/>
        <v>0</v>
      </c>
      <c r="U74" s="36">
        <f t="shared" si="20"/>
        <v>289509.4</v>
      </c>
      <c r="V74" s="89">
        <f t="shared" si="6"/>
        <v>63.89517721935696</v>
      </c>
      <c r="W74" s="36">
        <f>SUM(W75:W118)</f>
        <v>348137435.4799999</v>
      </c>
      <c r="X74" s="167"/>
      <c r="Y74" s="46"/>
      <c r="Z74" s="46"/>
    </row>
    <row r="75" spans="1:25" s="23" customFormat="1" ht="15">
      <c r="A75" s="21"/>
      <c r="B75" s="24" t="s">
        <v>11</v>
      </c>
      <c r="C75" s="24" t="s">
        <v>9</v>
      </c>
      <c r="D75" s="25" t="s">
        <v>96</v>
      </c>
      <c r="E75" s="35">
        <f>15846830-1812790+360005+30000+943859</f>
        <v>15367904</v>
      </c>
      <c r="F75" s="35">
        <f>10990800-210790+749065</f>
        <v>11529075</v>
      </c>
      <c r="G75" s="35">
        <v>369473</v>
      </c>
      <c r="H75" s="35">
        <v>7005733.7</v>
      </c>
      <c r="I75" s="35">
        <v>5275585.13</v>
      </c>
      <c r="J75" s="35">
        <v>196725.89</v>
      </c>
      <c r="K75" s="90">
        <f aca="true" t="shared" si="21" ref="K75:K80">H75/E75*100</f>
        <v>45.58678724177351</v>
      </c>
      <c r="L75" s="35">
        <f aca="true" t="shared" si="22" ref="L75:L80">M75+P75</f>
        <v>200000</v>
      </c>
      <c r="M75" s="35"/>
      <c r="N75" s="35"/>
      <c r="O75" s="35"/>
      <c r="P75" s="35">
        <v>200000</v>
      </c>
      <c r="Q75" s="35">
        <f aca="true" t="shared" si="23" ref="Q75:Q80">R75+U75</f>
        <v>339995.45</v>
      </c>
      <c r="R75" s="35">
        <v>140009.45</v>
      </c>
      <c r="S75" s="35">
        <v>114645.69</v>
      </c>
      <c r="T75" s="35"/>
      <c r="U75" s="35">
        <v>199986</v>
      </c>
      <c r="V75" s="90">
        <f>Q75/L75*100</f>
        <v>169.997725</v>
      </c>
      <c r="W75" s="35">
        <f>H75+Q75</f>
        <v>7345729.15</v>
      </c>
      <c r="X75" s="167"/>
      <c r="Y75" s="46"/>
    </row>
    <row r="76" spans="1:25" s="23" customFormat="1" ht="30">
      <c r="A76" s="21"/>
      <c r="B76" s="24" t="s">
        <v>97</v>
      </c>
      <c r="C76" s="24" t="s">
        <v>194</v>
      </c>
      <c r="D76" s="25" t="s">
        <v>98</v>
      </c>
      <c r="E76" s="35">
        <v>1678900</v>
      </c>
      <c r="F76" s="35"/>
      <c r="G76" s="35"/>
      <c r="H76" s="35">
        <v>683475.87</v>
      </c>
      <c r="I76" s="35"/>
      <c r="J76" s="35"/>
      <c r="K76" s="90">
        <f t="shared" si="21"/>
        <v>40.709742688665195</v>
      </c>
      <c r="L76" s="35">
        <f t="shared" si="22"/>
        <v>0</v>
      </c>
      <c r="M76" s="36"/>
      <c r="N76" s="36"/>
      <c r="O76" s="36"/>
      <c r="P76" s="36"/>
      <c r="Q76" s="35">
        <f t="shared" si="23"/>
        <v>0</v>
      </c>
      <c r="R76" s="36"/>
      <c r="S76" s="36"/>
      <c r="T76" s="36"/>
      <c r="U76" s="36"/>
      <c r="V76" s="90"/>
      <c r="W76" s="35">
        <f>H76+Q76</f>
        <v>683475.87</v>
      </c>
      <c r="X76" s="167"/>
      <c r="Y76" s="46"/>
    </row>
    <row r="77" spans="1:25" s="23" customFormat="1" ht="270">
      <c r="A77" s="21"/>
      <c r="B77" s="24" t="s">
        <v>99</v>
      </c>
      <c r="C77" s="24" t="s">
        <v>206</v>
      </c>
      <c r="D77" s="25" t="s">
        <v>100</v>
      </c>
      <c r="E77" s="35">
        <v>35619200</v>
      </c>
      <c r="F77" s="35"/>
      <c r="G77" s="36"/>
      <c r="H77" s="35">
        <v>14976506.85</v>
      </c>
      <c r="I77" s="36"/>
      <c r="J77" s="36"/>
      <c r="K77" s="90">
        <f t="shared" si="21"/>
        <v>42.046162884062525</v>
      </c>
      <c r="L77" s="35">
        <f t="shared" si="22"/>
        <v>0</v>
      </c>
      <c r="M77" s="36"/>
      <c r="N77" s="36"/>
      <c r="O77" s="36"/>
      <c r="P77" s="36"/>
      <c r="Q77" s="35">
        <f t="shared" si="23"/>
        <v>0</v>
      </c>
      <c r="R77" s="36"/>
      <c r="S77" s="36"/>
      <c r="T77" s="36"/>
      <c r="U77" s="36"/>
      <c r="V77" s="90"/>
      <c r="W77" s="35">
        <f>H77+Q77</f>
        <v>14976506.85</v>
      </c>
      <c r="X77" s="167"/>
      <c r="Y77" s="46"/>
    </row>
    <row r="78" spans="1:25" s="23" customFormat="1" ht="225">
      <c r="A78" s="21"/>
      <c r="B78" s="24" t="s">
        <v>101</v>
      </c>
      <c r="C78" s="24" t="s">
        <v>206</v>
      </c>
      <c r="D78" s="25" t="s">
        <v>102</v>
      </c>
      <c r="E78" s="35">
        <f>16975+5213.3</f>
        <v>22188.3</v>
      </c>
      <c r="F78" s="36"/>
      <c r="G78" s="36"/>
      <c r="H78" s="35">
        <v>18701.88</v>
      </c>
      <c r="I78" s="36"/>
      <c r="J78" s="36"/>
      <c r="K78" s="90">
        <f t="shared" si="21"/>
        <v>84.28712429523668</v>
      </c>
      <c r="L78" s="35">
        <f t="shared" si="22"/>
        <v>0</v>
      </c>
      <c r="M78" s="36"/>
      <c r="N78" s="36"/>
      <c r="O78" s="36"/>
      <c r="P78" s="36"/>
      <c r="Q78" s="35">
        <f t="shared" si="23"/>
        <v>0</v>
      </c>
      <c r="R78" s="36"/>
      <c r="S78" s="36"/>
      <c r="T78" s="36"/>
      <c r="U78" s="36"/>
      <c r="V78" s="90"/>
      <c r="W78" s="35">
        <f>H78+Q78</f>
        <v>18701.88</v>
      </c>
      <c r="X78" s="167"/>
      <c r="Y78" s="46"/>
    </row>
    <row r="79" spans="1:25" s="23" customFormat="1" ht="255">
      <c r="A79" s="21"/>
      <c r="B79" s="32" t="s">
        <v>329</v>
      </c>
      <c r="C79" s="32" t="s">
        <v>206</v>
      </c>
      <c r="D79" s="95" t="s">
        <v>330</v>
      </c>
      <c r="E79" s="62">
        <v>269119</v>
      </c>
      <c r="F79" s="96"/>
      <c r="G79" s="96"/>
      <c r="H79" s="62">
        <v>8351.17</v>
      </c>
      <c r="I79" s="96"/>
      <c r="J79" s="96"/>
      <c r="K79" s="90">
        <f t="shared" si="21"/>
        <v>3.103151393992992</v>
      </c>
      <c r="L79" s="35">
        <f t="shared" si="22"/>
        <v>0</v>
      </c>
      <c r="M79" s="96"/>
      <c r="N79" s="96"/>
      <c r="O79" s="96"/>
      <c r="P79" s="96"/>
      <c r="Q79" s="35">
        <f t="shared" si="23"/>
        <v>0</v>
      </c>
      <c r="R79" s="96"/>
      <c r="S79" s="96"/>
      <c r="T79" s="96"/>
      <c r="U79" s="96"/>
      <c r="V79" s="90"/>
      <c r="W79" s="35">
        <f>H79+Q79</f>
        <v>8351.17</v>
      </c>
      <c r="X79" s="167"/>
      <c r="Y79" s="46"/>
    </row>
    <row r="80" spans="1:25" s="23" customFormat="1" ht="15">
      <c r="A80" s="21"/>
      <c r="B80" s="131" t="s">
        <v>103</v>
      </c>
      <c r="C80" s="131" t="s">
        <v>206</v>
      </c>
      <c r="D80" s="143" t="s">
        <v>230</v>
      </c>
      <c r="E80" s="161">
        <v>5469100</v>
      </c>
      <c r="F80" s="161"/>
      <c r="G80" s="161"/>
      <c r="H80" s="122">
        <v>1979319.37</v>
      </c>
      <c r="I80" s="62"/>
      <c r="J80" s="62"/>
      <c r="K80" s="134">
        <f t="shared" si="21"/>
        <v>36.19095225905542</v>
      </c>
      <c r="L80" s="161">
        <f t="shared" si="22"/>
        <v>0</v>
      </c>
      <c r="M80" s="161"/>
      <c r="N80" s="161"/>
      <c r="O80" s="161"/>
      <c r="P80" s="161"/>
      <c r="Q80" s="161">
        <f t="shared" si="23"/>
        <v>0</v>
      </c>
      <c r="R80" s="161"/>
      <c r="S80" s="161"/>
      <c r="T80" s="161"/>
      <c r="U80" s="161"/>
      <c r="V80" s="161"/>
      <c r="W80" s="161">
        <f>Q80+H80</f>
        <v>1979319.37</v>
      </c>
      <c r="X80" s="167"/>
      <c r="Y80" s="160"/>
    </row>
    <row r="81" spans="1:25" s="23" customFormat="1" ht="15">
      <c r="A81" s="21"/>
      <c r="B81" s="132"/>
      <c r="C81" s="132"/>
      <c r="D81" s="144"/>
      <c r="E81" s="162"/>
      <c r="F81" s="162"/>
      <c r="G81" s="162"/>
      <c r="H81" s="123"/>
      <c r="I81" s="102"/>
      <c r="J81" s="102"/>
      <c r="K81" s="135"/>
      <c r="L81" s="162"/>
      <c r="M81" s="162"/>
      <c r="N81" s="162"/>
      <c r="O81" s="162"/>
      <c r="P81" s="162"/>
      <c r="Q81" s="162"/>
      <c r="R81" s="162"/>
      <c r="S81" s="162"/>
      <c r="T81" s="162"/>
      <c r="U81" s="162"/>
      <c r="V81" s="162"/>
      <c r="W81" s="162"/>
      <c r="X81" s="167"/>
      <c r="Y81" s="160"/>
    </row>
    <row r="82" spans="1:25" s="23" customFormat="1" ht="178.5" customHeight="1">
      <c r="A82" s="21"/>
      <c r="B82" s="132"/>
      <c r="C82" s="132"/>
      <c r="D82" s="55" t="s">
        <v>231</v>
      </c>
      <c r="E82" s="162"/>
      <c r="F82" s="162"/>
      <c r="G82" s="162"/>
      <c r="H82" s="123"/>
      <c r="I82" s="102"/>
      <c r="J82" s="102"/>
      <c r="K82" s="135"/>
      <c r="L82" s="162"/>
      <c r="M82" s="162"/>
      <c r="N82" s="162"/>
      <c r="O82" s="162"/>
      <c r="P82" s="162"/>
      <c r="Q82" s="162"/>
      <c r="R82" s="162"/>
      <c r="S82" s="162"/>
      <c r="T82" s="162"/>
      <c r="U82" s="162"/>
      <c r="V82" s="162"/>
      <c r="W82" s="162"/>
      <c r="X82" s="167"/>
      <c r="Y82" s="160"/>
    </row>
    <row r="83" spans="1:25" s="23" customFormat="1" ht="300">
      <c r="A83" s="21"/>
      <c r="B83" s="133"/>
      <c r="C83" s="133"/>
      <c r="D83" s="56" t="s">
        <v>234</v>
      </c>
      <c r="E83" s="130"/>
      <c r="F83" s="130"/>
      <c r="G83" s="130"/>
      <c r="H83" s="163"/>
      <c r="I83" s="103"/>
      <c r="J83" s="103"/>
      <c r="K83" s="136"/>
      <c r="L83" s="130"/>
      <c r="M83" s="130"/>
      <c r="N83" s="130"/>
      <c r="O83" s="130"/>
      <c r="P83" s="130"/>
      <c r="Q83" s="130"/>
      <c r="R83" s="130"/>
      <c r="S83" s="130"/>
      <c r="T83" s="130"/>
      <c r="U83" s="130"/>
      <c r="V83" s="130"/>
      <c r="W83" s="130"/>
      <c r="X83" s="167"/>
      <c r="Y83" s="160"/>
    </row>
    <row r="84" spans="1:25" s="23" customFormat="1" ht="105">
      <c r="A84" s="21"/>
      <c r="B84" s="24" t="s">
        <v>104</v>
      </c>
      <c r="C84" s="24" t="s">
        <v>207</v>
      </c>
      <c r="D84" s="25" t="s">
        <v>105</v>
      </c>
      <c r="E84" s="35">
        <v>4278400</v>
      </c>
      <c r="F84" s="36"/>
      <c r="G84" s="36"/>
      <c r="H84" s="35">
        <v>1461323.12</v>
      </c>
      <c r="I84" s="36"/>
      <c r="J84" s="36"/>
      <c r="K84" s="90">
        <f aca="true" t="shared" si="24" ref="K84:K89">H84/E84*100</f>
        <v>34.15583208676141</v>
      </c>
      <c r="L84" s="63">
        <f>M84+P84</f>
        <v>0</v>
      </c>
      <c r="M84" s="36"/>
      <c r="N84" s="36"/>
      <c r="O84" s="36"/>
      <c r="P84" s="36"/>
      <c r="Q84" s="63">
        <f>R84+U84</f>
        <v>0</v>
      </c>
      <c r="R84" s="36"/>
      <c r="S84" s="36"/>
      <c r="T84" s="36"/>
      <c r="U84" s="36"/>
      <c r="V84" s="89"/>
      <c r="W84" s="35">
        <f>H84+Q84</f>
        <v>1461323.12</v>
      </c>
      <c r="X84" s="71"/>
      <c r="Y84" s="46"/>
    </row>
    <row r="85" spans="1:25" s="23" customFormat="1" ht="105">
      <c r="A85" s="21"/>
      <c r="B85" s="24" t="s">
        <v>313</v>
      </c>
      <c r="C85" s="24" t="s">
        <v>207</v>
      </c>
      <c r="D85" s="25" t="s">
        <v>314</v>
      </c>
      <c r="E85" s="35">
        <v>788</v>
      </c>
      <c r="F85" s="36"/>
      <c r="G85" s="36"/>
      <c r="H85" s="35">
        <v>0</v>
      </c>
      <c r="I85" s="36"/>
      <c r="J85" s="36"/>
      <c r="K85" s="90">
        <f t="shared" si="24"/>
        <v>0</v>
      </c>
      <c r="L85" s="63">
        <f>M85+P85</f>
        <v>0</v>
      </c>
      <c r="M85" s="36"/>
      <c r="N85" s="36"/>
      <c r="O85" s="36"/>
      <c r="P85" s="36"/>
      <c r="Q85" s="63">
        <f>R85+U85</f>
        <v>0</v>
      </c>
      <c r="R85" s="36"/>
      <c r="S85" s="36"/>
      <c r="T85" s="36"/>
      <c r="U85" s="36"/>
      <c r="V85" s="89"/>
      <c r="W85" s="35">
        <f aca="true" t="shared" si="25" ref="W85:W118">H85+Q85</f>
        <v>0</v>
      </c>
      <c r="X85" s="167"/>
      <c r="Y85" s="46"/>
    </row>
    <row r="86" spans="1:25" s="23" customFormat="1" ht="90">
      <c r="A86" s="21"/>
      <c r="B86" s="24" t="s">
        <v>331</v>
      </c>
      <c r="C86" s="24" t="s">
        <v>207</v>
      </c>
      <c r="D86" s="25" t="s">
        <v>332</v>
      </c>
      <c r="E86" s="35">
        <v>70400</v>
      </c>
      <c r="F86" s="36"/>
      <c r="G86" s="36"/>
      <c r="H86" s="35">
        <v>9556.85</v>
      </c>
      <c r="I86" s="36"/>
      <c r="J86" s="36"/>
      <c r="K86" s="90">
        <f t="shared" si="24"/>
        <v>13.575071022727272</v>
      </c>
      <c r="L86" s="63">
        <f>M86+P86</f>
        <v>0</v>
      </c>
      <c r="M86" s="36"/>
      <c r="N86" s="36"/>
      <c r="O86" s="36"/>
      <c r="P86" s="36"/>
      <c r="Q86" s="63">
        <f aca="true" t="shared" si="26" ref="Q86:Q118">R86+U86</f>
        <v>0</v>
      </c>
      <c r="R86" s="36"/>
      <c r="S86" s="36"/>
      <c r="T86" s="36"/>
      <c r="U86" s="36"/>
      <c r="V86" s="89"/>
      <c r="W86" s="35">
        <f t="shared" si="25"/>
        <v>9556.85</v>
      </c>
      <c r="X86" s="167"/>
      <c r="Y86" s="46"/>
    </row>
    <row r="87" spans="1:25" s="23" customFormat="1" ht="210">
      <c r="A87" s="21"/>
      <c r="B87" s="24" t="s">
        <v>106</v>
      </c>
      <c r="C87" s="24" t="s">
        <v>207</v>
      </c>
      <c r="D87" s="25" t="s">
        <v>233</v>
      </c>
      <c r="E87" s="35">
        <v>110300</v>
      </c>
      <c r="F87" s="36"/>
      <c r="G87" s="36"/>
      <c r="H87" s="35">
        <v>25500</v>
      </c>
      <c r="I87" s="36"/>
      <c r="J87" s="36"/>
      <c r="K87" s="90">
        <f t="shared" si="24"/>
        <v>23.11876699909338</v>
      </c>
      <c r="L87" s="63">
        <f aca="true" t="shared" si="27" ref="L87:L118">M87+P87</f>
        <v>0</v>
      </c>
      <c r="M87" s="36"/>
      <c r="N87" s="36"/>
      <c r="O87" s="36"/>
      <c r="P87" s="36"/>
      <c r="Q87" s="63">
        <f t="shared" si="26"/>
        <v>0</v>
      </c>
      <c r="R87" s="36"/>
      <c r="S87" s="36"/>
      <c r="T87" s="36"/>
      <c r="U87" s="36"/>
      <c r="V87" s="89"/>
      <c r="W87" s="35">
        <f t="shared" si="25"/>
        <v>25500</v>
      </c>
      <c r="X87" s="167"/>
      <c r="Y87" s="46"/>
    </row>
    <row r="88" spans="1:25" s="23" customFormat="1" ht="45">
      <c r="A88" s="21"/>
      <c r="B88" s="24" t="s">
        <v>107</v>
      </c>
      <c r="C88" s="24" t="s">
        <v>207</v>
      </c>
      <c r="D88" s="25" t="s">
        <v>108</v>
      </c>
      <c r="E88" s="35">
        <f>250000+382700+240900+9100</f>
        <v>882700</v>
      </c>
      <c r="F88" s="35"/>
      <c r="G88" s="35"/>
      <c r="H88" s="35">
        <v>257705.34</v>
      </c>
      <c r="I88" s="35"/>
      <c r="J88" s="35"/>
      <c r="K88" s="90">
        <f t="shared" si="24"/>
        <v>29.19512178543106</v>
      </c>
      <c r="L88" s="63">
        <f t="shared" si="27"/>
        <v>0</v>
      </c>
      <c r="M88" s="35"/>
      <c r="N88" s="35"/>
      <c r="O88" s="35"/>
      <c r="P88" s="35"/>
      <c r="Q88" s="63">
        <f t="shared" si="26"/>
        <v>0</v>
      </c>
      <c r="R88" s="35"/>
      <c r="S88" s="35"/>
      <c r="T88" s="35"/>
      <c r="U88" s="35"/>
      <c r="V88" s="90"/>
      <c r="W88" s="35">
        <f t="shared" si="25"/>
        <v>257705.34</v>
      </c>
      <c r="X88" s="167"/>
      <c r="Y88" s="46"/>
    </row>
    <row r="89" spans="1:25" s="23" customFormat="1" ht="30">
      <c r="A89" s="21"/>
      <c r="B89" s="24" t="s">
        <v>333</v>
      </c>
      <c r="C89" s="24" t="s">
        <v>207</v>
      </c>
      <c r="D89" s="25" t="s">
        <v>334</v>
      </c>
      <c r="E89" s="35">
        <v>1394632</v>
      </c>
      <c r="F89" s="35"/>
      <c r="G89" s="35"/>
      <c r="H89" s="35">
        <v>655298.53</v>
      </c>
      <c r="I89" s="35"/>
      <c r="J89" s="35"/>
      <c r="K89" s="90">
        <f t="shared" si="24"/>
        <v>46.987200207653345</v>
      </c>
      <c r="L89" s="63">
        <f t="shared" si="27"/>
        <v>0</v>
      </c>
      <c r="M89" s="35"/>
      <c r="N89" s="35"/>
      <c r="O89" s="35"/>
      <c r="P89" s="35"/>
      <c r="Q89" s="63">
        <f t="shared" si="26"/>
        <v>0</v>
      </c>
      <c r="R89" s="35"/>
      <c r="S89" s="35"/>
      <c r="T89" s="35"/>
      <c r="U89" s="35"/>
      <c r="V89" s="90"/>
      <c r="W89" s="35">
        <f t="shared" si="25"/>
        <v>655298.53</v>
      </c>
      <c r="X89" s="167"/>
      <c r="Y89" s="46"/>
    </row>
    <row r="90" spans="1:25" s="23" customFormat="1" ht="150">
      <c r="A90" s="21"/>
      <c r="B90" s="24" t="s">
        <v>109</v>
      </c>
      <c r="C90" s="24" t="s">
        <v>207</v>
      </c>
      <c r="D90" s="25" t="s">
        <v>110</v>
      </c>
      <c r="E90" s="35">
        <v>2195200</v>
      </c>
      <c r="F90" s="36"/>
      <c r="G90" s="36"/>
      <c r="H90" s="35">
        <v>619604.89</v>
      </c>
      <c r="I90" s="36"/>
      <c r="J90" s="36"/>
      <c r="K90" s="90">
        <f aca="true" t="shared" si="28" ref="K90:K118">H90/E90*100</f>
        <v>28.225441417638486</v>
      </c>
      <c r="L90" s="63">
        <f t="shared" si="27"/>
        <v>0</v>
      </c>
      <c r="M90" s="36"/>
      <c r="N90" s="36"/>
      <c r="O90" s="36"/>
      <c r="P90" s="36"/>
      <c r="Q90" s="63">
        <f t="shared" si="26"/>
        <v>0</v>
      </c>
      <c r="R90" s="36"/>
      <c r="S90" s="36"/>
      <c r="T90" s="36"/>
      <c r="U90" s="36"/>
      <c r="V90" s="89"/>
      <c r="W90" s="35">
        <f t="shared" si="25"/>
        <v>619604.89</v>
      </c>
      <c r="X90" s="167"/>
      <c r="Y90" s="46"/>
    </row>
    <row r="91" spans="1:25" s="23" customFormat="1" ht="150">
      <c r="A91" s="21"/>
      <c r="B91" s="27" t="s">
        <v>111</v>
      </c>
      <c r="C91" s="27" t="s">
        <v>207</v>
      </c>
      <c r="D91" s="25" t="s">
        <v>112</v>
      </c>
      <c r="E91" s="35">
        <f>4412+3103.26</f>
        <v>7515.26</v>
      </c>
      <c r="F91" s="36"/>
      <c r="G91" s="36"/>
      <c r="H91" s="35">
        <v>4140.07</v>
      </c>
      <c r="I91" s="36"/>
      <c r="J91" s="36"/>
      <c r="K91" s="90">
        <f t="shared" si="28"/>
        <v>55.088845894885864</v>
      </c>
      <c r="L91" s="63">
        <f t="shared" si="27"/>
        <v>0</v>
      </c>
      <c r="M91" s="36"/>
      <c r="N91" s="36"/>
      <c r="O91" s="36"/>
      <c r="P91" s="36"/>
      <c r="Q91" s="63">
        <f t="shared" si="26"/>
        <v>0</v>
      </c>
      <c r="R91" s="36"/>
      <c r="S91" s="36"/>
      <c r="T91" s="36"/>
      <c r="U91" s="36"/>
      <c r="V91" s="89"/>
      <c r="W91" s="35">
        <f t="shared" si="25"/>
        <v>4140.07</v>
      </c>
      <c r="X91" s="167"/>
      <c r="Y91" s="46"/>
    </row>
    <row r="92" spans="1:25" s="23" customFormat="1" ht="30">
      <c r="A92" s="21"/>
      <c r="B92" s="24" t="s">
        <v>113</v>
      </c>
      <c r="C92" s="24" t="s">
        <v>182</v>
      </c>
      <c r="D92" s="25" t="s">
        <v>114</v>
      </c>
      <c r="E92" s="35">
        <v>2957400</v>
      </c>
      <c r="F92" s="35"/>
      <c r="G92" s="35"/>
      <c r="H92" s="35">
        <v>1087361.72</v>
      </c>
      <c r="I92" s="35"/>
      <c r="J92" s="35"/>
      <c r="K92" s="90">
        <f t="shared" si="28"/>
        <v>36.76748901061743</v>
      </c>
      <c r="L92" s="63">
        <f t="shared" si="27"/>
        <v>0</v>
      </c>
      <c r="M92" s="35"/>
      <c r="N92" s="35"/>
      <c r="O92" s="35"/>
      <c r="P92" s="35"/>
      <c r="Q92" s="63">
        <f t="shared" si="26"/>
        <v>0</v>
      </c>
      <c r="R92" s="35"/>
      <c r="S92" s="35"/>
      <c r="T92" s="35"/>
      <c r="U92" s="35"/>
      <c r="V92" s="90"/>
      <c r="W92" s="35">
        <f t="shared" si="25"/>
        <v>1087361.72</v>
      </c>
      <c r="X92" s="167"/>
      <c r="Y92" s="46"/>
    </row>
    <row r="93" spans="1:25" s="23" customFormat="1" ht="30">
      <c r="A93" s="21"/>
      <c r="B93" s="24" t="s">
        <v>115</v>
      </c>
      <c r="C93" s="24" t="s">
        <v>182</v>
      </c>
      <c r="D93" s="25" t="s">
        <v>226</v>
      </c>
      <c r="E93" s="35">
        <v>2340000</v>
      </c>
      <c r="F93" s="35"/>
      <c r="G93" s="35"/>
      <c r="H93" s="35">
        <v>1149000.56</v>
      </c>
      <c r="I93" s="35"/>
      <c r="J93" s="35"/>
      <c r="K93" s="90">
        <f t="shared" si="28"/>
        <v>49.10258803418804</v>
      </c>
      <c r="L93" s="63">
        <f t="shared" si="27"/>
        <v>0</v>
      </c>
      <c r="M93" s="35"/>
      <c r="N93" s="35"/>
      <c r="O93" s="35"/>
      <c r="P93" s="35"/>
      <c r="Q93" s="63">
        <f t="shared" si="26"/>
        <v>0</v>
      </c>
      <c r="R93" s="35"/>
      <c r="S93" s="35"/>
      <c r="T93" s="35"/>
      <c r="U93" s="35"/>
      <c r="V93" s="90"/>
      <c r="W93" s="35">
        <f t="shared" si="25"/>
        <v>1149000.56</v>
      </c>
      <c r="X93" s="167"/>
      <c r="Y93" s="46"/>
    </row>
    <row r="94" spans="1:25" s="23" customFormat="1" ht="15">
      <c r="A94" s="21"/>
      <c r="B94" s="24" t="s">
        <v>116</v>
      </c>
      <c r="C94" s="24" t="s">
        <v>182</v>
      </c>
      <c r="D94" s="25" t="s">
        <v>117</v>
      </c>
      <c r="E94" s="35">
        <v>132914300</v>
      </c>
      <c r="F94" s="35"/>
      <c r="G94" s="35"/>
      <c r="H94" s="35">
        <v>65871179.66</v>
      </c>
      <c r="I94" s="35"/>
      <c r="J94" s="35"/>
      <c r="K94" s="90">
        <f t="shared" si="28"/>
        <v>49.55913672193285</v>
      </c>
      <c r="L94" s="63">
        <f t="shared" si="27"/>
        <v>0</v>
      </c>
      <c r="M94" s="35"/>
      <c r="N94" s="35"/>
      <c r="O94" s="35"/>
      <c r="P94" s="35"/>
      <c r="Q94" s="63">
        <f t="shared" si="26"/>
        <v>0</v>
      </c>
      <c r="R94" s="35"/>
      <c r="S94" s="35"/>
      <c r="T94" s="35"/>
      <c r="U94" s="35"/>
      <c r="V94" s="90"/>
      <c r="W94" s="35">
        <f t="shared" si="25"/>
        <v>65871179.66</v>
      </c>
      <c r="X94" s="167"/>
      <c r="Y94" s="46"/>
    </row>
    <row r="95" spans="1:25" s="23" customFormat="1" ht="30">
      <c r="A95" s="21"/>
      <c r="B95" s="24" t="s">
        <v>118</v>
      </c>
      <c r="C95" s="24" t="s">
        <v>182</v>
      </c>
      <c r="D95" s="25" t="s">
        <v>119</v>
      </c>
      <c r="E95" s="35">
        <v>4769000</v>
      </c>
      <c r="F95" s="35"/>
      <c r="G95" s="35"/>
      <c r="H95" s="35">
        <v>3189037.35</v>
      </c>
      <c r="I95" s="35"/>
      <c r="J95" s="35"/>
      <c r="K95" s="90">
        <f t="shared" si="28"/>
        <v>66.8701478297337</v>
      </c>
      <c r="L95" s="63">
        <f t="shared" si="27"/>
        <v>0</v>
      </c>
      <c r="M95" s="35"/>
      <c r="N95" s="35"/>
      <c r="O95" s="35"/>
      <c r="P95" s="35"/>
      <c r="Q95" s="63">
        <f t="shared" si="26"/>
        <v>0</v>
      </c>
      <c r="R95" s="35"/>
      <c r="S95" s="35"/>
      <c r="T95" s="35"/>
      <c r="U95" s="35"/>
      <c r="V95" s="90"/>
      <c r="W95" s="35">
        <f t="shared" si="25"/>
        <v>3189037.35</v>
      </c>
      <c r="X95" s="167"/>
      <c r="Y95" s="46"/>
    </row>
    <row r="96" spans="1:25" s="23" customFormat="1" ht="15">
      <c r="A96" s="21"/>
      <c r="B96" s="24" t="s">
        <v>120</v>
      </c>
      <c r="C96" s="24" t="s">
        <v>182</v>
      </c>
      <c r="D96" s="25" t="s">
        <v>121</v>
      </c>
      <c r="E96" s="35">
        <v>22750500</v>
      </c>
      <c r="F96" s="35"/>
      <c r="G96" s="35"/>
      <c r="H96" s="35">
        <v>12473920.18</v>
      </c>
      <c r="I96" s="35"/>
      <c r="J96" s="35"/>
      <c r="K96" s="90">
        <f t="shared" si="28"/>
        <v>54.829213335970636</v>
      </c>
      <c r="L96" s="63">
        <f t="shared" si="27"/>
        <v>0</v>
      </c>
      <c r="M96" s="35"/>
      <c r="N96" s="35"/>
      <c r="O96" s="35"/>
      <c r="P96" s="35"/>
      <c r="Q96" s="63">
        <f t="shared" si="26"/>
        <v>0</v>
      </c>
      <c r="R96" s="35"/>
      <c r="S96" s="35"/>
      <c r="T96" s="35"/>
      <c r="U96" s="35"/>
      <c r="V96" s="90"/>
      <c r="W96" s="35">
        <f t="shared" si="25"/>
        <v>12473920.18</v>
      </c>
      <c r="X96" s="167"/>
      <c r="Y96" s="46"/>
    </row>
    <row r="97" spans="1:25" s="23" customFormat="1" ht="15">
      <c r="A97" s="21"/>
      <c r="B97" s="24" t="s">
        <v>122</v>
      </c>
      <c r="C97" s="24" t="s">
        <v>182</v>
      </c>
      <c r="D97" s="25" t="s">
        <v>123</v>
      </c>
      <c r="E97" s="35">
        <v>2174200</v>
      </c>
      <c r="F97" s="35"/>
      <c r="G97" s="35"/>
      <c r="H97" s="35">
        <v>557837.3</v>
      </c>
      <c r="I97" s="35"/>
      <c r="J97" s="35"/>
      <c r="K97" s="90">
        <f t="shared" si="28"/>
        <v>25.657129058964216</v>
      </c>
      <c r="L97" s="63">
        <f t="shared" si="27"/>
        <v>0</v>
      </c>
      <c r="M97" s="35"/>
      <c r="N97" s="35"/>
      <c r="O97" s="35"/>
      <c r="P97" s="35"/>
      <c r="Q97" s="63">
        <f t="shared" si="26"/>
        <v>0</v>
      </c>
      <c r="R97" s="35"/>
      <c r="S97" s="35"/>
      <c r="T97" s="35"/>
      <c r="U97" s="35"/>
      <c r="V97" s="90"/>
      <c r="W97" s="35">
        <f t="shared" si="25"/>
        <v>557837.3</v>
      </c>
      <c r="X97" s="167"/>
      <c r="Y97" s="46"/>
    </row>
    <row r="98" spans="1:25" s="23" customFormat="1" ht="15">
      <c r="A98" s="21"/>
      <c r="B98" s="24" t="s">
        <v>124</v>
      </c>
      <c r="C98" s="24" t="s">
        <v>182</v>
      </c>
      <c r="D98" s="25" t="s">
        <v>125</v>
      </c>
      <c r="E98" s="35">
        <v>312200</v>
      </c>
      <c r="F98" s="35"/>
      <c r="G98" s="35"/>
      <c r="H98" s="35">
        <v>93740</v>
      </c>
      <c r="I98" s="35"/>
      <c r="J98" s="35"/>
      <c r="K98" s="90">
        <f t="shared" si="28"/>
        <v>30.02562459961563</v>
      </c>
      <c r="L98" s="63">
        <f t="shared" si="27"/>
        <v>0</v>
      </c>
      <c r="M98" s="35"/>
      <c r="N98" s="35"/>
      <c r="O98" s="35"/>
      <c r="P98" s="35"/>
      <c r="Q98" s="63">
        <f t="shared" si="26"/>
        <v>0</v>
      </c>
      <c r="R98" s="35"/>
      <c r="S98" s="35"/>
      <c r="T98" s="35"/>
      <c r="U98" s="35"/>
      <c r="V98" s="90"/>
      <c r="W98" s="35">
        <f t="shared" si="25"/>
        <v>93740</v>
      </c>
      <c r="X98" s="167"/>
      <c r="Y98" s="46"/>
    </row>
    <row r="99" spans="1:25" s="23" customFormat="1" ht="30">
      <c r="A99" s="21"/>
      <c r="B99" s="24" t="s">
        <v>126</v>
      </c>
      <c r="C99" s="24" t="s">
        <v>182</v>
      </c>
      <c r="D99" s="25" t="s">
        <v>127</v>
      </c>
      <c r="E99" s="35">
        <v>41101000</v>
      </c>
      <c r="F99" s="35"/>
      <c r="G99" s="35"/>
      <c r="H99" s="35">
        <v>20766200.31</v>
      </c>
      <c r="I99" s="35"/>
      <c r="J99" s="35"/>
      <c r="K99" s="90">
        <f t="shared" si="28"/>
        <v>50.52480550351572</v>
      </c>
      <c r="L99" s="63">
        <f t="shared" si="27"/>
        <v>0</v>
      </c>
      <c r="M99" s="35"/>
      <c r="N99" s="35"/>
      <c r="O99" s="35"/>
      <c r="P99" s="35"/>
      <c r="Q99" s="63">
        <f t="shared" si="26"/>
        <v>0</v>
      </c>
      <c r="R99" s="35"/>
      <c r="S99" s="35"/>
      <c r="T99" s="35"/>
      <c r="U99" s="35"/>
      <c r="V99" s="90"/>
      <c r="W99" s="35">
        <f t="shared" si="25"/>
        <v>20766200.31</v>
      </c>
      <c r="X99" s="167"/>
      <c r="Y99" s="46"/>
    </row>
    <row r="100" spans="1:25" s="23" customFormat="1" ht="45">
      <c r="A100" s="21"/>
      <c r="B100" s="24" t="s">
        <v>128</v>
      </c>
      <c r="C100" s="24" t="s">
        <v>208</v>
      </c>
      <c r="D100" s="25" t="s">
        <v>129</v>
      </c>
      <c r="E100" s="35">
        <v>365245700</v>
      </c>
      <c r="F100" s="35"/>
      <c r="G100" s="35"/>
      <c r="H100" s="35">
        <v>182066047.29</v>
      </c>
      <c r="I100" s="35"/>
      <c r="J100" s="35"/>
      <c r="K100" s="90">
        <f t="shared" si="28"/>
        <v>49.84755393150419</v>
      </c>
      <c r="L100" s="63">
        <f t="shared" si="27"/>
        <v>0</v>
      </c>
      <c r="M100" s="35"/>
      <c r="N100" s="35"/>
      <c r="O100" s="35"/>
      <c r="P100" s="35"/>
      <c r="Q100" s="63">
        <f t="shared" si="26"/>
        <v>0</v>
      </c>
      <c r="R100" s="35"/>
      <c r="S100" s="35"/>
      <c r="T100" s="35"/>
      <c r="U100" s="35"/>
      <c r="V100" s="90"/>
      <c r="W100" s="35">
        <f t="shared" si="25"/>
        <v>182066047.29</v>
      </c>
      <c r="X100" s="167"/>
      <c r="Y100" s="46"/>
    </row>
    <row r="101" spans="1:25" s="23" customFormat="1" ht="60">
      <c r="A101" s="21"/>
      <c r="B101" s="24" t="s">
        <v>130</v>
      </c>
      <c r="C101" s="24" t="s">
        <v>208</v>
      </c>
      <c r="D101" s="25" t="s">
        <v>131</v>
      </c>
      <c r="E101" s="35">
        <f>82655+51683.44</f>
        <v>134338.44</v>
      </c>
      <c r="F101" s="35"/>
      <c r="G101" s="35"/>
      <c r="H101" s="35">
        <v>110843.75</v>
      </c>
      <c r="I101" s="35"/>
      <c r="J101" s="35"/>
      <c r="K101" s="90">
        <f t="shared" si="28"/>
        <v>82.51082117672351</v>
      </c>
      <c r="L101" s="63">
        <f t="shared" si="27"/>
        <v>0</v>
      </c>
      <c r="M101" s="35"/>
      <c r="N101" s="35"/>
      <c r="O101" s="35"/>
      <c r="P101" s="35"/>
      <c r="Q101" s="63">
        <f t="shared" si="26"/>
        <v>0</v>
      </c>
      <c r="R101" s="35"/>
      <c r="S101" s="35"/>
      <c r="T101" s="35"/>
      <c r="U101" s="35"/>
      <c r="V101" s="90"/>
      <c r="W101" s="35">
        <f t="shared" si="25"/>
        <v>110843.75</v>
      </c>
      <c r="X101" s="167"/>
      <c r="Y101" s="46"/>
    </row>
    <row r="102" spans="1:25" s="23" customFormat="1" ht="30">
      <c r="A102" s="21"/>
      <c r="B102" s="24" t="s">
        <v>16</v>
      </c>
      <c r="C102" s="24" t="s">
        <v>181</v>
      </c>
      <c r="D102" s="25" t="s">
        <v>17</v>
      </c>
      <c r="E102" s="35">
        <f>1730323+45128+330300+224000+130000+90870+18000+360000+108700+51390+68890-4499+59000+531692+44646+32027+8680</f>
        <v>3829147</v>
      </c>
      <c r="F102" s="35"/>
      <c r="G102" s="35"/>
      <c r="H102" s="35">
        <v>2385787.4</v>
      </c>
      <c r="I102" s="35"/>
      <c r="J102" s="35"/>
      <c r="K102" s="90">
        <f t="shared" si="28"/>
        <v>62.30597571730727</v>
      </c>
      <c r="L102" s="63">
        <f t="shared" si="27"/>
        <v>0</v>
      </c>
      <c r="M102" s="35"/>
      <c r="N102" s="35"/>
      <c r="O102" s="35"/>
      <c r="P102" s="35"/>
      <c r="Q102" s="63">
        <f t="shared" si="26"/>
        <v>0</v>
      </c>
      <c r="R102" s="35"/>
      <c r="S102" s="35"/>
      <c r="T102" s="35"/>
      <c r="U102" s="35"/>
      <c r="V102" s="90"/>
      <c r="W102" s="35">
        <f t="shared" si="25"/>
        <v>2385787.4</v>
      </c>
      <c r="X102" s="167"/>
      <c r="Y102" s="46"/>
    </row>
    <row r="103" spans="1:25" s="23" customFormat="1" ht="30">
      <c r="A103" s="21"/>
      <c r="B103" s="24" t="s">
        <v>132</v>
      </c>
      <c r="C103" s="24" t="s">
        <v>209</v>
      </c>
      <c r="D103" s="25" t="s">
        <v>133</v>
      </c>
      <c r="E103" s="35">
        <v>7229000</v>
      </c>
      <c r="F103" s="35"/>
      <c r="G103" s="35"/>
      <c r="H103" s="35">
        <v>4065200.1</v>
      </c>
      <c r="I103" s="35"/>
      <c r="J103" s="35"/>
      <c r="K103" s="90">
        <f t="shared" si="28"/>
        <v>56.2346119795269</v>
      </c>
      <c r="L103" s="63">
        <f t="shared" si="27"/>
        <v>0</v>
      </c>
      <c r="M103" s="35"/>
      <c r="N103" s="35"/>
      <c r="O103" s="35"/>
      <c r="P103" s="35"/>
      <c r="Q103" s="63">
        <f t="shared" si="26"/>
        <v>0</v>
      </c>
      <c r="R103" s="35"/>
      <c r="S103" s="35"/>
      <c r="T103" s="35"/>
      <c r="U103" s="35"/>
      <c r="V103" s="90"/>
      <c r="W103" s="35">
        <f t="shared" si="25"/>
        <v>4065200.1</v>
      </c>
      <c r="X103" s="167"/>
      <c r="Y103" s="46"/>
    </row>
    <row r="104" spans="1:25" s="23" customFormat="1" ht="30">
      <c r="A104" s="21"/>
      <c r="B104" s="24" t="s">
        <v>134</v>
      </c>
      <c r="C104" s="24" t="s">
        <v>206</v>
      </c>
      <c r="D104" s="25" t="s">
        <v>135</v>
      </c>
      <c r="E104" s="35">
        <f>902586+88819-4601+300000+1199600-1000000</f>
        <v>1486404</v>
      </c>
      <c r="F104" s="35"/>
      <c r="G104" s="35"/>
      <c r="H104" s="35">
        <v>582232.8</v>
      </c>
      <c r="I104" s="35"/>
      <c r="J104" s="35"/>
      <c r="K104" s="90">
        <f t="shared" si="28"/>
        <v>39.17056197372989</v>
      </c>
      <c r="L104" s="63">
        <f t="shared" si="27"/>
        <v>0</v>
      </c>
      <c r="M104" s="35"/>
      <c r="N104" s="35"/>
      <c r="O104" s="35"/>
      <c r="P104" s="35"/>
      <c r="Q104" s="63">
        <f t="shared" si="26"/>
        <v>0</v>
      </c>
      <c r="R104" s="35"/>
      <c r="S104" s="35"/>
      <c r="T104" s="35"/>
      <c r="U104" s="35"/>
      <c r="V104" s="90"/>
      <c r="W104" s="35">
        <f t="shared" si="25"/>
        <v>582232.8</v>
      </c>
      <c r="X104" s="167"/>
      <c r="Y104" s="46"/>
    </row>
    <row r="105" spans="1:25" s="23" customFormat="1" ht="30">
      <c r="A105" s="21"/>
      <c r="B105" s="24" t="s">
        <v>241</v>
      </c>
      <c r="C105" s="24" t="s">
        <v>243</v>
      </c>
      <c r="D105" s="25" t="s">
        <v>242</v>
      </c>
      <c r="E105" s="35">
        <v>181400</v>
      </c>
      <c r="F105" s="35"/>
      <c r="G105" s="35"/>
      <c r="H105" s="35">
        <v>62383.4</v>
      </c>
      <c r="I105" s="35"/>
      <c r="J105" s="35"/>
      <c r="K105" s="90">
        <f t="shared" si="28"/>
        <v>34.38996692392503</v>
      </c>
      <c r="L105" s="63">
        <f t="shared" si="27"/>
        <v>0</v>
      </c>
      <c r="M105" s="35"/>
      <c r="N105" s="35"/>
      <c r="O105" s="35"/>
      <c r="P105" s="35"/>
      <c r="Q105" s="63">
        <f t="shared" si="26"/>
        <v>0</v>
      </c>
      <c r="R105" s="35"/>
      <c r="S105" s="35"/>
      <c r="T105" s="35"/>
      <c r="U105" s="35"/>
      <c r="V105" s="90"/>
      <c r="W105" s="35">
        <f t="shared" si="25"/>
        <v>62383.4</v>
      </c>
      <c r="X105" s="167"/>
      <c r="Y105" s="46"/>
    </row>
    <row r="106" spans="1:25" s="23" customFormat="1" ht="30">
      <c r="A106" s="21"/>
      <c r="B106" s="24" t="s">
        <v>297</v>
      </c>
      <c r="C106" s="24" t="s">
        <v>298</v>
      </c>
      <c r="D106" s="25" t="s">
        <v>299</v>
      </c>
      <c r="E106" s="35">
        <f>160429-16831+231305.07</f>
        <v>374903.07</v>
      </c>
      <c r="F106" s="35">
        <f>117703+189509.86</f>
        <v>307212.86</v>
      </c>
      <c r="G106" s="35"/>
      <c r="H106" s="35">
        <v>140009.45</v>
      </c>
      <c r="I106" s="35">
        <v>114645.69</v>
      </c>
      <c r="J106" s="35"/>
      <c r="K106" s="90">
        <f t="shared" si="28"/>
        <v>37.34550639982756</v>
      </c>
      <c r="L106" s="63">
        <f t="shared" si="27"/>
        <v>0</v>
      </c>
      <c r="M106" s="35"/>
      <c r="N106" s="35"/>
      <c r="O106" s="35"/>
      <c r="P106" s="35"/>
      <c r="Q106" s="63">
        <f t="shared" si="26"/>
        <v>0</v>
      </c>
      <c r="R106" s="35"/>
      <c r="S106" s="35"/>
      <c r="T106" s="35"/>
      <c r="U106" s="35"/>
      <c r="V106" s="90"/>
      <c r="W106" s="35">
        <f t="shared" si="25"/>
        <v>140009.45</v>
      </c>
      <c r="X106" s="167"/>
      <c r="Y106" s="46"/>
    </row>
    <row r="107" spans="1:25" s="23" customFormat="1" ht="45">
      <c r="A107" s="21"/>
      <c r="B107" s="24" t="s">
        <v>136</v>
      </c>
      <c r="C107" s="24" t="s">
        <v>210</v>
      </c>
      <c r="D107" s="25" t="s">
        <v>137</v>
      </c>
      <c r="E107" s="35">
        <f>6697900+170500-1363300+11000+380200+13000+6000+2000-2842</f>
        <v>5914458</v>
      </c>
      <c r="F107" s="35">
        <f>4614400+54100-591900+312900-2330</f>
        <v>4387170</v>
      </c>
      <c r="G107" s="35">
        <f>154005+2561</f>
        <v>156566</v>
      </c>
      <c r="H107" s="35">
        <v>2649886.39</v>
      </c>
      <c r="I107" s="35">
        <v>1983026.48</v>
      </c>
      <c r="J107" s="35">
        <v>92768.68</v>
      </c>
      <c r="K107" s="90">
        <f t="shared" si="28"/>
        <v>44.80353719647684</v>
      </c>
      <c r="L107" s="63">
        <f t="shared" si="27"/>
        <v>467800</v>
      </c>
      <c r="M107" s="35">
        <v>27800</v>
      </c>
      <c r="N107" s="35">
        <v>18822</v>
      </c>
      <c r="O107" s="35"/>
      <c r="P107" s="35">
        <f>297000+11000+132000</f>
        <v>440000</v>
      </c>
      <c r="Q107" s="63">
        <f t="shared" si="26"/>
        <v>92830.6</v>
      </c>
      <c r="R107" s="35">
        <v>46537.2</v>
      </c>
      <c r="S107" s="35">
        <v>12262.68</v>
      </c>
      <c r="T107" s="35"/>
      <c r="U107" s="35">
        <v>46293.4</v>
      </c>
      <c r="V107" s="90">
        <f>Q107/L107*100</f>
        <v>19.844078666096625</v>
      </c>
      <c r="W107" s="35">
        <f t="shared" si="25"/>
        <v>2742716.99</v>
      </c>
      <c r="X107" s="167"/>
      <c r="Y107" s="46"/>
    </row>
    <row r="108" spans="1:25" s="23" customFormat="1" ht="90">
      <c r="A108" s="21"/>
      <c r="B108" s="24" t="s">
        <v>138</v>
      </c>
      <c r="C108" s="24" t="s">
        <v>209</v>
      </c>
      <c r="D108" s="25" t="s">
        <v>139</v>
      </c>
      <c r="E108" s="35">
        <v>1397200</v>
      </c>
      <c r="F108" s="35"/>
      <c r="G108" s="35"/>
      <c r="H108" s="35">
        <v>520543.28</v>
      </c>
      <c r="I108" s="35"/>
      <c r="J108" s="35"/>
      <c r="K108" s="90">
        <f t="shared" si="28"/>
        <v>37.25617520755797</v>
      </c>
      <c r="L108" s="63">
        <f t="shared" si="27"/>
        <v>0</v>
      </c>
      <c r="M108" s="35"/>
      <c r="N108" s="35"/>
      <c r="O108" s="35"/>
      <c r="P108" s="35"/>
      <c r="Q108" s="63">
        <f t="shared" si="26"/>
        <v>0</v>
      </c>
      <c r="R108" s="35"/>
      <c r="S108" s="35"/>
      <c r="T108" s="35"/>
      <c r="U108" s="35"/>
      <c r="V108" s="90"/>
      <c r="W108" s="35">
        <f t="shared" si="25"/>
        <v>520543.28</v>
      </c>
      <c r="X108" s="167"/>
      <c r="Y108" s="46"/>
    </row>
    <row r="109" spans="1:25" s="23" customFormat="1" ht="90">
      <c r="A109" s="21"/>
      <c r="B109" s="24" t="s">
        <v>140</v>
      </c>
      <c r="C109" s="24" t="s">
        <v>208</v>
      </c>
      <c r="D109" s="25" t="s">
        <v>141</v>
      </c>
      <c r="E109" s="35">
        <f>2446698+35741</f>
        <v>2482439</v>
      </c>
      <c r="F109" s="35"/>
      <c r="G109" s="35"/>
      <c r="H109" s="35">
        <v>666499.16</v>
      </c>
      <c r="I109" s="35"/>
      <c r="J109" s="35"/>
      <c r="K109" s="90">
        <f t="shared" si="28"/>
        <v>26.84856143494362</v>
      </c>
      <c r="L109" s="63">
        <f t="shared" si="27"/>
        <v>0</v>
      </c>
      <c r="M109" s="35"/>
      <c r="N109" s="35"/>
      <c r="O109" s="35"/>
      <c r="P109" s="35"/>
      <c r="Q109" s="63">
        <f t="shared" si="26"/>
        <v>0</v>
      </c>
      <c r="R109" s="35"/>
      <c r="S109" s="35"/>
      <c r="T109" s="35"/>
      <c r="U109" s="35"/>
      <c r="V109" s="90"/>
      <c r="W109" s="35">
        <f t="shared" si="25"/>
        <v>666499.16</v>
      </c>
      <c r="X109" s="167"/>
      <c r="Y109" s="46"/>
    </row>
    <row r="110" spans="1:25" s="23" customFormat="1" ht="30">
      <c r="A110" s="21"/>
      <c r="B110" s="24" t="s">
        <v>142</v>
      </c>
      <c r="C110" s="24" t="s">
        <v>206</v>
      </c>
      <c r="D110" s="25" t="s">
        <v>143</v>
      </c>
      <c r="E110" s="35">
        <v>798900</v>
      </c>
      <c r="F110" s="35"/>
      <c r="G110" s="35"/>
      <c r="H110" s="35">
        <v>323743.77</v>
      </c>
      <c r="I110" s="35"/>
      <c r="J110" s="35"/>
      <c r="K110" s="90">
        <f t="shared" si="28"/>
        <v>40.52369132557266</v>
      </c>
      <c r="L110" s="63">
        <f t="shared" si="27"/>
        <v>0</v>
      </c>
      <c r="M110" s="35"/>
      <c r="N110" s="35"/>
      <c r="O110" s="35"/>
      <c r="P110" s="35"/>
      <c r="Q110" s="63">
        <f t="shared" si="26"/>
        <v>0</v>
      </c>
      <c r="R110" s="35"/>
      <c r="S110" s="35"/>
      <c r="T110" s="35"/>
      <c r="U110" s="35"/>
      <c r="V110" s="90"/>
      <c r="W110" s="35">
        <f t="shared" si="25"/>
        <v>323743.77</v>
      </c>
      <c r="X110" s="167"/>
      <c r="Y110" s="46"/>
    </row>
    <row r="111" spans="1:25" s="23" customFormat="1" ht="30">
      <c r="A111" s="21"/>
      <c r="B111" s="24" t="s">
        <v>244</v>
      </c>
      <c r="C111" s="24" t="s">
        <v>181</v>
      </c>
      <c r="D111" s="25" t="s">
        <v>245</v>
      </c>
      <c r="E111" s="35">
        <f>54417+57300</f>
        <v>111717</v>
      </c>
      <c r="F111" s="35"/>
      <c r="G111" s="35"/>
      <c r="H111" s="35">
        <v>70200.5</v>
      </c>
      <c r="I111" s="35"/>
      <c r="J111" s="35"/>
      <c r="K111" s="90">
        <f t="shared" si="28"/>
        <v>62.83779550113232</v>
      </c>
      <c r="L111" s="63">
        <f t="shared" si="27"/>
        <v>0</v>
      </c>
      <c r="M111" s="35"/>
      <c r="N111" s="35"/>
      <c r="O111" s="35"/>
      <c r="P111" s="35"/>
      <c r="Q111" s="63">
        <f t="shared" si="26"/>
        <v>0</v>
      </c>
      <c r="R111" s="35"/>
      <c r="S111" s="35"/>
      <c r="T111" s="35"/>
      <c r="U111" s="35"/>
      <c r="V111" s="90"/>
      <c r="W111" s="35">
        <f t="shared" si="25"/>
        <v>70200.5</v>
      </c>
      <c r="X111" s="167"/>
      <c r="Y111" s="46"/>
    </row>
    <row r="112" spans="1:25" s="23" customFormat="1" ht="15">
      <c r="A112" s="21"/>
      <c r="B112" s="24" t="s">
        <v>144</v>
      </c>
      <c r="C112" s="24" t="s">
        <v>181</v>
      </c>
      <c r="D112" s="25" t="s">
        <v>145</v>
      </c>
      <c r="E112" s="35">
        <f>1424500-209500+19000+33000+195000+7000+5000+2842</f>
        <v>1476842</v>
      </c>
      <c r="F112" s="35">
        <f>826600-77400+145000</f>
        <v>894200</v>
      </c>
      <c r="G112" s="35">
        <f>127230+2114</f>
        <v>129344</v>
      </c>
      <c r="H112" s="35">
        <v>642757.58</v>
      </c>
      <c r="I112" s="35">
        <v>373201.2</v>
      </c>
      <c r="J112" s="35">
        <v>52260.36</v>
      </c>
      <c r="K112" s="90">
        <f t="shared" si="28"/>
        <v>43.52243367943219</v>
      </c>
      <c r="L112" s="63">
        <f t="shared" si="27"/>
        <v>243500</v>
      </c>
      <c r="M112" s="35"/>
      <c r="N112" s="35"/>
      <c r="O112" s="35"/>
      <c r="P112" s="35">
        <f>200000+43500</f>
        <v>243500</v>
      </c>
      <c r="Q112" s="63">
        <f t="shared" si="26"/>
        <v>149450.7</v>
      </c>
      <c r="R112" s="35">
        <v>106220.7</v>
      </c>
      <c r="S112" s="35"/>
      <c r="T112" s="35"/>
      <c r="U112" s="35">
        <v>43230</v>
      </c>
      <c r="V112" s="90">
        <f>Q112/L112*100</f>
        <v>61.37605749486653</v>
      </c>
      <c r="W112" s="35">
        <f t="shared" si="25"/>
        <v>792208.28</v>
      </c>
      <c r="X112" s="167"/>
      <c r="Y112" s="46"/>
    </row>
    <row r="113" spans="1:25" s="23" customFormat="1" ht="30">
      <c r="A113" s="21"/>
      <c r="B113" s="24" t="s">
        <v>146</v>
      </c>
      <c r="C113" s="24" t="s">
        <v>209</v>
      </c>
      <c r="D113" s="25" t="s">
        <v>147</v>
      </c>
      <c r="E113" s="35">
        <v>43245500</v>
      </c>
      <c r="F113" s="35"/>
      <c r="G113" s="35"/>
      <c r="H113" s="35">
        <v>20273098.49</v>
      </c>
      <c r="I113" s="35"/>
      <c r="J113" s="35" t="s">
        <v>347</v>
      </c>
      <c r="K113" s="90">
        <f t="shared" si="28"/>
        <v>46.87909375541964</v>
      </c>
      <c r="L113" s="63">
        <f t="shared" si="27"/>
        <v>0</v>
      </c>
      <c r="M113" s="35"/>
      <c r="N113" s="35"/>
      <c r="O113" s="35"/>
      <c r="P113" s="35"/>
      <c r="Q113" s="63">
        <f t="shared" si="26"/>
        <v>0</v>
      </c>
      <c r="R113" s="35"/>
      <c r="S113" s="35"/>
      <c r="T113" s="35"/>
      <c r="U113" s="35"/>
      <c r="V113" s="90"/>
      <c r="W113" s="35">
        <f t="shared" si="25"/>
        <v>20273098.49</v>
      </c>
      <c r="X113" s="167"/>
      <c r="Y113" s="46"/>
    </row>
    <row r="114" spans="1:25" s="23" customFormat="1" ht="60">
      <c r="A114" s="21"/>
      <c r="B114" s="24" t="s">
        <v>246</v>
      </c>
      <c r="C114" s="24" t="s">
        <v>209</v>
      </c>
      <c r="D114" s="25" t="s">
        <v>247</v>
      </c>
      <c r="E114" s="35">
        <v>162275</v>
      </c>
      <c r="F114" s="35"/>
      <c r="G114" s="35"/>
      <c r="H114" s="35">
        <v>71908.65</v>
      </c>
      <c r="I114" s="35"/>
      <c r="J114" s="35"/>
      <c r="K114" s="90">
        <f t="shared" si="28"/>
        <v>44.31283315359729</v>
      </c>
      <c r="L114" s="63">
        <f t="shared" si="27"/>
        <v>0</v>
      </c>
      <c r="M114" s="35"/>
      <c r="N114" s="35"/>
      <c r="O114" s="35"/>
      <c r="P114" s="35"/>
      <c r="Q114" s="63">
        <f t="shared" si="26"/>
        <v>0</v>
      </c>
      <c r="R114" s="35"/>
      <c r="S114" s="35"/>
      <c r="T114" s="35"/>
      <c r="U114" s="35"/>
      <c r="V114" s="90"/>
      <c r="W114" s="35">
        <f t="shared" si="25"/>
        <v>71908.65</v>
      </c>
      <c r="X114" s="167"/>
      <c r="Y114" s="46"/>
    </row>
    <row r="115" spans="1:25" s="23" customFormat="1" ht="30">
      <c r="A115" s="21"/>
      <c r="B115" s="24" t="s">
        <v>248</v>
      </c>
      <c r="C115" s="24" t="s">
        <v>209</v>
      </c>
      <c r="D115" s="25" t="s">
        <v>249</v>
      </c>
      <c r="E115" s="35">
        <v>4800</v>
      </c>
      <c r="F115" s="35"/>
      <c r="G115" s="35"/>
      <c r="H115" s="35">
        <v>672</v>
      </c>
      <c r="I115" s="35"/>
      <c r="J115" s="35"/>
      <c r="K115" s="90">
        <f t="shared" si="28"/>
        <v>14.000000000000002</v>
      </c>
      <c r="L115" s="63">
        <f t="shared" si="27"/>
        <v>0</v>
      </c>
      <c r="M115" s="35"/>
      <c r="N115" s="35"/>
      <c r="O115" s="35"/>
      <c r="P115" s="35"/>
      <c r="Q115" s="63">
        <f t="shared" si="26"/>
        <v>0</v>
      </c>
      <c r="R115" s="35"/>
      <c r="S115" s="35"/>
      <c r="T115" s="35"/>
      <c r="U115" s="35"/>
      <c r="V115" s="90"/>
      <c r="W115" s="35">
        <f t="shared" si="25"/>
        <v>672</v>
      </c>
      <c r="X115" s="167"/>
      <c r="Y115" s="46"/>
    </row>
    <row r="116" spans="1:25" s="23" customFormat="1" ht="45">
      <c r="A116" s="21"/>
      <c r="B116" s="24" t="s">
        <v>335</v>
      </c>
      <c r="C116" s="24" t="s">
        <v>207</v>
      </c>
      <c r="D116" s="25" t="s">
        <v>336</v>
      </c>
      <c r="E116" s="35">
        <v>3009742</v>
      </c>
      <c r="F116" s="35"/>
      <c r="G116" s="35"/>
      <c r="H116" s="35"/>
      <c r="I116" s="35"/>
      <c r="J116" s="35"/>
      <c r="K116" s="90">
        <f>H116/E116*100</f>
        <v>0</v>
      </c>
      <c r="L116" s="63">
        <f t="shared" si="27"/>
        <v>0</v>
      </c>
      <c r="M116" s="35"/>
      <c r="N116" s="35"/>
      <c r="O116" s="35"/>
      <c r="P116" s="35"/>
      <c r="Q116" s="63">
        <f t="shared" si="26"/>
        <v>0</v>
      </c>
      <c r="R116" s="35"/>
      <c r="S116" s="35"/>
      <c r="T116" s="35"/>
      <c r="U116" s="35"/>
      <c r="V116" s="90"/>
      <c r="W116" s="35">
        <f t="shared" si="25"/>
        <v>0</v>
      </c>
      <c r="X116" s="71"/>
      <c r="Y116" s="46"/>
    </row>
    <row r="117" spans="1:25" s="23" customFormat="1" ht="45">
      <c r="A117" s="21"/>
      <c r="B117" s="24" t="s">
        <v>148</v>
      </c>
      <c r="C117" s="24" t="s">
        <v>207</v>
      </c>
      <c r="D117" s="25" t="s">
        <v>149</v>
      </c>
      <c r="E117" s="35">
        <f>130000+9557658</f>
        <v>9687658</v>
      </c>
      <c r="F117" s="36"/>
      <c r="G117" s="36"/>
      <c r="H117" s="35">
        <v>29850</v>
      </c>
      <c r="I117" s="35"/>
      <c r="J117" s="35"/>
      <c r="K117" s="90">
        <f t="shared" si="28"/>
        <v>0.30812400685490754</v>
      </c>
      <c r="L117" s="63">
        <f t="shared" si="27"/>
        <v>0</v>
      </c>
      <c r="M117" s="36"/>
      <c r="N117" s="36"/>
      <c r="O117" s="36"/>
      <c r="P117" s="36"/>
      <c r="Q117" s="63">
        <f t="shared" si="26"/>
        <v>0</v>
      </c>
      <c r="R117" s="36"/>
      <c r="S117" s="36"/>
      <c r="T117" s="36"/>
      <c r="U117" s="36"/>
      <c r="V117" s="89"/>
      <c r="W117" s="35">
        <f t="shared" si="25"/>
        <v>29850</v>
      </c>
      <c r="X117" s="167"/>
      <c r="Y117" s="46"/>
    </row>
    <row r="118" spans="1:25" s="23" customFormat="1" ht="15">
      <c r="A118" s="21"/>
      <c r="B118" s="24" t="s">
        <v>178</v>
      </c>
      <c r="C118" s="24" t="s">
        <v>224</v>
      </c>
      <c r="D118" s="25" t="s">
        <v>179</v>
      </c>
      <c r="E118" s="35">
        <f>1160656+1000000</f>
        <v>2160656</v>
      </c>
      <c r="F118" s="36"/>
      <c r="G118" s="36"/>
      <c r="H118" s="35"/>
      <c r="I118" s="35"/>
      <c r="J118" s="35"/>
      <c r="K118" s="90">
        <f t="shared" si="28"/>
        <v>0</v>
      </c>
      <c r="L118" s="63">
        <f t="shared" si="27"/>
        <v>0</v>
      </c>
      <c r="M118" s="36"/>
      <c r="N118" s="36"/>
      <c r="O118" s="36"/>
      <c r="P118" s="36"/>
      <c r="Q118" s="63">
        <f t="shared" si="26"/>
        <v>0</v>
      </c>
      <c r="R118" s="36"/>
      <c r="S118" s="36"/>
      <c r="T118" s="36"/>
      <c r="U118" s="36"/>
      <c r="V118" s="89"/>
      <c r="W118" s="35">
        <f t="shared" si="25"/>
        <v>0</v>
      </c>
      <c r="X118" s="167"/>
      <c r="Y118" s="46"/>
    </row>
    <row r="119" spans="1:25" s="23" customFormat="1" ht="28.5">
      <c r="A119" s="21"/>
      <c r="B119" s="28"/>
      <c r="C119" s="28"/>
      <c r="D119" s="29" t="s">
        <v>211</v>
      </c>
      <c r="E119" s="36">
        <f aca="true" t="shared" si="29" ref="E119:J119">SUM(E120:E121)</f>
        <v>1085536</v>
      </c>
      <c r="F119" s="36">
        <f t="shared" si="29"/>
        <v>782747</v>
      </c>
      <c r="G119" s="36">
        <f t="shared" si="29"/>
        <v>32719</v>
      </c>
      <c r="H119" s="36">
        <f t="shared" si="29"/>
        <v>531624.57</v>
      </c>
      <c r="I119" s="36">
        <f t="shared" si="29"/>
        <v>373535.42</v>
      </c>
      <c r="J119" s="36">
        <f t="shared" si="29"/>
        <v>16302.48</v>
      </c>
      <c r="K119" s="89">
        <f aca="true" t="shared" si="30" ref="K119:K129">H119/E119*100</f>
        <v>48.97346287916752</v>
      </c>
      <c r="L119" s="36">
        <f aca="true" t="shared" si="31" ref="L119:U119">SUM(L120:L121)</f>
        <v>0</v>
      </c>
      <c r="M119" s="36">
        <f t="shared" si="31"/>
        <v>0</v>
      </c>
      <c r="N119" s="36">
        <f t="shared" si="31"/>
        <v>0</v>
      </c>
      <c r="O119" s="36">
        <f t="shared" si="31"/>
        <v>0</v>
      </c>
      <c r="P119" s="36">
        <f t="shared" si="31"/>
        <v>0</v>
      </c>
      <c r="Q119" s="36">
        <f t="shared" si="31"/>
        <v>0</v>
      </c>
      <c r="R119" s="36">
        <f t="shared" si="31"/>
        <v>0</v>
      </c>
      <c r="S119" s="36">
        <f t="shared" si="31"/>
        <v>0</v>
      </c>
      <c r="T119" s="36">
        <f t="shared" si="31"/>
        <v>0</v>
      </c>
      <c r="U119" s="36">
        <f t="shared" si="31"/>
        <v>0</v>
      </c>
      <c r="V119" s="89"/>
      <c r="W119" s="36">
        <f>SUM(W120:W121)</f>
        <v>531624.57</v>
      </c>
      <c r="X119" s="167"/>
      <c r="Y119" s="46"/>
    </row>
    <row r="120" spans="1:25" s="23" customFormat="1" ht="15">
      <c r="A120" s="21"/>
      <c r="B120" s="24" t="s">
        <v>11</v>
      </c>
      <c r="C120" s="24" t="s">
        <v>9</v>
      </c>
      <c r="D120" s="25" t="s">
        <v>96</v>
      </c>
      <c r="E120" s="35">
        <f>1121770-144320+40086+18000</f>
        <v>1035536</v>
      </c>
      <c r="F120" s="35">
        <f>782730-32840+32857</f>
        <v>782747</v>
      </c>
      <c r="G120" s="35">
        <v>32719</v>
      </c>
      <c r="H120" s="35">
        <v>508477.93</v>
      </c>
      <c r="I120" s="35">
        <v>373535.42</v>
      </c>
      <c r="J120" s="35">
        <v>16302.48</v>
      </c>
      <c r="K120" s="90">
        <f t="shared" si="30"/>
        <v>49.102873294602986</v>
      </c>
      <c r="L120" s="35">
        <f>M120+P120</f>
        <v>0</v>
      </c>
      <c r="M120" s="35"/>
      <c r="N120" s="35"/>
      <c r="O120" s="35"/>
      <c r="P120" s="35"/>
      <c r="Q120" s="35">
        <f>R120+U120</f>
        <v>0</v>
      </c>
      <c r="R120" s="35"/>
      <c r="S120" s="35"/>
      <c r="T120" s="35"/>
      <c r="U120" s="35"/>
      <c r="V120" s="90"/>
      <c r="W120" s="35">
        <f>H120+Q120</f>
        <v>508477.93</v>
      </c>
      <c r="X120" s="167"/>
      <c r="Y120" s="46"/>
    </row>
    <row r="121" spans="1:25" s="23" customFormat="1" ht="15">
      <c r="A121" s="21"/>
      <c r="B121" s="24" t="s">
        <v>150</v>
      </c>
      <c r="C121" s="24" t="s">
        <v>182</v>
      </c>
      <c r="D121" s="25" t="s">
        <v>151</v>
      </c>
      <c r="E121" s="35">
        <v>50000</v>
      </c>
      <c r="F121" s="36"/>
      <c r="G121" s="36"/>
      <c r="H121" s="35">
        <v>23146.64</v>
      </c>
      <c r="I121" s="36"/>
      <c r="J121" s="36"/>
      <c r="K121" s="90">
        <f t="shared" si="30"/>
        <v>46.293279999999996</v>
      </c>
      <c r="L121" s="35">
        <f>M121+P121</f>
        <v>0</v>
      </c>
      <c r="M121" s="36"/>
      <c r="N121" s="36"/>
      <c r="O121" s="36"/>
      <c r="P121" s="36"/>
      <c r="Q121" s="35">
        <f>R121+U121</f>
        <v>0</v>
      </c>
      <c r="R121" s="35"/>
      <c r="S121" s="36"/>
      <c r="T121" s="36"/>
      <c r="U121" s="35"/>
      <c r="V121" s="90"/>
      <c r="W121" s="35">
        <f>H121+Q121</f>
        <v>23146.64</v>
      </c>
      <c r="X121" s="167"/>
      <c r="Y121" s="46"/>
    </row>
    <row r="122" spans="1:25" s="23" customFormat="1" ht="28.5">
      <c r="A122" s="21"/>
      <c r="B122" s="28"/>
      <c r="C122" s="28"/>
      <c r="D122" s="29" t="s">
        <v>212</v>
      </c>
      <c r="E122" s="36">
        <f aca="true" t="shared" si="32" ref="E122:J122">SUM(E123:E127)</f>
        <v>29696180</v>
      </c>
      <c r="F122" s="36">
        <f t="shared" si="32"/>
        <v>21016763</v>
      </c>
      <c r="G122" s="36">
        <f t="shared" si="32"/>
        <v>1776764</v>
      </c>
      <c r="H122" s="36">
        <f t="shared" si="32"/>
        <v>16116975.15</v>
      </c>
      <c r="I122" s="36">
        <f t="shared" si="32"/>
        <v>12030500.49</v>
      </c>
      <c r="J122" s="36">
        <f t="shared" si="32"/>
        <v>921502.03</v>
      </c>
      <c r="K122" s="89">
        <f t="shared" si="30"/>
        <v>54.27289014950745</v>
      </c>
      <c r="L122" s="36">
        <f aca="true" t="shared" si="33" ref="L122:U122">SUM(L123:L127)</f>
        <v>2484920</v>
      </c>
      <c r="M122" s="36">
        <f t="shared" si="33"/>
        <v>1320320</v>
      </c>
      <c r="N122" s="36">
        <f t="shared" si="33"/>
        <v>953732</v>
      </c>
      <c r="O122" s="36">
        <f t="shared" si="33"/>
        <v>0</v>
      </c>
      <c r="P122" s="36">
        <f t="shared" si="33"/>
        <v>1164600</v>
      </c>
      <c r="Q122" s="36">
        <f t="shared" si="33"/>
        <v>1009494.44</v>
      </c>
      <c r="R122" s="36">
        <f t="shared" si="33"/>
        <v>788927.2699999999</v>
      </c>
      <c r="S122" s="36">
        <f t="shared" si="33"/>
        <v>626413.72</v>
      </c>
      <c r="T122" s="36">
        <f t="shared" si="33"/>
        <v>0</v>
      </c>
      <c r="U122" s="36">
        <f t="shared" si="33"/>
        <v>220567.16999999998</v>
      </c>
      <c r="V122" s="89">
        <f>Q122/L122*100</f>
        <v>40.62482655377235</v>
      </c>
      <c r="W122" s="36">
        <f>SUM(W123:W127)</f>
        <v>17126469.59</v>
      </c>
      <c r="X122" s="167"/>
      <c r="Y122" s="46"/>
    </row>
    <row r="123" spans="1:25" s="23" customFormat="1" ht="15">
      <c r="A123" s="21"/>
      <c r="B123" s="24" t="s">
        <v>11</v>
      </c>
      <c r="C123" s="24" t="s">
        <v>9</v>
      </c>
      <c r="D123" s="25" t="s">
        <v>96</v>
      </c>
      <c r="E123" s="35">
        <f>514810-66130+41301</f>
        <v>489981</v>
      </c>
      <c r="F123" s="35">
        <f>324590-16160+33853</f>
        <v>342283</v>
      </c>
      <c r="G123" s="35">
        <v>13469</v>
      </c>
      <c r="H123" s="35">
        <v>191881.93</v>
      </c>
      <c r="I123" s="35">
        <v>147988.6</v>
      </c>
      <c r="J123" s="35">
        <v>6745.55</v>
      </c>
      <c r="K123" s="90">
        <f t="shared" si="30"/>
        <v>39.16109604249961</v>
      </c>
      <c r="L123" s="35">
        <f>M123+P123</f>
        <v>20000</v>
      </c>
      <c r="M123" s="35"/>
      <c r="N123" s="35"/>
      <c r="O123" s="35"/>
      <c r="P123" s="35">
        <v>20000</v>
      </c>
      <c r="Q123" s="35">
        <f>R123+U123</f>
        <v>12280</v>
      </c>
      <c r="R123" s="35"/>
      <c r="S123" s="35"/>
      <c r="T123" s="35"/>
      <c r="U123" s="35">
        <v>12280</v>
      </c>
      <c r="V123" s="90">
        <f>Q123/L123*100</f>
        <v>61.4</v>
      </c>
      <c r="W123" s="35">
        <f>H123+Q123</f>
        <v>204161.93</v>
      </c>
      <c r="X123" s="167"/>
      <c r="Y123" s="46"/>
    </row>
    <row r="124" spans="1:25" s="23" customFormat="1" ht="30">
      <c r="A124" s="21"/>
      <c r="B124" s="24" t="s">
        <v>152</v>
      </c>
      <c r="C124" s="24" t="s">
        <v>213</v>
      </c>
      <c r="D124" s="25" t="s">
        <v>153</v>
      </c>
      <c r="E124" s="35">
        <f>1000000+30000</f>
        <v>1030000</v>
      </c>
      <c r="F124" s="35"/>
      <c r="G124" s="35"/>
      <c r="H124" s="35">
        <v>190023.68</v>
      </c>
      <c r="I124" s="35"/>
      <c r="J124" s="35"/>
      <c r="K124" s="90">
        <f t="shared" si="30"/>
        <v>18.448900970873787</v>
      </c>
      <c r="L124" s="35">
        <f>M124+P124</f>
        <v>0</v>
      </c>
      <c r="M124" s="36"/>
      <c r="N124" s="36"/>
      <c r="O124" s="36"/>
      <c r="P124" s="36"/>
      <c r="Q124" s="35">
        <f>R124+U124</f>
        <v>0</v>
      </c>
      <c r="R124" s="35"/>
      <c r="S124" s="35"/>
      <c r="T124" s="35"/>
      <c r="U124" s="35"/>
      <c r="V124" s="90"/>
      <c r="W124" s="35">
        <f>H124+Q124</f>
        <v>190023.68</v>
      </c>
      <c r="X124" s="167"/>
      <c r="Y124" s="46"/>
    </row>
    <row r="125" spans="1:25" s="23" customFormat="1" ht="15">
      <c r="A125" s="21"/>
      <c r="B125" s="24" t="s">
        <v>154</v>
      </c>
      <c r="C125" s="24" t="s">
        <v>214</v>
      </c>
      <c r="D125" s="25" t="s">
        <v>155</v>
      </c>
      <c r="E125" s="35">
        <f>11452250-1111519+50000+30000+3900+33800+8500</f>
        <v>10466931</v>
      </c>
      <c r="F125" s="35">
        <f>7153760-76280</f>
        <v>7077480</v>
      </c>
      <c r="G125" s="35">
        <v>1039633</v>
      </c>
      <c r="H125" s="35">
        <v>5032768.31</v>
      </c>
      <c r="I125" s="35">
        <v>3537152.03</v>
      </c>
      <c r="J125" s="35">
        <v>538894.36</v>
      </c>
      <c r="K125" s="90">
        <f t="shared" si="30"/>
        <v>48.08255934810308</v>
      </c>
      <c r="L125" s="35">
        <f>M125+P125</f>
        <v>700500</v>
      </c>
      <c r="M125" s="35">
        <v>21000</v>
      </c>
      <c r="N125" s="35">
        <v>5000</v>
      </c>
      <c r="O125" s="36"/>
      <c r="P125" s="35">
        <f>534500+20000+95000+8500+20000+10000-8500</f>
        <v>679500</v>
      </c>
      <c r="Q125" s="35">
        <f>R125+U125</f>
        <v>182225.19</v>
      </c>
      <c r="R125" s="35">
        <v>5095.82</v>
      </c>
      <c r="S125" s="35">
        <v>950</v>
      </c>
      <c r="T125" s="35"/>
      <c r="U125" s="35">
        <v>177129.37</v>
      </c>
      <c r="V125" s="90">
        <f aca="true" t="shared" si="34" ref="V125:V187">Q125/L125*100</f>
        <v>26.01358886509636</v>
      </c>
      <c r="W125" s="35">
        <f>H125+Q125</f>
        <v>5214993.5</v>
      </c>
      <c r="X125" s="167"/>
      <c r="Y125" s="46"/>
    </row>
    <row r="126" spans="1:25" s="23" customFormat="1" ht="15">
      <c r="A126" s="21"/>
      <c r="B126" s="24" t="s">
        <v>156</v>
      </c>
      <c r="C126" s="24" t="s">
        <v>197</v>
      </c>
      <c r="D126" s="25" t="s">
        <v>157</v>
      </c>
      <c r="E126" s="35">
        <f>18381740-1481664+16000+3000+33000+18000-20000</f>
        <v>16950076</v>
      </c>
      <c r="F126" s="35">
        <f>12769020+299020</f>
        <v>13068040</v>
      </c>
      <c r="G126" s="35">
        <v>702306</v>
      </c>
      <c r="H126" s="35">
        <v>10352519.76</v>
      </c>
      <c r="I126" s="35">
        <v>8077239.11</v>
      </c>
      <c r="J126" s="35">
        <v>365458.49</v>
      </c>
      <c r="K126" s="90">
        <f t="shared" si="30"/>
        <v>61.07653888985512</v>
      </c>
      <c r="L126" s="35">
        <f>M126+P126</f>
        <v>1741420</v>
      </c>
      <c r="M126" s="35">
        <v>1299320</v>
      </c>
      <c r="N126" s="35">
        <v>948732</v>
      </c>
      <c r="O126" s="35"/>
      <c r="P126" s="35">
        <f>4600+435500-18000+20000</f>
        <v>442100</v>
      </c>
      <c r="Q126" s="35">
        <f>R126+U126</f>
        <v>805929.25</v>
      </c>
      <c r="R126" s="35">
        <v>774771.45</v>
      </c>
      <c r="S126" s="35">
        <v>625463.72</v>
      </c>
      <c r="T126" s="35"/>
      <c r="U126" s="35">
        <v>31157.8</v>
      </c>
      <c r="V126" s="90">
        <f t="shared" si="34"/>
        <v>46.28000424940566</v>
      </c>
      <c r="W126" s="35">
        <f>H126+Q126</f>
        <v>11158449.01</v>
      </c>
      <c r="X126" s="167"/>
      <c r="Y126" s="46"/>
    </row>
    <row r="127" spans="1:25" s="23" customFormat="1" ht="15">
      <c r="A127" s="21"/>
      <c r="B127" s="24" t="s">
        <v>30</v>
      </c>
      <c r="C127" s="24" t="s">
        <v>184</v>
      </c>
      <c r="D127" s="25" t="s">
        <v>31</v>
      </c>
      <c r="E127" s="35">
        <f>967780-215588+7000</f>
        <v>759192</v>
      </c>
      <c r="F127" s="35">
        <f>631635-102675</f>
        <v>528960</v>
      </c>
      <c r="G127" s="35">
        <v>21356</v>
      </c>
      <c r="H127" s="35">
        <v>349781.47</v>
      </c>
      <c r="I127" s="35">
        <v>268120.75</v>
      </c>
      <c r="J127" s="35">
        <v>10403.63</v>
      </c>
      <c r="K127" s="90">
        <f t="shared" si="30"/>
        <v>46.07286035680038</v>
      </c>
      <c r="L127" s="35">
        <f>M127+P127</f>
        <v>23000</v>
      </c>
      <c r="M127" s="36"/>
      <c r="N127" s="36"/>
      <c r="O127" s="36"/>
      <c r="P127" s="35">
        <f>30000-7000</f>
        <v>23000</v>
      </c>
      <c r="Q127" s="35">
        <f>R127+U127</f>
        <v>9060</v>
      </c>
      <c r="R127" s="35">
        <v>9060</v>
      </c>
      <c r="S127" s="35"/>
      <c r="T127" s="35"/>
      <c r="U127" s="35"/>
      <c r="V127" s="90">
        <f t="shared" si="34"/>
        <v>39.391304347826086</v>
      </c>
      <c r="W127" s="35">
        <f>H127+Q127</f>
        <v>358841.47</v>
      </c>
      <c r="X127" s="167"/>
      <c r="Y127" s="46"/>
    </row>
    <row r="128" spans="1:25" s="23" customFormat="1" ht="28.5">
      <c r="A128" s="21"/>
      <c r="B128" s="28"/>
      <c r="C128" s="28"/>
      <c r="D128" s="29" t="s">
        <v>215</v>
      </c>
      <c r="E128" s="36">
        <f aca="true" t="shared" si="35" ref="E128:J128">SUM(E129:E148)</f>
        <v>40788953.6</v>
      </c>
      <c r="F128" s="36">
        <f t="shared" si="35"/>
        <v>2582444</v>
      </c>
      <c r="G128" s="36">
        <f t="shared" si="35"/>
        <v>7296375</v>
      </c>
      <c r="H128" s="36">
        <f t="shared" si="35"/>
        <v>16234583.39</v>
      </c>
      <c r="I128" s="36">
        <f t="shared" si="35"/>
        <v>1323441.64</v>
      </c>
      <c r="J128" s="36">
        <f t="shared" si="35"/>
        <v>3241458.7</v>
      </c>
      <c r="K128" s="89">
        <f t="shared" si="30"/>
        <v>39.801421603519636</v>
      </c>
      <c r="L128" s="36">
        <f aca="true" t="shared" si="36" ref="L128:U128">SUM(L129:L148)</f>
        <v>110906817.66</v>
      </c>
      <c r="M128" s="36">
        <f t="shared" si="36"/>
        <v>1046200</v>
      </c>
      <c r="N128" s="36">
        <f t="shared" si="36"/>
        <v>0</v>
      </c>
      <c r="O128" s="36">
        <f t="shared" si="36"/>
        <v>0</v>
      </c>
      <c r="P128" s="36">
        <f t="shared" si="36"/>
        <v>109860617.66</v>
      </c>
      <c r="Q128" s="36">
        <f t="shared" si="36"/>
        <v>19102049.960000005</v>
      </c>
      <c r="R128" s="36">
        <f t="shared" si="36"/>
        <v>93959.44</v>
      </c>
      <c r="S128" s="36">
        <f t="shared" si="36"/>
        <v>0</v>
      </c>
      <c r="T128" s="36">
        <f t="shared" si="36"/>
        <v>0</v>
      </c>
      <c r="U128" s="36">
        <f t="shared" si="36"/>
        <v>19008090.520000003</v>
      </c>
      <c r="V128" s="89">
        <f t="shared" si="34"/>
        <v>17.223512821871733</v>
      </c>
      <c r="W128" s="36">
        <f>SUM(W129:W148)</f>
        <v>35336633.35</v>
      </c>
      <c r="X128" s="167"/>
      <c r="Y128" s="46"/>
    </row>
    <row r="129" spans="1:25" s="23" customFormat="1" ht="15">
      <c r="A129" s="21"/>
      <c r="B129" s="24" t="s">
        <v>11</v>
      </c>
      <c r="C129" s="24" t="s">
        <v>9</v>
      </c>
      <c r="D129" s="25" t="s">
        <v>96</v>
      </c>
      <c r="E129" s="35">
        <f>3961890-402720+2500+9255+89813+8189-158571</f>
        <v>3510356</v>
      </c>
      <c r="F129" s="35">
        <f>2675410-22930+59940-129976</f>
        <v>2582444</v>
      </c>
      <c r="G129" s="35">
        <v>118075</v>
      </c>
      <c r="H129" s="35">
        <v>1802737.46</v>
      </c>
      <c r="I129" s="35">
        <v>1323441.64</v>
      </c>
      <c r="J129" s="35">
        <v>61189.18</v>
      </c>
      <c r="K129" s="90">
        <f t="shared" si="30"/>
        <v>51.35483295711318</v>
      </c>
      <c r="L129" s="35">
        <f>M129+P129</f>
        <v>30000</v>
      </c>
      <c r="M129" s="35"/>
      <c r="N129" s="35"/>
      <c r="O129" s="35"/>
      <c r="P129" s="35">
        <v>30000</v>
      </c>
      <c r="Q129" s="35">
        <f>R129+U129</f>
        <v>29999</v>
      </c>
      <c r="R129" s="35"/>
      <c r="S129" s="35"/>
      <c r="T129" s="35"/>
      <c r="U129" s="35">
        <v>29999</v>
      </c>
      <c r="V129" s="90">
        <f t="shared" si="34"/>
        <v>99.99666666666667</v>
      </c>
      <c r="W129" s="35">
        <f>H129+Q129</f>
        <v>1832736.46</v>
      </c>
      <c r="X129" s="167"/>
      <c r="Y129" s="46"/>
    </row>
    <row r="130" spans="1:25" s="23" customFormat="1" ht="30">
      <c r="A130" s="21"/>
      <c r="B130" s="24" t="s">
        <v>297</v>
      </c>
      <c r="C130" s="24" t="s">
        <v>298</v>
      </c>
      <c r="D130" s="25" t="s">
        <v>299</v>
      </c>
      <c r="E130" s="35">
        <v>350000</v>
      </c>
      <c r="F130" s="35"/>
      <c r="G130" s="35"/>
      <c r="H130" s="35">
        <v>108204.32</v>
      </c>
      <c r="I130" s="35"/>
      <c r="J130" s="35"/>
      <c r="K130" s="90">
        <f aca="true" t="shared" si="37" ref="K130:K140">H130/E130*100</f>
        <v>30.91552</v>
      </c>
      <c r="L130" s="35">
        <f aca="true" t="shared" si="38" ref="L130:L148">M130+P130</f>
        <v>0</v>
      </c>
      <c r="M130" s="35"/>
      <c r="N130" s="35"/>
      <c r="O130" s="35"/>
      <c r="P130" s="35"/>
      <c r="Q130" s="35">
        <f aca="true" t="shared" si="39" ref="Q130:Q148">R130+U130</f>
        <v>0</v>
      </c>
      <c r="R130" s="35"/>
      <c r="S130" s="35"/>
      <c r="T130" s="35"/>
      <c r="U130" s="35"/>
      <c r="V130" s="90"/>
      <c r="W130" s="35">
        <f aca="true" t="shared" si="40" ref="W130:W148">H130+Q130</f>
        <v>108204.32</v>
      </c>
      <c r="X130" s="167"/>
      <c r="Y130" s="46"/>
    </row>
    <row r="131" spans="1:25" s="23" customFormat="1" ht="15">
      <c r="A131" s="21"/>
      <c r="B131" s="24" t="s">
        <v>315</v>
      </c>
      <c r="C131" s="24" t="s">
        <v>216</v>
      </c>
      <c r="D131" s="25" t="s">
        <v>316</v>
      </c>
      <c r="E131" s="35">
        <f>180000+1500000</f>
        <v>1680000</v>
      </c>
      <c r="F131" s="35"/>
      <c r="G131" s="35"/>
      <c r="H131" s="35">
        <v>178041.07</v>
      </c>
      <c r="I131" s="35"/>
      <c r="J131" s="35"/>
      <c r="K131" s="90">
        <f t="shared" si="37"/>
        <v>10.597682738095239</v>
      </c>
      <c r="L131" s="35">
        <f t="shared" si="38"/>
        <v>0</v>
      </c>
      <c r="M131" s="35"/>
      <c r="N131" s="35"/>
      <c r="O131" s="35"/>
      <c r="P131" s="35"/>
      <c r="Q131" s="35">
        <f t="shared" si="39"/>
        <v>0</v>
      </c>
      <c r="R131" s="35"/>
      <c r="S131" s="35"/>
      <c r="T131" s="35"/>
      <c r="U131" s="35"/>
      <c r="V131" s="90"/>
      <c r="W131" s="35">
        <f t="shared" si="40"/>
        <v>178041.07</v>
      </c>
      <c r="X131" s="167"/>
      <c r="Y131" s="46"/>
    </row>
    <row r="132" spans="1:25" s="23" customFormat="1" ht="30">
      <c r="A132" s="21"/>
      <c r="B132" s="24" t="s">
        <v>158</v>
      </c>
      <c r="C132" s="24" t="s">
        <v>216</v>
      </c>
      <c r="D132" s="25" t="s">
        <v>159</v>
      </c>
      <c r="E132" s="35">
        <v>195000</v>
      </c>
      <c r="F132" s="36"/>
      <c r="G132" s="36"/>
      <c r="H132" s="35">
        <v>65825.88</v>
      </c>
      <c r="I132" s="35"/>
      <c r="J132" s="35"/>
      <c r="K132" s="90">
        <f t="shared" si="37"/>
        <v>33.75686153846154</v>
      </c>
      <c r="L132" s="35">
        <f t="shared" si="38"/>
        <v>52814931.14</v>
      </c>
      <c r="M132" s="36"/>
      <c r="N132" s="36"/>
      <c r="O132" s="36"/>
      <c r="P132" s="35">
        <f>30000000+6285.14-100000+250000+8000000-1000000+11000000+3000000+81197+34241+43208+1500000</f>
        <v>52814931.14</v>
      </c>
      <c r="Q132" s="35">
        <f t="shared" si="39"/>
        <v>9909222.04</v>
      </c>
      <c r="R132" s="35"/>
      <c r="S132" s="35"/>
      <c r="T132" s="35"/>
      <c r="U132" s="35">
        <v>9909222.04</v>
      </c>
      <c r="V132" s="90">
        <f t="shared" si="34"/>
        <v>18.762160294657914</v>
      </c>
      <c r="W132" s="35">
        <f t="shared" si="40"/>
        <v>9975047.92</v>
      </c>
      <c r="X132" s="167"/>
      <c r="Y132" s="46"/>
    </row>
    <row r="133" spans="1:25" s="23" customFormat="1" ht="45">
      <c r="A133" s="21"/>
      <c r="B133" s="24" t="s">
        <v>160</v>
      </c>
      <c r="C133" s="24" t="s">
        <v>216</v>
      </c>
      <c r="D133" s="25" t="s">
        <v>161</v>
      </c>
      <c r="E133" s="36"/>
      <c r="F133" s="36"/>
      <c r="G133" s="36"/>
      <c r="H133" s="36"/>
      <c r="I133" s="36"/>
      <c r="J133" s="36"/>
      <c r="K133" s="90"/>
      <c r="L133" s="35">
        <f t="shared" si="38"/>
        <v>6000000</v>
      </c>
      <c r="M133" s="35"/>
      <c r="N133" s="35"/>
      <c r="O133" s="35"/>
      <c r="P133" s="35">
        <f>2000000+1000000+3000000</f>
        <v>6000000</v>
      </c>
      <c r="Q133" s="35">
        <f t="shared" si="39"/>
        <v>212143.49</v>
      </c>
      <c r="R133" s="35"/>
      <c r="S133" s="35"/>
      <c r="T133" s="35"/>
      <c r="U133" s="35">
        <v>212143.49</v>
      </c>
      <c r="V133" s="90">
        <f t="shared" si="34"/>
        <v>3.5357248333333335</v>
      </c>
      <c r="W133" s="35">
        <f t="shared" si="40"/>
        <v>212143.49</v>
      </c>
      <c r="X133" s="167"/>
      <c r="Y133" s="46"/>
    </row>
    <row r="134" spans="1:25" s="23" customFormat="1" ht="15">
      <c r="A134" s="21"/>
      <c r="B134" s="24" t="s">
        <v>162</v>
      </c>
      <c r="C134" s="24" t="s">
        <v>183</v>
      </c>
      <c r="D134" s="25" t="s">
        <v>163</v>
      </c>
      <c r="E134" s="35">
        <f>1825100+120003+350000+150000</f>
        <v>2445103</v>
      </c>
      <c r="F134" s="36"/>
      <c r="G134" s="36"/>
      <c r="H134" s="35">
        <v>1414784</v>
      </c>
      <c r="I134" s="35"/>
      <c r="J134" s="35"/>
      <c r="K134" s="90">
        <f t="shared" si="37"/>
        <v>57.861938740412974</v>
      </c>
      <c r="L134" s="35">
        <f t="shared" si="38"/>
        <v>4094734</v>
      </c>
      <c r="M134" s="36"/>
      <c r="N134" s="36"/>
      <c r="O134" s="36"/>
      <c r="P134" s="35">
        <f>1499312+1630100+300790+664532</f>
        <v>4094734</v>
      </c>
      <c r="Q134" s="35">
        <f t="shared" si="39"/>
        <v>446786.74</v>
      </c>
      <c r="R134" s="36"/>
      <c r="S134" s="36"/>
      <c r="T134" s="36"/>
      <c r="U134" s="35">
        <v>446786.74</v>
      </c>
      <c r="V134" s="90">
        <f t="shared" si="34"/>
        <v>10.911251866421603</v>
      </c>
      <c r="W134" s="35">
        <f t="shared" si="40"/>
        <v>1861570.74</v>
      </c>
      <c r="X134" s="167"/>
      <c r="Y134" s="46"/>
    </row>
    <row r="135" spans="1:25" s="23" customFormat="1" ht="15">
      <c r="A135" s="21"/>
      <c r="B135" s="24" t="s">
        <v>28</v>
      </c>
      <c r="C135" s="24" t="s">
        <v>183</v>
      </c>
      <c r="D135" s="25" t="s">
        <v>29</v>
      </c>
      <c r="E135" s="35">
        <f>9272300+200000-224000+3000000-9255-365036-1747.2-663250-130000-392229-483368.8+200000-282375+26000-11719-184201.18-419848-121017+20000+30000-141277-6200-125209.4+15845612+50000+1700000-350000+130000+128000+184201.18+250000-30000</f>
        <v>27095380.6</v>
      </c>
      <c r="F135" s="35"/>
      <c r="G135" s="35">
        <f>4106300+3000000</f>
        <v>7106300</v>
      </c>
      <c r="H135" s="35">
        <v>11517171.89</v>
      </c>
      <c r="I135" s="35"/>
      <c r="J135" s="35">
        <v>3163704.27</v>
      </c>
      <c r="K135" s="90">
        <f t="shared" si="37"/>
        <v>42.50603473715368</v>
      </c>
      <c r="L135" s="35">
        <f t="shared" si="38"/>
        <v>20631538.2</v>
      </c>
      <c r="M135" s="35"/>
      <c r="N135" s="35"/>
      <c r="O135" s="35"/>
      <c r="P135" s="35">
        <f>16250000+6500000-731714+1747.2-461123-287161-248820+25000-234505+11719-245322-20000+121017-55500+6200</f>
        <v>20631538.2</v>
      </c>
      <c r="Q135" s="35">
        <f t="shared" si="39"/>
        <v>2044246.45</v>
      </c>
      <c r="R135" s="35"/>
      <c r="S135" s="35"/>
      <c r="T135" s="35"/>
      <c r="U135" s="35">
        <v>2044246.45</v>
      </c>
      <c r="V135" s="90">
        <f t="shared" si="34"/>
        <v>9.908356954209067</v>
      </c>
      <c r="W135" s="35">
        <f t="shared" si="40"/>
        <v>13561418.34</v>
      </c>
      <c r="X135" s="167"/>
      <c r="Y135" s="46"/>
    </row>
    <row r="136" spans="1:25" s="23" customFormat="1" ht="45">
      <c r="A136" s="21"/>
      <c r="B136" s="24" t="s">
        <v>304</v>
      </c>
      <c r="C136" s="24" t="s">
        <v>305</v>
      </c>
      <c r="D136" s="25" t="s">
        <v>306</v>
      </c>
      <c r="E136" s="35"/>
      <c r="F136" s="35"/>
      <c r="G136" s="35"/>
      <c r="H136" s="35"/>
      <c r="I136" s="35"/>
      <c r="J136" s="35"/>
      <c r="K136" s="90"/>
      <c r="L136" s="35">
        <f t="shared" si="38"/>
        <v>845938</v>
      </c>
      <c r="M136" s="35"/>
      <c r="N136" s="35"/>
      <c r="O136" s="35"/>
      <c r="P136" s="35">
        <v>845938</v>
      </c>
      <c r="Q136" s="35">
        <f t="shared" si="39"/>
        <v>106640.13</v>
      </c>
      <c r="R136" s="35"/>
      <c r="S136" s="35"/>
      <c r="T136" s="35"/>
      <c r="U136" s="35">
        <v>106640.13</v>
      </c>
      <c r="V136" s="90">
        <f t="shared" si="34"/>
        <v>12.606140166300603</v>
      </c>
      <c r="W136" s="35">
        <f t="shared" si="40"/>
        <v>106640.13</v>
      </c>
      <c r="X136" s="167"/>
      <c r="Y136" s="46"/>
    </row>
    <row r="137" spans="1:25" s="23" customFormat="1" ht="60">
      <c r="A137" s="21"/>
      <c r="B137" s="24" t="s">
        <v>337</v>
      </c>
      <c r="C137" s="24" t="s">
        <v>183</v>
      </c>
      <c r="D137" s="25" t="s">
        <v>338</v>
      </c>
      <c r="E137" s="35">
        <v>100000</v>
      </c>
      <c r="F137" s="35"/>
      <c r="G137" s="35"/>
      <c r="H137" s="35">
        <v>100000</v>
      </c>
      <c r="I137" s="35"/>
      <c r="J137" s="35"/>
      <c r="K137" s="90">
        <f t="shared" si="37"/>
        <v>100</v>
      </c>
      <c r="L137" s="35">
        <f t="shared" si="38"/>
        <v>0</v>
      </c>
      <c r="M137" s="35"/>
      <c r="N137" s="35"/>
      <c r="O137" s="35"/>
      <c r="P137" s="35"/>
      <c r="Q137" s="35">
        <f t="shared" si="39"/>
        <v>0</v>
      </c>
      <c r="R137" s="35"/>
      <c r="S137" s="35"/>
      <c r="T137" s="35"/>
      <c r="U137" s="35"/>
      <c r="V137" s="90"/>
      <c r="W137" s="35">
        <f t="shared" si="40"/>
        <v>100000</v>
      </c>
      <c r="X137" s="167"/>
      <c r="Y137" s="46"/>
    </row>
    <row r="138" spans="1:25" s="23" customFormat="1" ht="30">
      <c r="A138" s="21"/>
      <c r="B138" s="24" t="s">
        <v>289</v>
      </c>
      <c r="C138" s="24" t="s">
        <v>290</v>
      </c>
      <c r="D138" s="25" t="s">
        <v>291</v>
      </c>
      <c r="E138" s="35">
        <v>465000</v>
      </c>
      <c r="F138" s="36"/>
      <c r="G138" s="36"/>
      <c r="H138" s="35"/>
      <c r="I138" s="35"/>
      <c r="J138" s="35"/>
      <c r="K138" s="90">
        <f t="shared" si="37"/>
        <v>0</v>
      </c>
      <c r="L138" s="35">
        <f t="shared" si="38"/>
        <v>0</v>
      </c>
      <c r="M138" s="35"/>
      <c r="N138" s="36"/>
      <c r="O138" s="36"/>
      <c r="P138" s="35"/>
      <c r="Q138" s="35">
        <f t="shared" si="39"/>
        <v>0</v>
      </c>
      <c r="R138" s="36"/>
      <c r="S138" s="36"/>
      <c r="T138" s="36"/>
      <c r="U138" s="35"/>
      <c r="V138" s="90"/>
      <c r="W138" s="35">
        <f t="shared" si="40"/>
        <v>0</v>
      </c>
      <c r="X138" s="167"/>
      <c r="Y138" s="46"/>
    </row>
    <row r="139" spans="1:25" s="23" customFormat="1" ht="15">
      <c r="A139" s="21"/>
      <c r="B139" s="24" t="s">
        <v>164</v>
      </c>
      <c r="C139" s="24" t="s">
        <v>217</v>
      </c>
      <c r="D139" s="25" t="s">
        <v>165</v>
      </c>
      <c r="E139" s="35">
        <f>180000+1500000+10851-10851+10851</f>
        <v>1690851</v>
      </c>
      <c r="F139" s="36"/>
      <c r="G139" s="36"/>
      <c r="H139" s="35"/>
      <c r="I139" s="35"/>
      <c r="J139" s="35"/>
      <c r="K139" s="90">
        <f t="shared" si="37"/>
        <v>0</v>
      </c>
      <c r="L139" s="35">
        <f t="shared" si="38"/>
        <v>0</v>
      </c>
      <c r="M139" s="35"/>
      <c r="N139" s="36"/>
      <c r="O139" s="36"/>
      <c r="P139" s="35"/>
      <c r="Q139" s="35">
        <f t="shared" si="39"/>
        <v>0</v>
      </c>
      <c r="R139" s="36"/>
      <c r="S139" s="36"/>
      <c r="T139" s="36"/>
      <c r="U139" s="36"/>
      <c r="V139" s="90"/>
      <c r="W139" s="35">
        <f t="shared" si="40"/>
        <v>0</v>
      </c>
      <c r="X139" s="167"/>
      <c r="Y139" s="46"/>
    </row>
    <row r="140" spans="1:25" s="23" customFormat="1" ht="15">
      <c r="A140" s="21"/>
      <c r="B140" s="24" t="s">
        <v>166</v>
      </c>
      <c r="C140" s="24" t="s">
        <v>218</v>
      </c>
      <c r="D140" s="25" t="s">
        <v>167</v>
      </c>
      <c r="E140" s="35">
        <f>530000+500000-30000+30000</f>
        <v>1030000</v>
      </c>
      <c r="F140" s="36"/>
      <c r="G140" s="36"/>
      <c r="H140" s="35">
        <v>302968.2</v>
      </c>
      <c r="I140" s="36"/>
      <c r="J140" s="36"/>
      <c r="K140" s="90">
        <f t="shared" si="37"/>
        <v>29.414388349514564</v>
      </c>
      <c r="L140" s="35">
        <f t="shared" si="38"/>
        <v>0</v>
      </c>
      <c r="M140" s="36"/>
      <c r="N140" s="36"/>
      <c r="O140" s="36"/>
      <c r="P140" s="36"/>
      <c r="Q140" s="35">
        <f t="shared" si="39"/>
        <v>0</v>
      </c>
      <c r="R140" s="36"/>
      <c r="S140" s="36"/>
      <c r="T140" s="36"/>
      <c r="U140" s="36"/>
      <c r="V140" s="90"/>
      <c r="W140" s="35">
        <f t="shared" si="40"/>
        <v>302968.2</v>
      </c>
      <c r="X140" s="167"/>
      <c r="Y140" s="46"/>
    </row>
    <row r="141" spans="1:25" s="23" customFormat="1" ht="60">
      <c r="A141" s="21"/>
      <c r="B141" s="24" t="s">
        <v>47</v>
      </c>
      <c r="C141" s="24" t="s">
        <v>188</v>
      </c>
      <c r="D141" s="25" t="s">
        <v>48</v>
      </c>
      <c r="E141" s="35"/>
      <c r="F141" s="36"/>
      <c r="G141" s="36"/>
      <c r="H141" s="36"/>
      <c r="I141" s="36"/>
      <c r="J141" s="36"/>
      <c r="K141" s="90"/>
      <c r="L141" s="35">
        <f t="shared" si="38"/>
        <v>19799509</v>
      </c>
      <c r="M141" s="36"/>
      <c r="N141" s="36"/>
      <c r="O141" s="36"/>
      <c r="P141" s="35">
        <f>12363400+2550000+4260750+319200+14159+292000</f>
        <v>19799509</v>
      </c>
      <c r="Q141" s="35">
        <f t="shared" si="39"/>
        <v>5683550</v>
      </c>
      <c r="R141" s="35"/>
      <c r="S141" s="35"/>
      <c r="T141" s="35"/>
      <c r="U141" s="35">
        <v>5683550</v>
      </c>
      <c r="V141" s="90">
        <f t="shared" si="34"/>
        <v>28.705509818450547</v>
      </c>
      <c r="W141" s="35">
        <f t="shared" si="40"/>
        <v>5683550</v>
      </c>
      <c r="X141" s="167"/>
      <c r="Y141" s="46"/>
    </row>
    <row r="142" spans="1:25" s="23" customFormat="1" ht="15">
      <c r="A142" s="21"/>
      <c r="B142" s="24" t="s">
        <v>288</v>
      </c>
      <c r="C142" s="24" t="s">
        <v>199</v>
      </c>
      <c r="D142" s="25" t="s">
        <v>83</v>
      </c>
      <c r="E142" s="35">
        <f>410000-251200</f>
        <v>158800</v>
      </c>
      <c r="F142" s="36"/>
      <c r="G142" s="36"/>
      <c r="H142" s="35">
        <v>120743.14</v>
      </c>
      <c r="I142" s="36"/>
      <c r="J142" s="36"/>
      <c r="K142" s="90">
        <f>H142/E142*100</f>
        <v>76.03472292191435</v>
      </c>
      <c r="L142" s="35">
        <f t="shared" si="38"/>
        <v>0</v>
      </c>
      <c r="M142" s="36"/>
      <c r="N142" s="36"/>
      <c r="O142" s="36"/>
      <c r="P142" s="35"/>
      <c r="Q142" s="35">
        <f t="shared" si="39"/>
        <v>0</v>
      </c>
      <c r="R142" s="35"/>
      <c r="S142" s="35"/>
      <c r="T142" s="35"/>
      <c r="U142" s="35"/>
      <c r="V142" s="90"/>
      <c r="W142" s="35">
        <f t="shared" si="40"/>
        <v>120743.14</v>
      </c>
      <c r="X142" s="71"/>
      <c r="Y142" s="46"/>
    </row>
    <row r="143" spans="1:25" s="23" customFormat="1" ht="30">
      <c r="A143" s="21"/>
      <c r="B143" s="24" t="s">
        <v>168</v>
      </c>
      <c r="C143" s="24" t="s">
        <v>219</v>
      </c>
      <c r="D143" s="25" t="s">
        <v>169</v>
      </c>
      <c r="E143" s="35"/>
      <c r="F143" s="35"/>
      <c r="G143" s="35"/>
      <c r="H143" s="35"/>
      <c r="I143" s="35"/>
      <c r="J143" s="35"/>
      <c r="K143" s="90"/>
      <c r="L143" s="35">
        <f t="shared" si="38"/>
        <v>5200738</v>
      </c>
      <c r="M143" s="35">
        <f>350000+120000</f>
        <v>470000</v>
      </c>
      <c r="N143" s="35"/>
      <c r="O143" s="35"/>
      <c r="P143" s="35">
        <f>54000+1184200+3492538</f>
        <v>4730738</v>
      </c>
      <c r="Q143" s="35">
        <f t="shared" si="39"/>
        <v>140236.01</v>
      </c>
      <c r="R143" s="35">
        <v>34833.34</v>
      </c>
      <c r="S143" s="35"/>
      <c r="T143" s="35"/>
      <c r="U143" s="35">
        <v>105402.67</v>
      </c>
      <c r="V143" s="90">
        <f t="shared" si="34"/>
        <v>2.696463655735013</v>
      </c>
      <c r="W143" s="35">
        <f t="shared" si="40"/>
        <v>140236.01</v>
      </c>
      <c r="X143" s="167"/>
      <c r="Y143" s="46"/>
    </row>
    <row r="144" spans="1:25" s="23" customFormat="1" ht="15">
      <c r="A144" s="21"/>
      <c r="B144" s="24" t="s">
        <v>170</v>
      </c>
      <c r="C144" s="24" t="s">
        <v>220</v>
      </c>
      <c r="D144" s="25" t="s">
        <v>171</v>
      </c>
      <c r="E144" s="35"/>
      <c r="F144" s="35"/>
      <c r="G144" s="35"/>
      <c r="H144" s="36"/>
      <c r="I144" s="36"/>
      <c r="J144" s="36"/>
      <c r="K144" s="90"/>
      <c r="L144" s="35">
        <f t="shared" si="38"/>
        <v>250000</v>
      </c>
      <c r="M144" s="35">
        <v>250000</v>
      </c>
      <c r="N144" s="35"/>
      <c r="O144" s="35"/>
      <c r="P144" s="35"/>
      <c r="Q144" s="35">
        <f t="shared" si="39"/>
        <v>59126.1</v>
      </c>
      <c r="R144" s="35">
        <v>59126.1</v>
      </c>
      <c r="S144" s="35"/>
      <c r="T144" s="35"/>
      <c r="U144" s="35"/>
      <c r="V144" s="90">
        <f t="shared" si="34"/>
        <v>23.65044</v>
      </c>
      <c r="W144" s="35">
        <f t="shared" si="40"/>
        <v>59126.1</v>
      </c>
      <c r="X144" s="167"/>
      <c r="Y144" s="46"/>
    </row>
    <row r="145" spans="1:25" s="23" customFormat="1" ht="15">
      <c r="A145" s="21"/>
      <c r="B145" s="24" t="s">
        <v>82</v>
      </c>
      <c r="C145" s="24" t="s">
        <v>199</v>
      </c>
      <c r="D145" s="25" t="s">
        <v>83</v>
      </c>
      <c r="E145" s="35"/>
      <c r="F145" s="35"/>
      <c r="G145" s="35"/>
      <c r="H145" s="35"/>
      <c r="I145" s="35"/>
      <c r="J145" s="35"/>
      <c r="K145" s="90"/>
      <c r="L145" s="35">
        <f t="shared" si="38"/>
        <v>251200</v>
      </c>
      <c r="M145" s="35">
        <v>251200</v>
      </c>
      <c r="N145" s="35"/>
      <c r="O145" s="35"/>
      <c r="P145" s="35"/>
      <c r="Q145" s="35">
        <f t="shared" si="39"/>
        <v>0</v>
      </c>
      <c r="R145" s="35"/>
      <c r="S145" s="35"/>
      <c r="T145" s="35"/>
      <c r="U145" s="35"/>
      <c r="V145" s="90">
        <f t="shared" si="34"/>
        <v>0</v>
      </c>
      <c r="W145" s="35">
        <f t="shared" si="40"/>
        <v>0</v>
      </c>
      <c r="X145" s="167"/>
      <c r="Y145" s="46"/>
    </row>
    <row r="146" spans="1:25" s="23" customFormat="1" ht="60">
      <c r="A146" s="21"/>
      <c r="B146" s="24" t="s">
        <v>57</v>
      </c>
      <c r="C146" s="24" t="s">
        <v>192</v>
      </c>
      <c r="D146" s="25" t="s">
        <v>58</v>
      </c>
      <c r="E146" s="35"/>
      <c r="F146" s="35"/>
      <c r="G146" s="35"/>
      <c r="H146" s="35"/>
      <c r="I146" s="35"/>
      <c r="J146" s="35"/>
      <c r="K146" s="90"/>
      <c r="L146" s="35">
        <f t="shared" si="38"/>
        <v>237729.32</v>
      </c>
      <c r="M146" s="35">
        <v>75000</v>
      </c>
      <c r="N146" s="35"/>
      <c r="O146" s="35"/>
      <c r="P146" s="35">
        <v>162729.32</v>
      </c>
      <c r="Q146" s="35">
        <f t="shared" si="39"/>
        <v>0</v>
      </c>
      <c r="R146" s="35"/>
      <c r="S146" s="35"/>
      <c r="T146" s="35"/>
      <c r="U146" s="35"/>
      <c r="V146" s="90">
        <f t="shared" si="34"/>
        <v>0</v>
      </c>
      <c r="W146" s="35">
        <f t="shared" si="40"/>
        <v>0</v>
      </c>
      <c r="X146" s="167"/>
      <c r="Y146" s="46"/>
    </row>
    <row r="147" spans="1:25" s="23" customFormat="1" ht="15">
      <c r="A147" s="21"/>
      <c r="B147" s="24" t="s">
        <v>178</v>
      </c>
      <c r="C147" s="24" t="s">
        <v>224</v>
      </c>
      <c r="D147" s="34" t="s">
        <v>179</v>
      </c>
      <c r="E147" s="35">
        <v>229500</v>
      </c>
      <c r="F147" s="35"/>
      <c r="G147" s="35"/>
      <c r="H147" s="35">
        <v>150000</v>
      </c>
      <c r="I147" s="35"/>
      <c r="J147" s="35"/>
      <c r="K147" s="90">
        <f aca="true" t="shared" si="41" ref="K147:K157">H147/E147*100</f>
        <v>65.359477124183</v>
      </c>
      <c r="L147" s="35">
        <f t="shared" si="38"/>
        <v>750500</v>
      </c>
      <c r="M147" s="35"/>
      <c r="N147" s="35"/>
      <c r="O147" s="35"/>
      <c r="P147" s="35">
        <v>750500</v>
      </c>
      <c r="Q147" s="35">
        <f t="shared" si="39"/>
        <v>470100</v>
      </c>
      <c r="R147" s="35"/>
      <c r="S147" s="35"/>
      <c r="T147" s="35"/>
      <c r="U147" s="35">
        <v>470100</v>
      </c>
      <c r="V147" s="90">
        <f t="shared" si="34"/>
        <v>62.63824117255163</v>
      </c>
      <c r="W147" s="35">
        <f t="shared" si="40"/>
        <v>620100</v>
      </c>
      <c r="X147" s="167"/>
      <c r="Y147" s="46"/>
    </row>
    <row r="148" spans="1:25" s="23" customFormat="1" ht="15">
      <c r="A148" s="21"/>
      <c r="B148" s="24" t="s">
        <v>59</v>
      </c>
      <c r="C148" s="24" t="s">
        <v>192</v>
      </c>
      <c r="D148" s="25" t="s">
        <v>25</v>
      </c>
      <c r="E148" s="35">
        <f>1429000+258120+1920+67223+82700</f>
        <v>1838963</v>
      </c>
      <c r="F148" s="36"/>
      <c r="G148" s="35">
        <v>72000</v>
      </c>
      <c r="H148" s="35">
        <v>474107.43</v>
      </c>
      <c r="I148" s="35"/>
      <c r="J148" s="35">
        <v>16565.25</v>
      </c>
      <c r="K148" s="90">
        <f t="shared" si="41"/>
        <v>25.781238121702284</v>
      </c>
      <c r="L148" s="35">
        <f t="shared" si="38"/>
        <v>0</v>
      </c>
      <c r="M148" s="36"/>
      <c r="N148" s="36"/>
      <c r="O148" s="36"/>
      <c r="P148" s="36"/>
      <c r="Q148" s="35">
        <f t="shared" si="39"/>
        <v>0</v>
      </c>
      <c r="R148" s="36"/>
      <c r="S148" s="36"/>
      <c r="T148" s="36"/>
      <c r="U148" s="36"/>
      <c r="V148" s="90"/>
      <c r="W148" s="35">
        <f t="shared" si="40"/>
        <v>474107.43</v>
      </c>
      <c r="X148" s="167"/>
      <c r="Y148" s="46"/>
    </row>
    <row r="149" spans="1:25" s="23" customFormat="1" ht="28.5">
      <c r="A149" s="21"/>
      <c r="B149" s="28"/>
      <c r="C149" s="28"/>
      <c r="D149" s="29" t="s">
        <v>221</v>
      </c>
      <c r="E149" s="36">
        <f aca="true" t="shared" si="42" ref="E149:J149">SUM(E150:E152)</f>
        <v>1116779.27</v>
      </c>
      <c r="F149" s="36">
        <f t="shared" si="42"/>
        <v>668264</v>
      </c>
      <c r="G149" s="36">
        <f t="shared" si="42"/>
        <v>86525</v>
      </c>
      <c r="H149" s="36">
        <f t="shared" si="42"/>
        <v>939908.94</v>
      </c>
      <c r="I149" s="36">
        <f t="shared" si="42"/>
        <v>556838.78</v>
      </c>
      <c r="J149" s="36">
        <f t="shared" si="42"/>
        <v>75456.83</v>
      </c>
      <c r="K149" s="89">
        <f t="shared" si="41"/>
        <v>84.16246300846898</v>
      </c>
      <c r="L149" s="36">
        <f aca="true" t="shared" si="43" ref="L149:U149">SUM(L150:L152)</f>
        <v>0</v>
      </c>
      <c r="M149" s="36">
        <f t="shared" si="43"/>
        <v>0</v>
      </c>
      <c r="N149" s="36">
        <f t="shared" si="43"/>
        <v>0</v>
      </c>
      <c r="O149" s="36">
        <f t="shared" si="43"/>
        <v>0</v>
      </c>
      <c r="P149" s="36">
        <f t="shared" si="43"/>
        <v>0</v>
      </c>
      <c r="Q149" s="36">
        <f t="shared" si="43"/>
        <v>0</v>
      </c>
      <c r="R149" s="36">
        <f t="shared" si="43"/>
        <v>0</v>
      </c>
      <c r="S149" s="36">
        <f t="shared" si="43"/>
        <v>0</v>
      </c>
      <c r="T149" s="36">
        <f t="shared" si="43"/>
        <v>0</v>
      </c>
      <c r="U149" s="36">
        <f t="shared" si="43"/>
        <v>0</v>
      </c>
      <c r="V149" s="90"/>
      <c r="W149" s="36">
        <f>SUM(W150:W152)</f>
        <v>939908.94</v>
      </c>
      <c r="X149" s="167"/>
      <c r="Y149" s="46"/>
    </row>
    <row r="150" spans="1:25" s="23" customFormat="1" ht="15">
      <c r="A150" s="21"/>
      <c r="B150" s="24" t="s">
        <v>11</v>
      </c>
      <c r="C150" s="24" t="s">
        <v>9</v>
      </c>
      <c r="D150" s="25" t="s">
        <v>15</v>
      </c>
      <c r="E150" s="35">
        <f>2737690-357480-1385520</f>
        <v>994690</v>
      </c>
      <c r="F150" s="35">
        <f>1763030-86370-1008396</f>
        <v>668264</v>
      </c>
      <c r="G150" s="35">
        <f>154189-67664</f>
        <v>86525</v>
      </c>
      <c r="H150" s="35">
        <v>818349.21</v>
      </c>
      <c r="I150" s="35">
        <v>556838.78</v>
      </c>
      <c r="J150" s="35">
        <v>75456.83</v>
      </c>
      <c r="K150" s="90">
        <f t="shared" si="41"/>
        <v>82.27178417396375</v>
      </c>
      <c r="L150" s="35">
        <f>M150+P150</f>
        <v>0</v>
      </c>
      <c r="M150" s="35"/>
      <c r="N150" s="35"/>
      <c r="O150" s="35"/>
      <c r="P150" s="35"/>
      <c r="Q150" s="35">
        <f>R150+U150</f>
        <v>0</v>
      </c>
      <c r="R150" s="35"/>
      <c r="S150" s="35"/>
      <c r="T150" s="35"/>
      <c r="U150" s="35"/>
      <c r="V150" s="90"/>
      <c r="W150" s="35">
        <f>H150+Q150</f>
        <v>818349.21</v>
      </c>
      <c r="X150" s="167"/>
      <c r="Y150" s="46"/>
    </row>
    <row r="151" spans="1:25" s="23" customFormat="1" ht="15">
      <c r="A151" s="21"/>
      <c r="B151" s="24" t="s">
        <v>164</v>
      </c>
      <c r="C151" s="24" t="s">
        <v>217</v>
      </c>
      <c r="D151" s="25" t="s">
        <v>165</v>
      </c>
      <c r="E151" s="35">
        <f>10500-1200</f>
        <v>9300</v>
      </c>
      <c r="F151" s="36"/>
      <c r="G151" s="36"/>
      <c r="H151" s="35">
        <v>9300</v>
      </c>
      <c r="I151" s="35"/>
      <c r="J151" s="35"/>
      <c r="K151" s="90">
        <f t="shared" si="41"/>
        <v>100</v>
      </c>
      <c r="L151" s="35">
        <f>M151+P151</f>
        <v>0</v>
      </c>
      <c r="M151" s="36"/>
      <c r="N151" s="36"/>
      <c r="O151" s="36"/>
      <c r="P151" s="36"/>
      <c r="Q151" s="35">
        <f aca="true" t="shared" si="44" ref="Q151:Q156">R151+U151</f>
        <v>0</v>
      </c>
      <c r="R151" s="36"/>
      <c r="S151" s="36"/>
      <c r="T151" s="36"/>
      <c r="U151" s="36"/>
      <c r="V151" s="90"/>
      <c r="W151" s="35">
        <f aca="true" t="shared" si="45" ref="W151:W156">H151+Q151</f>
        <v>9300</v>
      </c>
      <c r="X151" s="167"/>
      <c r="Y151" s="46"/>
    </row>
    <row r="152" spans="1:25" s="23" customFormat="1" ht="15">
      <c r="A152" s="21"/>
      <c r="B152" s="24" t="s">
        <v>59</v>
      </c>
      <c r="C152" s="24" t="s">
        <v>192</v>
      </c>
      <c r="D152" s="25" t="s">
        <v>25</v>
      </c>
      <c r="E152" s="35">
        <f>360000-247210.73</f>
        <v>112789.26999999999</v>
      </c>
      <c r="F152" s="36"/>
      <c r="G152" s="35"/>
      <c r="H152" s="35">
        <v>112259.73</v>
      </c>
      <c r="I152" s="36"/>
      <c r="J152" s="36"/>
      <c r="K152" s="90">
        <f t="shared" si="41"/>
        <v>99.530504985093</v>
      </c>
      <c r="L152" s="35">
        <f>M152+P152</f>
        <v>0</v>
      </c>
      <c r="M152" s="36"/>
      <c r="N152" s="36"/>
      <c r="O152" s="36"/>
      <c r="P152" s="36"/>
      <c r="Q152" s="35">
        <f t="shared" si="44"/>
        <v>0</v>
      </c>
      <c r="R152" s="36"/>
      <c r="S152" s="36"/>
      <c r="T152" s="36"/>
      <c r="U152" s="36"/>
      <c r="V152" s="90"/>
      <c r="W152" s="35">
        <f t="shared" si="45"/>
        <v>112259.73</v>
      </c>
      <c r="X152" s="167"/>
      <c r="Y152" s="46"/>
    </row>
    <row r="153" spans="1:25" s="23" customFormat="1" ht="42.75">
      <c r="A153" s="21"/>
      <c r="B153" s="28"/>
      <c r="C153" s="28"/>
      <c r="D153" s="29" t="s">
        <v>339</v>
      </c>
      <c r="E153" s="36">
        <f aca="true" t="shared" si="46" ref="E153:J153">SUM(E154:E156)</f>
        <v>2664858.73</v>
      </c>
      <c r="F153" s="36">
        <f t="shared" si="46"/>
        <v>1792184</v>
      </c>
      <c r="G153" s="36">
        <f t="shared" si="46"/>
        <v>109253</v>
      </c>
      <c r="H153" s="36">
        <f t="shared" si="46"/>
        <v>436936.21</v>
      </c>
      <c r="I153" s="36">
        <f t="shared" si="46"/>
        <v>348920.46</v>
      </c>
      <c r="J153" s="36">
        <f t="shared" si="46"/>
        <v>0</v>
      </c>
      <c r="K153" s="89">
        <f t="shared" si="41"/>
        <v>16.396224125546798</v>
      </c>
      <c r="L153" s="36">
        <f aca="true" t="shared" si="47" ref="L153:U153">SUM(L154:L156)</f>
        <v>381000</v>
      </c>
      <c r="M153" s="36">
        <f t="shared" si="47"/>
        <v>0</v>
      </c>
      <c r="N153" s="36">
        <f t="shared" si="47"/>
        <v>0</v>
      </c>
      <c r="O153" s="36">
        <f t="shared" si="47"/>
        <v>0</v>
      </c>
      <c r="P153" s="36">
        <f t="shared" si="47"/>
        <v>381000</v>
      </c>
      <c r="Q153" s="36">
        <f t="shared" si="47"/>
        <v>0</v>
      </c>
      <c r="R153" s="36">
        <f t="shared" si="47"/>
        <v>0</v>
      </c>
      <c r="S153" s="36">
        <f t="shared" si="47"/>
        <v>0</v>
      </c>
      <c r="T153" s="36">
        <f t="shared" si="47"/>
        <v>0</v>
      </c>
      <c r="U153" s="36">
        <f t="shared" si="47"/>
        <v>0</v>
      </c>
      <c r="V153" s="89">
        <f t="shared" si="34"/>
        <v>0</v>
      </c>
      <c r="W153" s="36">
        <f>SUM(W154:W156)</f>
        <v>436936.21</v>
      </c>
      <c r="X153" s="167"/>
      <c r="Y153" s="46"/>
    </row>
    <row r="154" spans="1:25" s="23" customFormat="1" ht="15">
      <c r="A154" s="21"/>
      <c r="B154" s="24" t="s">
        <v>11</v>
      </c>
      <c r="C154" s="24" t="s">
        <v>9</v>
      </c>
      <c r="D154" s="25" t="s">
        <v>15</v>
      </c>
      <c r="E154" s="35">
        <v>2416448</v>
      </c>
      <c r="F154" s="35">
        <v>1792184</v>
      </c>
      <c r="G154" s="35">
        <v>109253</v>
      </c>
      <c r="H154" s="35">
        <v>436936.21</v>
      </c>
      <c r="I154" s="35">
        <v>348920.46</v>
      </c>
      <c r="J154" s="36"/>
      <c r="K154" s="90">
        <f t="shared" si="41"/>
        <v>18.08175512156686</v>
      </c>
      <c r="L154" s="35">
        <f>M154+P154</f>
        <v>240000</v>
      </c>
      <c r="M154" s="36"/>
      <c r="N154" s="36"/>
      <c r="O154" s="36"/>
      <c r="P154" s="35">
        <v>240000</v>
      </c>
      <c r="Q154" s="35">
        <f t="shared" si="44"/>
        <v>0</v>
      </c>
      <c r="R154" s="36"/>
      <c r="S154" s="36"/>
      <c r="T154" s="36"/>
      <c r="U154" s="36"/>
      <c r="V154" s="90">
        <f t="shared" si="34"/>
        <v>0</v>
      </c>
      <c r="W154" s="35">
        <f t="shared" si="45"/>
        <v>436936.21</v>
      </c>
      <c r="X154" s="167"/>
      <c r="Y154" s="46"/>
    </row>
    <row r="155" spans="1:25" s="23" customFormat="1" ht="15">
      <c r="A155" s="21"/>
      <c r="B155" s="24" t="s">
        <v>164</v>
      </c>
      <c r="C155" s="24" t="s">
        <v>217</v>
      </c>
      <c r="D155" s="25" t="s">
        <v>165</v>
      </c>
      <c r="E155" s="35">
        <v>1200</v>
      </c>
      <c r="F155" s="36"/>
      <c r="G155" s="36"/>
      <c r="H155" s="36"/>
      <c r="I155" s="36"/>
      <c r="J155" s="36"/>
      <c r="K155" s="90">
        <f t="shared" si="41"/>
        <v>0</v>
      </c>
      <c r="L155" s="35">
        <f>M155+P155</f>
        <v>141000</v>
      </c>
      <c r="M155" s="36"/>
      <c r="N155" s="36"/>
      <c r="O155" s="36"/>
      <c r="P155" s="35">
        <v>141000</v>
      </c>
      <c r="Q155" s="35">
        <f t="shared" si="44"/>
        <v>0</v>
      </c>
      <c r="R155" s="36"/>
      <c r="S155" s="36"/>
      <c r="T155" s="36"/>
      <c r="U155" s="36"/>
      <c r="V155" s="90">
        <f t="shared" si="34"/>
        <v>0</v>
      </c>
      <c r="W155" s="35">
        <f t="shared" si="45"/>
        <v>0</v>
      </c>
      <c r="X155" s="167"/>
      <c r="Y155" s="46"/>
    </row>
    <row r="156" spans="1:25" s="23" customFormat="1" ht="15">
      <c r="A156" s="21"/>
      <c r="B156" s="24" t="s">
        <v>59</v>
      </c>
      <c r="C156" s="24" t="s">
        <v>192</v>
      </c>
      <c r="D156" s="25" t="s">
        <v>25</v>
      </c>
      <c r="E156" s="35">
        <v>247210.73</v>
      </c>
      <c r="F156" s="36"/>
      <c r="G156" s="35"/>
      <c r="H156" s="35"/>
      <c r="I156" s="36"/>
      <c r="J156" s="36"/>
      <c r="K156" s="90">
        <f t="shared" si="41"/>
        <v>0</v>
      </c>
      <c r="L156" s="35">
        <f>M156+P156</f>
        <v>0</v>
      </c>
      <c r="M156" s="36"/>
      <c r="N156" s="36"/>
      <c r="O156" s="36"/>
      <c r="P156" s="36"/>
      <c r="Q156" s="35">
        <f t="shared" si="44"/>
        <v>0</v>
      </c>
      <c r="R156" s="36"/>
      <c r="S156" s="36"/>
      <c r="T156" s="36"/>
      <c r="U156" s="36"/>
      <c r="V156" s="90"/>
      <c r="W156" s="35">
        <f t="shared" si="45"/>
        <v>0</v>
      </c>
      <c r="X156" s="167"/>
      <c r="Y156" s="46"/>
    </row>
    <row r="157" spans="1:25" s="23" customFormat="1" ht="42.75">
      <c r="A157" s="21"/>
      <c r="B157" s="28"/>
      <c r="C157" s="28"/>
      <c r="D157" s="29" t="s">
        <v>222</v>
      </c>
      <c r="E157" s="36">
        <f aca="true" t="shared" si="48" ref="E157:J157">SUM(E158:E170)</f>
        <v>60807926</v>
      </c>
      <c r="F157" s="36">
        <f t="shared" si="48"/>
        <v>0</v>
      </c>
      <c r="G157" s="36">
        <f t="shared" si="48"/>
        <v>0</v>
      </c>
      <c r="H157" s="36">
        <f t="shared" si="48"/>
        <v>27171428</v>
      </c>
      <c r="I157" s="36">
        <f t="shared" si="48"/>
        <v>0</v>
      </c>
      <c r="J157" s="36">
        <f t="shared" si="48"/>
        <v>0</v>
      </c>
      <c r="K157" s="89">
        <f t="shared" si="41"/>
        <v>44.68402359258232</v>
      </c>
      <c r="L157" s="36">
        <f aca="true" t="shared" si="49" ref="L157:U157">SUM(L158:L170)</f>
        <v>230884306.47</v>
      </c>
      <c r="M157" s="36">
        <f t="shared" si="49"/>
        <v>2316191.53</v>
      </c>
      <c r="N157" s="36">
        <f t="shared" si="49"/>
        <v>1413770</v>
      </c>
      <c r="O157" s="36">
        <f t="shared" si="49"/>
        <v>50946</v>
      </c>
      <c r="P157" s="36">
        <f t="shared" si="49"/>
        <v>228568114.94</v>
      </c>
      <c r="Q157" s="36">
        <f t="shared" si="49"/>
        <v>54412063.31</v>
      </c>
      <c r="R157" s="36">
        <f t="shared" si="49"/>
        <v>944398.31</v>
      </c>
      <c r="S157" s="36">
        <f t="shared" si="49"/>
        <v>721661.66</v>
      </c>
      <c r="T157" s="36">
        <f t="shared" si="49"/>
        <v>29739.54</v>
      </c>
      <c r="U157" s="36">
        <f t="shared" si="49"/>
        <v>53467665</v>
      </c>
      <c r="V157" s="89">
        <f t="shared" si="34"/>
        <v>23.566808910448856</v>
      </c>
      <c r="W157" s="36">
        <f>SUM(W158:W170)</f>
        <v>81583491.31</v>
      </c>
      <c r="X157" s="167"/>
      <c r="Y157" s="46"/>
    </row>
    <row r="158" spans="1:25" s="23" customFormat="1" ht="15">
      <c r="A158" s="21"/>
      <c r="B158" s="24" t="s">
        <v>11</v>
      </c>
      <c r="C158" s="24" t="s">
        <v>9</v>
      </c>
      <c r="D158" s="25" t="s">
        <v>96</v>
      </c>
      <c r="E158" s="35"/>
      <c r="F158" s="35"/>
      <c r="G158" s="35"/>
      <c r="H158" s="35"/>
      <c r="I158" s="35"/>
      <c r="J158" s="35"/>
      <c r="K158" s="90"/>
      <c r="L158" s="35">
        <f>M158+P158</f>
        <v>2380664</v>
      </c>
      <c r="M158" s="35">
        <v>2280164</v>
      </c>
      <c r="N158" s="35">
        <v>1413770</v>
      </c>
      <c r="O158" s="35">
        <v>50946</v>
      </c>
      <c r="P158" s="35">
        <v>100500</v>
      </c>
      <c r="Q158" s="35">
        <f>R158+U158</f>
        <v>975118.31</v>
      </c>
      <c r="R158" s="35">
        <v>944398.31</v>
      </c>
      <c r="S158" s="35">
        <v>721661.66</v>
      </c>
      <c r="T158" s="35">
        <v>29739.54</v>
      </c>
      <c r="U158" s="35">
        <v>30720</v>
      </c>
      <c r="V158" s="90">
        <f t="shared" si="34"/>
        <v>40.95993008673211</v>
      </c>
      <c r="W158" s="35">
        <f>H158+Q158</f>
        <v>975118.31</v>
      </c>
      <c r="X158" s="167"/>
      <c r="Y158" s="46"/>
    </row>
    <row r="159" spans="1:25" s="23" customFormat="1" ht="15">
      <c r="A159" s="21"/>
      <c r="B159" s="24" t="s">
        <v>84</v>
      </c>
      <c r="C159" s="24" t="s">
        <v>201</v>
      </c>
      <c r="D159" s="25" t="s">
        <v>85</v>
      </c>
      <c r="E159" s="35"/>
      <c r="F159" s="35"/>
      <c r="G159" s="35"/>
      <c r="H159" s="35"/>
      <c r="I159" s="35"/>
      <c r="J159" s="35"/>
      <c r="K159" s="90"/>
      <c r="L159" s="35">
        <f aca="true" t="shared" si="50" ref="L159:L170">M159+P159</f>
        <v>1724000</v>
      </c>
      <c r="M159" s="35"/>
      <c r="N159" s="35"/>
      <c r="O159" s="35"/>
      <c r="P159" s="35">
        <v>1724000</v>
      </c>
      <c r="Q159" s="35">
        <f aca="true" t="shared" si="51" ref="Q159:Q170">R159+U159</f>
        <v>0</v>
      </c>
      <c r="R159" s="35"/>
      <c r="S159" s="35"/>
      <c r="T159" s="35"/>
      <c r="U159" s="35"/>
      <c r="V159" s="90">
        <f t="shared" si="34"/>
        <v>0</v>
      </c>
      <c r="W159" s="35">
        <f aca="true" t="shared" si="52" ref="W159:W170">H159+Q159</f>
        <v>0</v>
      </c>
      <c r="X159" s="167"/>
      <c r="Y159" s="46"/>
    </row>
    <row r="160" spans="1:25" s="23" customFormat="1" ht="15">
      <c r="A160" s="21"/>
      <c r="B160" s="24" t="s">
        <v>28</v>
      </c>
      <c r="C160" s="24" t="s">
        <v>183</v>
      </c>
      <c r="D160" s="25" t="s">
        <v>29</v>
      </c>
      <c r="E160" s="35">
        <f>30000000+30000000+300000</f>
        <v>60300000</v>
      </c>
      <c r="F160" s="36"/>
      <c r="G160" s="36"/>
      <c r="H160" s="35">
        <v>27030053</v>
      </c>
      <c r="I160" s="35"/>
      <c r="J160" s="35"/>
      <c r="K160" s="90">
        <f>H160/E160*100</f>
        <v>44.82595854063018</v>
      </c>
      <c r="L160" s="35">
        <f t="shared" si="50"/>
        <v>71252200</v>
      </c>
      <c r="M160" s="36"/>
      <c r="N160" s="36"/>
      <c r="O160" s="36"/>
      <c r="P160" s="35">
        <f>35000000+15974673+277527+20000000</f>
        <v>71252200</v>
      </c>
      <c r="Q160" s="35">
        <f t="shared" si="51"/>
        <v>11338801</v>
      </c>
      <c r="R160" s="35"/>
      <c r="S160" s="35"/>
      <c r="T160" s="35"/>
      <c r="U160" s="35">
        <v>11338801</v>
      </c>
      <c r="V160" s="90">
        <f t="shared" si="34"/>
        <v>15.913615298896033</v>
      </c>
      <c r="W160" s="35">
        <f t="shared" si="52"/>
        <v>38368854</v>
      </c>
      <c r="X160" s="167"/>
      <c r="Y160" s="46"/>
    </row>
    <row r="161" spans="1:25" s="23" customFormat="1" ht="15">
      <c r="A161" s="21"/>
      <c r="B161" s="24" t="s">
        <v>172</v>
      </c>
      <c r="C161" s="24" t="s">
        <v>188</v>
      </c>
      <c r="D161" s="25" t="s">
        <v>173</v>
      </c>
      <c r="E161" s="36"/>
      <c r="F161" s="36"/>
      <c r="G161" s="36"/>
      <c r="H161" s="36"/>
      <c r="I161" s="36"/>
      <c r="J161" s="36"/>
      <c r="K161" s="90"/>
      <c r="L161" s="35">
        <f t="shared" si="50"/>
        <v>140945084.94</v>
      </c>
      <c r="M161" s="35"/>
      <c r="N161" s="35"/>
      <c r="O161" s="35"/>
      <c r="P161" s="35">
        <f>67500000.94+9417041+15082000+19829065.59+8122934.41+2000000+472250+7365000+185923+9210370+1480000+50000+87000-200000+300000+43500</f>
        <v>140945084.94</v>
      </c>
      <c r="Q161" s="35">
        <f t="shared" si="51"/>
        <v>29852380</v>
      </c>
      <c r="R161" s="35"/>
      <c r="S161" s="35"/>
      <c r="T161" s="35"/>
      <c r="U161" s="35">
        <v>29852380</v>
      </c>
      <c r="V161" s="90">
        <f t="shared" si="34"/>
        <v>21.180149710582736</v>
      </c>
      <c r="W161" s="35">
        <f t="shared" si="52"/>
        <v>29852380</v>
      </c>
      <c r="X161" s="167"/>
      <c r="Y161" s="46"/>
    </row>
    <row r="162" spans="1:25" s="23" customFormat="1" ht="30">
      <c r="A162" s="21"/>
      <c r="B162" s="24" t="s">
        <v>340</v>
      </c>
      <c r="C162" s="24" t="s">
        <v>184</v>
      </c>
      <c r="D162" s="25" t="s">
        <v>341</v>
      </c>
      <c r="E162" s="36"/>
      <c r="F162" s="36"/>
      <c r="G162" s="36"/>
      <c r="H162" s="36"/>
      <c r="I162" s="36"/>
      <c r="J162" s="36"/>
      <c r="K162" s="90"/>
      <c r="L162" s="35">
        <f t="shared" si="50"/>
        <v>200000</v>
      </c>
      <c r="M162" s="35"/>
      <c r="N162" s="35"/>
      <c r="O162" s="35"/>
      <c r="P162" s="35">
        <v>200000</v>
      </c>
      <c r="Q162" s="35">
        <f t="shared" si="51"/>
        <v>0</v>
      </c>
      <c r="R162" s="35"/>
      <c r="S162" s="35"/>
      <c r="T162" s="35"/>
      <c r="U162" s="35"/>
      <c r="V162" s="90">
        <f t="shared" si="34"/>
        <v>0</v>
      </c>
      <c r="W162" s="35">
        <f t="shared" si="52"/>
        <v>0</v>
      </c>
      <c r="X162" s="167"/>
      <c r="Y162" s="46"/>
    </row>
    <row r="163" spans="1:25" s="23" customFormat="1" ht="30">
      <c r="A163" s="21"/>
      <c r="B163" s="24" t="s">
        <v>289</v>
      </c>
      <c r="C163" s="24" t="s">
        <v>290</v>
      </c>
      <c r="D163" s="25" t="s">
        <v>291</v>
      </c>
      <c r="E163" s="35">
        <v>200000</v>
      </c>
      <c r="F163" s="36"/>
      <c r="G163" s="36"/>
      <c r="H163" s="36"/>
      <c r="I163" s="36"/>
      <c r="J163" s="36"/>
      <c r="K163" s="90">
        <f>H163/E163*100</f>
        <v>0</v>
      </c>
      <c r="L163" s="35">
        <f t="shared" si="50"/>
        <v>0</v>
      </c>
      <c r="M163" s="35"/>
      <c r="N163" s="35"/>
      <c r="O163" s="35"/>
      <c r="P163" s="35"/>
      <c r="Q163" s="35">
        <f t="shared" si="51"/>
        <v>0</v>
      </c>
      <c r="R163" s="35"/>
      <c r="S163" s="35"/>
      <c r="T163" s="35"/>
      <c r="U163" s="35"/>
      <c r="V163" s="90"/>
      <c r="W163" s="35">
        <f t="shared" si="52"/>
        <v>0</v>
      </c>
      <c r="X163" s="167"/>
      <c r="Y163" s="46"/>
    </row>
    <row r="164" spans="1:25" s="23" customFormat="1" ht="15">
      <c r="A164" s="21"/>
      <c r="B164" s="24" t="s">
        <v>164</v>
      </c>
      <c r="C164" s="24" t="s">
        <v>217</v>
      </c>
      <c r="D164" s="25" t="s">
        <v>165</v>
      </c>
      <c r="E164" s="35">
        <v>35000</v>
      </c>
      <c r="F164" s="36"/>
      <c r="G164" s="36"/>
      <c r="H164" s="35">
        <v>34000</v>
      </c>
      <c r="I164" s="36"/>
      <c r="J164" s="36"/>
      <c r="K164" s="90">
        <f>H164/E164*100</f>
        <v>97.14285714285714</v>
      </c>
      <c r="L164" s="35">
        <f t="shared" si="50"/>
        <v>0</v>
      </c>
      <c r="M164" s="35"/>
      <c r="N164" s="35"/>
      <c r="O164" s="35"/>
      <c r="P164" s="35"/>
      <c r="Q164" s="35">
        <f t="shared" si="51"/>
        <v>0</v>
      </c>
      <c r="R164" s="35"/>
      <c r="S164" s="35"/>
      <c r="T164" s="35"/>
      <c r="U164" s="35"/>
      <c r="V164" s="90"/>
      <c r="W164" s="35">
        <f t="shared" si="52"/>
        <v>34000</v>
      </c>
      <c r="X164" s="167"/>
      <c r="Y164" s="46"/>
    </row>
    <row r="165" spans="1:25" s="23" customFormat="1" ht="60">
      <c r="A165" s="21"/>
      <c r="B165" s="24" t="s">
        <v>47</v>
      </c>
      <c r="C165" s="24" t="s">
        <v>188</v>
      </c>
      <c r="D165" s="25" t="s">
        <v>48</v>
      </c>
      <c r="E165" s="36"/>
      <c r="F165" s="36"/>
      <c r="G165" s="36"/>
      <c r="H165" s="36"/>
      <c r="I165" s="36"/>
      <c r="J165" s="36"/>
      <c r="K165" s="90"/>
      <c r="L165" s="35">
        <f t="shared" si="50"/>
        <v>12000000</v>
      </c>
      <c r="M165" s="35"/>
      <c r="N165" s="35"/>
      <c r="O165" s="35"/>
      <c r="P165" s="35">
        <f>6750000+5250000</f>
        <v>12000000</v>
      </c>
      <c r="Q165" s="35">
        <f t="shared" si="51"/>
        <v>12000000</v>
      </c>
      <c r="R165" s="35"/>
      <c r="S165" s="35"/>
      <c r="T165" s="35"/>
      <c r="U165" s="35">
        <v>12000000</v>
      </c>
      <c r="V165" s="90">
        <f t="shared" si="34"/>
        <v>100</v>
      </c>
      <c r="W165" s="35">
        <f t="shared" si="52"/>
        <v>12000000</v>
      </c>
      <c r="X165" s="167"/>
      <c r="Y165" s="46"/>
    </row>
    <row r="166" spans="1:25" s="23" customFormat="1" ht="30">
      <c r="A166" s="21"/>
      <c r="B166" s="24" t="s">
        <v>168</v>
      </c>
      <c r="C166" s="24" t="s">
        <v>219</v>
      </c>
      <c r="D166" s="25" t="s">
        <v>169</v>
      </c>
      <c r="E166" s="36"/>
      <c r="F166" s="36"/>
      <c r="G166" s="36"/>
      <c r="H166" s="36"/>
      <c r="I166" s="36"/>
      <c r="J166" s="36"/>
      <c r="K166" s="90"/>
      <c r="L166" s="35">
        <f t="shared" si="50"/>
        <v>606000</v>
      </c>
      <c r="M166" s="35"/>
      <c r="N166" s="35"/>
      <c r="O166" s="35"/>
      <c r="P166" s="35">
        <f>126000+480000</f>
        <v>606000</v>
      </c>
      <c r="Q166" s="35">
        <f t="shared" si="51"/>
        <v>129682</v>
      </c>
      <c r="R166" s="35"/>
      <c r="S166" s="35"/>
      <c r="T166" s="35"/>
      <c r="U166" s="35">
        <v>129682</v>
      </c>
      <c r="V166" s="90">
        <f t="shared" si="34"/>
        <v>21.399669966996697</v>
      </c>
      <c r="W166" s="35">
        <f t="shared" si="52"/>
        <v>129682</v>
      </c>
      <c r="X166" s="167"/>
      <c r="Y166" s="46"/>
    </row>
    <row r="167" spans="1:25" s="23" customFormat="1" ht="30">
      <c r="A167" s="21"/>
      <c r="B167" s="24" t="s">
        <v>342</v>
      </c>
      <c r="C167" s="24" t="s">
        <v>343</v>
      </c>
      <c r="D167" s="25" t="s">
        <v>344</v>
      </c>
      <c r="E167" s="36"/>
      <c r="F167" s="36"/>
      <c r="G167" s="36"/>
      <c r="H167" s="36"/>
      <c r="I167" s="36"/>
      <c r="J167" s="36"/>
      <c r="K167" s="90"/>
      <c r="L167" s="35">
        <f t="shared" si="50"/>
        <v>1340330</v>
      </c>
      <c r="M167" s="35"/>
      <c r="N167" s="35"/>
      <c r="O167" s="35"/>
      <c r="P167" s="35">
        <v>1340330</v>
      </c>
      <c r="Q167" s="35">
        <f t="shared" si="51"/>
        <v>0</v>
      </c>
      <c r="R167" s="35"/>
      <c r="S167" s="35"/>
      <c r="T167" s="35"/>
      <c r="U167" s="35"/>
      <c r="V167" s="90">
        <f t="shared" si="34"/>
        <v>0</v>
      </c>
      <c r="W167" s="35">
        <f t="shared" si="52"/>
        <v>0</v>
      </c>
      <c r="X167" s="75"/>
      <c r="Y167" s="46"/>
    </row>
    <row r="168" spans="1:25" s="23" customFormat="1" ht="15">
      <c r="A168" s="21"/>
      <c r="B168" s="24" t="s">
        <v>82</v>
      </c>
      <c r="C168" s="24" t="s">
        <v>199</v>
      </c>
      <c r="D168" s="25" t="s">
        <v>83</v>
      </c>
      <c r="E168" s="36"/>
      <c r="F168" s="36"/>
      <c r="G168" s="36"/>
      <c r="H168" s="36"/>
      <c r="I168" s="36"/>
      <c r="J168" s="36"/>
      <c r="K168" s="90"/>
      <c r="L168" s="35">
        <f t="shared" si="50"/>
        <v>400000</v>
      </c>
      <c r="M168" s="35"/>
      <c r="N168" s="35"/>
      <c r="O168" s="35"/>
      <c r="P168" s="35">
        <v>400000</v>
      </c>
      <c r="Q168" s="35">
        <f t="shared" si="51"/>
        <v>116082</v>
      </c>
      <c r="R168" s="35"/>
      <c r="S168" s="35"/>
      <c r="T168" s="35"/>
      <c r="U168" s="35">
        <v>116082</v>
      </c>
      <c r="V168" s="90">
        <f t="shared" si="34"/>
        <v>29.0205</v>
      </c>
      <c r="W168" s="35">
        <f t="shared" si="52"/>
        <v>116082</v>
      </c>
      <c r="X168" s="75"/>
      <c r="Y168" s="46"/>
    </row>
    <row r="169" spans="1:25" s="23" customFormat="1" ht="15">
      <c r="A169" s="21"/>
      <c r="B169" s="27" t="s">
        <v>59</v>
      </c>
      <c r="C169" s="27" t="s">
        <v>192</v>
      </c>
      <c r="D169" s="25" t="s">
        <v>25</v>
      </c>
      <c r="E169" s="35">
        <v>188021</v>
      </c>
      <c r="F169" s="36"/>
      <c r="G169" s="36"/>
      <c r="H169" s="35">
        <v>87467.2</v>
      </c>
      <c r="I169" s="35"/>
      <c r="J169" s="35"/>
      <c r="K169" s="90">
        <f>H169/E169*100</f>
        <v>46.519910010052065</v>
      </c>
      <c r="L169" s="35">
        <f t="shared" si="50"/>
        <v>0</v>
      </c>
      <c r="M169" s="35"/>
      <c r="N169" s="35"/>
      <c r="O169" s="35"/>
      <c r="P169" s="35"/>
      <c r="Q169" s="35">
        <f t="shared" si="51"/>
        <v>0</v>
      </c>
      <c r="R169" s="35"/>
      <c r="S169" s="36"/>
      <c r="T169" s="36"/>
      <c r="U169" s="36"/>
      <c r="V169" s="90"/>
      <c r="W169" s="35">
        <f t="shared" si="52"/>
        <v>87467.2</v>
      </c>
      <c r="X169" s="75"/>
      <c r="Y169" s="46"/>
    </row>
    <row r="170" spans="1:25" s="23" customFormat="1" ht="75">
      <c r="A170" s="21"/>
      <c r="B170" s="27" t="s">
        <v>174</v>
      </c>
      <c r="C170" s="27" t="s">
        <v>208</v>
      </c>
      <c r="D170" s="25" t="s">
        <v>175</v>
      </c>
      <c r="E170" s="35">
        <v>84905</v>
      </c>
      <c r="F170" s="35"/>
      <c r="G170" s="35"/>
      <c r="H170" s="35">
        <v>19907.8</v>
      </c>
      <c r="I170" s="35"/>
      <c r="J170" s="35"/>
      <c r="K170" s="90">
        <f>H170/E170*100</f>
        <v>23.447146811141863</v>
      </c>
      <c r="L170" s="35">
        <f t="shared" si="50"/>
        <v>36027.53</v>
      </c>
      <c r="M170" s="35">
        <f>30069+10915.53-4957</f>
        <v>36027.53</v>
      </c>
      <c r="N170" s="36"/>
      <c r="O170" s="36"/>
      <c r="P170" s="36"/>
      <c r="Q170" s="35">
        <f t="shared" si="51"/>
        <v>0</v>
      </c>
      <c r="R170" s="35"/>
      <c r="S170" s="36"/>
      <c r="T170" s="36"/>
      <c r="U170" s="36"/>
      <c r="V170" s="90">
        <f t="shared" si="34"/>
        <v>0</v>
      </c>
      <c r="W170" s="35">
        <f t="shared" si="52"/>
        <v>19907.8</v>
      </c>
      <c r="X170" s="75"/>
      <c r="Y170" s="46"/>
    </row>
    <row r="171" spans="1:25" s="23" customFormat="1" ht="42.75">
      <c r="A171" s="21"/>
      <c r="B171" s="28"/>
      <c r="C171" s="28"/>
      <c r="D171" s="29" t="s">
        <v>223</v>
      </c>
      <c r="E171" s="36">
        <f aca="true" t="shared" si="53" ref="E171:J171">SUM(E172:E175)</f>
        <v>1874762</v>
      </c>
      <c r="F171" s="36">
        <f t="shared" si="53"/>
        <v>1335704</v>
      </c>
      <c r="G171" s="36">
        <f t="shared" si="53"/>
        <v>84319</v>
      </c>
      <c r="H171" s="36">
        <f t="shared" si="53"/>
        <v>1737670.7</v>
      </c>
      <c r="I171" s="36">
        <f t="shared" si="53"/>
        <v>1322875.49</v>
      </c>
      <c r="J171" s="36">
        <f t="shared" si="53"/>
        <v>81979.83</v>
      </c>
      <c r="K171" s="89">
        <f>H171/E171*100</f>
        <v>92.68753580454478</v>
      </c>
      <c r="L171" s="36">
        <f aca="true" t="shared" si="54" ref="L171:U171">SUM(L172:L175)</f>
        <v>278600</v>
      </c>
      <c r="M171" s="36">
        <f t="shared" si="54"/>
        <v>108255</v>
      </c>
      <c r="N171" s="36">
        <f t="shared" si="54"/>
        <v>0</v>
      </c>
      <c r="O171" s="36">
        <f t="shared" si="54"/>
        <v>0</v>
      </c>
      <c r="P171" s="36">
        <f t="shared" si="54"/>
        <v>170345</v>
      </c>
      <c r="Q171" s="36">
        <f t="shared" si="54"/>
        <v>101392.42</v>
      </c>
      <c r="R171" s="36">
        <f t="shared" si="54"/>
        <v>64392.42</v>
      </c>
      <c r="S171" s="36">
        <f t="shared" si="54"/>
        <v>0</v>
      </c>
      <c r="T171" s="36">
        <f t="shared" si="54"/>
        <v>0</v>
      </c>
      <c r="U171" s="36">
        <f t="shared" si="54"/>
        <v>37000</v>
      </c>
      <c r="V171" s="89">
        <f t="shared" si="34"/>
        <v>36.393546302943285</v>
      </c>
      <c r="W171" s="36">
        <f>SUM(W172:W175)</f>
        <v>1839063.1199999999</v>
      </c>
      <c r="X171" s="137"/>
      <c r="Y171" s="46"/>
    </row>
    <row r="172" spans="1:25" s="23" customFormat="1" ht="15">
      <c r="A172" s="21"/>
      <c r="B172" s="24" t="s">
        <v>11</v>
      </c>
      <c r="C172" s="24" t="s">
        <v>9</v>
      </c>
      <c r="D172" s="25" t="s">
        <v>15</v>
      </c>
      <c r="E172" s="35">
        <f>4520200-427090-2252198</f>
        <v>1840912</v>
      </c>
      <c r="F172" s="35">
        <f>2986650-1650946</f>
        <v>1335704</v>
      </c>
      <c r="G172" s="35">
        <f>167498-83179</f>
        <v>84319</v>
      </c>
      <c r="H172" s="35">
        <v>1722570.7</v>
      </c>
      <c r="I172" s="35">
        <v>1322875.49</v>
      </c>
      <c r="J172" s="35">
        <v>81979.83</v>
      </c>
      <c r="K172" s="90">
        <f>H172/E172*100</f>
        <v>93.57159386217266</v>
      </c>
      <c r="L172" s="35">
        <f>M172+P172</f>
        <v>30000</v>
      </c>
      <c r="M172" s="35"/>
      <c r="N172" s="35"/>
      <c r="O172" s="35"/>
      <c r="P172" s="35">
        <f>250000-220000</f>
        <v>30000</v>
      </c>
      <c r="Q172" s="35">
        <f>R172+U172</f>
        <v>30000</v>
      </c>
      <c r="R172" s="35"/>
      <c r="S172" s="35"/>
      <c r="T172" s="35"/>
      <c r="U172" s="35">
        <v>30000</v>
      </c>
      <c r="V172" s="90">
        <f t="shared" si="34"/>
        <v>100</v>
      </c>
      <c r="W172" s="35">
        <f>H172+Q172</f>
        <v>1752570.7</v>
      </c>
      <c r="X172" s="137"/>
      <c r="Y172" s="46"/>
    </row>
    <row r="173" spans="1:25" s="23" customFormat="1" ht="15">
      <c r="A173" s="21"/>
      <c r="B173" s="24" t="s">
        <v>164</v>
      </c>
      <c r="C173" s="24" t="s">
        <v>217</v>
      </c>
      <c r="D173" s="25" t="s">
        <v>165</v>
      </c>
      <c r="E173" s="36"/>
      <c r="F173" s="36"/>
      <c r="G173" s="36"/>
      <c r="H173" s="36"/>
      <c r="I173" s="36"/>
      <c r="J173" s="36"/>
      <c r="K173" s="89"/>
      <c r="L173" s="35">
        <f>M173+P173</f>
        <v>7000</v>
      </c>
      <c r="M173" s="35"/>
      <c r="N173" s="35"/>
      <c r="O173" s="35"/>
      <c r="P173" s="35">
        <f>148000-141000</f>
        <v>7000</v>
      </c>
      <c r="Q173" s="35">
        <f aca="true" t="shared" si="55" ref="Q173:Q181">R173+U173</f>
        <v>7000</v>
      </c>
      <c r="R173" s="35"/>
      <c r="S173" s="35"/>
      <c r="T173" s="35"/>
      <c r="U173" s="35">
        <v>7000</v>
      </c>
      <c r="V173" s="90">
        <f t="shared" si="34"/>
        <v>100</v>
      </c>
      <c r="W173" s="35">
        <f aca="true" t="shared" si="56" ref="W173:W181">H173+Q173</f>
        <v>7000</v>
      </c>
      <c r="X173" s="137"/>
      <c r="Y173" s="46"/>
    </row>
    <row r="174" spans="1:25" s="23" customFormat="1" ht="60">
      <c r="A174" s="21"/>
      <c r="B174" s="24" t="s">
        <v>57</v>
      </c>
      <c r="C174" s="24" t="s">
        <v>192</v>
      </c>
      <c r="D174" s="25" t="s">
        <v>58</v>
      </c>
      <c r="E174" s="36"/>
      <c r="F174" s="36"/>
      <c r="G174" s="36"/>
      <c r="H174" s="36"/>
      <c r="I174" s="36"/>
      <c r="J174" s="36"/>
      <c r="K174" s="89"/>
      <c r="L174" s="35">
        <f>M174+P174</f>
        <v>241600</v>
      </c>
      <c r="M174" s="35">
        <f>725000-309500-307245</f>
        <v>108255</v>
      </c>
      <c r="N174" s="36"/>
      <c r="O174" s="36"/>
      <c r="P174" s="35">
        <f>309500+199000-199000-176155</f>
        <v>133345</v>
      </c>
      <c r="Q174" s="35">
        <f t="shared" si="55"/>
        <v>64392.42</v>
      </c>
      <c r="R174" s="35">
        <v>64392.42</v>
      </c>
      <c r="S174" s="35"/>
      <c r="T174" s="35"/>
      <c r="U174" s="35"/>
      <c r="V174" s="90">
        <f t="shared" si="34"/>
        <v>26.652491721854304</v>
      </c>
      <c r="W174" s="35">
        <f t="shared" si="56"/>
        <v>64392.42</v>
      </c>
      <c r="X174" s="137"/>
      <c r="Y174" s="46"/>
    </row>
    <row r="175" spans="1:25" s="23" customFormat="1" ht="15">
      <c r="A175" s="21"/>
      <c r="B175" s="24" t="s">
        <v>59</v>
      </c>
      <c r="C175" s="24" t="s">
        <v>192</v>
      </c>
      <c r="D175" s="25" t="s">
        <v>25</v>
      </c>
      <c r="E175" s="35">
        <f>170000+15100-151250</f>
        <v>33850</v>
      </c>
      <c r="F175" s="36"/>
      <c r="G175" s="36"/>
      <c r="H175" s="35">
        <v>15100</v>
      </c>
      <c r="I175" s="35"/>
      <c r="J175" s="35"/>
      <c r="K175" s="90">
        <f>H175/E175*100</f>
        <v>44.608567208271786</v>
      </c>
      <c r="L175" s="35">
        <f>M175+P175</f>
        <v>0</v>
      </c>
      <c r="M175" s="36"/>
      <c r="N175" s="36"/>
      <c r="O175" s="36"/>
      <c r="P175" s="36"/>
      <c r="Q175" s="35">
        <f t="shared" si="55"/>
        <v>0</v>
      </c>
      <c r="R175" s="36"/>
      <c r="S175" s="36"/>
      <c r="T175" s="36"/>
      <c r="U175" s="36"/>
      <c r="V175" s="90"/>
      <c r="W175" s="35">
        <f t="shared" si="56"/>
        <v>15100</v>
      </c>
      <c r="X175" s="137"/>
      <c r="Y175" s="46"/>
    </row>
    <row r="176" spans="1:25" s="23" customFormat="1" ht="42.75">
      <c r="A176" s="21"/>
      <c r="B176" s="28"/>
      <c r="C176" s="28"/>
      <c r="D176" s="29" t="s">
        <v>345</v>
      </c>
      <c r="E176" s="36">
        <f aca="true" t="shared" si="57" ref="E176:J176">E177+E178+E179+E180+E181</f>
        <v>1372520</v>
      </c>
      <c r="F176" s="36">
        <f t="shared" si="57"/>
        <v>867158</v>
      </c>
      <c r="G176" s="36">
        <f t="shared" si="57"/>
        <v>41590</v>
      </c>
      <c r="H176" s="36">
        <f t="shared" si="57"/>
        <v>71363.79</v>
      </c>
      <c r="I176" s="36">
        <f t="shared" si="57"/>
        <v>58494.91</v>
      </c>
      <c r="J176" s="36">
        <f t="shared" si="57"/>
        <v>0</v>
      </c>
      <c r="K176" s="89">
        <f>H176/E176*100</f>
        <v>5.199471774546089</v>
      </c>
      <c r="L176" s="36">
        <f aca="true" t="shared" si="58" ref="L176:U176">L177+L178+L179+L180+L181</f>
        <v>621900</v>
      </c>
      <c r="M176" s="36">
        <f t="shared" si="58"/>
        <v>307245</v>
      </c>
      <c r="N176" s="36">
        <f t="shared" si="58"/>
        <v>0</v>
      </c>
      <c r="O176" s="36">
        <f t="shared" si="58"/>
        <v>0</v>
      </c>
      <c r="P176" s="36">
        <f t="shared" si="58"/>
        <v>314655</v>
      </c>
      <c r="Q176" s="36">
        <f t="shared" si="58"/>
        <v>0</v>
      </c>
      <c r="R176" s="36">
        <f t="shared" si="58"/>
        <v>0</v>
      </c>
      <c r="S176" s="36">
        <f t="shared" si="58"/>
        <v>0</v>
      </c>
      <c r="T176" s="36">
        <f t="shared" si="58"/>
        <v>0</v>
      </c>
      <c r="U176" s="36">
        <f t="shared" si="58"/>
        <v>0</v>
      </c>
      <c r="V176" s="89">
        <f t="shared" si="34"/>
        <v>0</v>
      </c>
      <c r="W176" s="36">
        <f>W177+W178+W179+W180+W181</f>
        <v>71363.79</v>
      </c>
      <c r="X176" s="137"/>
      <c r="Y176" s="46"/>
    </row>
    <row r="177" spans="1:25" s="23" customFormat="1" ht="15">
      <c r="A177" s="21"/>
      <c r="B177" s="24" t="s">
        <v>11</v>
      </c>
      <c r="C177" s="24" t="s">
        <v>9</v>
      </c>
      <c r="D177" s="25" t="s">
        <v>15</v>
      </c>
      <c r="E177" s="35">
        <v>1221270</v>
      </c>
      <c r="F177" s="35">
        <v>867158</v>
      </c>
      <c r="G177" s="35">
        <v>41590</v>
      </c>
      <c r="H177" s="35">
        <v>71363.79</v>
      </c>
      <c r="I177" s="35">
        <v>58494.91</v>
      </c>
      <c r="J177" s="35">
        <v>0</v>
      </c>
      <c r="K177" s="90">
        <f>H177/E177*100</f>
        <v>5.8434080915768005</v>
      </c>
      <c r="L177" s="35">
        <f>M177+P177</f>
        <v>0</v>
      </c>
      <c r="M177" s="35"/>
      <c r="N177" s="35"/>
      <c r="O177" s="35"/>
      <c r="P177" s="35"/>
      <c r="Q177" s="35">
        <f t="shared" si="55"/>
        <v>0</v>
      </c>
      <c r="R177" s="36"/>
      <c r="S177" s="36"/>
      <c r="T177" s="36"/>
      <c r="U177" s="36"/>
      <c r="V177" s="90"/>
      <c r="W177" s="35">
        <f t="shared" si="56"/>
        <v>71363.79</v>
      </c>
      <c r="X177" s="137"/>
      <c r="Y177" s="46"/>
    </row>
    <row r="178" spans="1:25" s="23" customFormat="1" ht="60">
      <c r="A178" s="21"/>
      <c r="B178" s="24" t="s">
        <v>47</v>
      </c>
      <c r="C178" s="24" t="s">
        <v>188</v>
      </c>
      <c r="D178" s="25" t="s">
        <v>48</v>
      </c>
      <c r="E178" s="36"/>
      <c r="F178" s="36"/>
      <c r="G178" s="36"/>
      <c r="H178" s="35"/>
      <c r="I178" s="35"/>
      <c r="J178" s="35"/>
      <c r="K178" s="90"/>
      <c r="L178" s="35">
        <f>M178+P178</f>
        <v>39000</v>
      </c>
      <c r="M178" s="35"/>
      <c r="N178" s="35"/>
      <c r="O178" s="35"/>
      <c r="P178" s="35">
        <v>39000</v>
      </c>
      <c r="Q178" s="35">
        <f t="shared" si="55"/>
        <v>0</v>
      </c>
      <c r="R178" s="36"/>
      <c r="S178" s="36"/>
      <c r="T178" s="36"/>
      <c r="U178" s="36"/>
      <c r="V178" s="90">
        <f t="shared" si="34"/>
        <v>0</v>
      </c>
      <c r="W178" s="35">
        <f t="shared" si="56"/>
        <v>0</v>
      </c>
      <c r="X178" s="137"/>
      <c r="Y178" s="46"/>
    </row>
    <row r="179" spans="1:25" s="23" customFormat="1" ht="60">
      <c r="A179" s="21"/>
      <c r="B179" s="24" t="s">
        <v>57</v>
      </c>
      <c r="C179" s="24" t="s">
        <v>192</v>
      </c>
      <c r="D179" s="25" t="s">
        <v>58</v>
      </c>
      <c r="E179" s="36"/>
      <c r="F179" s="36"/>
      <c r="G179" s="36"/>
      <c r="H179" s="35"/>
      <c r="I179" s="35"/>
      <c r="J179" s="35"/>
      <c r="K179" s="90"/>
      <c r="L179" s="35">
        <f>M179+P179</f>
        <v>483400</v>
      </c>
      <c r="M179" s="35">
        <v>307245</v>
      </c>
      <c r="N179" s="36"/>
      <c r="O179" s="36"/>
      <c r="P179" s="35">
        <v>176155</v>
      </c>
      <c r="Q179" s="35">
        <f t="shared" si="55"/>
        <v>0</v>
      </c>
      <c r="R179" s="36"/>
      <c r="S179" s="36"/>
      <c r="T179" s="36"/>
      <c r="U179" s="36"/>
      <c r="V179" s="90">
        <f t="shared" si="34"/>
        <v>0</v>
      </c>
      <c r="W179" s="35">
        <f t="shared" si="56"/>
        <v>0</v>
      </c>
      <c r="X179" s="137"/>
      <c r="Y179" s="46"/>
    </row>
    <row r="180" spans="1:25" s="23" customFormat="1" ht="15">
      <c r="A180" s="21"/>
      <c r="B180" s="24" t="s">
        <v>59</v>
      </c>
      <c r="C180" s="24" t="s">
        <v>192</v>
      </c>
      <c r="D180" s="25" t="s">
        <v>25</v>
      </c>
      <c r="E180" s="35">
        <v>151250</v>
      </c>
      <c r="F180" s="36"/>
      <c r="G180" s="36"/>
      <c r="H180" s="35"/>
      <c r="I180" s="35"/>
      <c r="J180" s="35"/>
      <c r="K180" s="90">
        <f>H180/E180*100</f>
        <v>0</v>
      </c>
      <c r="L180" s="35">
        <f>M180+P180</f>
        <v>0</v>
      </c>
      <c r="M180" s="36"/>
      <c r="N180" s="36"/>
      <c r="O180" s="36"/>
      <c r="P180" s="36"/>
      <c r="Q180" s="35">
        <f t="shared" si="55"/>
        <v>0</v>
      </c>
      <c r="R180" s="36"/>
      <c r="S180" s="36"/>
      <c r="T180" s="36"/>
      <c r="U180" s="36"/>
      <c r="V180" s="90"/>
      <c r="W180" s="35">
        <f t="shared" si="56"/>
        <v>0</v>
      </c>
      <c r="X180" s="137"/>
      <c r="Y180" s="46"/>
    </row>
    <row r="181" spans="1:25" s="23" customFormat="1" ht="15">
      <c r="A181" s="21"/>
      <c r="B181" s="24" t="s">
        <v>178</v>
      </c>
      <c r="C181" s="24" t="s">
        <v>224</v>
      </c>
      <c r="D181" s="34" t="s">
        <v>179</v>
      </c>
      <c r="E181" s="35"/>
      <c r="F181" s="36"/>
      <c r="G181" s="36"/>
      <c r="H181" s="35"/>
      <c r="I181" s="35"/>
      <c r="J181" s="35"/>
      <c r="K181" s="90"/>
      <c r="L181" s="35">
        <f>M181+P181</f>
        <v>99500</v>
      </c>
      <c r="M181" s="36"/>
      <c r="N181" s="36"/>
      <c r="O181" s="36"/>
      <c r="P181" s="35">
        <v>99500</v>
      </c>
      <c r="Q181" s="35">
        <f t="shared" si="55"/>
        <v>0</v>
      </c>
      <c r="R181" s="36"/>
      <c r="S181" s="36"/>
      <c r="T181" s="36"/>
      <c r="U181" s="36"/>
      <c r="V181" s="90">
        <f t="shared" si="34"/>
        <v>0</v>
      </c>
      <c r="W181" s="35">
        <f t="shared" si="56"/>
        <v>0</v>
      </c>
      <c r="X181" s="137"/>
      <c r="Y181" s="46"/>
    </row>
    <row r="182" spans="1:25" s="23" customFormat="1" ht="57">
      <c r="A182" s="21"/>
      <c r="B182" s="24"/>
      <c r="C182" s="37"/>
      <c r="D182" s="29" t="s">
        <v>296</v>
      </c>
      <c r="E182" s="36">
        <f aca="true" t="shared" si="59" ref="E182:J182">E183</f>
        <v>753630</v>
      </c>
      <c r="F182" s="36">
        <f t="shared" si="59"/>
        <v>465832</v>
      </c>
      <c r="G182" s="36">
        <f t="shared" si="59"/>
        <v>34232</v>
      </c>
      <c r="H182" s="36">
        <f t="shared" si="59"/>
        <v>328287.82</v>
      </c>
      <c r="I182" s="36">
        <f t="shared" si="59"/>
        <v>182295.09</v>
      </c>
      <c r="J182" s="36">
        <f t="shared" si="59"/>
        <v>13289.85</v>
      </c>
      <c r="K182" s="89">
        <f aca="true" t="shared" si="60" ref="K182:K187">H182/E182*100</f>
        <v>43.56087469978637</v>
      </c>
      <c r="L182" s="36">
        <f aca="true" t="shared" si="61" ref="L182:U182">L183</f>
        <v>182700</v>
      </c>
      <c r="M182" s="36">
        <f t="shared" si="61"/>
        <v>0</v>
      </c>
      <c r="N182" s="36">
        <f t="shared" si="61"/>
        <v>0</v>
      </c>
      <c r="O182" s="36">
        <f t="shared" si="61"/>
        <v>0</v>
      </c>
      <c r="P182" s="36">
        <f t="shared" si="61"/>
        <v>182700</v>
      </c>
      <c r="Q182" s="36">
        <f t="shared" si="61"/>
        <v>121110</v>
      </c>
      <c r="R182" s="36">
        <f t="shared" si="61"/>
        <v>0</v>
      </c>
      <c r="S182" s="36">
        <f t="shared" si="61"/>
        <v>0</v>
      </c>
      <c r="T182" s="36">
        <f t="shared" si="61"/>
        <v>0</v>
      </c>
      <c r="U182" s="36">
        <f t="shared" si="61"/>
        <v>121110</v>
      </c>
      <c r="V182" s="89">
        <f t="shared" si="34"/>
        <v>66.28899835796388</v>
      </c>
      <c r="W182" s="36">
        <f>W183</f>
        <v>449397.82</v>
      </c>
      <c r="X182" s="137"/>
      <c r="Y182" s="46"/>
    </row>
    <row r="183" spans="1:25" s="23" customFormat="1" ht="15">
      <c r="A183" s="21"/>
      <c r="B183" s="24" t="s">
        <v>11</v>
      </c>
      <c r="C183" s="24" t="s">
        <v>9</v>
      </c>
      <c r="D183" s="25" t="s">
        <v>15</v>
      </c>
      <c r="E183" s="35">
        <f>710680-62060+66138+38872</f>
        <v>753630</v>
      </c>
      <c r="F183" s="35">
        <f>433970+31862</f>
        <v>465832</v>
      </c>
      <c r="G183" s="35">
        <v>34232</v>
      </c>
      <c r="H183" s="35">
        <v>328287.82</v>
      </c>
      <c r="I183" s="35">
        <v>182295.09</v>
      </c>
      <c r="J183" s="35">
        <v>13289.85</v>
      </c>
      <c r="K183" s="90">
        <f t="shared" si="60"/>
        <v>43.56087469978637</v>
      </c>
      <c r="L183" s="35">
        <f>M183+P183</f>
        <v>182700</v>
      </c>
      <c r="M183" s="35"/>
      <c r="N183" s="35"/>
      <c r="O183" s="35"/>
      <c r="P183" s="35">
        <f>134100+48600</f>
        <v>182700</v>
      </c>
      <c r="Q183" s="35">
        <f>R183+U183</f>
        <v>121110</v>
      </c>
      <c r="R183" s="35"/>
      <c r="S183" s="35"/>
      <c r="T183" s="35"/>
      <c r="U183" s="35">
        <v>121110</v>
      </c>
      <c r="V183" s="90">
        <f t="shared" si="34"/>
        <v>66.28899835796388</v>
      </c>
      <c r="W183" s="35">
        <f>H183+Q183</f>
        <v>449397.82</v>
      </c>
      <c r="X183" s="137"/>
      <c r="Y183" s="46"/>
    </row>
    <row r="184" spans="1:25" s="23" customFormat="1" ht="42.75">
      <c r="A184" s="21"/>
      <c r="B184" s="24"/>
      <c r="C184" s="37"/>
      <c r="D184" s="29" t="s">
        <v>225</v>
      </c>
      <c r="E184" s="36">
        <f aca="true" t="shared" si="62" ref="E184:J184">E185+E186</f>
        <v>1941570</v>
      </c>
      <c r="F184" s="36">
        <f t="shared" si="62"/>
        <v>1146200</v>
      </c>
      <c r="G184" s="36">
        <f t="shared" si="62"/>
        <v>83538</v>
      </c>
      <c r="H184" s="36">
        <f t="shared" si="62"/>
        <v>869519.5800000001</v>
      </c>
      <c r="I184" s="36">
        <f t="shared" si="62"/>
        <v>546895.73</v>
      </c>
      <c r="J184" s="36">
        <f t="shared" si="62"/>
        <v>45827.03</v>
      </c>
      <c r="K184" s="89">
        <f t="shared" si="60"/>
        <v>44.78435389916408</v>
      </c>
      <c r="L184" s="36">
        <f aca="true" t="shared" si="63" ref="L184:U184">L185+L186</f>
        <v>30000</v>
      </c>
      <c r="M184" s="36">
        <f t="shared" si="63"/>
        <v>0</v>
      </c>
      <c r="N184" s="36">
        <f t="shared" si="63"/>
        <v>0</v>
      </c>
      <c r="O184" s="36">
        <f t="shared" si="63"/>
        <v>0</v>
      </c>
      <c r="P184" s="36">
        <f t="shared" si="63"/>
        <v>30000</v>
      </c>
      <c r="Q184" s="36">
        <f t="shared" si="63"/>
        <v>29955.2</v>
      </c>
      <c r="R184" s="36">
        <f t="shared" si="63"/>
        <v>0</v>
      </c>
      <c r="S184" s="36">
        <f t="shared" si="63"/>
        <v>0</v>
      </c>
      <c r="T184" s="36">
        <f t="shared" si="63"/>
        <v>0</v>
      </c>
      <c r="U184" s="36">
        <f t="shared" si="63"/>
        <v>29955.2</v>
      </c>
      <c r="V184" s="89">
        <f t="shared" si="34"/>
        <v>99.85066666666667</v>
      </c>
      <c r="W184" s="36">
        <f>W185+W186</f>
        <v>899474.78</v>
      </c>
      <c r="X184" s="137"/>
      <c r="Y184" s="46"/>
    </row>
    <row r="185" spans="1:25" s="23" customFormat="1" ht="15">
      <c r="A185" s="21"/>
      <c r="B185" s="24" t="s">
        <v>11</v>
      </c>
      <c r="C185" s="24" t="s">
        <v>9</v>
      </c>
      <c r="D185" s="25" t="s">
        <v>15</v>
      </c>
      <c r="E185" s="35">
        <f>1751970-160400</f>
        <v>1591570</v>
      </c>
      <c r="F185" s="35">
        <f>1143630+2570</f>
        <v>1146200</v>
      </c>
      <c r="G185" s="35">
        <v>83538</v>
      </c>
      <c r="H185" s="35">
        <v>772981.02</v>
      </c>
      <c r="I185" s="35">
        <v>546895.73</v>
      </c>
      <c r="J185" s="35">
        <v>45827.03</v>
      </c>
      <c r="K185" s="90">
        <f t="shared" si="60"/>
        <v>48.56720219657319</v>
      </c>
      <c r="L185" s="35">
        <f>M185+P185</f>
        <v>30000</v>
      </c>
      <c r="M185" s="35"/>
      <c r="N185" s="35"/>
      <c r="O185" s="35"/>
      <c r="P185" s="35">
        <f>30000</f>
        <v>30000</v>
      </c>
      <c r="Q185" s="35">
        <f>R185+U185</f>
        <v>29955.2</v>
      </c>
      <c r="R185" s="35"/>
      <c r="S185" s="35"/>
      <c r="T185" s="35"/>
      <c r="U185" s="35">
        <v>29955.2</v>
      </c>
      <c r="V185" s="90">
        <f t="shared" si="34"/>
        <v>99.85066666666667</v>
      </c>
      <c r="W185" s="35">
        <f>H185+Q185</f>
        <v>802936.22</v>
      </c>
      <c r="X185" s="137"/>
      <c r="Y185" s="46"/>
    </row>
    <row r="186" spans="1:25" s="23" customFormat="1" ht="15">
      <c r="A186" s="21"/>
      <c r="B186" s="24" t="s">
        <v>59</v>
      </c>
      <c r="C186" s="24" t="s">
        <v>192</v>
      </c>
      <c r="D186" s="25" t="s">
        <v>25</v>
      </c>
      <c r="E186" s="35">
        <v>350000</v>
      </c>
      <c r="F186" s="36"/>
      <c r="G186" s="36"/>
      <c r="H186" s="35">
        <v>96538.56</v>
      </c>
      <c r="I186" s="35"/>
      <c r="J186" s="35"/>
      <c r="K186" s="90">
        <f t="shared" si="60"/>
        <v>27.582445714285715</v>
      </c>
      <c r="L186" s="35">
        <f>M186+P186</f>
        <v>0</v>
      </c>
      <c r="M186" s="36"/>
      <c r="N186" s="36"/>
      <c r="O186" s="36"/>
      <c r="P186" s="36"/>
      <c r="Q186" s="35">
        <f>R186+U186</f>
        <v>0</v>
      </c>
      <c r="R186" s="36"/>
      <c r="S186" s="36"/>
      <c r="T186" s="36"/>
      <c r="U186" s="36"/>
      <c r="V186" s="90"/>
      <c r="W186" s="35">
        <f>H186+Q186</f>
        <v>96538.56</v>
      </c>
      <c r="X186" s="137"/>
      <c r="Y186" s="46"/>
    </row>
    <row r="187" spans="1:25" s="23" customFormat="1" ht="28.5">
      <c r="A187" s="21"/>
      <c r="B187" s="28"/>
      <c r="C187" s="28"/>
      <c r="D187" s="29" t="s">
        <v>351</v>
      </c>
      <c r="E187" s="36">
        <f aca="true" t="shared" si="64" ref="E187:J187">SUM(E188:E190)</f>
        <v>5740184.85</v>
      </c>
      <c r="F187" s="36">
        <f t="shared" si="64"/>
        <v>4145620</v>
      </c>
      <c r="G187" s="36">
        <f t="shared" si="64"/>
        <v>191695</v>
      </c>
      <c r="H187" s="36">
        <f t="shared" si="64"/>
        <v>3059505.79</v>
      </c>
      <c r="I187" s="36">
        <f t="shared" si="64"/>
        <v>2320127.43</v>
      </c>
      <c r="J187" s="36">
        <f t="shared" si="64"/>
        <v>98096.71</v>
      </c>
      <c r="K187" s="89">
        <f t="shared" si="60"/>
        <v>53.299778142162104</v>
      </c>
      <c r="L187" s="36">
        <f aca="true" t="shared" si="65" ref="L187:U187">SUM(L188:L190)</f>
        <v>75070</v>
      </c>
      <c r="M187" s="36">
        <f t="shared" si="65"/>
        <v>18000</v>
      </c>
      <c r="N187" s="36">
        <f t="shared" si="65"/>
        <v>0</v>
      </c>
      <c r="O187" s="36">
        <f t="shared" si="65"/>
        <v>0</v>
      </c>
      <c r="P187" s="36">
        <f t="shared" si="65"/>
        <v>57070</v>
      </c>
      <c r="Q187" s="36">
        <f t="shared" si="65"/>
        <v>50424</v>
      </c>
      <c r="R187" s="36">
        <f t="shared" si="65"/>
        <v>0</v>
      </c>
      <c r="S187" s="36">
        <f t="shared" si="65"/>
        <v>0</v>
      </c>
      <c r="T187" s="36">
        <f t="shared" si="65"/>
        <v>0</v>
      </c>
      <c r="U187" s="36">
        <f t="shared" si="65"/>
        <v>50424</v>
      </c>
      <c r="V187" s="89">
        <f t="shared" si="34"/>
        <v>67.16930864526442</v>
      </c>
      <c r="W187" s="36">
        <f>SUM(W188:W190)</f>
        <v>3109929.79</v>
      </c>
      <c r="X187" s="137"/>
      <c r="Y187" s="46"/>
    </row>
    <row r="188" spans="1:25" s="23" customFormat="1" ht="15">
      <c r="A188" s="21"/>
      <c r="B188" s="24" t="s">
        <v>11</v>
      </c>
      <c r="C188" s="24" t="s">
        <v>9</v>
      </c>
      <c r="D188" s="25" t="s">
        <v>96</v>
      </c>
      <c r="E188" s="35">
        <f>5498000-286300+89090+154610+158571-4670</f>
        <v>5609301</v>
      </c>
      <c r="F188" s="35">
        <f>3629280+186610+73024+126730+129976</f>
        <v>4145620</v>
      </c>
      <c r="G188" s="35">
        <v>191695</v>
      </c>
      <c r="H188" s="35">
        <v>3044163.29</v>
      </c>
      <c r="I188" s="35">
        <v>2320127.43</v>
      </c>
      <c r="J188" s="35">
        <v>98096.71</v>
      </c>
      <c r="K188" s="90">
        <f aca="true" t="shared" si="66" ref="K188:K196">H188/E188*100</f>
        <v>54.26992222382076</v>
      </c>
      <c r="L188" s="35">
        <f>M188+P188</f>
        <v>57070</v>
      </c>
      <c r="M188" s="35"/>
      <c r="N188" s="35"/>
      <c r="O188" s="35"/>
      <c r="P188" s="35">
        <f>40000+12400+4670</f>
        <v>57070</v>
      </c>
      <c r="Q188" s="35">
        <f>R188+U188</f>
        <v>50424</v>
      </c>
      <c r="R188" s="35"/>
      <c r="S188" s="35"/>
      <c r="T188" s="35"/>
      <c r="U188" s="35">
        <v>50424</v>
      </c>
      <c r="V188" s="90">
        <f aca="true" t="shared" si="67" ref="V188:V196">Q188/L188*100</f>
        <v>88.35465218153146</v>
      </c>
      <c r="W188" s="35">
        <f>H188+Q188</f>
        <v>3094587.29</v>
      </c>
      <c r="X188" s="137"/>
      <c r="Y188" s="46"/>
    </row>
    <row r="189" spans="1:25" s="23" customFormat="1" ht="15">
      <c r="A189" s="21"/>
      <c r="B189" s="24" t="s">
        <v>317</v>
      </c>
      <c r="C189" s="24" t="s">
        <v>318</v>
      </c>
      <c r="D189" s="25" t="s">
        <v>319</v>
      </c>
      <c r="E189" s="35">
        <f>198694.54-67810.69</f>
        <v>130883.85</v>
      </c>
      <c r="F189" s="35"/>
      <c r="G189" s="35"/>
      <c r="H189" s="35">
        <v>15342.5</v>
      </c>
      <c r="I189" s="35"/>
      <c r="J189" s="35" t="s">
        <v>347</v>
      </c>
      <c r="K189" s="90">
        <f t="shared" si="66"/>
        <v>11.722225469376092</v>
      </c>
      <c r="L189" s="35">
        <f>M189+P189</f>
        <v>0</v>
      </c>
      <c r="M189" s="35"/>
      <c r="N189" s="35"/>
      <c r="O189" s="35"/>
      <c r="P189" s="35"/>
      <c r="Q189" s="35">
        <f>R189+U189</f>
        <v>0</v>
      </c>
      <c r="R189" s="35"/>
      <c r="S189" s="35"/>
      <c r="T189" s="35"/>
      <c r="U189" s="35"/>
      <c r="V189" s="90"/>
      <c r="W189" s="35">
        <f>H189+Q189</f>
        <v>15342.5</v>
      </c>
      <c r="X189" s="137"/>
      <c r="Y189" s="46"/>
    </row>
    <row r="190" spans="1:25" s="23" customFormat="1" ht="30">
      <c r="A190" s="21"/>
      <c r="B190" s="24" t="s">
        <v>55</v>
      </c>
      <c r="C190" s="24" t="s">
        <v>191</v>
      </c>
      <c r="D190" s="25" t="s">
        <v>56</v>
      </c>
      <c r="E190" s="35"/>
      <c r="F190" s="35"/>
      <c r="G190" s="35"/>
      <c r="H190" s="35"/>
      <c r="I190" s="35"/>
      <c r="J190" s="35"/>
      <c r="K190" s="90"/>
      <c r="L190" s="35">
        <f>M190+P190</f>
        <v>18000</v>
      </c>
      <c r="M190" s="35">
        <v>18000</v>
      </c>
      <c r="N190" s="35"/>
      <c r="O190" s="35"/>
      <c r="P190" s="35"/>
      <c r="Q190" s="35">
        <f>R190+U190</f>
        <v>0</v>
      </c>
      <c r="R190" s="35"/>
      <c r="S190" s="35"/>
      <c r="T190" s="35"/>
      <c r="U190" s="35"/>
      <c r="V190" s="90">
        <f t="shared" si="67"/>
        <v>0</v>
      </c>
      <c r="W190" s="35">
        <f>H190+Q190</f>
        <v>0</v>
      </c>
      <c r="X190" s="137"/>
      <c r="Y190" s="46"/>
    </row>
    <row r="191" spans="1:25" s="23" customFormat="1" ht="57">
      <c r="A191" s="21"/>
      <c r="B191" s="28"/>
      <c r="C191" s="28"/>
      <c r="D191" s="29" t="s">
        <v>350</v>
      </c>
      <c r="E191" s="36">
        <f aca="true" t="shared" si="68" ref="E191:J191">SUM(E192:E195)</f>
        <v>67868005.15</v>
      </c>
      <c r="F191" s="36">
        <f t="shared" si="68"/>
        <v>0</v>
      </c>
      <c r="G191" s="36">
        <f t="shared" si="68"/>
        <v>0</v>
      </c>
      <c r="H191" s="36">
        <f t="shared" si="68"/>
        <v>26689432</v>
      </c>
      <c r="I191" s="36">
        <f t="shared" si="68"/>
        <v>0</v>
      </c>
      <c r="J191" s="36">
        <f t="shared" si="68"/>
        <v>0</v>
      </c>
      <c r="K191" s="89">
        <f t="shared" si="66"/>
        <v>39.32549946180347</v>
      </c>
      <c r="L191" s="36">
        <f aca="true" t="shared" si="69" ref="L191:U191">SUM(L192:L195)</f>
        <v>700000</v>
      </c>
      <c r="M191" s="36">
        <f t="shared" si="69"/>
        <v>0</v>
      </c>
      <c r="N191" s="36">
        <f t="shared" si="69"/>
        <v>0</v>
      </c>
      <c r="O191" s="36">
        <f t="shared" si="69"/>
        <v>0</v>
      </c>
      <c r="P191" s="36">
        <f t="shared" si="69"/>
        <v>700000</v>
      </c>
      <c r="Q191" s="36">
        <f t="shared" si="69"/>
        <v>250000</v>
      </c>
      <c r="R191" s="36">
        <f t="shared" si="69"/>
        <v>0</v>
      </c>
      <c r="S191" s="36">
        <f t="shared" si="69"/>
        <v>0</v>
      </c>
      <c r="T191" s="36">
        <f t="shared" si="69"/>
        <v>0</v>
      </c>
      <c r="U191" s="36">
        <f t="shared" si="69"/>
        <v>250000</v>
      </c>
      <c r="V191" s="89">
        <f t="shared" si="67"/>
        <v>35.714285714285715</v>
      </c>
      <c r="W191" s="36">
        <f>SUM(W192:W195)</f>
        <v>26939432</v>
      </c>
      <c r="X191" s="137"/>
      <c r="Y191" s="46"/>
    </row>
    <row r="192" spans="1:25" s="23" customFormat="1" ht="15">
      <c r="A192" s="21"/>
      <c r="B192" s="24" t="s">
        <v>176</v>
      </c>
      <c r="C192" s="24" t="s">
        <v>192</v>
      </c>
      <c r="D192" s="25" t="s">
        <v>177</v>
      </c>
      <c r="E192" s="35">
        <f>9833216.06-80000-23542.6-134100-100000-670100-360000-3000000-1811608+12618382-254670-4690000-2263140-130000-7200000-420000+19000+10000000+55000-330000+67810.69</f>
        <v>11126248.15</v>
      </c>
      <c r="F192" s="36"/>
      <c r="G192" s="36"/>
      <c r="H192" s="36"/>
      <c r="I192" s="36"/>
      <c r="J192" s="36"/>
      <c r="K192" s="90">
        <f t="shared" si="66"/>
        <v>0</v>
      </c>
      <c r="L192" s="35">
        <f>M192+P192</f>
        <v>0</v>
      </c>
      <c r="M192" s="36"/>
      <c r="N192" s="36"/>
      <c r="O192" s="36"/>
      <c r="P192" s="36"/>
      <c r="Q192" s="35">
        <f>R192+U192</f>
        <v>0</v>
      </c>
      <c r="R192" s="36"/>
      <c r="S192" s="36"/>
      <c r="T192" s="36"/>
      <c r="U192" s="36"/>
      <c r="V192" s="90"/>
      <c r="W192" s="35">
        <f>H192+Q192</f>
        <v>0</v>
      </c>
      <c r="X192" s="137"/>
      <c r="Y192" s="46"/>
    </row>
    <row r="193" spans="1:25" s="23" customFormat="1" ht="15">
      <c r="A193" s="21"/>
      <c r="B193" s="24" t="s">
        <v>227</v>
      </c>
      <c r="C193" s="24" t="s">
        <v>224</v>
      </c>
      <c r="D193" s="25" t="s">
        <v>228</v>
      </c>
      <c r="E193" s="35">
        <f>55480900+920400</f>
        <v>56401300</v>
      </c>
      <c r="F193" s="36"/>
      <c r="G193" s="36"/>
      <c r="H193" s="35">
        <v>26633900</v>
      </c>
      <c r="I193" s="35"/>
      <c r="J193" s="35"/>
      <c r="K193" s="90">
        <f t="shared" si="66"/>
        <v>47.222138496807695</v>
      </c>
      <c r="L193" s="35">
        <f>M193+P193</f>
        <v>0</v>
      </c>
      <c r="M193" s="36"/>
      <c r="N193" s="36"/>
      <c r="O193" s="36"/>
      <c r="P193" s="36"/>
      <c r="Q193" s="35">
        <f>R193+U193</f>
        <v>0</v>
      </c>
      <c r="R193" s="36"/>
      <c r="S193" s="36"/>
      <c r="T193" s="36"/>
      <c r="U193" s="36"/>
      <c r="V193" s="90"/>
      <c r="W193" s="35">
        <f>H193+Q193</f>
        <v>26633900</v>
      </c>
      <c r="X193" s="137"/>
      <c r="Y193" s="46"/>
    </row>
    <row r="194" spans="1:25" s="23" customFormat="1" ht="15">
      <c r="A194" s="21"/>
      <c r="B194" s="24" t="s">
        <v>229</v>
      </c>
      <c r="C194" s="24" t="s">
        <v>224</v>
      </c>
      <c r="D194" s="25" t="s">
        <v>235</v>
      </c>
      <c r="E194" s="35">
        <f>164814-22857</f>
        <v>141957</v>
      </c>
      <c r="F194" s="36"/>
      <c r="G194" s="36"/>
      <c r="H194" s="35">
        <v>47032</v>
      </c>
      <c r="I194" s="35"/>
      <c r="J194" s="35"/>
      <c r="K194" s="90">
        <f t="shared" si="66"/>
        <v>33.13115943560374</v>
      </c>
      <c r="L194" s="35">
        <f>M194+P194</f>
        <v>0</v>
      </c>
      <c r="M194" s="36"/>
      <c r="N194" s="36"/>
      <c r="O194" s="36"/>
      <c r="P194" s="36"/>
      <c r="Q194" s="35">
        <f>R194+U194</f>
        <v>0</v>
      </c>
      <c r="R194" s="36"/>
      <c r="S194" s="36"/>
      <c r="T194" s="36"/>
      <c r="U194" s="36"/>
      <c r="V194" s="90"/>
      <c r="W194" s="35">
        <f>H194+Q194</f>
        <v>47032</v>
      </c>
      <c r="X194" s="137"/>
      <c r="Y194" s="46"/>
    </row>
    <row r="195" spans="1:25" s="23" customFormat="1" ht="15">
      <c r="A195" s="21"/>
      <c r="B195" s="24" t="s">
        <v>178</v>
      </c>
      <c r="C195" s="24" t="s">
        <v>224</v>
      </c>
      <c r="D195" s="34" t="s">
        <v>179</v>
      </c>
      <c r="E195" s="35">
        <f>190000+8500</f>
        <v>198500</v>
      </c>
      <c r="F195" s="36"/>
      <c r="G195" s="36"/>
      <c r="H195" s="35">
        <v>8500</v>
      </c>
      <c r="I195" s="35"/>
      <c r="J195" s="35"/>
      <c r="K195" s="90">
        <f t="shared" si="66"/>
        <v>4.282115869017632</v>
      </c>
      <c r="L195" s="35">
        <f>M195+P195</f>
        <v>700000</v>
      </c>
      <c r="M195" s="36"/>
      <c r="N195" s="36"/>
      <c r="O195" s="36"/>
      <c r="P195" s="35">
        <f>500000+200000</f>
        <v>700000</v>
      </c>
      <c r="Q195" s="35">
        <f>R195+U195</f>
        <v>250000</v>
      </c>
      <c r="R195" s="35"/>
      <c r="S195" s="35"/>
      <c r="T195" s="35"/>
      <c r="U195" s="35">
        <v>250000</v>
      </c>
      <c r="V195" s="90">
        <f t="shared" si="67"/>
        <v>35.714285714285715</v>
      </c>
      <c r="W195" s="35">
        <f>H195+Q195</f>
        <v>258500</v>
      </c>
      <c r="X195" s="137"/>
      <c r="Y195" s="46"/>
    </row>
    <row r="196" spans="1:25" s="23" customFormat="1" ht="15">
      <c r="A196" s="21"/>
      <c r="B196" s="28"/>
      <c r="C196" s="28"/>
      <c r="D196" s="29" t="s">
        <v>180</v>
      </c>
      <c r="E196" s="36">
        <f aca="true" t="shared" si="70" ref="E196:J196">E14+E46+E64+E74+E119+E122+E128+E149+E153+E157+E171+E176+E182+E184+E187+E191</f>
        <v>1668701189.1799998</v>
      </c>
      <c r="F196" s="36">
        <f t="shared" si="70"/>
        <v>453040295.86</v>
      </c>
      <c r="G196" s="36">
        <f t="shared" si="70"/>
        <v>92371235.78999999</v>
      </c>
      <c r="H196" s="36">
        <f t="shared" si="70"/>
        <v>801807755.7600001</v>
      </c>
      <c r="I196" s="36">
        <f t="shared" si="70"/>
        <v>229403764.16</v>
      </c>
      <c r="J196" s="36">
        <f t="shared" si="70"/>
        <v>49423863.68000001</v>
      </c>
      <c r="K196" s="89">
        <f t="shared" si="66"/>
        <v>48.04981029311837</v>
      </c>
      <c r="L196" s="36">
        <f aca="true" t="shared" si="71" ref="L196:U196">L14+L46+L64+L74+L119+L122+L128+L149+L153+L157+L171+L176+L182+L184+L187+L191</f>
        <v>493870048.05</v>
      </c>
      <c r="M196" s="36">
        <f t="shared" si="71"/>
        <v>53843800</v>
      </c>
      <c r="N196" s="36">
        <f t="shared" si="71"/>
        <v>11367440</v>
      </c>
      <c r="O196" s="36">
        <f t="shared" si="71"/>
        <v>2168292</v>
      </c>
      <c r="P196" s="36">
        <f t="shared" si="71"/>
        <v>440026248.05</v>
      </c>
      <c r="Q196" s="36">
        <f t="shared" si="71"/>
        <v>132995092.42000002</v>
      </c>
      <c r="R196" s="36">
        <f t="shared" si="71"/>
        <v>23962695.23</v>
      </c>
      <c r="S196" s="36">
        <f t="shared" si="71"/>
        <v>5235296.2700000005</v>
      </c>
      <c r="T196" s="36">
        <f t="shared" si="71"/>
        <v>1059327.27</v>
      </c>
      <c r="U196" s="36">
        <f t="shared" si="71"/>
        <v>109032397.19000001</v>
      </c>
      <c r="V196" s="89">
        <f t="shared" si="67"/>
        <v>26.929167489528627</v>
      </c>
      <c r="W196" s="36">
        <f>W14+W46+W64+W74+W119+W122+W128+W149+W153+W157+W171+W176+W182+W184+W187+W191</f>
        <v>934802848.1800001</v>
      </c>
      <c r="X196" s="137"/>
      <c r="Y196" s="46"/>
    </row>
    <row r="197" spans="1:24" ht="12.75">
      <c r="A197" s="14"/>
      <c r="B197" s="14"/>
      <c r="C197" s="14"/>
      <c r="D197" s="14"/>
      <c r="E197" s="38"/>
      <c r="F197" s="38"/>
      <c r="G197" s="38"/>
      <c r="H197" s="38"/>
      <c r="I197" s="38"/>
      <c r="J197" s="38"/>
      <c r="K197" s="91"/>
      <c r="L197" s="38"/>
      <c r="M197" s="38"/>
      <c r="N197" s="38"/>
      <c r="O197" s="38"/>
      <c r="P197" s="38"/>
      <c r="Q197" s="38"/>
      <c r="R197" s="38"/>
      <c r="S197" s="38"/>
      <c r="T197" s="38"/>
      <c r="U197" s="38"/>
      <c r="V197" s="91"/>
      <c r="W197" s="38"/>
      <c r="X197" s="137"/>
    </row>
    <row r="198" spans="5:24" ht="12.75">
      <c r="E198" s="104"/>
      <c r="F198" s="104"/>
      <c r="G198" s="104"/>
      <c r="H198" s="104"/>
      <c r="I198" s="104"/>
      <c r="K198" s="109"/>
      <c r="L198" s="104"/>
      <c r="M198" s="104"/>
      <c r="N198" s="104"/>
      <c r="O198" s="104"/>
      <c r="P198" s="104"/>
      <c r="Q198" s="104"/>
      <c r="R198" s="104"/>
      <c r="S198" s="104"/>
      <c r="T198" s="104"/>
      <c r="U198" s="104"/>
      <c r="V198" s="109"/>
      <c r="W198" s="104"/>
      <c r="X198" s="137"/>
    </row>
    <row r="199" spans="5:24" ht="18" customHeight="1">
      <c r="E199" s="104"/>
      <c r="F199" s="104"/>
      <c r="G199" s="104"/>
      <c r="H199" s="104"/>
      <c r="I199" s="104"/>
      <c r="K199" s="109"/>
      <c r="L199" s="104"/>
      <c r="M199" s="104"/>
      <c r="N199" s="104"/>
      <c r="O199" s="104"/>
      <c r="P199" s="104"/>
      <c r="Q199" s="104"/>
      <c r="R199" s="104"/>
      <c r="S199" s="104"/>
      <c r="T199" s="104"/>
      <c r="U199" s="104"/>
      <c r="V199" s="109"/>
      <c r="W199" s="104"/>
      <c r="X199" s="137"/>
    </row>
    <row r="200" spans="1:24" s="69" customFormat="1" ht="27.75">
      <c r="A200" s="65"/>
      <c r="B200" s="170" t="s">
        <v>239</v>
      </c>
      <c r="C200" s="170"/>
      <c r="D200" s="170"/>
      <c r="E200" s="66"/>
      <c r="F200" s="110"/>
      <c r="G200" s="67"/>
      <c r="H200" s="111"/>
      <c r="I200" s="111"/>
      <c r="J200" s="111"/>
      <c r="K200" s="92"/>
      <c r="L200" s="67"/>
      <c r="M200" s="67"/>
      <c r="N200" s="67"/>
      <c r="O200" s="164" t="s">
        <v>240</v>
      </c>
      <c r="P200" s="164"/>
      <c r="Q200" s="164"/>
      <c r="R200" s="164"/>
      <c r="S200" s="67"/>
      <c r="T200" s="67"/>
      <c r="U200" s="67"/>
      <c r="V200" s="67"/>
      <c r="W200" s="68"/>
      <c r="X200" s="137"/>
    </row>
    <row r="201" spans="1:24" s="11" customFormat="1" ht="23.25">
      <c r="A201" s="8"/>
      <c r="B201" s="140"/>
      <c r="C201" s="140"/>
      <c r="D201" s="9"/>
      <c r="E201" s="10"/>
      <c r="F201" s="10"/>
      <c r="G201" s="10"/>
      <c r="H201" s="10"/>
      <c r="I201" s="10"/>
      <c r="J201" s="72"/>
      <c r="K201" s="80"/>
      <c r="L201" s="10"/>
      <c r="M201" s="10"/>
      <c r="N201" s="169"/>
      <c r="O201" s="169"/>
      <c r="P201" s="169"/>
      <c r="Q201" s="58"/>
      <c r="R201" s="58"/>
      <c r="S201" s="58"/>
      <c r="T201" s="58"/>
      <c r="U201" s="58"/>
      <c r="V201" s="58"/>
      <c r="W201" s="8"/>
      <c r="X201" s="137"/>
    </row>
    <row r="202" spans="1:24" s="43" customFormat="1" ht="21.75" customHeight="1">
      <c r="A202" s="42"/>
      <c r="B202" s="11" t="s">
        <v>346</v>
      </c>
      <c r="C202" s="70"/>
      <c r="D202" s="70"/>
      <c r="E202" s="70"/>
      <c r="F202" s="70"/>
      <c r="G202" s="70"/>
      <c r="H202" s="70"/>
      <c r="I202" s="70"/>
      <c r="J202" s="112"/>
      <c r="K202" s="93"/>
      <c r="L202" s="70"/>
      <c r="M202" s="70"/>
      <c r="N202" s="70"/>
      <c r="O202" s="70"/>
      <c r="P202" s="42"/>
      <c r="Q202" s="42"/>
      <c r="R202" s="42"/>
      <c r="S202" s="42"/>
      <c r="T202" s="42"/>
      <c r="U202" s="42"/>
      <c r="V202" s="42"/>
      <c r="W202" s="42"/>
      <c r="X202" s="137"/>
    </row>
    <row r="203" spans="1:24" s="11" customFormat="1" ht="23.25">
      <c r="A203" s="8"/>
      <c r="B203" s="173"/>
      <c r="C203" s="173"/>
      <c r="D203" s="173"/>
      <c r="E203" s="168"/>
      <c r="F203" s="168"/>
      <c r="J203" s="113"/>
      <c r="K203" s="82"/>
      <c r="P203" s="8"/>
      <c r="Q203" s="8"/>
      <c r="R203" s="8"/>
      <c r="S203" s="8"/>
      <c r="T203" s="8"/>
      <c r="U203" s="8"/>
      <c r="V203" s="8"/>
      <c r="W203" s="8"/>
      <c r="X203" s="45"/>
    </row>
    <row r="204" spans="1:24" s="7" customFormat="1" ht="23.25">
      <c r="A204" s="6"/>
      <c r="B204" s="15"/>
      <c r="C204" s="8"/>
      <c r="D204" s="8"/>
      <c r="E204" s="168"/>
      <c r="F204" s="168"/>
      <c r="G204" s="8"/>
      <c r="H204" s="8"/>
      <c r="I204" s="8"/>
      <c r="J204" s="73"/>
      <c r="K204" s="83"/>
      <c r="L204" s="8"/>
      <c r="M204" s="8"/>
      <c r="N204" s="8"/>
      <c r="O204" s="8"/>
      <c r="P204" s="8"/>
      <c r="Q204" s="8"/>
      <c r="R204" s="8"/>
      <c r="S204" s="8"/>
      <c r="T204" s="8"/>
      <c r="U204" s="8"/>
      <c r="V204" s="8"/>
      <c r="W204" s="6"/>
      <c r="X204" s="45"/>
    </row>
    <row r="205" spans="1:24" ht="12.75">
      <c r="A205" s="13"/>
      <c r="B205" s="13"/>
      <c r="C205" s="13"/>
      <c r="D205" s="13"/>
      <c r="E205" s="13"/>
      <c r="F205" s="13"/>
      <c r="G205" s="13"/>
      <c r="H205" s="13"/>
      <c r="I205" s="13"/>
      <c r="J205" s="114"/>
      <c r="K205" s="94"/>
      <c r="L205" s="13"/>
      <c r="M205" s="13"/>
      <c r="N205" s="13"/>
      <c r="O205" s="13"/>
      <c r="P205" s="13"/>
      <c r="Q205" s="13"/>
      <c r="R205" s="13"/>
      <c r="S205" s="13"/>
      <c r="T205" s="13"/>
      <c r="U205" s="13"/>
      <c r="V205" s="13"/>
      <c r="W205" s="13"/>
      <c r="X205" s="45"/>
    </row>
    <row r="206" spans="11:24" ht="12.75">
      <c r="K206" s="109"/>
      <c r="X206" s="45"/>
    </row>
    <row r="207" spans="11:24" ht="12.75">
      <c r="K207" s="109"/>
      <c r="X207" s="45"/>
    </row>
    <row r="208" spans="11:24" ht="12.75">
      <c r="K208" s="109"/>
      <c r="X208" s="45"/>
    </row>
    <row r="209" ht="12.75">
      <c r="X209" s="45"/>
    </row>
    <row r="210" ht="12.75">
      <c r="X210" s="45"/>
    </row>
    <row r="211" ht="12.75">
      <c r="X211" s="45"/>
    </row>
    <row r="212" ht="12.75">
      <c r="X212" s="45"/>
    </row>
    <row r="213" ht="12.75">
      <c r="X213" s="45"/>
    </row>
    <row r="214" ht="12.75">
      <c r="X214" s="45"/>
    </row>
    <row r="215" ht="12.75">
      <c r="X215" s="45"/>
    </row>
    <row r="216" ht="12.75">
      <c r="X216" s="45"/>
    </row>
    <row r="217" ht="12.75">
      <c r="X217" s="45"/>
    </row>
    <row r="218" ht="12.75">
      <c r="X218" s="45"/>
    </row>
    <row r="219" ht="12.75">
      <c r="X219" s="45"/>
    </row>
    <row r="220" ht="12.75">
      <c r="X220" s="45"/>
    </row>
    <row r="221" ht="12.75">
      <c r="X221" s="45"/>
    </row>
    <row r="222" ht="12.75">
      <c r="X222" s="45"/>
    </row>
    <row r="223" ht="12.75">
      <c r="X223" s="45"/>
    </row>
    <row r="224" ht="12.75">
      <c r="X224" s="45"/>
    </row>
    <row r="225" ht="12.75">
      <c r="X225" s="45"/>
    </row>
  </sheetData>
  <sheetProtection/>
  <mergeCells count="76">
    <mergeCell ref="E203:F204"/>
    <mergeCell ref="N12:N13"/>
    <mergeCell ref="B201:C201"/>
    <mergeCell ref="N201:P201"/>
    <mergeCell ref="B200:D200"/>
    <mergeCell ref="D80:D81"/>
    <mergeCell ref="K9:K13"/>
    <mergeCell ref="H11:H13"/>
    <mergeCell ref="I11:J11"/>
    <mergeCell ref="D9:D13"/>
    <mergeCell ref="X85:X90"/>
    <mergeCell ref="X91:X101"/>
    <mergeCell ref="X30:X52"/>
    <mergeCell ref="X54:X71"/>
    <mergeCell ref="X72:X77"/>
    <mergeCell ref="X78:X80"/>
    <mergeCell ref="X102:X115"/>
    <mergeCell ref="X171:X202"/>
    <mergeCell ref="X143:X166"/>
    <mergeCell ref="X117:X141"/>
    <mergeCell ref="X1:X29"/>
    <mergeCell ref="X81:X83"/>
    <mergeCell ref="B7:W7"/>
    <mergeCell ref="B9:B13"/>
    <mergeCell ref="C9:C13"/>
    <mergeCell ref="L11:L13"/>
    <mergeCell ref="P11:P13"/>
    <mergeCell ref="F11:G11"/>
    <mergeCell ref="W9:W13"/>
    <mergeCell ref="Q11:Q13"/>
    <mergeCell ref="M11:M13"/>
    <mergeCell ref="G12:G13"/>
    <mergeCell ref="I12:I13"/>
    <mergeCell ref="J12:J13"/>
    <mergeCell ref="E10:G10"/>
    <mergeCell ref="H10:J10"/>
    <mergeCell ref="E9:J9"/>
    <mergeCell ref="F12:F13"/>
    <mergeCell ref="E11:E13"/>
    <mergeCell ref="R11:R13"/>
    <mergeCell ref="S11:T11"/>
    <mergeCell ref="N11:O11"/>
    <mergeCell ref="U11:U13"/>
    <mergeCell ref="S12:S13"/>
    <mergeCell ref="T12:T13"/>
    <mergeCell ref="O12:O13"/>
    <mergeCell ref="R5:W5"/>
    <mergeCell ref="O200:R200"/>
    <mergeCell ref="R1:W1"/>
    <mergeCell ref="R2:W2"/>
    <mergeCell ref="R3:W3"/>
    <mergeCell ref="R4:W4"/>
    <mergeCell ref="L9:U9"/>
    <mergeCell ref="L10:P10"/>
    <mergeCell ref="Q10:U10"/>
    <mergeCell ref="V9:V13"/>
    <mergeCell ref="W80:W83"/>
    <mergeCell ref="B80:B83"/>
    <mergeCell ref="C80:C83"/>
    <mergeCell ref="E80:E83"/>
    <mergeCell ref="F80:F83"/>
    <mergeCell ref="G80:G83"/>
    <mergeCell ref="K80:K83"/>
    <mergeCell ref="L80:L83"/>
    <mergeCell ref="M80:M83"/>
    <mergeCell ref="H80:H83"/>
    <mergeCell ref="Y80:Y83"/>
    <mergeCell ref="N80:N83"/>
    <mergeCell ref="O80:O83"/>
    <mergeCell ref="P80:P83"/>
    <mergeCell ref="V80:V83"/>
    <mergeCell ref="Q80:Q83"/>
    <mergeCell ref="R80:R83"/>
    <mergeCell ref="S80:S83"/>
    <mergeCell ref="T80:T83"/>
    <mergeCell ref="U80:U83"/>
  </mergeCells>
  <printOptions horizontalCentered="1"/>
  <pageMargins left="0.2" right="0.2" top="1.03" bottom="0.4330708661417323" header="0.35433070866141736" footer="0.2362204724409449"/>
  <pageSetup fitToHeight="10" horizontalDpi="300" verticalDpi="300" orientation="landscape" paperSize="9" scale="42" r:id="rId1"/>
  <headerFooter alignWithMargins="0">
    <oddFooter>&amp;RСторінка &amp;P</oddFooter>
  </headerFooter>
  <rowBreaks count="1" manualBreakCount="1">
    <brk id="190" min="1" max="2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2016-10-03T07:21:29Z</cp:lastPrinted>
  <dcterms:created xsi:type="dcterms:W3CDTF">2014-01-17T10:52:16Z</dcterms:created>
  <dcterms:modified xsi:type="dcterms:W3CDTF">2016-10-03T07:21:34Z</dcterms:modified>
  <cp:category/>
  <cp:version/>
  <cp:contentType/>
  <cp:contentStatus/>
</cp:coreProperties>
</file>