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5195" windowHeight="11340" activeTab="0"/>
  </bookViews>
  <sheets>
    <sheet name="дод (с) " sheetId="1" r:id="rId1"/>
  </sheets>
  <definedNames>
    <definedName name="_xlnm.Print_Area" localSheetId="0">'дод (с) '!$A$1:$M$249</definedName>
  </definedNames>
  <calcPr fullCalcOnLoad="1"/>
</workbook>
</file>

<file path=xl/sharedStrings.xml><?xml version="1.0" encoding="utf-8"?>
<sst xmlns="http://schemas.openxmlformats.org/spreadsheetml/2006/main" count="545" uniqueCount="301">
  <si>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</si>
  <si>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</si>
  <si>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</si>
  <si>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</si>
  <si>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</si>
  <si>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</si>
  <si>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</si>
  <si>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</si>
  <si>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</si>
  <si>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</si>
  <si>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</si>
  <si>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</si>
  <si>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</si>
  <si>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</si>
  <si>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</si>
  <si>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</si>
  <si>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</si>
  <si>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</si>
  <si>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</si>
  <si>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</si>
  <si>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</si>
  <si>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160101</t>
  </si>
  <si>
    <t>130115</t>
  </si>
  <si>
    <t>091214</t>
  </si>
  <si>
    <t>Інші установи та заклади </t>
  </si>
  <si>
    <t>Будівля Реального училища (школа № 4), м.Суми - реконструкція</t>
  </si>
  <si>
    <t>Перелік об'єктів,</t>
  </si>
  <si>
    <t>Будівництво доріг та ліній освітлення 12 МР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</si>
  <si>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</si>
  <si>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</si>
  <si>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</si>
  <si>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</si>
  <si>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</si>
  <si>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</si>
  <si>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</si>
  <si>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</si>
  <si>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</si>
  <si>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</si>
  <si>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</si>
  <si>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</si>
  <si>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</si>
  <si>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</si>
  <si>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</si>
  <si>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</si>
  <si>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</si>
  <si>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</si>
  <si>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</si>
  <si>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</si>
  <si>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</si>
  <si>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</si>
  <si>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</si>
  <si>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</si>
  <si>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</si>
  <si>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</si>
  <si>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</si>
  <si>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</si>
  <si>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</si>
  <si>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</si>
  <si>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</si>
  <si>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</si>
  <si>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</si>
  <si>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</si>
  <si>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</si>
  <si>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</si>
  <si>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</si>
  <si>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</si>
  <si>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</si>
  <si>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</si>
  <si>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</si>
  <si>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</si>
  <si>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</si>
  <si>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</si>
  <si>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</si>
  <si>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</si>
  <si>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</si>
  <si>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</si>
  <si>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</si>
  <si>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</si>
  <si>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</si>
  <si>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</si>
  <si>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0220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</si>
  <si>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</si>
  <si>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</si>
  <si>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</si>
  <si>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</si>
  <si>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</si>
  <si>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</si>
  <si>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</si>
  <si>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</si>
  <si>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</si>
  <si>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</si>
  <si>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</si>
  <si>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</si>
  <si>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</si>
  <si>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</si>
  <si>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</si>
  <si>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</si>
  <si>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</si>
  <si>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</si>
  <si>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</si>
  <si>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</si>
  <si>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</si>
  <si>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</si>
  <si>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</si>
  <si>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</si>
  <si>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</si>
  <si>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</si>
  <si>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</si>
  <si>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</si>
  <si>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</si>
  <si>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</si>
  <si>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</si>
  <si>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</si>
  <si>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</si>
  <si>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</si>
  <si>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</si>
  <si>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</si>
  <si>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</si>
  <si>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</si>
  <si>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</si>
  <si>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</si>
  <si>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</si>
  <si>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</si>
  <si>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</si>
  <si>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</si>
  <si>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</si>
  <si>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</si>
  <si>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</si>
  <si>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</si>
  <si>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</si>
  <si>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</si>
  <si>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</si>
  <si>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</si>
  <si>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</si>
  <si>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</si>
  <si>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</si>
  <si>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</si>
  <si>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</si>
  <si>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</si>
  <si>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</si>
  <si>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</si>
  <si>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</si>
  <si>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</si>
  <si>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</si>
  <si>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</si>
  <si>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</si>
  <si>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</si>
  <si>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</si>
  <si>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</si>
  <si>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</si>
  <si>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</si>
  <si>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</si>
  <si>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</si>
  <si>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</si>
  <si>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</si>
  <si>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</si>
  <si>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</si>
  <si>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</si>
  <si>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</si>
  <si>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</si>
  <si>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</si>
  <si>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>Будівництво скверу за адресою :м.Суми, вул. Декабристів, 80 на території ЗОШ № 25</t>
  </si>
  <si>
    <t>Реконструкція водоводу Д500 мм від Тополянського водозабору до пр.Курський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</si>
  <si>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</si>
  <si>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</si>
  <si>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</si>
  <si>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</si>
  <si>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 xml:space="preserve">Водопровідно-каналізаційне господарство </t>
  </si>
  <si>
    <t>Реконструкція самопливного каналізаційного колектору Д 600 мм по вул. СКД</t>
  </si>
  <si>
    <t>Реконструкція будівлі Ковпаківського районного суду по вул. Першотравнева,12</t>
  </si>
  <si>
    <t>Реконструкція операційних блоків КУ  «Сумська міська клінічна лікарня №1» по вул. 20 років Перемоги,13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</si>
  <si>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</si>
  <si>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</si>
  <si>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</si>
  <si>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250380</t>
  </si>
  <si>
    <t>Реконструкція будівлі по вул.Металургів,17</t>
  </si>
  <si>
    <t>180409</t>
  </si>
  <si>
    <t>Реконструкція ДНЗ № 31  «Ягідка»</t>
  </si>
  <si>
    <t>Будівництво дитячого майданчика в районі будинку №79 по вул. Поліська</t>
  </si>
  <si>
    <t>КП «Архітектура. Будівництво. Контроль» Сумської міської ради</t>
  </si>
  <si>
    <t>Реставрація будівлі по вул. Троїцька, 8</t>
  </si>
  <si>
    <t>Будівництво дитячого майданчика по пров. Березовий, 30</t>
  </si>
  <si>
    <t>Реконструкція (термомодернізація) ДНЗ          № 5  «Снігуронька»</t>
  </si>
  <si>
    <t>Реконструкція (термомодернізація) ДНЗ (ясла-садок) № 1  «Ромашка»</t>
  </si>
  <si>
    <t>Реконструкція (термомодернізація) ДНЗ          № 8  (ясла-садок) «Космічний»</t>
  </si>
  <si>
    <t>Реконструкція (термомодернізація) ДНЗ          № 21  (ясла-садок) «Волошка»</t>
  </si>
  <si>
    <t>Реконструкція (термомодернізація) ДНЗ          № 33  «Маринка»</t>
  </si>
  <si>
    <t>Реконструкція (термомодернізація) КУ Сумський НВК № 34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</si>
  <si>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</si>
  <si>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</si>
  <si>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Реконструкція грального поля з влаштуванням штучного покриття на території ЗОШ № 11</t>
  </si>
  <si>
    <t>Будівництво зливної каналізації по вул. Прокоф'єва</t>
  </si>
  <si>
    <t>Реконструкція сталевого водопроводу 400 мм від вул. Південної до пров. Громадянського</t>
  </si>
  <si>
    <t>Будівництво дитячого майданчика в районі житлового будинку № 21 по вул. Гамалія</t>
  </si>
  <si>
    <t>Будівництво спортивного майданчика між центральним корпусом Сумського національного аграрного університету та житловими будинками №154, 154/1</t>
  </si>
  <si>
    <t>Будівництво дитячого майданчика за адресою: м. Суми, вул. Новомістенська, 35</t>
  </si>
  <si>
    <t>Будівництво дитячого майданчика за адресою: м. Суми, вул. Кутова</t>
  </si>
  <si>
    <t>Будівництво дитячого майданчика за адресою: м. Суми, вул. Родини Линтварьових, 70</t>
  </si>
  <si>
    <t>Будівництво спортивного майданчика за адресою: м. Суми, вул. Зарічна</t>
  </si>
  <si>
    <t>Будівництво контактної фігури  «Я люблю Суми» на вході до парку культури і відпочинку ім. Кожедуба</t>
  </si>
  <si>
    <t>Реконструкція покрівлі адміністративно-побутового корпуса, депо, майстерень КП СМР "Електроавтотракс"</t>
  </si>
  <si>
    <t>Реконструкція підвального приміщення ССШ І-ІІІ ступенів ім. Д. Косаренка</t>
  </si>
  <si>
    <t>170603</t>
  </si>
  <si>
    <t>Інші заходи у сфері електротранспорту</t>
  </si>
  <si>
    <t>0455</t>
  </si>
  <si>
    <t>Реконструкція каналізаційного залізобетонного самотічного колектора Д-1000 мм , який проходить по яру між пров. Степана Тимошенка (пров.Урицького) та вул. Панфілова</t>
  </si>
  <si>
    <t>Реконструкція каналізаційного залізобетонного самотічного колектора Д-600-1000 мм , який проходить по вул. Пушкіна, Садова, Засумська та Пролетарська до КНС-2 від вул. Баумана  до вул. Лугової</t>
  </si>
  <si>
    <t>Реконструкція каналізаційного залізобетонного самотічного колектора              Д-600 мм по вул. Сєчєнова від залізничної дороги (вул. Київська) до перехрестя вул. Слобідської та вул. Вигонопоселенської</t>
  </si>
  <si>
    <t>Будівництво теплиці для розміщення колекції рідкісних видів тропічних рослин та кактусів на території об'єкту природно-заповідного фонду ботанічного саду місцевого значення "Юннатівський"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</si>
  <si>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</si>
  <si>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Будівництво спортивного майданчику в районі школи № 11</t>
  </si>
  <si>
    <t>Будівництво дитячого майданчика біля будинку №18 по вул.Д.Коротченко</t>
  </si>
  <si>
    <t>Будівництво дитячого майданчика в районі житлового будинку №37 по вул.Романа Атаманюка</t>
  </si>
  <si>
    <t>Будівництво дитячого майданчика в районі житлового будинку №53 по вул.Ковпака</t>
  </si>
  <si>
    <t>Будівництво дитячого майданчика в районі житлового будинку №23 по вул.Ковпака</t>
  </si>
  <si>
    <t>Будівництво дитячого майданчика в районі житлового будинку №125 по просп. Курський</t>
  </si>
  <si>
    <t>Реконструкція І черги полігону для складування твердих побутових відходів на території В.Бобрицької сільської ради Краснопільського району</t>
  </si>
  <si>
    <t>Реконструкція системи електрозабезпечення 48-квартирного будинку по вулиці Холодногірська, 30/1</t>
  </si>
  <si>
    <t>Будівництво та встановлення дитячого майданчика біля будівлі № 37 по вул. Доватора</t>
  </si>
  <si>
    <t>Реконструкція спортивних площадок з благоустроєм прилеглої території в дворі житлових будинків №34, 36, 38, 44 по вул. СКД (облаштування скверу, спортивних площадок (баскетбольної (можливе суміщення її з тенісною площадкою) та волейбольної, бігової доріжки, футбольного поля, проведення освітлення на футбольне поле))</t>
  </si>
  <si>
    <t>Будівництво дитячих і спортивних майданчиків</t>
  </si>
  <si>
    <t>Будівництво водоводу від Токарівського водозабору до Пришибського водозабору в м. Суми</t>
  </si>
  <si>
    <t>Реконструкція водоводу від Тополянського водозабору до пожежного депо в м. Суми</t>
  </si>
  <si>
    <t>Реконструкція водоводу по пр. Курському від вул. Машинобудівників до вул. Ковпака в м. Суми</t>
  </si>
  <si>
    <t>Реконструкція водоводу по пр. Курському від вул. Ковпака до пр. Курський, 147/4  в м. Суми</t>
  </si>
  <si>
    <t xml:space="preserve"> 2. Реконструкція житлового фонду</t>
  </si>
  <si>
    <t>Будівництво дитячого багатофункціонального спортивного майданчика з поліуритановим покриттям по вул. Новомісенській,4, м. Суми</t>
  </si>
  <si>
    <t>Будівництво футбольного поля біля житлових будинків № 32а, 32б по вул. Металургів</t>
  </si>
  <si>
    <t>Будівництво волейбольно-баскетбольного майданчика в районі житлових будинків                        № 32а, 32б по вул. Металургів</t>
  </si>
  <si>
    <t>Будівництво зливної каналізації в районі житлових будинків №51 та №59 по                       вул. Романа Атаманюка</t>
  </si>
  <si>
    <t>Реставрація будівлі по вул. Петропавлівська, 91</t>
  </si>
  <si>
    <t>Реконструкція денного відділення стаціонару КУ "Сумська міська клінічна лікарня №1"</t>
  </si>
  <si>
    <t>Міський голова</t>
  </si>
  <si>
    <t>О.М. Лисенко</t>
  </si>
  <si>
    <t xml:space="preserve"> ____________  </t>
  </si>
  <si>
    <t>Виконавець: Липова С.А.</t>
  </si>
  <si>
    <t>1. Реконструкція житлового фонду</t>
  </si>
  <si>
    <t xml:space="preserve">2. Реконструкція інших об’єктів   </t>
  </si>
  <si>
    <t>070501</t>
  </si>
  <si>
    <t>Професійно-технічні заклади освіти </t>
  </si>
  <si>
    <t>0930</t>
  </si>
  <si>
    <t>Встановлення дитячого майданчика за адресою: м.Суми, вул. Харитоненка, біля будинків № 24, 26</t>
  </si>
  <si>
    <t>Житлове будівництво та придбання житла для окремих категорій населення </t>
  </si>
  <si>
    <t>Реконструкція інженерних мереж КУ Піщанська ЗОШ І-ІІ ступенів</t>
  </si>
  <si>
    <t>Будівництво багатофункціонального спортивного майданчика з поліуритановим покриттям та вуличними тренажерами на території  комунальної установи Сумська гімназія №1 м. Суми Сумської області по вул. Засумська, 3 міста Суми</t>
  </si>
  <si>
    <t xml:space="preserve"> Виконавчий комітет Сумської міської ради </t>
  </si>
  <si>
    <t xml:space="preserve"> Управління освіти і науки Сумської міської ради</t>
  </si>
  <si>
    <t>Відділ охорони здоров'я Сумської міської ради</t>
  </si>
  <si>
    <t xml:space="preserve"> Департамент  соціального захисту населення Сумської міської ради</t>
  </si>
  <si>
    <t>Відділ культури та туризму Сумської міської ради</t>
  </si>
  <si>
    <t xml:space="preserve"> Департамент інфраструктури міста Сумської міської ради</t>
  </si>
  <si>
    <t>Департамент забезпечення ресурсних платежів Сумської міської ради</t>
  </si>
  <si>
    <t>Управління державного архітектурно - будівельного контролю  Сумської міської ради</t>
  </si>
  <si>
    <t>Управління капітального будівництва та дорожнього господарства Сумської міської ради</t>
  </si>
  <si>
    <t xml:space="preserve">Внески органів влади Автономної Республіки Крим та органів місцевого самоврядування у статутні капітали суб'єктів підприємницької діяльності, в т.ч.: 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</si>
  <si>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діяльності, в т.ч.:</t>
  </si>
  <si>
    <t>Перелік об'єктів, видатки на які у 2016 році</t>
  </si>
  <si>
    <t>будуть проводитися за рахунок коштів бюджету розвитку та інших коштів міського бюджету</t>
  </si>
  <si>
    <t>Назва головного розпорядника бюджетних коштів, об’єктів  відповідно до проектно-кошторисної документації та найменування коду тимчасової класифікації видатків та кредитування місцевих бюджетів тощо</t>
  </si>
  <si>
    <t>тис.грн.</t>
  </si>
  <si>
    <t>Реконструкція каналізаційного залізобетонного самотічного колектора Д-600 мм по вул. Сєчєнова від залізничної дороги (вул. Київська) до перехрестя вул. Слобідської та вул. Вигонопоселенської</t>
  </si>
  <si>
    <t>Будівництво водопроводу по пров. Запотоцького</t>
  </si>
  <si>
    <t>Будівництво зливної каналізації в районі житлових будинків №51 та №59 по вул. Романа Атаманюка</t>
  </si>
  <si>
    <t>Будівництво волейбольно-баскетбольного майданчика в районі житлових будинків  № 32а, 32б по вул. Металургів</t>
  </si>
  <si>
    <t>Реконструкція будівлі ДНЗ № 2 по вул. Інтернаціоналістів, 39</t>
  </si>
  <si>
    <t>Реконструкція будівлі ССШ № 29 по  вул. Заливній, 25</t>
  </si>
  <si>
    <t>Реконструкція (термомодернізація) ДНЗ № 5  «Снігуронька»</t>
  </si>
  <si>
    <t>Реконструкція (термомодернізація) ДНЗ № 8  (ясла-садок) «Космічний»</t>
  </si>
  <si>
    <t>Реконструкція (термомодернізація) ДНЗ № 21  (ясла-садок) «Волошка»</t>
  </si>
  <si>
    <t>Реконструкція (термомодернізація) ДНЗ № 33  «Маринка»</t>
  </si>
  <si>
    <t>Реконструкція каналізаційного напірного колектора від діючої камери № 19 по вул. Д. Коротченко до камери № 31 по вул. Криничній</t>
  </si>
  <si>
    <t>Реконструкція пішохідної доріжки біля оз. Чеха з влаштуванням лінії освітлення</t>
  </si>
  <si>
    <t>Департамент містобудування та земельних відносин Сумської міської ради</t>
  </si>
  <si>
    <t>Управління архітектури та містобудування Сумської міської ради</t>
  </si>
  <si>
    <t>Управління «Інспекція з благоустрою міста Суми» Сумської міської ради</t>
  </si>
  <si>
    <t xml:space="preserve">Департамент фінансів, економіки та інвестицій Сумської міської ради </t>
  </si>
  <si>
    <t xml:space="preserve">Департамент фінансів, економіки та інвестицій Сумської міської ради (в частині міжбюджетних трансфертів, резервного фонду) </t>
  </si>
  <si>
    <t>Будівництво тролейбусної лінії  вул. Прокоф'єва - вул. Кірова</t>
  </si>
  <si>
    <t>Всього за рахунок коштів бюджету розвитку міського бюджету:</t>
  </si>
  <si>
    <t>Видатки передбачені на проведення природоохоронних заходів:</t>
  </si>
  <si>
    <t>Видатки на проведення робіт,  пов'язаних із будівництвом, реконструкцією, ремонтом та утриманням автомобільних доріг  (головний розпорядник бюджетних коштів - управління капітального будівництва та дорожнього господарства Сумської міської ради), в т.ч.:</t>
  </si>
  <si>
    <t>Будівництво дитячо-спортивного майданчика в районі житлового будинку №51 по вул. Вигонопоселенська в                               с. Піщане</t>
  </si>
  <si>
    <t>КП "Інфосервіс" Сумської міської ради</t>
  </si>
  <si>
    <t xml:space="preserve">Реконструкція ліній освітлення із заміною освітлювальних елементів (приладів) на світлодіодні, селище Веретенівка </t>
  </si>
  <si>
    <t>Реконструкція ліній освітлення із заміною освітлювальних елементів (приладів) на світлодіодні селища Ганнівка</t>
  </si>
  <si>
    <t>Реконструкція житлового будинку з влаштуванням пандусу по вул. Харківська, 25</t>
  </si>
  <si>
    <t>Реконструкція житлового будинку з влаштуванням пандусу по вул. Івана Сірка, 45</t>
  </si>
  <si>
    <t>Реконструкція житлового будинку з влаштуванням пандусу по вул. Івана Сірка, 31</t>
  </si>
  <si>
    <t>Реконструкція житлового будинку з влаштуванням пандусу по вул. Інтернаціоналістів, 25</t>
  </si>
  <si>
    <t>Реконструкція житлового будинку з влаштуванням пандусу по вул. Покоф'єва, 24Б</t>
  </si>
  <si>
    <t>Будівництво багатофункціонального спортивного майданчика з поліуретановим покриттям та вуличними тренажерами на території  комунальної установи Сумська гімназія №1 м. Суми Сумської області по вулиці Засумська, 3 міста Суми</t>
  </si>
  <si>
    <t>Будівництво дитячого багатофункціонального спортивного майданчика з поліуретановим покриттям по вул. Новомісенській, 4, м. Суми</t>
  </si>
  <si>
    <t>до рішення Сумської міської ради «Про внесення змін до</t>
  </si>
  <si>
    <t>рішення Сумської міської  ради  від  24 грудня 2015 року</t>
  </si>
  <si>
    <t xml:space="preserve">№ 144-МР «Про  Програму   економічного і  соціального  </t>
  </si>
  <si>
    <t>від   26 жовтня  2016  року    № 1270-МР</t>
  </si>
  <si>
    <t>Сумський міський голова</t>
  </si>
  <si>
    <t>________________</t>
  </si>
  <si>
    <t>розвитку  м.Суми  на  2016 рік» (зі змінами)</t>
  </si>
  <si>
    <t xml:space="preserve">                                   Додаток 1</t>
  </si>
  <si>
    <t>Збереження, розвиток, реконструкція та реставрація пам'яток історії та культури, в т.ч.: 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</si>
</sst>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\ _г_р_н_._-;\-* #,##0\ _г_р_н_._-;_-* &quot;-&quot;??\ _г_р_н_._-;_-@_-"/>
    <numFmt numFmtId="194" formatCode="#,##0.0"/>
    <numFmt numFmtId="195" formatCode="[$-422]d\ mmmm\ yyyy&quot; р.&quot;"/>
    <numFmt numFmtId="196" formatCode="#,##0.000"/>
    <numFmt numFmtId="197" formatCode="_-* #,##0.0\ _г_р_н_._-;\-* #,##0.0\ _г_р_н_._-;_-* &quot;-&quot;??\ _г_р_н_._-;_-@_-"/>
    <numFmt numFmtId="198" formatCode="#,##0.00_ ;\-#,##0.00\ "/>
    <numFmt numFmtId="199" formatCode="#,##0.0_ ;\-#,##0.0\ "/>
    <numFmt numFmtId="200" formatCode="#,##0_ ;\-#,##0\ "/>
    <numFmt numFmtId="201" formatCode="#,##0.0000"/>
  </numFmts>
  <fonts count="3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2" fillId="0" borderId="0" xfId="0" applyFont="1" applyFill="1" applyBorder="1" applyAlignment="1">
      <alignment vertical="center" textRotation="180"/>
    </xf>
    <xf numFmtId="0" fontId="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3" fontId="1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textRotation="180"/>
    </xf>
    <xf numFmtId="3" fontId="1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horizontal="left" vertical="center"/>
    </xf>
    <xf numFmtId="194" fontId="31" fillId="0" borderId="10" xfId="0" applyNumberFormat="1" applyFont="1" applyFill="1" applyBorder="1" applyAlignment="1">
      <alignment vertical="center"/>
    </xf>
    <xf numFmtId="194" fontId="31" fillId="0" borderId="10" xfId="0" applyNumberFormat="1" applyFont="1" applyFill="1" applyBorder="1" applyAlignment="1">
      <alignment/>
    </xf>
    <xf numFmtId="194" fontId="32" fillId="0" borderId="10" xfId="0" applyNumberFormat="1" applyFont="1" applyFill="1" applyBorder="1" applyAlignment="1">
      <alignment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194" fontId="32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 textRotation="180"/>
    </xf>
    <xf numFmtId="4" fontId="33" fillId="0" borderId="10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wrapText="1"/>
    </xf>
    <xf numFmtId="3" fontId="31" fillId="0" borderId="10" xfId="0" applyNumberFormat="1" applyFont="1" applyFill="1" applyBorder="1" applyAlignment="1">
      <alignment horizontal="center" vertical="center" wrapText="1"/>
    </xf>
    <xf numFmtId="194" fontId="32" fillId="0" borderId="10" xfId="0" applyNumberFormat="1" applyFont="1" applyFill="1" applyBorder="1" applyAlignment="1">
      <alignment vertical="center"/>
    </xf>
    <xf numFmtId="194" fontId="31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194" fontId="31" fillId="0" borderId="10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left" vertical="center"/>
    </xf>
    <xf numFmtId="3" fontId="31" fillId="0" borderId="10" xfId="0" applyNumberFormat="1" applyFont="1" applyFill="1" applyBorder="1" applyAlignment="1">
      <alignment horizontal="right" vertical="center"/>
    </xf>
    <xf numFmtId="4" fontId="31" fillId="0" borderId="10" xfId="0" applyNumberFormat="1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justify" vertical="center" wrapText="1"/>
    </xf>
    <xf numFmtId="194" fontId="32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wrapText="1"/>
    </xf>
    <xf numFmtId="3" fontId="32" fillId="0" borderId="11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wrapText="1"/>
    </xf>
    <xf numFmtId="194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194" fontId="31" fillId="0" borderId="10" xfId="0" applyNumberFormat="1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3" fontId="31" fillId="0" borderId="1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4" fontId="32" fillId="0" borderId="10" xfId="0" applyNumberFormat="1" applyFont="1" applyFill="1" applyBorder="1" applyAlignment="1">
      <alignment vertical="center" textRotation="180"/>
    </xf>
    <xf numFmtId="0" fontId="31" fillId="0" borderId="0" xfId="0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 textRotation="180"/>
    </xf>
    <xf numFmtId="0" fontId="32" fillId="0" borderId="0" xfId="0" applyFont="1" applyFill="1" applyBorder="1" applyAlignment="1">
      <alignment horizontal="left" vertical="distributed" wrapText="1"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192" fontId="32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vertical="top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3" fontId="32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textRotation="180"/>
    </xf>
    <xf numFmtId="0" fontId="31" fillId="0" borderId="0" xfId="0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vertical="center"/>
    </xf>
    <xf numFmtId="3" fontId="35" fillId="0" borderId="10" xfId="0" applyNumberFormat="1" applyFont="1" applyFill="1" applyBorder="1" applyAlignment="1">
      <alignment horizontal="center" vertical="center" wrapText="1"/>
    </xf>
    <xf numFmtId="194" fontId="35" fillId="0" borderId="10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vertical="center"/>
    </xf>
    <xf numFmtId="194" fontId="35" fillId="0" borderId="10" xfId="0" applyNumberFormat="1" applyFont="1" applyFill="1" applyBorder="1" applyAlignment="1">
      <alignment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justify" vertical="center" wrapText="1"/>
    </xf>
    <xf numFmtId="192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92" fontId="31" fillId="0" borderId="0" xfId="0" applyNumberFormat="1" applyFont="1" applyFill="1" applyBorder="1" applyAlignment="1">
      <alignment horizontal="right" vertical="center"/>
    </xf>
    <xf numFmtId="1" fontId="32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19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194" fontId="36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94" fontId="1" fillId="0" borderId="0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194" fontId="36" fillId="0" borderId="0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92" fontId="32" fillId="0" borderId="0" xfId="0" applyNumberFormat="1" applyFont="1" applyFill="1" applyBorder="1" applyAlignment="1">
      <alignment horizontal="center" vertical="center"/>
    </xf>
    <xf numFmtId="192" fontId="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192" fontId="6" fillId="0" borderId="0" xfId="0" applyNumberFormat="1" applyFont="1" applyFill="1" applyBorder="1" applyAlignment="1">
      <alignment vertical="center"/>
    </xf>
    <xf numFmtId="2" fontId="32" fillId="0" borderId="0" xfId="0" applyNumberFormat="1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wrapText="1"/>
    </xf>
    <xf numFmtId="0" fontId="32" fillId="0" borderId="12" xfId="0" applyFont="1" applyFill="1" applyBorder="1" applyAlignment="1">
      <alignment horizontal="left" wrapText="1"/>
    </xf>
    <xf numFmtId="0" fontId="32" fillId="0" borderId="12" xfId="0" applyFont="1" applyFill="1" applyBorder="1" applyAlignment="1">
      <alignment vertical="center"/>
    </xf>
    <xf numFmtId="0" fontId="31" fillId="0" borderId="12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justify" vertical="center" wrapText="1"/>
    </xf>
    <xf numFmtId="0" fontId="32" fillId="0" borderId="12" xfId="0" applyFont="1" applyFill="1" applyBorder="1" applyAlignment="1">
      <alignment wrapText="1"/>
    </xf>
    <xf numFmtId="0" fontId="35" fillId="0" borderId="12" xfId="0" applyFont="1" applyFill="1" applyBorder="1" applyAlignment="1">
      <alignment horizontal="justify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/>
    </xf>
    <xf numFmtId="0" fontId="31" fillId="0" borderId="1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vertical="distributed" wrapText="1"/>
    </xf>
    <xf numFmtId="3" fontId="3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4" fontId="32" fillId="0" borderId="0" xfId="0" applyNumberFormat="1" applyFont="1" applyFill="1" applyAlignment="1">
      <alignment horizontal="left"/>
    </xf>
    <xf numFmtId="14" fontId="32" fillId="0" borderId="0" xfId="0" applyNumberFormat="1" applyFont="1" applyFill="1" applyBorder="1" applyAlignment="1">
      <alignment horizontal="left"/>
    </xf>
    <xf numFmtId="3" fontId="3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distributed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FA353"/>
  <sheetViews>
    <sheetView showZeros="0" tabSelected="1" view="pageBreakPreview" zoomScale="60" zoomScaleNormal="75" zoomScalePageLayoutView="0" workbookViewId="0" topLeftCell="C1">
      <selection activeCell="V89" sqref="V89:Y94"/>
    </sheetView>
  </sheetViews>
  <sheetFormatPr defaultColWidth="9.125" defaultRowHeight="12.75"/>
  <cols>
    <col min="1" max="1" width="15.75390625" style="2" hidden="1" customWidth="1"/>
    <col min="2" max="2" width="19.375" style="2" hidden="1" customWidth="1"/>
    <col min="3" max="3" width="156.125" style="2" customWidth="1"/>
    <col min="4" max="4" width="51.25390625" style="2" hidden="1" customWidth="1"/>
    <col min="5" max="5" width="19.25390625" style="2" hidden="1" customWidth="1"/>
    <col min="6" max="6" width="33.75390625" style="2" customWidth="1"/>
    <col min="7" max="7" width="26.75390625" style="2" customWidth="1"/>
    <col min="8" max="8" width="20.25390625" style="2" hidden="1" customWidth="1"/>
    <col min="9" max="9" width="25.75390625" style="2" customWidth="1"/>
    <col min="10" max="10" width="21.25390625" style="12" hidden="1" customWidth="1"/>
    <col min="11" max="11" width="18.25390625" style="11" hidden="1" customWidth="1"/>
    <col min="12" max="12" width="20.75390625" style="9" hidden="1" customWidth="1"/>
    <col min="13" max="13" width="27.625" style="130" customWidth="1"/>
    <col min="14" max="14" width="19.875" style="9" bestFit="1" customWidth="1"/>
    <col min="15" max="15" width="15.625" style="9" customWidth="1"/>
    <col min="16" max="16" width="22.25390625" style="9" customWidth="1"/>
    <col min="17" max="17" width="11.125" style="9" customWidth="1"/>
    <col min="18" max="18" width="19.375" style="9" customWidth="1"/>
    <col min="19" max="19" width="18.625" style="9" customWidth="1"/>
    <col min="20" max="20" width="16.00390625" style="9" customWidth="1"/>
    <col min="21" max="21" width="19.125" style="9" customWidth="1"/>
    <col min="22" max="24" width="9.125" style="9" customWidth="1"/>
    <col min="25" max="25" width="30.25390625" style="9" customWidth="1"/>
    <col min="26" max="156" width="9.125" style="9" customWidth="1"/>
    <col min="157" max="16384" width="9.125" style="2" customWidth="1"/>
  </cols>
  <sheetData>
    <row r="1" spans="5:13" ht="27.75">
      <c r="E1" s="3"/>
      <c r="F1" s="148" t="s">
        <v>299</v>
      </c>
      <c r="G1" s="148"/>
      <c r="H1" s="148"/>
      <c r="I1" s="148"/>
      <c r="J1" s="148"/>
      <c r="K1" s="148"/>
      <c r="L1" s="148"/>
      <c r="M1" s="148"/>
    </row>
    <row r="2" spans="5:13" ht="27.75">
      <c r="E2" s="3"/>
      <c r="F2" s="148" t="s">
        <v>292</v>
      </c>
      <c r="G2" s="148"/>
      <c r="H2" s="148"/>
      <c r="I2" s="148"/>
      <c r="J2" s="148"/>
      <c r="K2" s="148"/>
      <c r="L2" s="148"/>
      <c r="M2" s="148"/>
    </row>
    <row r="3" spans="5:13" ht="33" customHeight="1">
      <c r="E3" s="3"/>
      <c r="F3" s="148" t="s">
        <v>293</v>
      </c>
      <c r="G3" s="148"/>
      <c r="H3" s="148"/>
      <c r="I3" s="148"/>
      <c r="J3" s="148"/>
      <c r="K3" s="148"/>
      <c r="L3" s="148"/>
      <c r="M3" s="148"/>
    </row>
    <row r="4" spans="6:13" ht="27.75">
      <c r="F4" s="148" t="s">
        <v>294</v>
      </c>
      <c r="G4" s="148"/>
      <c r="H4" s="148"/>
      <c r="I4" s="148"/>
      <c r="J4" s="148"/>
      <c r="K4" s="148"/>
      <c r="L4" s="148"/>
      <c r="M4" s="148"/>
    </row>
    <row r="5" spans="6:13" ht="33" customHeight="1">
      <c r="F5" s="148" t="s">
        <v>298</v>
      </c>
      <c r="G5" s="148"/>
      <c r="H5" s="148"/>
      <c r="I5" s="148"/>
      <c r="J5" s="148"/>
      <c r="K5" s="148"/>
      <c r="L5" s="148"/>
      <c r="M5" s="148"/>
    </row>
    <row r="6" spans="6:13" ht="27.75">
      <c r="F6" s="148" t="s">
        <v>295</v>
      </c>
      <c r="G6" s="148"/>
      <c r="H6" s="148"/>
      <c r="I6" s="148"/>
      <c r="J6" s="148"/>
      <c r="K6" s="148"/>
      <c r="L6" s="148"/>
      <c r="M6" s="148"/>
    </row>
    <row r="7" spans="7:13" ht="33">
      <c r="G7" s="131"/>
      <c r="H7" s="131"/>
      <c r="I7" s="131"/>
      <c r="J7" s="131"/>
      <c r="K7" s="131"/>
      <c r="L7" s="131"/>
      <c r="M7" s="131"/>
    </row>
    <row r="8" spans="7:13" ht="33">
      <c r="G8" s="4"/>
      <c r="H8" s="4"/>
      <c r="I8" s="4"/>
      <c r="J8" s="4"/>
      <c r="K8" s="4"/>
      <c r="L8" s="4"/>
      <c r="M8" s="95"/>
    </row>
    <row r="9" spans="1:156" s="6" customFormat="1" ht="27">
      <c r="A9" s="13" t="s">
        <v>26</v>
      </c>
      <c r="B9" s="13"/>
      <c r="C9" s="160" t="s">
        <v>256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</row>
    <row r="10" spans="1:156" s="6" customFormat="1" ht="27">
      <c r="A10" s="14"/>
      <c r="B10" s="14"/>
      <c r="C10" s="161" t="s">
        <v>257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</row>
    <row r="11" spans="3:156" s="6" customFormat="1" ht="27">
      <c r="C11" s="5"/>
      <c r="D11" s="5"/>
      <c r="E11" s="5"/>
      <c r="F11" s="5"/>
      <c r="G11" s="5"/>
      <c r="H11" s="5"/>
      <c r="I11" s="5"/>
      <c r="J11" s="7"/>
      <c r="K11" s="1"/>
      <c r="L11" s="8"/>
      <c r="M11" s="97" t="s">
        <v>259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</row>
    <row r="12" spans="1:156" s="6" customFormat="1" ht="63" customHeight="1">
      <c r="A12" s="151" t="s">
        <v>75</v>
      </c>
      <c r="B12" s="151" t="s">
        <v>98</v>
      </c>
      <c r="C12" s="152" t="s">
        <v>258</v>
      </c>
      <c r="D12" s="151" t="s">
        <v>0</v>
      </c>
      <c r="E12" s="157" t="s">
        <v>1</v>
      </c>
      <c r="F12" s="152" t="s">
        <v>1</v>
      </c>
      <c r="G12" s="152" t="s">
        <v>8</v>
      </c>
      <c r="H12" s="157" t="s">
        <v>2</v>
      </c>
      <c r="I12" s="152" t="s">
        <v>2</v>
      </c>
      <c r="J12" s="158" t="s">
        <v>3</v>
      </c>
      <c r="K12" s="151" t="s">
        <v>100</v>
      </c>
      <c r="L12" s="151" t="s">
        <v>101</v>
      </c>
      <c r="M12" s="152" t="s">
        <v>3</v>
      </c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</row>
    <row r="13" spans="1:13" ht="99" customHeight="1">
      <c r="A13" s="151"/>
      <c r="B13" s="151"/>
      <c r="C13" s="152"/>
      <c r="D13" s="151"/>
      <c r="E13" s="157"/>
      <c r="F13" s="152"/>
      <c r="G13" s="152"/>
      <c r="H13" s="157"/>
      <c r="I13" s="152"/>
      <c r="J13" s="158"/>
      <c r="K13" s="151"/>
      <c r="L13" s="151"/>
      <c r="M13" s="152"/>
    </row>
    <row r="14" spans="1:156" s="76" customFormat="1" ht="20.25">
      <c r="A14" s="16">
        <v>1</v>
      </c>
      <c r="B14" s="16">
        <v>2</v>
      </c>
      <c r="C14" s="16">
        <v>1</v>
      </c>
      <c r="D14" s="16">
        <v>4</v>
      </c>
      <c r="E14" s="16"/>
      <c r="F14" s="16">
        <v>2</v>
      </c>
      <c r="G14" s="16">
        <v>3</v>
      </c>
      <c r="H14" s="16"/>
      <c r="I14" s="16">
        <v>4</v>
      </c>
      <c r="J14" s="17"/>
      <c r="K14" s="17"/>
      <c r="L14" s="17"/>
      <c r="M14" s="98">
        <v>5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</row>
    <row r="15" spans="1:156" s="102" customFormat="1" ht="20.25">
      <c r="A15" s="24"/>
      <c r="B15" s="24"/>
      <c r="C15" s="25" t="s">
        <v>245</v>
      </c>
      <c r="D15" s="26"/>
      <c r="E15" s="27"/>
      <c r="F15" s="27">
        <f>ROUND(E15/1000,1)</f>
        <v>0</v>
      </c>
      <c r="G15" s="27"/>
      <c r="H15" s="27"/>
      <c r="I15" s="28">
        <f>ROUND(H15/1000,1)</f>
        <v>0</v>
      </c>
      <c r="J15" s="29">
        <f>SUM(J16:J23)+J26+J27+J28</f>
        <v>59787029</v>
      </c>
      <c r="K15" s="29">
        <f>SUM(K16:K23)+K26+K27+K28</f>
        <v>-55400</v>
      </c>
      <c r="L15" s="29">
        <f>SUM(L16:L23)+L26+L27+L28</f>
        <v>59731629</v>
      </c>
      <c r="M15" s="21">
        <f>SUM(M16:M23)+M26+M27+M28</f>
        <v>60233.6</v>
      </c>
      <c r="N15" s="73"/>
      <c r="O15" s="100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</row>
    <row r="16" spans="1:156" s="102" customFormat="1" ht="20.25">
      <c r="A16" s="30" t="s">
        <v>9</v>
      </c>
      <c r="B16" s="30" t="s">
        <v>76</v>
      </c>
      <c r="C16" s="26" t="s">
        <v>10</v>
      </c>
      <c r="D16" s="20" t="s">
        <v>11</v>
      </c>
      <c r="E16" s="27"/>
      <c r="F16" s="27">
        <f aca="true" t="shared" si="0" ref="F16:F82">ROUND(E16/1000,1)</f>
        <v>0</v>
      </c>
      <c r="G16" s="27"/>
      <c r="H16" s="27"/>
      <c r="I16" s="28">
        <f aca="true" t="shared" si="1" ref="I16:I82">ROUND(H16/1000,1)</f>
        <v>0</v>
      </c>
      <c r="J16" s="31">
        <f>4043480+1612806+34835</f>
        <v>5691121</v>
      </c>
      <c r="K16" s="31">
        <v>33600</v>
      </c>
      <c r="L16" s="31">
        <f aca="true" t="shared" si="2" ref="L16:L22">K16+J16</f>
        <v>5724721</v>
      </c>
      <c r="M16" s="40">
        <f>ROUND(L16/1000,1)+64</f>
        <v>5788.7</v>
      </c>
      <c r="N16" s="73"/>
      <c r="O16" s="100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</row>
    <row r="17" spans="1:156" s="102" customFormat="1" ht="20.25">
      <c r="A17" s="30" t="s">
        <v>115</v>
      </c>
      <c r="B17" s="30" t="s">
        <v>117</v>
      </c>
      <c r="C17" s="26" t="s">
        <v>116</v>
      </c>
      <c r="D17" s="20" t="s">
        <v>11</v>
      </c>
      <c r="E17" s="27"/>
      <c r="F17" s="27">
        <f t="shared" si="0"/>
        <v>0</v>
      </c>
      <c r="G17" s="27"/>
      <c r="H17" s="27"/>
      <c r="I17" s="28">
        <f t="shared" si="1"/>
        <v>0</v>
      </c>
      <c r="J17" s="31">
        <v>9645</v>
      </c>
      <c r="K17" s="31"/>
      <c r="L17" s="31">
        <f t="shared" si="2"/>
        <v>9645</v>
      </c>
      <c r="M17" s="40">
        <f aca="true" t="shared" si="3" ref="M17:M82">ROUND(L17/1000,1)</f>
        <v>9.6</v>
      </c>
      <c r="N17" s="73"/>
      <c r="O17" s="100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</row>
    <row r="18" spans="1:156" s="102" customFormat="1" ht="20.25">
      <c r="A18" s="30" t="s">
        <v>59</v>
      </c>
      <c r="B18" s="30" t="s">
        <v>77</v>
      </c>
      <c r="C18" s="26" t="s">
        <v>39</v>
      </c>
      <c r="D18" s="20" t="s">
        <v>11</v>
      </c>
      <c r="E18" s="27"/>
      <c r="F18" s="27">
        <f t="shared" si="0"/>
        <v>0</v>
      </c>
      <c r="G18" s="27"/>
      <c r="H18" s="27"/>
      <c r="I18" s="28">
        <f t="shared" si="1"/>
        <v>0</v>
      </c>
      <c r="J18" s="31">
        <f>74759+42000</f>
        <v>116759</v>
      </c>
      <c r="K18" s="31"/>
      <c r="L18" s="31">
        <f t="shared" si="2"/>
        <v>116759</v>
      </c>
      <c r="M18" s="40">
        <f t="shared" si="3"/>
        <v>116.8</v>
      </c>
      <c r="N18" s="73"/>
      <c r="O18" s="100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</row>
    <row r="19" spans="1:156" s="102" customFormat="1" ht="20.25">
      <c r="A19" s="30" t="s">
        <v>30</v>
      </c>
      <c r="B19" s="30" t="s">
        <v>78</v>
      </c>
      <c r="C19" s="26" t="s">
        <v>31</v>
      </c>
      <c r="D19" s="20" t="s">
        <v>11</v>
      </c>
      <c r="E19" s="27"/>
      <c r="F19" s="27">
        <f t="shared" si="0"/>
        <v>0</v>
      </c>
      <c r="G19" s="27"/>
      <c r="H19" s="27"/>
      <c r="I19" s="28">
        <f t="shared" si="1"/>
        <v>0</v>
      </c>
      <c r="J19" s="31">
        <f>210000-13000+14000</f>
        <v>211000</v>
      </c>
      <c r="K19" s="31"/>
      <c r="L19" s="31">
        <f t="shared" si="2"/>
        <v>211000</v>
      </c>
      <c r="M19" s="40">
        <f>ROUND(L19/1000,1)+33</f>
        <v>244</v>
      </c>
      <c r="N19" s="73"/>
      <c r="O19" s="100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</row>
    <row r="20" spans="1:156" s="102" customFormat="1" ht="20.25">
      <c r="A20" s="30" t="s">
        <v>22</v>
      </c>
      <c r="B20" s="30" t="s">
        <v>78</v>
      </c>
      <c r="C20" s="26" t="s">
        <v>36</v>
      </c>
      <c r="D20" s="20" t="s">
        <v>11</v>
      </c>
      <c r="E20" s="32"/>
      <c r="F20" s="27">
        <f t="shared" si="0"/>
        <v>0</v>
      </c>
      <c r="G20" s="32"/>
      <c r="H20" s="32"/>
      <c r="I20" s="28">
        <f t="shared" si="1"/>
        <v>0</v>
      </c>
      <c r="J20" s="31">
        <f>500000+96600</f>
        <v>596600</v>
      </c>
      <c r="K20" s="31"/>
      <c r="L20" s="31">
        <f t="shared" si="2"/>
        <v>596600</v>
      </c>
      <c r="M20" s="40">
        <f t="shared" si="3"/>
        <v>596.6</v>
      </c>
      <c r="N20" s="73"/>
      <c r="O20" s="100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</row>
    <row r="21" spans="1:156" s="102" customFormat="1" ht="40.5">
      <c r="A21" s="30" t="s">
        <v>188</v>
      </c>
      <c r="B21" s="30" t="s">
        <v>78</v>
      </c>
      <c r="C21" s="26" t="s">
        <v>189</v>
      </c>
      <c r="D21" s="20" t="s">
        <v>11</v>
      </c>
      <c r="E21" s="32"/>
      <c r="F21" s="27">
        <f t="shared" si="0"/>
        <v>0</v>
      </c>
      <c r="G21" s="32"/>
      <c r="H21" s="32"/>
      <c r="I21" s="28">
        <f t="shared" si="1"/>
        <v>0</v>
      </c>
      <c r="J21" s="31">
        <f>12000+11000</f>
        <v>23000</v>
      </c>
      <c r="K21" s="31"/>
      <c r="L21" s="31">
        <f t="shared" si="2"/>
        <v>23000</v>
      </c>
      <c r="M21" s="40">
        <f t="shared" si="3"/>
        <v>23</v>
      </c>
      <c r="N21" s="73"/>
      <c r="O21" s="100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</row>
    <row r="22" spans="1:156" s="102" customFormat="1" ht="20.25">
      <c r="A22" s="30" t="s">
        <v>202</v>
      </c>
      <c r="B22" s="30" t="s">
        <v>204</v>
      </c>
      <c r="C22" s="26" t="s">
        <v>203</v>
      </c>
      <c r="D22" s="20" t="s">
        <v>11</v>
      </c>
      <c r="E22" s="32"/>
      <c r="F22" s="27">
        <f t="shared" si="0"/>
        <v>0</v>
      </c>
      <c r="G22" s="32"/>
      <c r="H22" s="32"/>
      <c r="I22" s="28">
        <f t="shared" si="1"/>
        <v>0</v>
      </c>
      <c r="J22" s="31">
        <v>650000</v>
      </c>
      <c r="K22" s="31"/>
      <c r="L22" s="31">
        <f t="shared" si="2"/>
        <v>650000</v>
      </c>
      <c r="M22" s="40">
        <f t="shared" si="3"/>
        <v>650</v>
      </c>
      <c r="N22" s="73"/>
      <c r="O22" s="100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</row>
    <row r="23" spans="1:156" s="102" customFormat="1" ht="40.5">
      <c r="A23" s="17">
        <v>180409</v>
      </c>
      <c r="B23" s="30" t="s">
        <v>79</v>
      </c>
      <c r="C23" s="26" t="s">
        <v>255</v>
      </c>
      <c r="D23" s="20" t="s">
        <v>11</v>
      </c>
      <c r="E23" s="33"/>
      <c r="F23" s="27">
        <f t="shared" si="0"/>
        <v>0</v>
      </c>
      <c r="G23" s="33"/>
      <c r="H23" s="33"/>
      <c r="I23" s="28">
        <f t="shared" si="1"/>
        <v>0</v>
      </c>
      <c r="J23" s="31">
        <f>J24</f>
        <v>51400000</v>
      </c>
      <c r="K23" s="31"/>
      <c r="L23" s="31">
        <f>L24</f>
        <v>51400000</v>
      </c>
      <c r="M23" s="40">
        <f>M24+M25</f>
        <v>51805</v>
      </c>
      <c r="N23" s="73"/>
      <c r="O23" s="100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</row>
    <row r="24" spans="1:156" s="106" customFormat="1" ht="40.5">
      <c r="A24" s="86"/>
      <c r="B24" s="86"/>
      <c r="C24" s="87" t="s">
        <v>58</v>
      </c>
      <c r="D24" s="87" t="s">
        <v>58</v>
      </c>
      <c r="E24" s="88"/>
      <c r="F24" s="89">
        <f t="shared" si="0"/>
        <v>0</v>
      </c>
      <c r="G24" s="88"/>
      <c r="H24" s="88"/>
      <c r="I24" s="90">
        <f t="shared" si="1"/>
        <v>0</v>
      </c>
      <c r="J24" s="91">
        <f>50000000-4000000+5400000</f>
        <v>51400000</v>
      </c>
      <c r="K24" s="91"/>
      <c r="L24" s="91">
        <f>K24+J24</f>
        <v>51400000</v>
      </c>
      <c r="M24" s="92">
        <f t="shared" si="3"/>
        <v>51400</v>
      </c>
      <c r="N24" s="103"/>
      <c r="O24" s="104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</row>
    <row r="25" spans="1:156" s="106" customFormat="1" ht="20.25">
      <c r="A25" s="86"/>
      <c r="B25" s="86"/>
      <c r="C25" s="87" t="s">
        <v>282</v>
      </c>
      <c r="D25" s="134"/>
      <c r="E25" s="88"/>
      <c r="F25" s="89"/>
      <c r="G25" s="88"/>
      <c r="H25" s="88"/>
      <c r="I25" s="90"/>
      <c r="J25" s="91"/>
      <c r="K25" s="91"/>
      <c r="L25" s="91"/>
      <c r="M25" s="92">
        <v>405</v>
      </c>
      <c r="N25" s="103"/>
      <c r="O25" s="104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</row>
    <row r="26" spans="1:156" s="102" customFormat="1" ht="20.25">
      <c r="A26" s="17">
        <v>210106</v>
      </c>
      <c r="B26" s="30" t="s">
        <v>80</v>
      </c>
      <c r="C26" s="26" t="s">
        <v>46</v>
      </c>
      <c r="D26" s="135" t="s">
        <v>11</v>
      </c>
      <c r="E26" s="27"/>
      <c r="F26" s="27">
        <f t="shared" si="0"/>
        <v>0</v>
      </c>
      <c r="G26" s="27"/>
      <c r="H26" s="27"/>
      <c r="I26" s="28">
        <f t="shared" si="1"/>
        <v>0</v>
      </c>
      <c r="J26" s="31">
        <f>500000-156126</f>
        <v>343874</v>
      </c>
      <c r="K26" s="34"/>
      <c r="L26" s="31">
        <f>K26+J26</f>
        <v>343874</v>
      </c>
      <c r="M26" s="40">
        <f t="shared" si="3"/>
        <v>343.9</v>
      </c>
      <c r="N26" s="73"/>
      <c r="O26" s="100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</row>
    <row r="27" spans="1:156" s="102" customFormat="1" ht="20.25">
      <c r="A27" s="17">
        <v>250404</v>
      </c>
      <c r="B27" s="30" t="s">
        <v>111</v>
      </c>
      <c r="C27" s="26" t="s">
        <v>110</v>
      </c>
      <c r="D27" s="135" t="s">
        <v>11</v>
      </c>
      <c r="E27" s="27"/>
      <c r="F27" s="27">
        <f t="shared" si="0"/>
        <v>0</v>
      </c>
      <c r="G27" s="27"/>
      <c r="H27" s="27"/>
      <c r="I27" s="28">
        <f t="shared" si="1"/>
        <v>0</v>
      </c>
      <c r="J27" s="31">
        <f>114000+22200</f>
        <v>136200</v>
      </c>
      <c r="K27" s="31">
        <f>-25000-64000</f>
        <v>-89000</v>
      </c>
      <c r="L27" s="31">
        <f>K27+J27</f>
        <v>47200</v>
      </c>
      <c r="M27" s="40">
        <f t="shared" si="3"/>
        <v>47.2</v>
      </c>
      <c r="N27" s="73"/>
      <c r="O27" s="100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</row>
    <row r="28" spans="1:156" s="102" customFormat="1" ht="40.5">
      <c r="A28" s="17">
        <v>250344</v>
      </c>
      <c r="B28" s="30" t="s">
        <v>97</v>
      </c>
      <c r="C28" s="26" t="s">
        <v>209</v>
      </c>
      <c r="D28" s="135" t="s">
        <v>11</v>
      </c>
      <c r="E28" s="27"/>
      <c r="F28" s="27">
        <f t="shared" si="0"/>
        <v>0</v>
      </c>
      <c r="G28" s="27"/>
      <c r="H28" s="27"/>
      <c r="I28" s="28">
        <f t="shared" si="1"/>
        <v>0</v>
      </c>
      <c r="J28" s="31">
        <f>518830+90000</f>
        <v>608830</v>
      </c>
      <c r="K28" s="31"/>
      <c r="L28" s="31">
        <f>K28+J28</f>
        <v>608830</v>
      </c>
      <c r="M28" s="40">
        <f t="shared" si="3"/>
        <v>608.8</v>
      </c>
      <c r="N28" s="73"/>
      <c r="O28" s="100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</row>
    <row r="29" spans="1:156" s="102" customFormat="1" ht="20.25">
      <c r="A29" s="24"/>
      <c r="B29" s="24"/>
      <c r="C29" s="25" t="s">
        <v>246</v>
      </c>
      <c r="D29" s="135"/>
      <c r="E29" s="27"/>
      <c r="F29" s="27">
        <f t="shared" si="0"/>
        <v>0</v>
      </c>
      <c r="G29" s="27"/>
      <c r="H29" s="27"/>
      <c r="I29" s="28">
        <f t="shared" si="1"/>
        <v>0</v>
      </c>
      <c r="J29" s="29">
        <f>SUM(J30:J38)</f>
        <v>23892033.45</v>
      </c>
      <c r="K29" s="29">
        <f>SUM(K30:K38)</f>
        <v>316336</v>
      </c>
      <c r="L29" s="29">
        <f>SUM(L30:L38)</f>
        <v>24208369.45</v>
      </c>
      <c r="M29" s="21">
        <f>SUM(M30:M38)</f>
        <v>27546.5</v>
      </c>
      <c r="N29" s="73"/>
      <c r="O29" s="100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</row>
    <row r="30" spans="1:156" s="102" customFormat="1" ht="20.25">
      <c r="A30" s="30" t="s">
        <v>9</v>
      </c>
      <c r="B30" s="30" t="s">
        <v>76</v>
      </c>
      <c r="C30" s="26" t="s">
        <v>10</v>
      </c>
      <c r="D30" s="135" t="s">
        <v>11</v>
      </c>
      <c r="E30" s="27"/>
      <c r="F30" s="27">
        <f t="shared" si="0"/>
        <v>0</v>
      </c>
      <c r="G30" s="27"/>
      <c r="H30" s="27"/>
      <c r="I30" s="28">
        <f t="shared" si="1"/>
        <v>0</v>
      </c>
      <c r="J30" s="31">
        <f>170000+18000+6600</f>
        <v>194600</v>
      </c>
      <c r="K30" s="31"/>
      <c r="L30" s="31">
        <f aca="true" t="shared" si="4" ref="L30:L38">K30+J30</f>
        <v>194600</v>
      </c>
      <c r="M30" s="40">
        <f t="shared" si="3"/>
        <v>194.6</v>
      </c>
      <c r="N30" s="73"/>
      <c r="O30" s="100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</row>
    <row r="31" spans="1:156" s="102" customFormat="1" ht="20.25">
      <c r="A31" s="30" t="s">
        <v>12</v>
      </c>
      <c r="B31" s="30" t="s">
        <v>81</v>
      </c>
      <c r="C31" s="26" t="s">
        <v>13</v>
      </c>
      <c r="D31" s="135" t="s">
        <v>11</v>
      </c>
      <c r="E31" s="27"/>
      <c r="F31" s="27">
        <f t="shared" si="0"/>
        <v>0</v>
      </c>
      <c r="G31" s="27"/>
      <c r="H31" s="27"/>
      <c r="I31" s="28">
        <f t="shared" si="1"/>
        <v>0</v>
      </c>
      <c r="J31" s="31">
        <f>3832900+120392+2400+983150+1220049</f>
        <v>6158891</v>
      </c>
      <c r="K31" s="31">
        <f>17108+265488-2998-5000</f>
        <v>274598</v>
      </c>
      <c r="L31" s="31">
        <f t="shared" si="4"/>
        <v>6433489</v>
      </c>
      <c r="M31" s="40">
        <f>ROUND(L31/1000,1)+670+20.1</f>
        <v>7123.6</v>
      </c>
      <c r="N31" s="73"/>
      <c r="O31" s="100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</row>
    <row r="32" spans="1:156" s="102" customFormat="1" ht="40.5">
      <c r="A32" s="30" t="s">
        <v>64</v>
      </c>
      <c r="B32" s="30" t="s">
        <v>82</v>
      </c>
      <c r="C32" s="26" t="s">
        <v>69</v>
      </c>
      <c r="D32" s="135" t="s">
        <v>11</v>
      </c>
      <c r="E32" s="27"/>
      <c r="F32" s="27">
        <f t="shared" si="0"/>
        <v>0</v>
      </c>
      <c r="G32" s="27"/>
      <c r="H32" s="27"/>
      <c r="I32" s="28">
        <f t="shared" si="1"/>
        <v>0</v>
      </c>
      <c r="J32" s="31">
        <f>11144755+712693.45+471241+2413157+1855933</f>
        <v>16597779.45</v>
      </c>
      <c r="K32" s="35"/>
      <c r="L32" s="31">
        <f t="shared" si="4"/>
        <v>16597779.45</v>
      </c>
      <c r="M32" s="40">
        <f>ROUND(L32/1000,1)+8+2280+291.6+68.4</f>
        <v>19245.8</v>
      </c>
      <c r="N32" s="73"/>
      <c r="O32" s="100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</row>
    <row r="33" spans="1:156" s="102" customFormat="1" ht="40.5">
      <c r="A33" s="30" t="s">
        <v>65</v>
      </c>
      <c r="B33" s="30" t="s">
        <v>83</v>
      </c>
      <c r="C33" s="26" t="s">
        <v>70</v>
      </c>
      <c r="D33" s="135" t="s">
        <v>11</v>
      </c>
      <c r="E33" s="27"/>
      <c r="F33" s="27">
        <f t="shared" si="0"/>
        <v>0</v>
      </c>
      <c r="G33" s="27"/>
      <c r="H33" s="27"/>
      <c r="I33" s="28">
        <f t="shared" si="1"/>
        <v>0</v>
      </c>
      <c r="J33" s="31">
        <f>150000-26417+6200</f>
        <v>129783</v>
      </c>
      <c r="K33" s="35"/>
      <c r="L33" s="31">
        <f t="shared" si="4"/>
        <v>129783</v>
      </c>
      <c r="M33" s="40">
        <f t="shared" si="3"/>
        <v>129.8</v>
      </c>
      <c r="N33" s="73"/>
      <c r="O33" s="100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</row>
    <row r="34" spans="1:156" s="102" customFormat="1" ht="20.25">
      <c r="A34" s="30" t="s">
        <v>66</v>
      </c>
      <c r="B34" s="30" t="s">
        <v>84</v>
      </c>
      <c r="C34" s="26" t="s">
        <v>71</v>
      </c>
      <c r="D34" s="135" t="s">
        <v>11</v>
      </c>
      <c r="E34" s="27"/>
      <c r="F34" s="27">
        <f t="shared" si="0"/>
        <v>0</v>
      </c>
      <c r="G34" s="27"/>
      <c r="H34" s="27"/>
      <c r="I34" s="28">
        <f t="shared" si="1"/>
        <v>0</v>
      </c>
      <c r="J34" s="31">
        <f>525000-75000</f>
        <v>450000</v>
      </c>
      <c r="K34" s="35"/>
      <c r="L34" s="31">
        <f t="shared" si="4"/>
        <v>450000</v>
      </c>
      <c r="M34" s="40">
        <f t="shared" si="3"/>
        <v>450</v>
      </c>
      <c r="N34" s="73"/>
      <c r="O34" s="100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</row>
    <row r="35" spans="1:156" s="102" customFormat="1" ht="20.25">
      <c r="A35" s="30" t="s">
        <v>238</v>
      </c>
      <c r="B35" s="107" t="s">
        <v>240</v>
      </c>
      <c r="C35" s="26" t="s">
        <v>239</v>
      </c>
      <c r="D35" s="135" t="s">
        <v>11</v>
      </c>
      <c r="E35" s="27"/>
      <c r="F35" s="27">
        <f t="shared" si="0"/>
        <v>0</v>
      </c>
      <c r="G35" s="27"/>
      <c r="H35" s="27"/>
      <c r="I35" s="28">
        <f t="shared" si="1"/>
        <v>0</v>
      </c>
      <c r="J35" s="31"/>
      <c r="K35" s="35">
        <v>41738</v>
      </c>
      <c r="L35" s="31">
        <f t="shared" si="4"/>
        <v>41738</v>
      </c>
      <c r="M35" s="40">
        <f t="shared" si="3"/>
        <v>41.7</v>
      </c>
      <c r="N35" s="73"/>
      <c r="O35" s="100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</row>
    <row r="36" spans="1:156" s="102" customFormat="1" ht="20.25">
      <c r="A36" s="30" t="s">
        <v>135</v>
      </c>
      <c r="B36" s="30" t="s">
        <v>85</v>
      </c>
      <c r="C36" s="26" t="s">
        <v>137</v>
      </c>
      <c r="D36" s="135" t="s">
        <v>11</v>
      </c>
      <c r="E36" s="27"/>
      <c r="F36" s="27">
        <f t="shared" si="0"/>
        <v>0</v>
      </c>
      <c r="G36" s="27"/>
      <c r="H36" s="27"/>
      <c r="I36" s="28">
        <f t="shared" si="1"/>
        <v>0</v>
      </c>
      <c r="J36" s="31">
        <f>121000-2270</f>
        <v>118730</v>
      </c>
      <c r="K36" s="31"/>
      <c r="L36" s="31">
        <f t="shared" si="4"/>
        <v>118730</v>
      </c>
      <c r="M36" s="40">
        <f t="shared" si="3"/>
        <v>118.7</v>
      </c>
      <c r="N36" s="73"/>
      <c r="O36" s="100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</row>
    <row r="37" spans="1:156" s="102" customFormat="1" ht="20.25">
      <c r="A37" s="30" t="s">
        <v>136</v>
      </c>
      <c r="B37" s="30" t="s">
        <v>85</v>
      </c>
      <c r="C37" s="26" t="s">
        <v>138</v>
      </c>
      <c r="D37" s="135" t="s">
        <v>11</v>
      </c>
      <c r="E37" s="27"/>
      <c r="F37" s="27">
        <f t="shared" si="0"/>
        <v>0</v>
      </c>
      <c r="G37" s="27"/>
      <c r="H37" s="27"/>
      <c r="I37" s="28">
        <f t="shared" si="1"/>
        <v>0</v>
      </c>
      <c r="J37" s="31">
        <f>75000+18000-750</f>
        <v>92250</v>
      </c>
      <c r="K37" s="31"/>
      <c r="L37" s="31">
        <f t="shared" si="4"/>
        <v>92250</v>
      </c>
      <c r="M37" s="40">
        <f t="shared" si="3"/>
        <v>92.3</v>
      </c>
      <c r="N37" s="73"/>
      <c r="O37" s="100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</row>
    <row r="38" spans="1:156" s="102" customFormat="1" ht="20.25">
      <c r="A38" s="30" t="s">
        <v>67</v>
      </c>
      <c r="B38" s="30" t="s">
        <v>85</v>
      </c>
      <c r="C38" s="26" t="s">
        <v>72</v>
      </c>
      <c r="D38" s="135" t="s">
        <v>11</v>
      </c>
      <c r="E38" s="27"/>
      <c r="F38" s="27">
        <f t="shared" si="0"/>
        <v>0</v>
      </c>
      <c r="G38" s="27"/>
      <c r="H38" s="27"/>
      <c r="I38" s="28">
        <f t="shared" si="1"/>
        <v>0</v>
      </c>
      <c r="J38" s="31">
        <v>150000</v>
      </c>
      <c r="K38" s="31"/>
      <c r="L38" s="31">
        <f t="shared" si="4"/>
        <v>150000</v>
      </c>
      <c r="M38" s="40">
        <f t="shared" si="3"/>
        <v>150</v>
      </c>
      <c r="N38" s="73"/>
      <c r="O38" s="100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</row>
    <row r="39" spans="1:156" s="102" customFormat="1" ht="20.25">
      <c r="A39" s="24"/>
      <c r="B39" s="24"/>
      <c r="C39" s="25" t="s">
        <v>247</v>
      </c>
      <c r="D39" s="135"/>
      <c r="E39" s="27"/>
      <c r="F39" s="27">
        <f t="shared" si="0"/>
        <v>0</v>
      </c>
      <c r="G39" s="27"/>
      <c r="H39" s="27"/>
      <c r="I39" s="28">
        <f t="shared" si="1"/>
        <v>0</v>
      </c>
      <c r="J39" s="29">
        <f>SUM(J40:J47)</f>
        <v>25307246</v>
      </c>
      <c r="K39" s="29">
        <f>SUM(K40:K47)</f>
        <v>2200000</v>
      </c>
      <c r="L39" s="29">
        <f>SUM(L40:L47)</f>
        <v>27507246</v>
      </c>
      <c r="M39" s="21">
        <f>SUM(M40:M47)</f>
        <v>30607.200000000004</v>
      </c>
      <c r="N39" s="73"/>
      <c r="O39" s="100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</row>
    <row r="40" spans="1:156" s="102" customFormat="1" ht="20.25">
      <c r="A40" s="30" t="s">
        <v>9</v>
      </c>
      <c r="B40" s="30" t="s">
        <v>76</v>
      </c>
      <c r="C40" s="26" t="s">
        <v>10</v>
      </c>
      <c r="D40" s="135" t="s">
        <v>11</v>
      </c>
      <c r="E40" s="27"/>
      <c r="F40" s="27">
        <f t="shared" si="0"/>
        <v>0</v>
      </c>
      <c r="G40" s="27"/>
      <c r="H40" s="27"/>
      <c r="I40" s="28">
        <f t="shared" si="1"/>
        <v>0</v>
      </c>
      <c r="J40" s="31">
        <f>333200+114700</f>
        <v>447900</v>
      </c>
      <c r="K40" s="31"/>
      <c r="L40" s="31">
        <f aca="true" t="shared" si="5" ref="L40:L47">K40+J40</f>
        <v>447900</v>
      </c>
      <c r="M40" s="40">
        <f t="shared" si="3"/>
        <v>447.9</v>
      </c>
      <c r="N40" s="73"/>
      <c r="O40" s="100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</row>
    <row r="41" spans="1:156" s="102" customFormat="1" ht="20.25">
      <c r="A41" s="30" t="s">
        <v>14</v>
      </c>
      <c r="B41" s="30" t="s">
        <v>86</v>
      </c>
      <c r="C41" s="26" t="s">
        <v>15</v>
      </c>
      <c r="D41" s="135" t="s">
        <v>11</v>
      </c>
      <c r="E41" s="27"/>
      <c r="F41" s="27">
        <f t="shared" si="0"/>
        <v>0</v>
      </c>
      <c r="G41" s="27"/>
      <c r="H41" s="27"/>
      <c r="I41" s="28">
        <f t="shared" si="1"/>
        <v>0</v>
      </c>
      <c r="J41" s="31">
        <f>16431400+350200+35000+553200+813550</f>
        <v>18183350</v>
      </c>
      <c r="K41" s="31"/>
      <c r="L41" s="31">
        <f t="shared" si="5"/>
        <v>18183350</v>
      </c>
      <c r="M41" s="40">
        <f>ROUND(L41/1000,1)-0.1</f>
        <v>18183.300000000003</v>
      </c>
      <c r="N41" s="73"/>
      <c r="O41" s="100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</row>
    <row r="42" spans="1:156" s="102" customFormat="1" ht="20.25">
      <c r="A42" s="30" t="s">
        <v>29</v>
      </c>
      <c r="B42" s="30" t="s">
        <v>87</v>
      </c>
      <c r="C42" s="26" t="s">
        <v>34</v>
      </c>
      <c r="D42" s="135" t="s">
        <v>11</v>
      </c>
      <c r="E42" s="27"/>
      <c r="F42" s="27">
        <f t="shared" si="0"/>
        <v>0</v>
      </c>
      <c r="G42" s="27"/>
      <c r="H42" s="27"/>
      <c r="I42" s="28">
        <f t="shared" si="1"/>
        <v>0</v>
      </c>
      <c r="J42" s="31">
        <f>2894064+289932</f>
        <v>3183996</v>
      </c>
      <c r="K42" s="31"/>
      <c r="L42" s="31">
        <f t="shared" si="5"/>
        <v>3183996</v>
      </c>
      <c r="M42" s="40">
        <f t="shared" si="3"/>
        <v>3184</v>
      </c>
      <c r="N42" s="73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</row>
    <row r="43" spans="1:156" s="102" customFormat="1" ht="20.25">
      <c r="A43" s="30" t="s">
        <v>61</v>
      </c>
      <c r="B43" s="30" t="s">
        <v>88</v>
      </c>
      <c r="C43" s="26" t="s">
        <v>73</v>
      </c>
      <c r="D43" s="135"/>
      <c r="E43" s="27"/>
      <c r="F43" s="27">
        <f t="shared" si="0"/>
        <v>0</v>
      </c>
      <c r="G43" s="27"/>
      <c r="H43" s="27"/>
      <c r="I43" s="28">
        <f t="shared" si="1"/>
        <v>0</v>
      </c>
      <c r="J43" s="31">
        <v>1000000</v>
      </c>
      <c r="K43" s="31"/>
      <c r="L43" s="31">
        <f t="shared" si="5"/>
        <v>1000000</v>
      </c>
      <c r="M43" s="40">
        <f t="shared" si="3"/>
        <v>1000</v>
      </c>
      <c r="N43" s="73"/>
      <c r="O43" s="100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</row>
    <row r="44" spans="1:156" s="102" customFormat="1" ht="20.25">
      <c r="A44" s="30" t="s">
        <v>43</v>
      </c>
      <c r="B44" s="30" t="s">
        <v>89</v>
      </c>
      <c r="C44" s="26" t="s">
        <v>45</v>
      </c>
      <c r="D44" s="135" t="s">
        <v>11</v>
      </c>
      <c r="E44" s="27"/>
      <c r="F44" s="27">
        <f t="shared" si="0"/>
        <v>0</v>
      </c>
      <c r="G44" s="27"/>
      <c r="H44" s="27"/>
      <c r="I44" s="28">
        <f t="shared" si="1"/>
        <v>0</v>
      </c>
      <c r="J44" s="31">
        <f>2419000+13000</f>
        <v>2432000</v>
      </c>
      <c r="K44" s="31"/>
      <c r="L44" s="31">
        <f t="shared" si="5"/>
        <v>2432000</v>
      </c>
      <c r="M44" s="40">
        <f t="shared" si="3"/>
        <v>2432</v>
      </c>
      <c r="N44" s="73"/>
      <c r="O44" s="100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</row>
    <row r="45" spans="1:156" s="102" customFormat="1" ht="20.25">
      <c r="A45" s="30" t="s">
        <v>133</v>
      </c>
      <c r="B45" s="30" t="s">
        <v>90</v>
      </c>
      <c r="C45" s="26" t="s">
        <v>134</v>
      </c>
      <c r="D45" s="135" t="s">
        <v>11</v>
      </c>
      <c r="E45" s="27"/>
      <c r="F45" s="27">
        <f t="shared" si="0"/>
        <v>0</v>
      </c>
      <c r="G45" s="27"/>
      <c r="H45" s="27"/>
      <c r="I45" s="28">
        <f t="shared" si="1"/>
        <v>0</v>
      </c>
      <c r="J45" s="31">
        <v>20000</v>
      </c>
      <c r="K45" s="31"/>
      <c r="L45" s="31">
        <f t="shared" si="5"/>
        <v>20000</v>
      </c>
      <c r="M45" s="40">
        <f t="shared" si="3"/>
        <v>20</v>
      </c>
      <c r="N45" s="73"/>
      <c r="O45" s="100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</row>
    <row r="46" spans="1:156" s="102" customFormat="1" ht="40.5">
      <c r="A46" s="30" t="s">
        <v>68</v>
      </c>
      <c r="B46" s="30" t="s">
        <v>90</v>
      </c>
      <c r="C46" s="26" t="s">
        <v>91</v>
      </c>
      <c r="D46" s="135"/>
      <c r="E46" s="27"/>
      <c r="F46" s="27">
        <f t="shared" si="0"/>
        <v>0</v>
      </c>
      <c r="G46" s="27"/>
      <c r="H46" s="27"/>
      <c r="I46" s="28">
        <f t="shared" si="1"/>
        <v>0</v>
      </c>
      <c r="J46" s="31">
        <v>40000</v>
      </c>
      <c r="K46" s="31"/>
      <c r="L46" s="31">
        <f t="shared" si="5"/>
        <v>40000</v>
      </c>
      <c r="M46" s="40">
        <f t="shared" si="3"/>
        <v>40</v>
      </c>
      <c r="N46" s="73"/>
      <c r="O46" s="100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</row>
    <row r="47" spans="1:156" s="102" customFormat="1" ht="20.25">
      <c r="A47" s="30" t="s">
        <v>174</v>
      </c>
      <c r="B47" s="30" t="s">
        <v>97</v>
      </c>
      <c r="C47" s="20" t="s">
        <v>20</v>
      </c>
      <c r="D47" s="135" t="s">
        <v>11</v>
      </c>
      <c r="E47" s="27"/>
      <c r="F47" s="27">
        <f t="shared" si="0"/>
        <v>0</v>
      </c>
      <c r="G47" s="27"/>
      <c r="H47" s="27"/>
      <c r="I47" s="28">
        <f t="shared" si="1"/>
        <v>0</v>
      </c>
      <c r="J47" s="31"/>
      <c r="K47" s="31">
        <v>2200000</v>
      </c>
      <c r="L47" s="31">
        <f t="shared" si="5"/>
        <v>2200000</v>
      </c>
      <c r="M47" s="40">
        <f>ROUND(L47/1000,1)-2200+3800+1500</f>
        <v>5300</v>
      </c>
      <c r="N47" s="73"/>
      <c r="O47" s="100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</row>
    <row r="48" spans="1:156" s="102" customFormat="1" ht="20.25">
      <c r="A48" s="24"/>
      <c r="B48" s="24"/>
      <c r="C48" s="25" t="s">
        <v>248</v>
      </c>
      <c r="D48" s="135"/>
      <c r="E48" s="27"/>
      <c r="F48" s="27">
        <f t="shared" si="0"/>
        <v>0</v>
      </c>
      <c r="G48" s="27"/>
      <c r="H48" s="27"/>
      <c r="I48" s="28">
        <f t="shared" si="1"/>
        <v>0</v>
      </c>
      <c r="J48" s="29">
        <f>SUM(J49:J51)</f>
        <v>1018903</v>
      </c>
      <c r="K48" s="29">
        <f>SUM(K49:K51)</f>
        <v>0</v>
      </c>
      <c r="L48" s="29">
        <f>SUM(L49:L51)</f>
        <v>1018903</v>
      </c>
      <c r="M48" s="21">
        <f>SUM(M49:M51)</f>
        <v>1018.9</v>
      </c>
      <c r="N48" s="73"/>
      <c r="O48" s="100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</row>
    <row r="49" spans="1:156" s="102" customFormat="1" ht="20.25">
      <c r="A49" s="30" t="s">
        <v>9</v>
      </c>
      <c r="B49" s="30" t="s">
        <v>76</v>
      </c>
      <c r="C49" s="26" t="s">
        <v>10</v>
      </c>
      <c r="D49" s="135" t="s">
        <v>11</v>
      </c>
      <c r="E49" s="27"/>
      <c r="F49" s="27">
        <f t="shared" si="0"/>
        <v>0</v>
      </c>
      <c r="G49" s="27"/>
      <c r="H49" s="27"/>
      <c r="I49" s="28">
        <f t="shared" si="1"/>
        <v>0</v>
      </c>
      <c r="J49" s="31">
        <f>80000+120000+142500</f>
        <v>342500</v>
      </c>
      <c r="K49" s="31"/>
      <c r="L49" s="31">
        <f>K49+J49</f>
        <v>342500</v>
      </c>
      <c r="M49" s="40">
        <f t="shared" si="3"/>
        <v>342.5</v>
      </c>
      <c r="N49" s="73"/>
      <c r="O49" s="100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</row>
    <row r="50" spans="1:156" s="102" customFormat="1" ht="20.25">
      <c r="A50" s="30" t="s">
        <v>139</v>
      </c>
      <c r="B50" s="30" t="s">
        <v>140</v>
      </c>
      <c r="C50" s="26" t="s">
        <v>141</v>
      </c>
      <c r="D50" s="135" t="s">
        <v>11</v>
      </c>
      <c r="E50" s="27"/>
      <c r="F50" s="27">
        <f t="shared" si="0"/>
        <v>0</v>
      </c>
      <c r="G50" s="27"/>
      <c r="H50" s="27"/>
      <c r="I50" s="28">
        <f t="shared" si="1"/>
        <v>0</v>
      </c>
      <c r="J50" s="31">
        <f>308000+132000-3097-4000</f>
        <v>432903</v>
      </c>
      <c r="K50" s="31"/>
      <c r="L50" s="31">
        <f>K50+J50</f>
        <v>432903</v>
      </c>
      <c r="M50" s="40">
        <f t="shared" si="3"/>
        <v>432.9</v>
      </c>
      <c r="N50" s="73"/>
      <c r="O50" s="100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</row>
    <row r="51" spans="1:156" s="102" customFormat="1" ht="20.25">
      <c r="A51" s="30" t="s">
        <v>23</v>
      </c>
      <c r="B51" s="30" t="s">
        <v>92</v>
      </c>
      <c r="C51" s="20" t="s">
        <v>24</v>
      </c>
      <c r="D51" s="135" t="s">
        <v>11</v>
      </c>
      <c r="E51" s="27"/>
      <c r="F51" s="27">
        <f t="shared" si="0"/>
        <v>0</v>
      </c>
      <c r="G51" s="27"/>
      <c r="H51" s="27"/>
      <c r="I51" s="28">
        <f t="shared" si="1"/>
        <v>0</v>
      </c>
      <c r="J51" s="31">
        <v>243500</v>
      </c>
      <c r="K51" s="31"/>
      <c r="L51" s="31">
        <f>K51+J51</f>
        <v>243500</v>
      </c>
      <c r="M51" s="40">
        <f t="shared" si="3"/>
        <v>243.5</v>
      </c>
      <c r="N51" s="73"/>
      <c r="O51" s="100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</row>
    <row r="52" spans="1:157" s="109" customFormat="1" ht="20.25">
      <c r="A52" s="15"/>
      <c r="B52" s="15"/>
      <c r="C52" s="25" t="s">
        <v>249</v>
      </c>
      <c r="D52" s="135"/>
      <c r="E52" s="36"/>
      <c r="F52" s="27">
        <f t="shared" si="0"/>
        <v>0</v>
      </c>
      <c r="G52" s="36"/>
      <c r="H52" s="36"/>
      <c r="I52" s="28">
        <f t="shared" si="1"/>
        <v>0</v>
      </c>
      <c r="J52" s="29">
        <f>SUM(J53:J56)</f>
        <v>1165000</v>
      </c>
      <c r="K52" s="29">
        <f>SUM(K53:K56)</f>
        <v>0</v>
      </c>
      <c r="L52" s="29">
        <f>SUM(L53:L56)</f>
        <v>1165000</v>
      </c>
      <c r="M52" s="21">
        <f>SUM(M53:M56)</f>
        <v>1165</v>
      </c>
      <c r="N52" s="73"/>
      <c r="O52" s="100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8"/>
    </row>
    <row r="53" spans="1:157" s="109" customFormat="1" ht="20.25">
      <c r="A53" s="30" t="s">
        <v>9</v>
      </c>
      <c r="B53" s="30" t="s">
        <v>76</v>
      </c>
      <c r="C53" s="26" t="s">
        <v>10</v>
      </c>
      <c r="D53" s="135" t="s">
        <v>11</v>
      </c>
      <c r="E53" s="36"/>
      <c r="F53" s="27">
        <f t="shared" si="0"/>
        <v>0</v>
      </c>
      <c r="G53" s="36"/>
      <c r="H53" s="36"/>
      <c r="I53" s="28">
        <f t="shared" si="1"/>
        <v>0</v>
      </c>
      <c r="J53" s="31">
        <v>20000</v>
      </c>
      <c r="K53" s="31"/>
      <c r="L53" s="31">
        <f>K53+J53</f>
        <v>20000</v>
      </c>
      <c r="M53" s="40">
        <f t="shared" si="3"/>
        <v>20</v>
      </c>
      <c r="N53" s="73"/>
      <c r="O53" s="100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8"/>
    </row>
    <row r="54" spans="1:157" s="109" customFormat="1" ht="20.25">
      <c r="A54" s="17">
        <v>110201</v>
      </c>
      <c r="B54" s="30" t="s">
        <v>93</v>
      </c>
      <c r="C54" s="20" t="s">
        <v>18</v>
      </c>
      <c r="D54" s="135" t="s">
        <v>11</v>
      </c>
      <c r="E54" s="36"/>
      <c r="F54" s="27">
        <f t="shared" si="0"/>
        <v>0</v>
      </c>
      <c r="G54" s="36"/>
      <c r="H54" s="36"/>
      <c r="I54" s="28">
        <f t="shared" si="1"/>
        <v>0</v>
      </c>
      <c r="J54" s="31">
        <f>678000+1500+5000</f>
        <v>684500</v>
      </c>
      <c r="K54" s="31"/>
      <c r="L54" s="31">
        <f>K54+J54</f>
        <v>684500</v>
      </c>
      <c r="M54" s="40">
        <f t="shared" si="3"/>
        <v>684.5</v>
      </c>
      <c r="N54" s="73"/>
      <c r="O54" s="100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8"/>
    </row>
    <row r="55" spans="1:15" s="101" customFormat="1" ht="20.25">
      <c r="A55" s="17">
        <v>110205</v>
      </c>
      <c r="B55" s="30" t="s">
        <v>84</v>
      </c>
      <c r="C55" s="20" t="s">
        <v>60</v>
      </c>
      <c r="D55" s="135" t="s">
        <v>11</v>
      </c>
      <c r="E55" s="36"/>
      <c r="F55" s="27">
        <f t="shared" si="0"/>
        <v>0</v>
      </c>
      <c r="G55" s="36"/>
      <c r="H55" s="36"/>
      <c r="I55" s="28">
        <f t="shared" si="1"/>
        <v>0</v>
      </c>
      <c r="J55" s="31">
        <f>435500+2000</f>
        <v>437500</v>
      </c>
      <c r="K55" s="31">
        <f>717200-717200</f>
        <v>0</v>
      </c>
      <c r="L55" s="31">
        <f>K55+J55</f>
        <v>437500</v>
      </c>
      <c r="M55" s="40">
        <f t="shared" si="3"/>
        <v>437.5</v>
      </c>
      <c r="N55" s="73"/>
      <c r="O55" s="100"/>
    </row>
    <row r="56" spans="1:15" s="101" customFormat="1" ht="20.25">
      <c r="A56" s="17">
        <v>110502</v>
      </c>
      <c r="B56" s="30" t="s">
        <v>77</v>
      </c>
      <c r="C56" s="26" t="s">
        <v>39</v>
      </c>
      <c r="D56" s="135" t="s">
        <v>11</v>
      </c>
      <c r="E56" s="36"/>
      <c r="F56" s="27">
        <f t="shared" si="0"/>
        <v>0</v>
      </c>
      <c r="G56" s="36"/>
      <c r="H56" s="36"/>
      <c r="I56" s="28">
        <f t="shared" si="1"/>
        <v>0</v>
      </c>
      <c r="J56" s="31">
        <f>30000-7000</f>
        <v>23000</v>
      </c>
      <c r="K56" s="31"/>
      <c r="L56" s="31">
        <f>K56+J56</f>
        <v>23000</v>
      </c>
      <c r="M56" s="40">
        <f t="shared" si="3"/>
        <v>23</v>
      </c>
      <c r="N56" s="73"/>
      <c r="O56" s="100"/>
    </row>
    <row r="57" spans="1:156" s="112" customFormat="1" ht="20.25">
      <c r="A57" s="15"/>
      <c r="B57" s="15"/>
      <c r="C57" s="25" t="s">
        <v>250</v>
      </c>
      <c r="D57" s="136"/>
      <c r="E57" s="37"/>
      <c r="F57" s="27">
        <f t="shared" si="0"/>
        <v>0</v>
      </c>
      <c r="G57" s="37"/>
      <c r="H57" s="37"/>
      <c r="I57" s="28">
        <f t="shared" si="1"/>
        <v>0</v>
      </c>
      <c r="J57" s="29">
        <f>SUM(J58:J82)-J74-J64-J67-J65</f>
        <v>127218114.34</v>
      </c>
      <c r="K57" s="29">
        <f>SUM(K58:K82)-K74-K64-K67-K65</f>
        <v>0</v>
      </c>
      <c r="L57" s="29">
        <f>SUM(L58:L82)-L74-L64-L67-L65</f>
        <v>127218114.34</v>
      </c>
      <c r="M57" s="21">
        <f>SUM(M58:M82)-M64-M74-M65-M67</f>
        <v>130173.79999999999</v>
      </c>
      <c r="N57" s="110"/>
      <c r="O57" s="100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</row>
    <row r="58" spans="1:156" s="102" customFormat="1" ht="20.25">
      <c r="A58" s="30" t="s">
        <v>9</v>
      </c>
      <c r="B58" s="30" t="s">
        <v>76</v>
      </c>
      <c r="C58" s="26" t="s">
        <v>10</v>
      </c>
      <c r="D58" s="135" t="s">
        <v>11</v>
      </c>
      <c r="E58" s="27"/>
      <c r="F58" s="27">
        <f t="shared" si="0"/>
        <v>0</v>
      </c>
      <c r="G58" s="27"/>
      <c r="H58" s="27"/>
      <c r="I58" s="28">
        <f t="shared" si="1"/>
        <v>0</v>
      </c>
      <c r="J58" s="31">
        <f>30000+18000</f>
        <v>48000</v>
      </c>
      <c r="K58" s="31"/>
      <c r="L58" s="31">
        <f aca="true" t="shared" si="6" ref="L58:L71">K58+J58</f>
        <v>48000</v>
      </c>
      <c r="M58" s="40">
        <f t="shared" si="3"/>
        <v>48</v>
      </c>
      <c r="N58" s="73"/>
      <c r="O58" s="100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</row>
    <row r="59" spans="1:156" s="102" customFormat="1" ht="20.25">
      <c r="A59" s="17">
        <v>100102</v>
      </c>
      <c r="B59" s="30" t="s">
        <v>94</v>
      </c>
      <c r="C59" s="26" t="s">
        <v>17</v>
      </c>
      <c r="D59" s="135" t="s">
        <v>11</v>
      </c>
      <c r="E59" s="36"/>
      <c r="F59" s="27">
        <f t="shared" si="0"/>
        <v>0</v>
      </c>
      <c r="G59" s="36"/>
      <c r="H59" s="36"/>
      <c r="I59" s="28">
        <f t="shared" si="1"/>
        <v>0</v>
      </c>
      <c r="J59" s="31">
        <f>51271723.14+1543208+2219502+4281011+4400000</f>
        <v>63715444.14</v>
      </c>
      <c r="K59" s="31"/>
      <c r="L59" s="31">
        <f t="shared" si="6"/>
        <v>63715444.14</v>
      </c>
      <c r="M59" s="40">
        <f t="shared" si="3"/>
        <v>63715.4</v>
      </c>
      <c r="N59" s="73"/>
      <c r="O59" s="100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</row>
    <row r="60" spans="1:156" s="102" customFormat="1" ht="20.25">
      <c r="A60" s="17">
        <v>100106</v>
      </c>
      <c r="B60" s="30" t="s">
        <v>94</v>
      </c>
      <c r="C60" s="26" t="s">
        <v>32</v>
      </c>
      <c r="D60" s="135" t="s">
        <v>11</v>
      </c>
      <c r="E60" s="36"/>
      <c r="F60" s="27">
        <f t="shared" si="0"/>
        <v>0</v>
      </c>
      <c r="G60" s="36"/>
      <c r="H60" s="36"/>
      <c r="I60" s="28">
        <f t="shared" si="1"/>
        <v>0</v>
      </c>
      <c r="J60" s="31">
        <f>6000000+1000000</f>
        <v>7000000</v>
      </c>
      <c r="K60" s="31"/>
      <c r="L60" s="31">
        <f t="shared" si="6"/>
        <v>7000000</v>
      </c>
      <c r="M60" s="40">
        <f t="shared" si="3"/>
        <v>7000</v>
      </c>
      <c r="N60" s="73"/>
      <c r="O60" s="100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</row>
    <row r="61" spans="1:156" s="102" customFormat="1" ht="20.25">
      <c r="A61" s="17">
        <v>100202</v>
      </c>
      <c r="B61" s="30" t="s">
        <v>95</v>
      </c>
      <c r="C61" s="26" t="s">
        <v>167</v>
      </c>
      <c r="D61" s="135" t="s">
        <v>11</v>
      </c>
      <c r="E61" s="36"/>
      <c r="F61" s="27">
        <f t="shared" si="0"/>
        <v>0</v>
      </c>
      <c r="G61" s="36"/>
      <c r="H61" s="36"/>
      <c r="I61" s="28">
        <f t="shared" si="1"/>
        <v>0</v>
      </c>
      <c r="J61" s="31">
        <f>3430202+664532+174600+200666</f>
        <v>4470000</v>
      </c>
      <c r="K61" s="31"/>
      <c r="L61" s="31">
        <f t="shared" si="6"/>
        <v>4470000</v>
      </c>
      <c r="M61" s="40">
        <f>ROUND(L61/1000,1)+172.9</f>
        <v>4642.9</v>
      </c>
      <c r="N61" s="73"/>
      <c r="O61" s="100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</row>
    <row r="62" spans="1:156" s="102" customFormat="1" ht="20.25">
      <c r="A62" s="17">
        <v>100203</v>
      </c>
      <c r="B62" s="30" t="s">
        <v>95</v>
      </c>
      <c r="C62" s="26" t="s">
        <v>16</v>
      </c>
      <c r="D62" s="135" t="s">
        <v>11</v>
      </c>
      <c r="E62" s="36"/>
      <c r="F62" s="27">
        <f t="shared" si="0"/>
        <v>0</v>
      </c>
      <c r="G62" s="36"/>
      <c r="H62" s="36"/>
      <c r="I62" s="28">
        <f t="shared" si="1"/>
        <v>0</v>
      </c>
      <c r="J62" s="31">
        <f>21022929.2-391391-343105-20217-41000</f>
        <v>20227216.2</v>
      </c>
      <c r="K62" s="31"/>
      <c r="L62" s="31">
        <f t="shared" si="6"/>
        <v>20227216.2</v>
      </c>
      <c r="M62" s="40">
        <f>ROUND(L62/1000,1)-41-22.3+76.1</f>
        <v>20240</v>
      </c>
      <c r="N62" s="73"/>
      <c r="O62" s="100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</row>
    <row r="63" spans="1:156" s="102" customFormat="1" ht="20.25">
      <c r="A63" s="17">
        <v>100208</v>
      </c>
      <c r="B63" s="30" t="s">
        <v>95</v>
      </c>
      <c r="C63" s="26" t="s">
        <v>142</v>
      </c>
      <c r="D63" s="135" t="s">
        <v>11</v>
      </c>
      <c r="E63" s="36"/>
      <c r="F63" s="27">
        <f t="shared" si="0"/>
        <v>0</v>
      </c>
      <c r="G63" s="36"/>
      <c r="H63" s="36"/>
      <c r="I63" s="28">
        <f t="shared" si="1"/>
        <v>0</v>
      </c>
      <c r="J63" s="31">
        <v>845938</v>
      </c>
      <c r="K63" s="31"/>
      <c r="L63" s="31">
        <f t="shared" si="6"/>
        <v>845938</v>
      </c>
      <c r="M63" s="40">
        <f t="shared" si="3"/>
        <v>845.9</v>
      </c>
      <c r="N63" s="73"/>
      <c r="O63" s="100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</row>
    <row r="64" spans="1:156" s="102" customFormat="1" ht="20.25">
      <c r="A64" s="17">
        <v>150101</v>
      </c>
      <c r="B64" s="30" t="s">
        <v>79</v>
      </c>
      <c r="C64" s="25" t="s">
        <v>4</v>
      </c>
      <c r="D64" s="135"/>
      <c r="E64" s="36"/>
      <c r="F64" s="27">
        <f t="shared" si="0"/>
        <v>0</v>
      </c>
      <c r="G64" s="36"/>
      <c r="H64" s="36"/>
      <c r="I64" s="28">
        <f t="shared" si="1"/>
        <v>0</v>
      </c>
      <c r="J64" s="31">
        <f>J67+J65</f>
        <v>2014000</v>
      </c>
      <c r="K64" s="31">
        <f>K67+K65</f>
        <v>0</v>
      </c>
      <c r="L64" s="31">
        <f>L67+L65</f>
        <v>2014000</v>
      </c>
      <c r="M64" s="21">
        <f>M65+M67</f>
        <v>4314</v>
      </c>
      <c r="N64" s="73"/>
      <c r="O64" s="100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</row>
    <row r="65" spans="1:156" s="102" customFormat="1" ht="20.25">
      <c r="A65" s="17"/>
      <c r="B65" s="30"/>
      <c r="C65" s="25" t="s">
        <v>236</v>
      </c>
      <c r="D65" s="137" t="s">
        <v>236</v>
      </c>
      <c r="E65" s="36"/>
      <c r="F65" s="27">
        <f t="shared" si="0"/>
        <v>0</v>
      </c>
      <c r="G65" s="36"/>
      <c r="H65" s="36"/>
      <c r="I65" s="28">
        <f t="shared" si="1"/>
        <v>0</v>
      </c>
      <c r="J65" s="31">
        <f>J66</f>
        <v>41000</v>
      </c>
      <c r="K65" s="31">
        <f>K66</f>
        <v>0</v>
      </c>
      <c r="L65" s="31">
        <f>L66</f>
        <v>41000</v>
      </c>
      <c r="M65" s="21">
        <f t="shared" si="3"/>
        <v>41</v>
      </c>
      <c r="N65" s="73"/>
      <c r="O65" s="100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</row>
    <row r="66" spans="1:156" s="102" customFormat="1" ht="29.25" customHeight="1">
      <c r="A66" s="17"/>
      <c r="B66" s="30"/>
      <c r="C66" s="38" t="s">
        <v>217</v>
      </c>
      <c r="D66" s="138" t="s">
        <v>217</v>
      </c>
      <c r="E66" s="36"/>
      <c r="F66" s="27">
        <f t="shared" si="0"/>
        <v>0</v>
      </c>
      <c r="G66" s="36"/>
      <c r="H66" s="36"/>
      <c r="I66" s="28">
        <f t="shared" si="1"/>
        <v>0</v>
      </c>
      <c r="J66" s="31">
        <v>41000</v>
      </c>
      <c r="K66" s="31"/>
      <c r="L66" s="31">
        <f t="shared" si="6"/>
        <v>41000</v>
      </c>
      <c r="M66" s="40">
        <f t="shared" si="3"/>
        <v>41</v>
      </c>
      <c r="N66" s="73"/>
      <c r="O66" s="100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</row>
    <row r="67" spans="1:156" s="102" customFormat="1" ht="20.25">
      <c r="A67" s="17"/>
      <c r="B67" s="30"/>
      <c r="C67" s="25" t="s">
        <v>237</v>
      </c>
      <c r="D67" s="137" t="s">
        <v>237</v>
      </c>
      <c r="E67" s="36"/>
      <c r="F67" s="27">
        <f t="shared" si="0"/>
        <v>0</v>
      </c>
      <c r="G67" s="36"/>
      <c r="H67" s="36"/>
      <c r="I67" s="28">
        <f t="shared" si="1"/>
        <v>0</v>
      </c>
      <c r="J67" s="31">
        <f>J68+J69+J70+J71</f>
        <v>1973000</v>
      </c>
      <c r="K67" s="31">
        <f>K68+K69+K70+K71</f>
        <v>0</v>
      </c>
      <c r="L67" s="31">
        <f>L68+L69+L70+L71</f>
        <v>1973000</v>
      </c>
      <c r="M67" s="21">
        <f>M68+M69+M70+M71+M72+M73</f>
        <v>4273</v>
      </c>
      <c r="N67" s="73"/>
      <c r="O67" s="100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</row>
    <row r="68" spans="1:156" s="102" customFormat="1" ht="39.75" customHeight="1">
      <c r="A68" s="17"/>
      <c r="B68" s="30"/>
      <c r="C68" s="38" t="s">
        <v>260</v>
      </c>
      <c r="D68" s="138" t="s">
        <v>207</v>
      </c>
      <c r="E68" s="36"/>
      <c r="F68" s="27">
        <f t="shared" si="0"/>
        <v>0</v>
      </c>
      <c r="G68" s="36"/>
      <c r="H68" s="36"/>
      <c r="I68" s="28">
        <f t="shared" si="1"/>
        <v>0</v>
      </c>
      <c r="J68" s="31">
        <v>167000</v>
      </c>
      <c r="K68" s="31"/>
      <c r="L68" s="31">
        <f t="shared" si="6"/>
        <v>167000</v>
      </c>
      <c r="M68" s="40">
        <f t="shared" si="3"/>
        <v>167</v>
      </c>
      <c r="N68" s="73"/>
      <c r="O68" s="100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</row>
    <row r="69" spans="1:156" s="102" customFormat="1" ht="43.5" customHeight="1">
      <c r="A69" s="17"/>
      <c r="B69" s="30"/>
      <c r="C69" s="38" t="s">
        <v>205</v>
      </c>
      <c r="D69" s="138" t="s">
        <v>205</v>
      </c>
      <c r="E69" s="36"/>
      <c r="F69" s="27">
        <f t="shared" si="0"/>
        <v>0</v>
      </c>
      <c r="G69" s="36"/>
      <c r="H69" s="36"/>
      <c r="I69" s="28">
        <f t="shared" si="1"/>
        <v>0</v>
      </c>
      <c r="J69" s="31">
        <v>167000</v>
      </c>
      <c r="K69" s="31"/>
      <c r="L69" s="31">
        <f t="shared" si="6"/>
        <v>167000</v>
      </c>
      <c r="M69" s="40">
        <f t="shared" si="3"/>
        <v>167</v>
      </c>
      <c r="N69" s="73"/>
      <c r="O69" s="100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</row>
    <row r="70" spans="1:156" s="102" customFormat="1" ht="41.25" customHeight="1">
      <c r="A70" s="17"/>
      <c r="B70" s="30"/>
      <c r="C70" s="38" t="s">
        <v>206</v>
      </c>
      <c r="D70" s="138" t="s">
        <v>206</v>
      </c>
      <c r="E70" s="36"/>
      <c r="F70" s="27">
        <f t="shared" si="0"/>
        <v>0</v>
      </c>
      <c r="G70" s="36"/>
      <c r="H70" s="36"/>
      <c r="I70" s="28">
        <f t="shared" si="1"/>
        <v>0</v>
      </c>
      <c r="J70" s="31">
        <v>166000</v>
      </c>
      <c r="K70" s="31"/>
      <c r="L70" s="31">
        <f t="shared" si="6"/>
        <v>166000</v>
      </c>
      <c r="M70" s="40">
        <f t="shared" si="3"/>
        <v>166</v>
      </c>
      <c r="N70" s="73"/>
      <c r="O70" s="100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</row>
    <row r="71" spans="1:156" s="102" customFormat="1" ht="45" customHeight="1">
      <c r="A71" s="17"/>
      <c r="B71" s="30"/>
      <c r="C71" s="38" t="s">
        <v>216</v>
      </c>
      <c r="D71" s="139" t="s">
        <v>216</v>
      </c>
      <c r="E71" s="36"/>
      <c r="F71" s="27">
        <f t="shared" si="0"/>
        <v>0</v>
      </c>
      <c r="G71" s="36"/>
      <c r="H71" s="36"/>
      <c r="I71" s="28">
        <f t="shared" si="1"/>
        <v>0</v>
      </c>
      <c r="J71" s="31">
        <v>1473000</v>
      </c>
      <c r="K71" s="31"/>
      <c r="L71" s="31">
        <f t="shared" si="6"/>
        <v>1473000</v>
      </c>
      <c r="M71" s="40">
        <f t="shared" si="3"/>
        <v>1473</v>
      </c>
      <c r="N71" s="73"/>
      <c r="O71" s="100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</row>
    <row r="72" spans="1:156" s="102" customFormat="1" ht="30" customHeight="1">
      <c r="A72" s="17"/>
      <c r="B72" s="30"/>
      <c r="C72" s="38" t="s">
        <v>283</v>
      </c>
      <c r="D72" s="139"/>
      <c r="E72" s="36"/>
      <c r="F72" s="27"/>
      <c r="G72" s="36"/>
      <c r="H72" s="36"/>
      <c r="I72" s="28"/>
      <c r="J72" s="31"/>
      <c r="K72" s="31"/>
      <c r="L72" s="31"/>
      <c r="M72" s="40">
        <v>1300</v>
      </c>
      <c r="N72" s="73"/>
      <c r="O72" s="100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</row>
    <row r="73" spans="1:156" s="102" customFormat="1" ht="24.75" customHeight="1">
      <c r="A73" s="17"/>
      <c r="B73" s="30"/>
      <c r="C73" s="38" t="s">
        <v>284</v>
      </c>
      <c r="D73" s="139"/>
      <c r="E73" s="36"/>
      <c r="F73" s="27"/>
      <c r="G73" s="36"/>
      <c r="H73" s="36"/>
      <c r="I73" s="28"/>
      <c r="J73" s="31"/>
      <c r="K73" s="31"/>
      <c r="L73" s="31"/>
      <c r="M73" s="40">
        <v>1000</v>
      </c>
      <c r="N73" s="73"/>
      <c r="O73" s="100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</row>
    <row r="74" spans="1:156" s="102" customFormat="1" ht="40.5">
      <c r="A74" s="17">
        <v>180409</v>
      </c>
      <c r="B74" s="30" t="s">
        <v>79</v>
      </c>
      <c r="C74" s="26" t="s">
        <v>254</v>
      </c>
      <c r="D74" s="140"/>
      <c r="E74" s="39"/>
      <c r="F74" s="27">
        <f t="shared" si="0"/>
        <v>0</v>
      </c>
      <c r="G74" s="39"/>
      <c r="H74" s="39"/>
      <c r="I74" s="28">
        <f t="shared" si="1"/>
        <v>0</v>
      </c>
      <c r="J74" s="31">
        <f>J75+J76+J77+J78+J79+J81+J80</f>
        <v>28147016</v>
      </c>
      <c r="K74" s="31">
        <f>K75+K76+K77+K78+K79+K81+K80</f>
        <v>0</v>
      </c>
      <c r="L74" s="31">
        <f>L75+L76+L77+L78+L79+L81+L80</f>
        <v>28147016</v>
      </c>
      <c r="M74" s="40">
        <f>M75+M76+M77+M78+M79+M81+M80</f>
        <v>28617.100000000002</v>
      </c>
      <c r="N74" s="73"/>
      <c r="O74" s="100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</row>
    <row r="75" spans="1:156" s="106" customFormat="1" ht="23.25" customHeight="1">
      <c r="A75" s="86"/>
      <c r="B75" s="86"/>
      <c r="C75" s="87" t="s">
        <v>47</v>
      </c>
      <c r="D75" s="134" t="s">
        <v>47</v>
      </c>
      <c r="E75" s="37"/>
      <c r="F75" s="89">
        <f t="shared" si="0"/>
        <v>0</v>
      </c>
      <c r="G75" s="37"/>
      <c r="H75" s="37"/>
      <c r="I75" s="90">
        <f t="shared" si="1"/>
        <v>0</v>
      </c>
      <c r="J75" s="91">
        <f>4311200+292000</f>
        <v>4603200</v>
      </c>
      <c r="K75" s="91"/>
      <c r="L75" s="91">
        <f aca="true" t="shared" si="7" ref="L75:L82">K75+J75</f>
        <v>4603200</v>
      </c>
      <c r="M75" s="92">
        <f t="shared" si="3"/>
        <v>4603.2</v>
      </c>
      <c r="N75" s="103"/>
      <c r="O75" s="104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5"/>
      <c r="EZ75" s="105"/>
    </row>
    <row r="76" spans="1:156" s="106" customFormat="1" ht="23.25" customHeight="1">
      <c r="A76" s="86"/>
      <c r="B76" s="86"/>
      <c r="C76" s="87" t="s">
        <v>128</v>
      </c>
      <c r="D76" s="134" t="s">
        <v>128</v>
      </c>
      <c r="E76" s="37"/>
      <c r="F76" s="89">
        <f t="shared" si="0"/>
        <v>0</v>
      </c>
      <c r="G76" s="37"/>
      <c r="H76" s="37"/>
      <c r="I76" s="90">
        <f t="shared" si="1"/>
        <v>0</v>
      </c>
      <c r="J76" s="91">
        <v>1600000</v>
      </c>
      <c r="K76" s="91"/>
      <c r="L76" s="91">
        <f t="shared" si="7"/>
        <v>1600000</v>
      </c>
      <c r="M76" s="92">
        <f t="shared" si="3"/>
        <v>1600</v>
      </c>
      <c r="N76" s="103"/>
      <c r="O76" s="104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105"/>
    </row>
    <row r="77" spans="1:156" s="106" customFormat="1" ht="23.25" customHeight="1">
      <c r="A77" s="86"/>
      <c r="B77" s="86"/>
      <c r="C77" s="87" t="s">
        <v>37</v>
      </c>
      <c r="D77" s="134" t="s">
        <v>37</v>
      </c>
      <c r="E77" s="37"/>
      <c r="F77" s="89">
        <f t="shared" si="0"/>
        <v>0</v>
      </c>
      <c r="G77" s="37"/>
      <c r="H77" s="37"/>
      <c r="I77" s="90">
        <f t="shared" si="1"/>
        <v>0</v>
      </c>
      <c r="J77" s="91">
        <f>2188500+1470000</f>
        <v>3658500</v>
      </c>
      <c r="K77" s="91"/>
      <c r="L77" s="91">
        <f t="shared" si="7"/>
        <v>3658500</v>
      </c>
      <c r="M77" s="92">
        <f t="shared" si="3"/>
        <v>3658.5</v>
      </c>
      <c r="N77" s="103"/>
      <c r="O77" s="104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/>
      <c r="EY77" s="105"/>
      <c r="EZ77" s="105"/>
    </row>
    <row r="78" spans="1:156" s="106" customFormat="1" ht="23.25" customHeight="1">
      <c r="A78" s="86"/>
      <c r="B78" s="86"/>
      <c r="C78" s="87" t="s">
        <v>42</v>
      </c>
      <c r="D78" s="134" t="s">
        <v>42</v>
      </c>
      <c r="E78" s="37"/>
      <c r="F78" s="89">
        <f t="shared" si="0"/>
        <v>0</v>
      </c>
      <c r="G78" s="37"/>
      <c r="H78" s="37"/>
      <c r="I78" s="90">
        <f t="shared" si="1"/>
        <v>0</v>
      </c>
      <c r="J78" s="91">
        <v>2500000</v>
      </c>
      <c r="K78" s="91"/>
      <c r="L78" s="91">
        <f t="shared" si="7"/>
        <v>2500000</v>
      </c>
      <c r="M78" s="92">
        <f t="shared" si="3"/>
        <v>2500</v>
      </c>
      <c r="N78" s="103"/>
      <c r="O78" s="104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</row>
    <row r="79" spans="1:156" s="106" customFormat="1" ht="23.25" customHeight="1">
      <c r="A79" s="86"/>
      <c r="B79" s="86"/>
      <c r="C79" s="87" t="s">
        <v>109</v>
      </c>
      <c r="D79" s="134" t="s">
        <v>109</v>
      </c>
      <c r="E79" s="37"/>
      <c r="F79" s="89">
        <f t="shared" si="0"/>
        <v>0</v>
      </c>
      <c r="G79" s="37"/>
      <c r="H79" s="37"/>
      <c r="I79" s="90">
        <f t="shared" si="1"/>
        <v>0</v>
      </c>
      <c r="J79" s="91">
        <f>8200+14159</f>
        <v>22359</v>
      </c>
      <c r="K79" s="91"/>
      <c r="L79" s="91">
        <f t="shared" si="7"/>
        <v>22359</v>
      </c>
      <c r="M79" s="92">
        <f t="shared" si="3"/>
        <v>22.4</v>
      </c>
      <c r="N79" s="103"/>
      <c r="O79" s="104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</row>
    <row r="80" spans="1:156" s="106" customFormat="1" ht="23.25" customHeight="1">
      <c r="A80" s="86"/>
      <c r="B80" s="86"/>
      <c r="C80" s="87" t="s">
        <v>149</v>
      </c>
      <c r="D80" s="134" t="s">
        <v>149</v>
      </c>
      <c r="E80" s="37"/>
      <c r="F80" s="89">
        <f t="shared" si="0"/>
        <v>0</v>
      </c>
      <c r="G80" s="37"/>
      <c r="H80" s="37"/>
      <c r="I80" s="90">
        <f t="shared" si="1"/>
        <v>0</v>
      </c>
      <c r="J80" s="91">
        <f>1116250+72607</f>
        <v>1188857</v>
      </c>
      <c r="K80" s="91"/>
      <c r="L80" s="91">
        <f t="shared" si="7"/>
        <v>1188857</v>
      </c>
      <c r="M80" s="92">
        <f t="shared" si="3"/>
        <v>1188.9</v>
      </c>
      <c r="N80" s="103"/>
      <c r="O80" s="104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5"/>
      <c r="EL80" s="105"/>
      <c r="EM80" s="105"/>
      <c r="EN80" s="105"/>
      <c r="EO80" s="105"/>
      <c r="EP80" s="105"/>
      <c r="EQ80" s="105"/>
      <c r="ER80" s="105"/>
      <c r="ES80" s="105"/>
      <c r="ET80" s="105"/>
      <c r="EU80" s="105"/>
      <c r="EV80" s="105"/>
      <c r="EW80" s="105"/>
      <c r="EX80" s="105"/>
      <c r="EY80" s="105"/>
      <c r="EZ80" s="105"/>
    </row>
    <row r="81" spans="1:156" s="106" customFormat="1" ht="23.25" customHeight="1">
      <c r="A81" s="86"/>
      <c r="B81" s="86"/>
      <c r="C81" s="87" t="s">
        <v>48</v>
      </c>
      <c r="D81" s="134" t="s">
        <v>48</v>
      </c>
      <c r="E81" s="37"/>
      <c r="F81" s="89">
        <f t="shared" si="0"/>
        <v>0</v>
      </c>
      <c r="G81" s="37"/>
      <c r="H81" s="37"/>
      <c r="I81" s="90">
        <f t="shared" si="1"/>
        <v>0</v>
      </c>
      <c r="J81" s="91">
        <f>7769200+4969900+1835000</f>
        <v>14574100</v>
      </c>
      <c r="K81" s="91"/>
      <c r="L81" s="91">
        <f t="shared" si="7"/>
        <v>14574100</v>
      </c>
      <c r="M81" s="92">
        <f>ROUND(L81/1000,1)+470</f>
        <v>15044.1</v>
      </c>
      <c r="N81" s="103"/>
      <c r="O81" s="104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105"/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</row>
    <row r="82" spans="1:156" s="102" customFormat="1" ht="20.25">
      <c r="A82" s="17">
        <v>250380</v>
      </c>
      <c r="B82" s="30" t="s">
        <v>97</v>
      </c>
      <c r="C82" s="20" t="s">
        <v>20</v>
      </c>
      <c r="D82" s="135" t="s">
        <v>11</v>
      </c>
      <c r="E82" s="39"/>
      <c r="F82" s="27">
        <f t="shared" si="0"/>
        <v>0</v>
      </c>
      <c r="G82" s="39"/>
      <c r="H82" s="39"/>
      <c r="I82" s="28">
        <f t="shared" si="1"/>
        <v>0</v>
      </c>
      <c r="J82" s="31">
        <v>750500</v>
      </c>
      <c r="K82" s="31"/>
      <c r="L82" s="31">
        <f t="shared" si="7"/>
        <v>750500</v>
      </c>
      <c r="M82" s="40">
        <f t="shared" si="3"/>
        <v>750.5</v>
      </c>
      <c r="N82" s="73"/>
      <c r="O82" s="100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01"/>
      <c r="EF82" s="101"/>
      <c r="EG82" s="101"/>
      <c r="EH82" s="101"/>
      <c r="EI82" s="101"/>
      <c r="EJ82" s="101"/>
      <c r="EK82" s="101"/>
      <c r="EL82" s="101"/>
      <c r="EM82" s="101"/>
      <c r="EN82" s="101"/>
      <c r="EO82" s="101"/>
      <c r="EP82" s="101"/>
      <c r="EQ82" s="101"/>
      <c r="ER82" s="101"/>
      <c r="ES82" s="101"/>
      <c r="ET82" s="101"/>
      <c r="EU82" s="101"/>
      <c r="EV82" s="101"/>
      <c r="EW82" s="101"/>
      <c r="EX82" s="101"/>
      <c r="EY82" s="101"/>
      <c r="EZ82" s="101"/>
    </row>
    <row r="83" spans="1:156" s="102" customFormat="1" ht="20.25">
      <c r="A83" s="24"/>
      <c r="B83" s="24"/>
      <c r="C83" s="25" t="s">
        <v>251</v>
      </c>
      <c r="D83" s="135"/>
      <c r="E83" s="39"/>
      <c r="F83" s="27">
        <f aca="true" t="shared" si="8" ref="F83:F139">ROUND(E83/1000,1)</f>
        <v>0</v>
      </c>
      <c r="G83" s="39"/>
      <c r="H83" s="39"/>
      <c r="I83" s="28">
        <f aca="true" t="shared" si="9" ref="I83:I139">ROUND(H83/1000,1)</f>
        <v>0</v>
      </c>
      <c r="J83" s="29">
        <f>J84+J85</f>
        <v>463000</v>
      </c>
      <c r="K83" s="29">
        <f>K84+K85</f>
        <v>0</v>
      </c>
      <c r="L83" s="29">
        <f>L84+L85</f>
        <v>463000</v>
      </c>
      <c r="M83" s="21">
        <f>M84+M85</f>
        <v>377.59999999999997</v>
      </c>
      <c r="N83" s="73"/>
      <c r="O83" s="100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01"/>
      <c r="EF83" s="101"/>
      <c r="EG83" s="101"/>
      <c r="EH83" s="101"/>
      <c r="EI83" s="101"/>
      <c r="EJ83" s="101"/>
      <c r="EK83" s="101"/>
      <c r="EL83" s="101"/>
      <c r="EM83" s="101"/>
      <c r="EN83" s="101"/>
      <c r="EO83" s="101"/>
      <c r="EP83" s="101"/>
      <c r="EQ83" s="101"/>
      <c r="ER83" s="101"/>
      <c r="ES83" s="101"/>
      <c r="ET83" s="101"/>
      <c r="EU83" s="101"/>
      <c r="EV83" s="101"/>
      <c r="EW83" s="101"/>
      <c r="EX83" s="101"/>
      <c r="EY83" s="101"/>
      <c r="EZ83" s="101"/>
    </row>
    <row r="84" spans="1:156" s="102" customFormat="1" ht="20.25">
      <c r="A84" s="30" t="s">
        <v>9</v>
      </c>
      <c r="B84" s="30" t="s">
        <v>76</v>
      </c>
      <c r="C84" s="26" t="s">
        <v>10</v>
      </c>
      <c r="D84" s="135" t="s">
        <v>11</v>
      </c>
      <c r="E84" s="39"/>
      <c r="F84" s="27">
        <f t="shared" si="8"/>
        <v>0</v>
      </c>
      <c r="G84" s="39"/>
      <c r="H84" s="39"/>
      <c r="I84" s="28">
        <f t="shared" si="9"/>
        <v>0</v>
      </c>
      <c r="J84" s="31">
        <f>240000+100000-18000</f>
        <v>322000</v>
      </c>
      <c r="K84" s="31"/>
      <c r="L84" s="31">
        <f>K84+J84</f>
        <v>322000</v>
      </c>
      <c r="M84" s="40">
        <f>ROUND(L84/1000,1)-8.1-77.3</f>
        <v>236.59999999999997</v>
      </c>
      <c r="N84" s="73"/>
      <c r="O84" s="100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</row>
    <row r="85" spans="1:15" s="101" customFormat="1" ht="20.25">
      <c r="A85" s="30" t="s">
        <v>21</v>
      </c>
      <c r="B85" s="30" t="s">
        <v>96</v>
      </c>
      <c r="C85" s="26" t="s">
        <v>38</v>
      </c>
      <c r="D85" s="135" t="s">
        <v>11</v>
      </c>
      <c r="E85" s="27"/>
      <c r="F85" s="27">
        <f t="shared" si="8"/>
        <v>0</v>
      </c>
      <c r="G85" s="28"/>
      <c r="H85" s="27"/>
      <c r="I85" s="28">
        <f t="shared" si="9"/>
        <v>0</v>
      </c>
      <c r="J85" s="31">
        <v>141000</v>
      </c>
      <c r="K85" s="34"/>
      <c r="L85" s="31">
        <f>K85+J85</f>
        <v>141000</v>
      </c>
      <c r="M85" s="40">
        <f aca="true" t="shared" si="10" ref="M85:M139">ROUND(L85/1000,1)</f>
        <v>141</v>
      </c>
      <c r="N85" s="73"/>
      <c r="O85" s="100"/>
    </row>
    <row r="86" spans="1:15" s="101" customFormat="1" ht="20.25">
      <c r="A86" s="30"/>
      <c r="B86" s="30"/>
      <c r="C86" s="25" t="s">
        <v>252</v>
      </c>
      <c r="D86" s="135"/>
      <c r="E86" s="27"/>
      <c r="F86" s="27">
        <f t="shared" si="8"/>
        <v>0</v>
      </c>
      <c r="G86" s="28"/>
      <c r="H86" s="27"/>
      <c r="I86" s="28">
        <f t="shared" si="9"/>
        <v>0</v>
      </c>
      <c r="J86" s="29">
        <f>J87</f>
        <v>182700</v>
      </c>
      <c r="K86" s="29">
        <f>K87</f>
        <v>0</v>
      </c>
      <c r="L86" s="29">
        <f>L87</f>
        <v>182700</v>
      </c>
      <c r="M86" s="21">
        <f>M87</f>
        <v>182.7</v>
      </c>
      <c r="N86" s="73"/>
      <c r="O86" s="100"/>
    </row>
    <row r="87" spans="1:15" s="101" customFormat="1" ht="20.25">
      <c r="A87" s="30" t="s">
        <v>9</v>
      </c>
      <c r="B87" s="30" t="s">
        <v>76</v>
      </c>
      <c r="C87" s="26" t="s">
        <v>10</v>
      </c>
      <c r="D87" s="135" t="s">
        <v>11</v>
      </c>
      <c r="E87" s="27"/>
      <c r="F87" s="27">
        <f t="shared" si="8"/>
        <v>0</v>
      </c>
      <c r="G87" s="28"/>
      <c r="H87" s="27"/>
      <c r="I87" s="28">
        <f t="shared" si="9"/>
        <v>0</v>
      </c>
      <c r="J87" s="31">
        <f>134100+48600</f>
        <v>182700</v>
      </c>
      <c r="K87" s="31"/>
      <c r="L87" s="31">
        <f>K87+J87</f>
        <v>182700</v>
      </c>
      <c r="M87" s="40">
        <f t="shared" si="10"/>
        <v>182.7</v>
      </c>
      <c r="N87" s="73"/>
      <c r="O87" s="100"/>
    </row>
    <row r="88" spans="1:15" ht="20.25">
      <c r="A88" s="24"/>
      <c r="B88" s="24"/>
      <c r="C88" s="25" t="s">
        <v>253</v>
      </c>
      <c r="D88" s="135"/>
      <c r="E88" s="36"/>
      <c r="F88" s="27">
        <f t="shared" si="8"/>
        <v>0</v>
      </c>
      <c r="G88" s="36"/>
      <c r="H88" s="36"/>
      <c r="I88" s="28">
        <f t="shared" si="9"/>
        <v>0</v>
      </c>
      <c r="J88" s="29" t="e">
        <f>J89+J90+J91+J221+J218+J217</f>
        <v>#REF!</v>
      </c>
      <c r="K88" s="29" t="e">
        <f>K89+K90+K91+K221+K218+K217</f>
        <v>#REF!</v>
      </c>
      <c r="L88" s="29" t="e">
        <f>L89+L90+L91+L221+L218+L217</f>
        <v>#REF!</v>
      </c>
      <c r="M88" s="21">
        <f>M89+M90+M91+M221+M218+M217</f>
        <v>252646.3</v>
      </c>
      <c r="N88" s="69"/>
      <c r="O88" s="100"/>
    </row>
    <row r="89" spans="1:15" ht="20.25">
      <c r="A89" s="30" t="s">
        <v>14</v>
      </c>
      <c r="B89" s="30" t="s">
        <v>86</v>
      </c>
      <c r="C89" s="26" t="s">
        <v>15</v>
      </c>
      <c r="D89" s="135"/>
      <c r="E89" s="36"/>
      <c r="F89" s="27">
        <f t="shared" si="8"/>
        <v>0</v>
      </c>
      <c r="G89" s="36"/>
      <c r="H89" s="36"/>
      <c r="I89" s="28">
        <f t="shared" si="9"/>
        <v>0</v>
      </c>
      <c r="J89" s="31">
        <v>1724000</v>
      </c>
      <c r="K89" s="31"/>
      <c r="L89" s="31">
        <f>K89+J89</f>
        <v>1724000</v>
      </c>
      <c r="M89" s="40">
        <f t="shared" si="10"/>
        <v>1724</v>
      </c>
      <c r="N89" s="69"/>
      <c r="O89" s="100"/>
    </row>
    <row r="90" spans="1:15" ht="20.25">
      <c r="A90" s="30" t="s">
        <v>28</v>
      </c>
      <c r="B90" s="30" t="s">
        <v>95</v>
      </c>
      <c r="C90" s="26" t="s">
        <v>16</v>
      </c>
      <c r="D90" s="135" t="s">
        <v>11</v>
      </c>
      <c r="E90" s="36"/>
      <c r="F90" s="27">
        <f t="shared" si="8"/>
        <v>0</v>
      </c>
      <c r="G90" s="36"/>
      <c r="H90" s="36"/>
      <c r="I90" s="28">
        <f t="shared" si="9"/>
        <v>0</v>
      </c>
      <c r="J90" s="31">
        <f>71252200+4000000+2500000</f>
        <v>77752200</v>
      </c>
      <c r="K90" s="31"/>
      <c r="L90" s="31">
        <f>K90+J90</f>
        <v>77752200</v>
      </c>
      <c r="M90" s="40">
        <f t="shared" si="10"/>
        <v>77752.2</v>
      </c>
      <c r="N90" s="69"/>
      <c r="O90" s="100"/>
    </row>
    <row r="91" spans="1:25" ht="20.25">
      <c r="A91" s="16">
        <v>150101</v>
      </c>
      <c r="B91" s="30" t="s">
        <v>79</v>
      </c>
      <c r="C91" s="25" t="s">
        <v>4</v>
      </c>
      <c r="D91" s="135"/>
      <c r="E91" s="36">
        <f>E92+E150</f>
        <v>156493313</v>
      </c>
      <c r="F91" s="41">
        <f>F92+F150</f>
        <v>156493.3</v>
      </c>
      <c r="G91" s="36"/>
      <c r="H91" s="36">
        <f>H92+H150</f>
        <v>105987675</v>
      </c>
      <c r="I91" s="41">
        <f>I92+I150</f>
        <v>105987.6</v>
      </c>
      <c r="J91" s="42" t="e">
        <f>J92+J144+J150</f>
        <v>#REF!</v>
      </c>
      <c r="K91" s="42" t="e">
        <f>K92+K144+K150</f>
        <v>#REF!</v>
      </c>
      <c r="L91" s="42" t="e">
        <f>L92+L144+L150</f>
        <v>#REF!</v>
      </c>
      <c r="M91" s="43">
        <f>M92+M144+M150</f>
        <v>154601.3</v>
      </c>
      <c r="N91" s="69"/>
      <c r="O91" s="100"/>
      <c r="T91" s="113"/>
      <c r="U91" s="113"/>
      <c r="V91" s="113"/>
      <c r="W91" s="113"/>
      <c r="X91" s="113"/>
      <c r="Y91" s="113"/>
    </row>
    <row r="92" spans="1:25" ht="20.25">
      <c r="A92" s="16"/>
      <c r="B92" s="16"/>
      <c r="C92" s="44" t="s">
        <v>5</v>
      </c>
      <c r="D92" s="141" t="s">
        <v>5</v>
      </c>
      <c r="E92" s="45">
        <f>SUM(E93:E143)</f>
        <v>73757043</v>
      </c>
      <c r="F92" s="41">
        <f>SUM(F93:F143)</f>
        <v>73757</v>
      </c>
      <c r="G92" s="45"/>
      <c r="H92" s="45">
        <f aca="true" t="shared" si="11" ref="H92:M92">SUM(H93:H143)</f>
        <v>44832261</v>
      </c>
      <c r="I92" s="41">
        <f t="shared" si="11"/>
        <v>44832.3</v>
      </c>
      <c r="J92" s="46">
        <f t="shared" si="11"/>
        <v>42375203</v>
      </c>
      <c r="K92" s="46">
        <f t="shared" si="11"/>
        <v>1512601</v>
      </c>
      <c r="L92" s="46">
        <f t="shared" si="11"/>
        <v>43887804</v>
      </c>
      <c r="M92" s="43">
        <f t="shared" si="11"/>
        <v>44556.2</v>
      </c>
      <c r="N92" s="69"/>
      <c r="O92" s="100"/>
      <c r="T92" s="113"/>
      <c r="U92" s="113"/>
      <c r="V92" s="113"/>
      <c r="W92" s="113"/>
      <c r="X92" s="113"/>
      <c r="Y92" s="113"/>
    </row>
    <row r="93" spans="1:25" ht="27" customHeight="1">
      <c r="A93" s="26"/>
      <c r="B93" s="26"/>
      <c r="C93" s="47" t="s">
        <v>6</v>
      </c>
      <c r="D93" s="142" t="s">
        <v>6</v>
      </c>
      <c r="E93" s="27">
        <v>28556946</v>
      </c>
      <c r="F93" s="28">
        <f t="shared" si="8"/>
        <v>28556.9</v>
      </c>
      <c r="G93" s="17">
        <v>86</v>
      </c>
      <c r="H93" s="32">
        <v>24569887</v>
      </c>
      <c r="I93" s="28">
        <f t="shared" si="9"/>
        <v>24569.9</v>
      </c>
      <c r="J93" s="31">
        <f>1000000+850000</f>
        <v>1850000</v>
      </c>
      <c r="K93" s="31"/>
      <c r="L93" s="31">
        <f aca="true" t="shared" si="12" ref="L93:L142">K93+J93</f>
        <v>1850000</v>
      </c>
      <c r="M93" s="40">
        <f t="shared" si="10"/>
        <v>1850</v>
      </c>
      <c r="N93" s="69"/>
      <c r="O93" s="100"/>
      <c r="T93" s="113"/>
      <c r="U93" s="113"/>
      <c r="V93" s="113"/>
      <c r="W93" s="113"/>
      <c r="X93" s="113"/>
      <c r="Y93" s="113"/>
    </row>
    <row r="94" spans="1:21" ht="32.25" customHeight="1">
      <c r="A94" s="19"/>
      <c r="B94" s="19"/>
      <c r="C94" s="47" t="s">
        <v>108</v>
      </c>
      <c r="D94" s="142" t="s">
        <v>108</v>
      </c>
      <c r="E94" s="27"/>
      <c r="F94" s="28">
        <f t="shared" si="8"/>
        <v>0</v>
      </c>
      <c r="G94" s="28"/>
      <c r="H94" s="27"/>
      <c r="I94" s="28">
        <f t="shared" si="9"/>
        <v>0</v>
      </c>
      <c r="J94" s="31">
        <f>2500000-2200000</f>
        <v>300000</v>
      </c>
      <c r="K94" s="31"/>
      <c r="L94" s="31">
        <f t="shared" si="12"/>
        <v>300000</v>
      </c>
      <c r="M94" s="40">
        <f>ROUND(L94/1000,1)-160</f>
        <v>140</v>
      </c>
      <c r="N94" s="69"/>
      <c r="O94" s="100"/>
      <c r="T94" s="113"/>
      <c r="U94" s="113"/>
    </row>
    <row r="95" spans="1:21" ht="41.25" customHeight="1">
      <c r="A95" s="19"/>
      <c r="B95" s="19"/>
      <c r="C95" s="47" t="s">
        <v>44</v>
      </c>
      <c r="D95" s="142" t="s">
        <v>44</v>
      </c>
      <c r="E95" s="27"/>
      <c r="F95" s="28">
        <f t="shared" si="8"/>
        <v>0</v>
      </c>
      <c r="G95" s="28"/>
      <c r="H95" s="27"/>
      <c r="I95" s="28">
        <f t="shared" si="9"/>
        <v>0</v>
      </c>
      <c r="J95" s="31">
        <f>3198625-110000-2575000-148844</f>
        <v>364781</v>
      </c>
      <c r="K95" s="31"/>
      <c r="L95" s="31">
        <f t="shared" si="12"/>
        <v>364781</v>
      </c>
      <c r="M95" s="40">
        <f t="shared" si="10"/>
        <v>364.8</v>
      </c>
      <c r="N95" s="69"/>
      <c r="O95" s="100"/>
      <c r="T95" s="113"/>
      <c r="U95" s="113"/>
    </row>
    <row r="96" spans="1:21" ht="25.5" customHeight="1">
      <c r="A96" s="16"/>
      <c r="B96" s="16"/>
      <c r="C96" s="47" t="s">
        <v>261</v>
      </c>
      <c r="D96" s="142" t="s">
        <v>99</v>
      </c>
      <c r="E96" s="32">
        <v>680490</v>
      </c>
      <c r="F96" s="28">
        <f t="shared" si="8"/>
        <v>680.5</v>
      </c>
      <c r="G96" s="48">
        <v>55.9</v>
      </c>
      <c r="H96" s="32">
        <v>380490</v>
      </c>
      <c r="I96" s="28">
        <f t="shared" si="9"/>
        <v>380.5</v>
      </c>
      <c r="J96" s="31">
        <f>380000-89000-230000+10000</f>
        <v>71000</v>
      </c>
      <c r="K96" s="31"/>
      <c r="L96" s="31">
        <f t="shared" si="12"/>
        <v>71000</v>
      </c>
      <c r="M96" s="40">
        <f t="shared" si="10"/>
        <v>71</v>
      </c>
      <c r="N96" s="69"/>
      <c r="O96" s="100"/>
      <c r="T96" s="113"/>
      <c r="U96" s="113"/>
    </row>
    <row r="97" spans="1:21" ht="25.5" customHeight="1">
      <c r="A97" s="26"/>
      <c r="B97" s="26"/>
      <c r="C97" s="47" t="s">
        <v>40</v>
      </c>
      <c r="D97" s="142" t="s">
        <v>40</v>
      </c>
      <c r="E97" s="27">
        <v>12997832</v>
      </c>
      <c r="F97" s="28">
        <f t="shared" si="8"/>
        <v>12997.8</v>
      </c>
      <c r="G97" s="17">
        <v>47.7</v>
      </c>
      <c r="H97" s="32">
        <v>6200933</v>
      </c>
      <c r="I97" s="28">
        <f t="shared" si="9"/>
        <v>6200.9</v>
      </c>
      <c r="J97" s="31">
        <f>3000000+2000000-320000-500000</f>
        <v>4180000</v>
      </c>
      <c r="K97" s="31"/>
      <c r="L97" s="31">
        <f t="shared" si="12"/>
        <v>4180000</v>
      </c>
      <c r="M97" s="40">
        <f t="shared" si="10"/>
        <v>4180</v>
      </c>
      <c r="N97" s="69"/>
      <c r="O97" s="100"/>
      <c r="T97" s="113"/>
      <c r="U97" s="113"/>
    </row>
    <row r="98" spans="1:21" ht="25.5" customHeight="1">
      <c r="A98" s="26"/>
      <c r="B98" s="26"/>
      <c r="C98" s="47" t="s">
        <v>221</v>
      </c>
      <c r="D98" s="142" t="s">
        <v>221</v>
      </c>
      <c r="E98" s="27"/>
      <c r="F98" s="28">
        <f t="shared" si="8"/>
        <v>0</v>
      </c>
      <c r="G98" s="17"/>
      <c r="H98" s="32"/>
      <c r="I98" s="28">
        <f t="shared" si="9"/>
        <v>0</v>
      </c>
      <c r="J98" s="31">
        <v>1000</v>
      </c>
      <c r="K98" s="31"/>
      <c r="L98" s="31">
        <f t="shared" si="12"/>
        <v>1000</v>
      </c>
      <c r="M98" s="40">
        <f t="shared" si="10"/>
        <v>1</v>
      </c>
      <c r="N98" s="69"/>
      <c r="O98" s="100"/>
      <c r="T98" s="113"/>
      <c r="U98" s="113"/>
    </row>
    <row r="99" spans="1:21" ht="25.5" customHeight="1">
      <c r="A99" s="19"/>
      <c r="B99" s="19"/>
      <c r="C99" s="47" t="s">
        <v>118</v>
      </c>
      <c r="D99" s="142" t="s">
        <v>118</v>
      </c>
      <c r="E99" s="27"/>
      <c r="F99" s="28">
        <f t="shared" si="8"/>
        <v>0</v>
      </c>
      <c r="G99" s="28"/>
      <c r="H99" s="27"/>
      <c r="I99" s="28">
        <f t="shared" si="9"/>
        <v>0</v>
      </c>
      <c r="J99" s="31">
        <f>2000000-1750000</f>
        <v>250000</v>
      </c>
      <c r="K99" s="31"/>
      <c r="L99" s="31">
        <f t="shared" si="12"/>
        <v>250000</v>
      </c>
      <c r="M99" s="40">
        <f t="shared" si="10"/>
        <v>250</v>
      </c>
      <c r="N99" s="69"/>
      <c r="O99" s="100"/>
      <c r="T99" s="113"/>
      <c r="U99" s="113"/>
    </row>
    <row r="100" spans="1:21" ht="25.5" customHeight="1">
      <c r="A100" s="19"/>
      <c r="B100" s="19"/>
      <c r="C100" s="47" t="s">
        <v>147</v>
      </c>
      <c r="D100" s="142" t="s">
        <v>147</v>
      </c>
      <c r="E100" s="27"/>
      <c r="F100" s="28">
        <f t="shared" si="8"/>
        <v>0</v>
      </c>
      <c r="G100" s="28"/>
      <c r="H100" s="27"/>
      <c r="I100" s="28">
        <f t="shared" si="9"/>
        <v>0</v>
      </c>
      <c r="J100" s="31">
        <v>800000</v>
      </c>
      <c r="K100" s="31"/>
      <c r="L100" s="31">
        <f t="shared" si="12"/>
        <v>800000</v>
      </c>
      <c r="M100" s="40">
        <f t="shared" si="10"/>
        <v>800</v>
      </c>
      <c r="N100" s="69"/>
      <c r="O100" s="100"/>
      <c r="T100" s="113"/>
      <c r="U100" s="113"/>
    </row>
    <row r="101" spans="1:21" ht="25.5" customHeight="1">
      <c r="A101" s="19"/>
      <c r="B101" s="19"/>
      <c r="C101" s="47" t="s">
        <v>191</v>
      </c>
      <c r="D101" s="142" t="s">
        <v>191</v>
      </c>
      <c r="E101" s="27"/>
      <c r="F101" s="28">
        <f t="shared" si="8"/>
        <v>0</v>
      </c>
      <c r="G101" s="28"/>
      <c r="H101" s="27"/>
      <c r="I101" s="28">
        <f t="shared" si="9"/>
        <v>0</v>
      </c>
      <c r="J101" s="31">
        <v>100000</v>
      </c>
      <c r="K101" s="31"/>
      <c r="L101" s="31">
        <f t="shared" si="12"/>
        <v>100000</v>
      </c>
      <c r="M101" s="40">
        <f t="shared" si="10"/>
        <v>100</v>
      </c>
      <c r="N101" s="69"/>
      <c r="O101" s="100"/>
      <c r="T101" s="113"/>
      <c r="U101" s="113"/>
    </row>
    <row r="102" spans="1:21" ht="25.5" customHeight="1">
      <c r="A102" s="19"/>
      <c r="B102" s="19"/>
      <c r="C102" s="47" t="s">
        <v>119</v>
      </c>
      <c r="D102" s="142" t="s">
        <v>119</v>
      </c>
      <c r="E102" s="27"/>
      <c r="F102" s="28">
        <f t="shared" si="8"/>
        <v>0</v>
      </c>
      <c r="G102" s="28"/>
      <c r="H102" s="27"/>
      <c r="I102" s="28">
        <f t="shared" si="9"/>
        <v>0</v>
      </c>
      <c r="J102" s="31">
        <f>1000000+500000</f>
        <v>1500000</v>
      </c>
      <c r="K102" s="31"/>
      <c r="L102" s="31">
        <f t="shared" si="12"/>
        <v>1500000</v>
      </c>
      <c r="M102" s="40">
        <f>ROUND(L102/1000,1)+410</f>
        <v>1910</v>
      </c>
      <c r="N102" s="69"/>
      <c r="O102" s="100"/>
      <c r="T102" s="113"/>
      <c r="U102" s="113"/>
    </row>
    <row r="103" spans="1:21" ht="25.5" customHeight="1">
      <c r="A103" s="19"/>
      <c r="B103" s="19"/>
      <c r="C103" s="47" t="s">
        <v>262</v>
      </c>
      <c r="D103" s="142" t="s">
        <v>229</v>
      </c>
      <c r="E103" s="27"/>
      <c r="F103" s="28">
        <f t="shared" si="8"/>
        <v>0</v>
      </c>
      <c r="G103" s="28"/>
      <c r="H103" s="27"/>
      <c r="I103" s="28">
        <f t="shared" si="9"/>
        <v>0</v>
      </c>
      <c r="J103" s="31">
        <v>20000</v>
      </c>
      <c r="K103" s="31"/>
      <c r="L103" s="31">
        <f t="shared" si="12"/>
        <v>20000</v>
      </c>
      <c r="M103" s="40">
        <f t="shared" si="10"/>
        <v>20</v>
      </c>
      <c r="N103" s="69"/>
      <c r="O103" s="100"/>
      <c r="T103" s="113"/>
      <c r="U103" s="113"/>
    </row>
    <row r="104" spans="1:21" ht="25.5" customHeight="1">
      <c r="A104" s="19"/>
      <c r="B104" s="19"/>
      <c r="C104" s="47" t="s">
        <v>27</v>
      </c>
      <c r="D104" s="142" t="s">
        <v>27</v>
      </c>
      <c r="E104" s="27">
        <v>27952784</v>
      </c>
      <c r="F104" s="28">
        <f t="shared" si="8"/>
        <v>27952.8</v>
      </c>
      <c r="G104" s="28">
        <v>36.5</v>
      </c>
      <c r="H104" s="27">
        <v>10189981</v>
      </c>
      <c r="I104" s="28">
        <f t="shared" si="9"/>
        <v>10190</v>
      </c>
      <c r="J104" s="31">
        <v>5000000</v>
      </c>
      <c r="K104" s="31"/>
      <c r="L104" s="31">
        <f t="shared" si="12"/>
        <v>5000000</v>
      </c>
      <c r="M104" s="40">
        <f t="shared" si="10"/>
        <v>5000</v>
      </c>
      <c r="N104" s="69"/>
      <c r="O104" s="100"/>
      <c r="T104" s="113"/>
      <c r="U104" s="113"/>
    </row>
    <row r="105" spans="1:21" ht="25.5" customHeight="1">
      <c r="A105" s="19"/>
      <c r="B105" s="19"/>
      <c r="C105" s="47" t="s">
        <v>120</v>
      </c>
      <c r="D105" s="142" t="s">
        <v>120</v>
      </c>
      <c r="E105" s="27">
        <v>3568991</v>
      </c>
      <c r="F105" s="28">
        <f t="shared" si="8"/>
        <v>3569</v>
      </c>
      <c r="G105" s="28">
        <v>97.8</v>
      </c>
      <c r="H105" s="27">
        <v>3490970</v>
      </c>
      <c r="I105" s="28">
        <f t="shared" si="9"/>
        <v>3491</v>
      </c>
      <c r="J105" s="31">
        <f>5400000-500000</f>
        <v>4900000</v>
      </c>
      <c r="K105" s="31"/>
      <c r="L105" s="31">
        <f t="shared" si="12"/>
        <v>4900000</v>
      </c>
      <c r="M105" s="40">
        <f>ROUND(L105/1000,1)+700</f>
        <v>5600</v>
      </c>
      <c r="N105" s="69"/>
      <c r="O105" s="100"/>
      <c r="T105" s="113"/>
      <c r="U105" s="113"/>
    </row>
    <row r="106" spans="1:21" ht="34.5" customHeight="1">
      <c r="A106" s="19"/>
      <c r="B106" s="19"/>
      <c r="C106" s="47" t="s">
        <v>277</v>
      </c>
      <c r="D106" s="142" t="s">
        <v>74</v>
      </c>
      <c r="E106" s="27"/>
      <c r="F106" s="28">
        <f t="shared" si="8"/>
        <v>0</v>
      </c>
      <c r="G106" s="28"/>
      <c r="H106" s="27"/>
      <c r="I106" s="28">
        <f t="shared" si="9"/>
        <v>0</v>
      </c>
      <c r="J106" s="31">
        <f>9000000+8000000</f>
        <v>17000000</v>
      </c>
      <c r="K106" s="31"/>
      <c r="L106" s="31">
        <f t="shared" si="12"/>
        <v>17000000</v>
      </c>
      <c r="M106" s="40">
        <f t="shared" si="10"/>
        <v>17000</v>
      </c>
      <c r="N106" s="69"/>
      <c r="O106" s="100"/>
      <c r="T106" s="113"/>
      <c r="U106" s="113"/>
    </row>
    <row r="107" spans="1:21" ht="20.25">
      <c r="A107" s="19"/>
      <c r="B107" s="19"/>
      <c r="C107" s="47" t="s">
        <v>144</v>
      </c>
      <c r="D107" s="142" t="s">
        <v>144</v>
      </c>
      <c r="E107" s="27"/>
      <c r="F107" s="28">
        <f t="shared" si="8"/>
        <v>0</v>
      </c>
      <c r="G107" s="28"/>
      <c r="H107" s="27"/>
      <c r="I107" s="28">
        <f t="shared" si="9"/>
        <v>0</v>
      </c>
      <c r="J107" s="31">
        <v>500000</v>
      </c>
      <c r="K107" s="31"/>
      <c r="L107" s="31">
        <f t="shared" si="12"/>
        <v>500000</v>
      </c>
      <c r="M107" s="40">
        <f>ROUND(L107/1000,1)-100-350</f>
        <v>50</v>
      </c>
      <c r="N107" s="69"/>
      <c r="O107" s="100"/>
      <c r="T107" s="113"/>
      <c r="U107" s="113"/>
    </row>
    <row r="108" spans="1:21" ht="20.25">
      <c r="A108" s="19"/>
      <c r="B108" s="19"/>
      <c r="C108" s="47" t="s">
        <v>145</v>
      </c>
      <c r="D108" s="142" t="s">
        <v>145</v>
      </c>
      <c r="E108" s="27"/>
      <c r="F108" s="28">
        <f t="shared" si="8"/>
        <v>0</v>
      </c>
      <c r="G108" s="28"/>
      <c r="H108" s="27"/>
      <c r="I108" s="28">
        <f t="shared" si="9"/>
        <v>0</v>
      </c>
      <c r="J108" s="31">
        <v>1000000</v>
      </c>
      <c r="K108" s="31"/>
      <c r="L108" s="31">
        <f t="shared" si="12"/>
        <v>1000000</v>
      </c>
      <c r="M108" s="40">
        <f t="shared" si="10"/>
        <v>1000</v>
      </c>
      <c r="N108" s="69"/>
      <c r="O108" s="100"/>
      <c r="T108" s="113"/>
      <c r="U108" s="113"/>
    </row>
    <row r="109" spans="1:21" ht="24" customHeight="1">
      <c r="A109" s="19"/>
      <c r="B109" s="19"/>
      <c r="C109" s="47" t="s">
        <v>171</v>
      </c>
      <c r="D109" s="142" t="s">
        <v>171</v>
      </c>
      <c r="E109" s="27"/>
      <c r="F109" s="28">
        <f t="shared" si="8"/>
        <v>0</v>
      </c>
      <c r="G109" s="28"/>
      <c r="H109" s="27"/>
      <c r="I109" s="28">
        <f t="shared" si="9"/>
        <v>0</v>
      </c>
      <c r="J109" s="31">
        <v>50000</v>
      </c>
      <c r="K109" s="31"/>
      <c r="L109" s="31">
        <f t="shared" si="12"/>
        <v>50000</v>
      </c>
      <c r="M109" s="40">
        <f t="shared" si="10"/>
        <v>50</v>
      </c>
      <c r="N109" s="69"/>
      <c r="O109" s="100"/>
      <c r="T109" s="113"/>
      <c r="U109" s="113"/>
    </row>
    <row r="110" spans="1:21" ht="43.5" customHeight="1">
      <c r="A110" s="19"/>
      <c r="B110" s="19"/>
      <c r="C110" s="47" t="s">
        <v>208</v>
      </c>
      <c r="D110" s="142" t="s">
        <v>208</v>
      </c>
      <c r="E110" s="27"/>
      <c r="F110" s="28">
        <f t="shared" si="8"/>
        <v>0</v>
      </c>
      <c r="G110" s="28"/>
      <c r="H110" s="27"/>
      <c r="I110" s="28">
        <f t="shared" si="9"/>
        <v>0</v>
      </c>
      <c r="J110" s="31">
        <f>490000-61000</f>
        <v>429000</v>
      </c>
      <c r="K110" s="31"/>
      <c r="L110" s="31">
        <f t="shared" si="12"/>
        <v>429000</v>
      </c>
      <c r="M110" s="40">
        <f t="shared" si="10"/>
        <v>429</v>
      </c>
      <c r="N110" s="69"/>
      <c r="O110" s="100"/>
      <c r="T110" s="113"/>
      <c r="U110" s="113"/>
    </row>
    <row r="111" spans="1:21" ht="40.5">
      <c r="A111" s="19"/>
      <c r="B111" s="19"/>
      <c r="C111" s="47" t="s">
        <v>163</v>
      </c>
      <c r="D111" s="142" t="s">
        <v>163</v>
      </c>
      <c r="E111" s="27"/>
      <c r="F111" s="28">
        <f t="shared" si="8"/>
        <v>0</v>
      </c>
      <c r="G111" s="28"/>
      <c r="H111" s="27"/>
      <c r="I111" s="28">
        <f t="shared" si="9"/>
        <v>0</v>
      </c>
      <c r="J111" s="31">
        <f>300000-15000</f>
        <v>285000</v>
      </c>
      <c r="K111" s="31"/>
      <c r="L111" s="31">
        <f t="shared" si="12"/>
        <v>285000</v>
      </c>
      <c r="M111" s="40">
        <f t="shared" si="10"/>
        <v>285</v>
      </c>
      <c r="N111" s="69"/>
      <c r="O111" s="100"/>
      <c r="T111" s="113"/>
      <c r="U111" s="113"/>
    </row>
    <row r="112" spans="1:21" ht="28.5" customHeight="1">
      <c r="A112" s="19"/>
      <c r="B112" s="19"/>
      <c r="C112" s="47" t="s">
        <v>172</v>
      </c>
      <c r="D112" s="142" t="s">
        <v>172</v>
      </c>
      <c r="E112" s="27"/>
      <c r="F112" s="28">
        <f t="shared" si="8"/>
        <v>0</v>
      </c>
      <c r="G112" s="28"/>
      <c r="H112" s="27"/>
      <c r="I112" s="28">
        <f t="shared" si="9"/>
        <v>0</v>
      </c>
      <c r="J112" s="31">
        <v>80000</v>
      </c>
      <c r="K112" s="31"/>
      <c r="L112" s="31">
        <f t="shared" si="12"/>
        <v>80000</v>
      </c>
      <c r="M112" s="40">
        <f t="shared" si="10"/>
        <v>80</v>
      </c>
      <c r="N112" s="69"/>
      <c r="O112" s="100"/>
      <c r="T112" s="113"/>
      <c r="U112" s="113"/>
    </row>
    <row r="113" spans="1:21" ht="45.75" customHeight="1">
      <c r="A113" s="19"/>
      <c r="B113" s="19"/>
      <c r="C113" s="47" t="s">
        <v>281</v>
      </c>
      <c r="D113" s="142" t="s">
        <v>173</v>
      </c>
      <c r="E113" s="27"/>
      <c r="F113" s="28">
        <f t="shared" si="8"/>
        <v>0</v>
      </c>
      <c r="G113" s="28"/>
      <c r="H113" s="27"/>
      <c r="I113" s="28">
        <f t="shared" si="9"/>
        <v>0</v>
      </c>
      <c r="J113" s="31">
        <v>100000</v>
      </c>
      <c r="K113" s="31"/>
      <c r="L113" s="31">
        <f t="shared" si="12"/>
        <v>100000</v>
      </c>
      <c r="M113" s="40">
        <f t="shared" si="10"/>
        <v>100</v>
      </c>
      <c r="N113" s="69"/>
      <c r="O113" s="100"/>
      <c r="T113" s="113"/>
      <c r="U113" s="113"/>
    </row>
    <row r="114" spans="1:21" ht="30.75" customHeight="1">
      <c r="A114" s="19"/>
      <c r="B114" s="19"/>
      <c r="C114" s="47" t="s">
        <v>181</v>
      </c>
      <c r="D114" s="142" t="s">
        <v>181</v>
      </c>
      <c r="E114" s="27"/>
      <c r="F114" s="28">
        <f t="shared" si="8"/>
        <v>0</v>
      </c>
      <c r="G114" s="28"/>
      <c r="H114" s="27"/>
      <c r="I114" s="28">
        <f t="shared" si="9"/>
        <v>0</v>
      </c>
      <c r="J114" s="31">
        <v>57000</v>
      </c>
      <c r="K114" s="31"/>
      <c r="L114" s="31">
        <f t="shared" si="12"/>
        <v>57000</v>
      </c>
      <c r="M114" s="40">
        <f t="shared" si="10"/>
        <v>57</v>
      </c>
      <c r="N114" s="69"/>
      <c r="O114" s="100"/>
      <c r="T114" s="113"/>
      <c r="U114" s="113"/>
    </row>
    <row r="115" spans="1:21" ht="30.75" customHeight="1">
      <c r="A115" s="19"/>
      <c r="B115" s="19"/>
      <c r="C115" s="51" t="s">
        <v>210</v>
      </c>
      <c r="D115" s="49" t="s">
        <v>210</v>
      </c>
      <c r="E115" s="50"/>
      <c r="F115" s="28">
        <f t="shared" si="8"/>
        <v>0</v>
      </c>
      <c r="G115" s="28"/>
      <c r="H115" s="27"/>
      <c r="I115" s="28">
        <f t="shared" si="9"/>
        <v>0</v>
      </c>
      <c r="J115" s="31">
        <v>50000</v>
      </c>
      <c r="K115" s="31"/>
      <c r="L115" s="31">
        <f t="shared" si="12"/>
        <v>50000</v>
      </c>
      <c r="M115" s="40">
        <f t="shared" si="10"/>
        <v>50</v>
      </c>
      <c r="N115" s="69"/>
      <c r="O115" s="100"/>
      <c r="T115" s="113"/>
      <c r="U115" s="113"/>
    </row>
    <row r="116" spans="1:21" ht="30.75" customHeight="1">
      <c r="A116" s="19"/>
      <c r="B116" s="19"/>
      <c r="C116" s="51" t="s">
        <v>227</v>
      </c>
      <c r="D116" s="143" t="s">
        <v>227</v>
      </c>
      <c r="E116" s="27"/>
      <c r="F116" s="28">
        <f t="shared" si="8"/>
        <v>0</v>
      </c>
      <c r="G116" s="28"/>
      <c r="H116" s="27"/>
      <c r="I116" s="28">
        <f t="shared" si="9"/>
        <v>0</v>
      </c>
      <c r="J116" s="31">
        <v>50000</v>
      </c>
      <c r="K116" s="31"/>
      <c r="L116" s="31">
        <f t="shared" si="12"/>
        <v>50000</v>
      </c>
      <c r="M116" s="40">
        <f t="shared" si="10"/>
        <v>50</v>
      </c>
      <c r="N116" s="69"/>
      <c r="O116" s="100"/>
      <c r="T116" s="113"/>
      <c r="U116" s="113"/>
    </row>
    <row r="117" spans="1:21" ht="30.75" customHeight="1">
      <c r="A117" s="19"/>
      <c r="B117" s="19"/>
      <c r="C117" s="51" t="s">
        <v>263</v>
      </c>
      <c r="D117" s="49" t="s">
        <v>228</v>
      </c>
      <c r="E117" s="27"/>
      <c r="F117" s="28">
        <f t="shared" si="8"/>
        <v>0</v>
      </c>
      <c r="G117" s="28"/>
      <c r="H117" s="27"/>
      <c r="I117" s="28">
        <f t="shared" si="9"/>
        <v>0</v>
      </c>
      <c r="J117" s="31">
        <v>50000</v>
      </c>
      <c r="K117" s="31"/>
      <c r="L117" s="31">
        <f t="shared" si="12"/>
        <v>50000</v>
      </c>
      <c r="M117" s="40">
        <f t="shared" si="10"/>
        <v>50</v>
      </c>
      <c r="N117" s="69"/>
      <c r="O117" s="100"/>
      <c r="T117" s="113"/>
      <c r="U117" s="113"/>
    </row>
    <row r="118" spans="1:21" ht="67.5" customHeight="1">
      <c r="A118" s="19"/>
      <c r="B118" s="19"/>
      <c r="C118" s="47" t="s">
        <v>290</v>
      </c>
      <c r="D118" s="142" t="s">
        <v>244</v>
      </c>
      <c r="E118" s="27"/>
      <c r="F118" s="28">
        <f t="shared" si="8"/>
        <v>0</v>
      </c>
      <c r="G118" s="28"/>
      <c r="H118" s="27"/>
      <c r="I118" s="28">
        <f t="shared" si="9"/>
        <v>0</v>
      </c>
      <c r="J118" s="31"/>
      <c r="K118" s="114">
        <f>1396700+40901</f>
        <v>1437601</v>
      </c>
      <c r="L118" s="31">
        <f t="shared" si="12"/>
        <v>1437601</v>
      </c>
      <c r="M118" s="40">
        <f t="shared" si="10"/>
        <v>1437.6</v>
      </c>
      <c r="N118" s="69"/>
      <c r="O118" s="100"/>
      <c r="T118" s="113"/>
      <c r="U118" s="113"/>
    </row>
    <row r="119" spans="1:21" ht="41.25" customHeight="1">
      <c r="A119" s="19"/>
      <c r="B119" s="19"/>
      <c r="C119" s="47" t="s">
        <v>291</v>
      </c>
      <c r="D119" s="142" t="s">
        <v>226</v>
      </c>
      <c r="E119" s="27"/>
      <c r="F119" s="28">
        <f t="shared" si="8"/>
        <v>0</v>
      </c>
      <c r="G119" s="28"/>
      <c r="H119" s="27"/>
      <c r="I119" s="28">
        <f t="shared" si="9"/>
        <v>0</v>
      </c>
      <c r="J119" s="31">
        <v>822043</v>
      </c>
      <c r="K119" s="31"/>
      <c r="L119" s="31">
        <f t="shared" si="12"/>
        <v>822043</v>
      </c>
      <c r="M119" s="40">
        <f t="shared" si="10"/>
        <v>822</v>
      </c>
      <c r="N119" s="69"/>
      <c r="O119" s="100"/>
      <c r="T119" s="113"/>
      <c r="U119" s="113"/>
    </row>
    <row r="120" spans="1:21" ht="36" customHeight="1">
      <c r="A120" s="19"/>
      <c r="B120" s="19"/>
      <c r="C120" s="47" t="s">
        <v>106</v>
      </c>
      <c r="D120" s="142" t="s">
        <v>106</v>
      </c>
      <c r="E120" s="27"/>
      <c r="F120" s="28">
        <f t="shared" si="8"/>
        <v>0</v>
      </c>
      <c r="G120" s="28"/>
      <c r="H120" s="27"/>
      <c r="I120" s="28">
        <f t="shared" si="9"/>
        <v>0</v>
      </c>
      <c r="J120" s="31">
        <f>1000000+40000+120000</f>
        <v>1160000</v>
      </c>
      <c r="K120" s="31"/>
      <c r="L120" s="31">
        <f t="shared" si="12"/>
        <v>1160000</v>
      </c>
      <c r="M120" s="40">
        <f>ROUND(L120/1000,1)+300</f>
        <v>1460</v>
      </c>
      <c r="N120" s="69"/>
      <c r="O120" s="100"/>
      <c r="T120" s="113"/>
      <c r="U120" s="113"/>
    </row>
    <row r="121" spans="1:21" ht="36" customHeight="1">
      <c r="A121" s="19"/>
      <c r="B121" s="19"/>
      <c r="C121" s="47" t="s">
        <v>220</v>
      </c>
      <c r="D121" s="142" t="s">
        <v>220</v>
      </c>
      <c r="E121" s="27"/>
      <c r="F121" s="28">
        <f t="shared" si="8"/>
        <v>0</v>
      </c>
      <c r="G121" s="28"/>
      <c r="H121" s="27"/>
      <c r="I121" s="28">
        <f t="shared" si="9"/>
        <v>0</v>
      </c>
      <c r="J121" s="31">
        <v>80000</v>
      </c>
      <c r="K121" s="31"/>
      <c r="L121" s="31">
        <f t="shared" si="12"/>
        <v>80000</v>
      </c>
      <c r="M121" s="40">
        <f t="shared" si="10"/>
        <v>80</v>
      </c>
      <c r="N121" s="69"/>
      <c r="O121" s="100"/>
      <c r="T121" s="113"/>
      <c r="U121" s="113"/>
    </row>
    <row r="122" spans="1:21" ht="36" customHeight="1">
      <c r="A122" s="19"/>
      <c r="B122" s="19"/>
      <c r="C122" s="47" t="s">
        <v>218</v>
      </c>
      <c r="D122" s="142" t="s">
        <v>218</v>
      </c>
      <c r="E122" s="27"/>
      <c r="F122" s="28">
        <f t="shared" si="8"/>
        <v>0</v>
      </c>
      <c r="G122" s="28"/>
      <c r="H122" s="27"/>
      <c r="I122" s="28">
        <f t="shared" si="9"/>
        <v>0</v>
      </c>
      <c r="J122" s="31">
        <v>35000</v>
      </c>
      <c r="K122" s="31"/>
      <c r="L122" s="31">
        <f t="shared" si="12"/>
        <v>35000</v>
      </c>
      <c r="M122" s="40">
        <f t="shared" si="10"/>
        <v>35</v>
      </c>
      <c r="N122" s="69"/>
      <c r="O122" s="100"/>
      <c r="T122" s="113"/>
      <c r="U122" s="113"/>
    </row>
    <row r="123" spans="1:21" ht="36" customHeight="1">
      <c r="A123" s="19"/>
      <c r="B123" s="19"/>
      <c r="C123" s="47" t="s">
        <v>160</v>
      </c>
      <c r="D123" s="142" t="s">
        <v>160</v>
      </c>
      <c r="E123" s="27"/>
      <c r="F123" s="28">
        <f t="shared" si="8"/>
        <v>0</v>
      </c>
      <c r="G123" s="28"/>
      <c r="H123" s="27"/>
      <c r="I123" s="28">
        <f t="shared" si="9"/>
        <v>0</v>
      </c>
      <c r="J123" s="31">
        <v>150000</v>
      </c>
      <c r="K123" s="31"/>
      <c r="L123" s="31">
        <f t="shared" si="12"/>
        <v>150000</v>
      </c>
      <c r="M123" s="40">
        <f t="shared" si="10"/>
        <v>150</v>
      </c>
      <c r="N123" s="69"/>
      <c r="O123" s="100"/>
      <c r="T123" s="113"/>
      <c r="U123" s="113"/>
    </row>
    <row r="124" spans="1:21" ht="36" customHeight="1">
      <c r="A124" s="19"/>
      <c r="B124" s="19"/>
      <c r="C124" s="47" t="s">
        <v>159</v>
      </c>
      <c r="D124" s="142" t="s">
        <v>159</v>
      </c>
      <c r="E124" s="27"/>
      <c r="F124" s="28">
        <f t="shared" si="8"/>
        <v>0</v>
      </c>
      <c r="G124" s="28"/>
      <c r="H124" s="27"/>
      <c r="I124" s="28">
        <f t="shared" si="9"/>
        <v>0</v>
      </c>
      <c r="J124" s="31">
        <f>50000+15000</f>
        <v>65000</v>
      </c>
      <c r="K124" s="31"/>
      <c r="L124" s="31">
        <f t="shared" si="12"/>
        <v>65000</v>
      </c>
      <c r="M124" s="40">
        <f t="shared" si="10"/>
        <v>65</v>
      </c>
      <c r="N124" s="69"/>
      <c r="O124" s="100"/>
      <c r="T124" s="113"/>
      <c r="U124" s="113"/>
    </row>
    <row r="125" spans="1:21" ht="36" customHeight="1">
      <c r="A125" s="19"/>
      <c r="B125" s="19"/>
      <c r="C125" s="47" t="s">
        <v>158</v>
      </c>
      <c r="D125" s="142" t="s">
        <v>158</v>
      </c>
      <c r="E125" s="27"/>
      <c r="F125" s="28">
        <f t="shared" si="8"/>
        <v>0</v>
      </c>
      <c r="G125" s="28"/>
      <c r="H125" s="27"/>
      <c r="I125" s="28">
        <f t="shared" si="9"/>
        <v>0</v>
      </c>
      <c r="J125" s="31">
        <v>57000</v>
      </c>
      <c r="K125" s="31"/>
      <c r="L125" s="31">
        <f t="shared" si="12"/>
        <v>57000</v>
      </c>
      <c r="M125" s="40">
        <f t="shared" si="10"/>
        <v>57</v>
      </c>
      <c r="N125" s="69"/>
      <c r="O125" s="100"/>
      <c r="T125" s="113"/>
      <c r="U125" s="113"/>
    </row>
    <row r="126" spans="1:21" ht="32.25" customHeight="1">
      <c r="A126" s="19"/>
      <c r="B126" s="19"/>
      <c r="C126" s="47" t="s">
        <v>152</v>
      </c>
      <c r="D126" s="142" t="s">
        <v>152</v>
      </c>
      <c r="E126" s="27"/>
      <c r="F126" s="28">
        <f t="shared" si="8"/>
        <v>0</v>
      </c>
      <c r="G126" s="28"/>
      <c r="H126" s="27"/>
      <c r="I126" s="28">
        <f t="shared" si="9"/>
        <v>0</v>
      </c>
      <c r="J126" s="31">
        <v>57000</v>
      </c>
      <c r="K126" s="31"/>
      <c r="L126" s="31">
        <f t="shared" si="12"/>
        <v>57000</v>
      </c>
      <c r="M126" s="40">
        <f t="shared" si="10"/>
        <v>57</v>
      </c>
      <c r="N126" s="69"/>
      <c r="O126" s="100"/>
      <c r="T126" s="113"/>
      <c r="U126" s="113"/>
    </row>
    <row r="127" spans="1:21" ht="32.25" customHeight="1">
      <c r="A127" s="19"/>
      <c r="B127" s="19"/>
      <c r="C127" s="47" t="s">
        <v>151</v>
      </c>
      <c r="D127" s="142" t="s">
        <v>151</v>
      </c>
      <c r="E127" s="27"/>
      <c r="F127" s="28">
        <f t="shared" si="8"/>
        <v>0</v>
      </c>
      <c r="G127" s="28"/>
      <c r="H127" s="27"/>
      <c r="I127" s="28">
        <f t="shared" si="9"/>
        <v>0</v>
      </c>
      <c r="J127" s="31">
        <v>57000</v>
      </c>
      <c r="K127" s="31"/>
      <c r="L127" s="31">
        <f t="shared" si="12"/>
        <v>57000</v>
      </c>
      <c r="M127" s="40">
        <f t="shared" si="10"/>
        <v>57</v>
      </c>
      <c r="N127" s="69"/>
      <c r="O127" s="100"/>
      <c r="T127" s="113"/>
      <c r="U127" s="113"/>
    </row>
    <row r="128" spans="1:21" ht="32.25" customHeight="1">
      <c r="A128" s="19"/>
      <c r="B128" s="19"/>
      <c r="C128" s="47" t="s">
        <v>193</v>
      </c>
      <c r="D128" s="142" t="s">
        <v>193</v>
      </c>
      <c r="E128" s="27"/>
      <c r="F128" s="28">
        <f t="shared" si="8"/>
        <v>0</v>
      </c>
      <c r="G128" s="28"/>
      <c r="H128" s="27"/>
      <c r="I128" s="28">
        <f t="shared" si="9"/>
        <v>0</v>
      </c>
      <c r="J128" s="31">
        <v>45000</v>
      </c>
      <c r="K128" s="31"/>
      <c r="L128" s="31">
        <f t="shared" si="12"/>
        <v>45000</v>
      </c>
      <c r="M128" s="40">
        <f t="shared" si="10"/>
        <v>45</v>
      </c>
      <c r="N128" s="69"/>
      <c r="O128" s="100"/>
      <c r="T128" s="113"/>
      <c r="U128" s="113"/>
    </row>
    <row r="129" spans="1:21" ht="32.25" customHeight="1">
      <c r="A129" s="19"/>
      <c r="B129" s="19"/>
      <c r="C129" s="47" t="s">
        <v>195</v>
      </c>
      <c r="D129" s="142" t="s">
        <v>195</v>
      </c>
      <c r="E129" s="27"/>
      <c r="F129" s="28">
        <f t="shared" si="8"/>
        <v>0</v>
      </c>
      <c r="G129" s="28"/>
      <c r="H129" s="27"/>
      <c r="I129" s="28">
        <f t="shared" si="9"/>
        <v>0</v>
      </c>
      <c r="J129" s="31">
        <v>47628</v>
      </c>
      <c r="K129" s="31"/>
      <c r="L129" s="31">
        <f t="shared" si="12"/>
        <v>47628</v>
      </c>
      <c r="M129" s="40">
        <f t="shared" si="10"/>
        <v>47.6</v>
      </c>
      <c r="N129" s="69"/>
      <c r="O129" s="100"/>
      <c r="T129" s="113"/>
      <c r="U129" s="113"/>
    </row>
    <row r="130" spans="1:21" ht="32.25" customHeight="1">
      <c r="A130" s="19"/>
      <c r="B130" s="19"/>
      <c r="C130" s="47" t="s">
        <v>196</v>
      </c>
      <c r="D130" s="142" t="s">
        <v>196</v>
      </c>
      <c r="E130" s="27"/>
      <c r="F130" s="28">
        <f t="shared" si="8"/>
        <v>0</v>
      </c>
      <c r="G130" s="28"/>
      <c r="H130" s="27"/>
      <c r="I130" s="28">
        <f t="shared" si="9"/>
        <v>0</v>
      </c>
      <c r="J130" s="31">
        <v>44565</v>
      </c>
      <c r="K130" s="31"/>
      <c r="L130" s="31">
        <f t="shared" si="12"/>
        <v>44565</v>
      </c>
      <c r="M130" s="40">
        <f t="shared" si="10"/>
        <v>44.6</v>
      </c>
      <c r="N130" s="69"/>
      <c r="O130" s="100"/>
      <c r="T130" s="113"/>
      <c r="U130" s="113"/>
    </row>
    <row r="131" spans="1:21" ht="32.25" customHeight="1">
      <c r="A131" s="19"/>
      <c r="B131" s="19"/>
      <c r="C131" s="47" t="s">
        <v>197</v>
      </c>
      <c r="D131" s="142" t="s">
        <v>197</v>
      </c>
      <c r="E131" s="27"/>
      <c r="F131" s="28">
        <f t="shared" si="8"/>
        <v>0</v>
      </c>
      <c r="G131" s="28"/>
      <c r="H131" s="27"/>
      <c r="I131" s="28">
        <f t="shared" si="9"/>
        <v>0</v>
      </c>
      <c r="J131" s="31">
        <v>29703</v>
      </c>
      <c r="K131" s="31"/>
      <c r="L131" s="31">
        <f t="shared" si="12"/>
        <v>29703</v>
      </c>
      <c r="M131" s="40">
        <f t="shared" si="10"/>
        <v>29.7</v>
      </c>
      <c r="N131" s="69"/>
      <c r="O131" s="100"/>
      <c r="T131" s="113"/>
      <c r="U131" s="113"/>
    </row>
    <row r="132" spans="1:21" ht="24.75" customHeight="1">
      <c r="A132" s="19"/>
      <c r="B132" s="19"/>
      <c r="C132" s="47" t="s">
        <v>198</v>
      </c>
      <c r="D132" s="142" t="s">
        <v>198</v>
      </c>
      <c r="E132" s="27"/>
      <c r="F132" s="28">
        <f t="shared" si="8"/>
        <v>0</v>
      </c>
      <c r="G132" s="28"/>
      <c r="H132" s="27"/>
      <c r="I132" s="28">
        <f t="shared" si="9"/>
        <v>0</v>
      </c>
      <c r="J132" s="31">
        <v>41338</v>
      </c>
      <c r="K132" s="31"/>
      <c r="L132" s="31">
        <f t="shared" si="12"/>
        <v>41338</v>
      </c>
      <c r="M132" s="40">
        <f t="shared" si="10"/>
        <v>41.3</v>
      </c>
      <c r="N132" s="69"/>
      <c r="O132" s="100"/>
      <c r="T132" s="113"/>
      <c r="U132" s="113"/>
    </row>
    <row r="133" spans="1:21" ht="41.25" customHeight="1">
      <c r="A133" s="19"/>
      <c r="B133" s="19"/>
      <c r="C133" s="47" t="s">
        <v>194</v>
      </c>
      <c r="D133" s="142" t="s">
        <v>194</v>
      </c>
      <c r="E133" s="27"/>
      <c r="F133" s="28">
        <f t="shared" si="8"/>
        <v>0</v>
      </c>
      <c r="G133" s="28"/>
      <c r="H133" s="27"/>
      <c r="I133" s="28">
        <f t="shared" si="9"/>
        <v>0</v>
      </c>
      <c r="J133" s="31">
        <v>70000</v>
      </c>
      <c r="K133" s="31"/>
      <c r="L133" s="31">
        <f t="shared" si="12"/>
        <v>70000</v>
      </c>
      <c r="M133" s="40">
        <f t="shared" si="10"/>
        <v>70</v>
      </c>
      <c r="N133" s="69"/>
      <c r="O133" s="100"/>
      <c r="T133" s="113"/>
      <c r="U133" s="113"/>
    </row>
    <row r="134" spans="1:21" ht="33" customHeight="1">
      <c r="A134" s="19"/>
      <c r="B134" s="19"/>
      <c r="C134" s="47" t="s">
        <v>150</v>
      </c>
      <c r="D134" s="142" t="s">
        <v>150</v>
      </c>
      <c r="E134" s="27"/>
      <c r="F134" s="28">
        <f t="shared" si="8"/>
        <v>0</v>
      </c>
      <c r="G134" s="28"/>
      <c r="H134" s="27"/>
      <c r="I134" s="28">
        <f t="shared" si="9"/>
        <v>0</v>
      </c>
      <c r="J134" s="31">
        <v>122173</v>
      </c>
      <c r="K134" s="31"/>
      <c r="L134" s="31">
        <f t="shared" si="12"/>
        <v>122173</v>
      </c>
      <c r="M134" s="40">
        <f t="shared" si="10"/>
        <v>122.2</v>
      </c>
      <c r="N134" s="69"/>
      <c r="O134" s="100"/>
      <c r="T134" s="113"/>
      <c r="U134" s="113"/>
    </row>
    <row r="135" spans="1:21" ht="33" customHeight="1">
      <c r="A135" s="19"/>
      <c r="B135" s="19"/>
      <c r="C135" s="47" t="s">
        <v>178</v>
      </c>
      <c r="D135" s="142" t="s">
        <v>178</v>
      </c>
      <c r="E135" s="27"/>
      <c r="F135" s="28">
        <f t="shared" si="8"/>
        <v>0</v>
      </c>
      <c r="G135" s="28"/>
      <c r="H135" s="27"/>
      <c r="I135" s="28">
        <f t="shared" si="9"/>
        <v>0</v>
      </c>
      <c r="J135" s="31">
        <v>87000</v>
      </c>
      <c r="K135" s="31"/>
      <c r="L135" s="31">
        <f t="shared" si="12"/>
        <v>87000</v>
      </c>
      <c r="M135" s="40">
        <f t="shared" si="10"/>
        <v>87</v>
      </c>
      <c r="N135" s="69"/>
      <c r="O135" s="100"/>
      <c r="T135" s="113"/>
      <c r="U135" s="113"/>
    </row>
    <row r="136" spans="1:21" ht="33" customHeight="1">
      <c r="A136" s="19"/>
      <c r="B136" s="19"/>
      <c r="C136" s="47" t="s">
        <v>211</v>
      </c>
      <c r="D136" s="142" t="s">
        <v>211</v>
      </c>
      <c r="E136" s="27"/>
      <c r="F136" s="28">
        <f t="shared" si="8"/>
        <v>0</v>
      </c>
      <c r="G136" s="28"/>
      <c r="H136" s="27"/>
      <c r="I136" s="28">
        <f t="shared" si="9"/>
        <v>0</v>
      </c>
      <c r="J136" s="31">
        <v>60000</v>
      </c>
      <c r="K136" s="31">
        <v>40000</v>
      </c>
      <c r="L136" s="31">
        <f t="shared" si="12"/>
        <v>100000</v>
      </c>
      <c r="M136" s="40">
        <f t="shared" si="10"/>
        <v>100</v>
      </c>
      <c r="N136" s="69"/>
      <c r="O136" s="100"/>
      <c r="T136" s="113"/>
      <c r="U136" s="113"/>
    </row>
    <row r="137" spans="1:21" ht="33" customHeight="1">
      <c r="A137" s="19"/>
      <c r="B137" s="19"/>
      <c r="C137" s="47" t="s">
        <v>212</v>
      </c>
      <c r="D137" s="142" t="s">
        <v>212</v>
      </c>
      <c r="E137" s="27"/>
      <c r="F137" s="28">
        <f t="shared" si="8"/>
        <v>0</v>
      </c>
      <c r="G137" s="28"/>
      <c r="H137" s="27"/>
      <c r="I137" s="28">
        <f t="shared" si="9"/>
        <v>0</v>
      </c>
      <c r="J137" s="31">
        <v>16993</v>
      </c>
      <c r="K137" s="31"/>
      <c r="L137" s="31">
        <f t="shared" si="12"/>
        <v>16993</v>
      </c>
      <c r="M137" s="40">
        <f t="shared" si="10"/>
        <v>17</v>
      </c>
      <c r="N137" s="69"/>
      <c r="O137" s="100"/>
      <c r="T137" s="113"/>
      <c r="U137" s="113"/>
    </row>
    <row r="138" spans="1:21" ht="33" customHeight="1">
      <c r="A138" s="19"/>
      <c r="B138" s="19"/>
      <c r="C138" s="47" t="s">
        <v>213</v>
      </c>
      <c r="D138" s="142" t="s">
        <v>213</v>
      </c>
      <c r="E138" s="27"/>
      <c r="F138" s="28">
        <f t="shared" si="8"/>
        <v>0</v>
      </c>
      <c r="G138" s="28"/>
      <c r="H138" s="27"/>
      <c r="I138" s="28">
        <f t="shared" si="9"/>
        <v>0</v>
      </c>
      <c r="J138" s="31">
        <v>48998</v>
      </c>
      <c r="K138" s="31"/>
      <c r="L138" s="31">
        <f t="shared" si="12"/>
        <v>48998</v>
      </c>
      <c r="M138" s="40">
        <f t="shared" si="10"/>
        <v>49</v>
      </c>
      <c r="N138" s="69"/>
      <c r="O138" s="100"/>
      <c r="T138" s="113"/>
      <c r="U138" s="113"/>
    </row>
    <row r="139" spans="1:21" ht="25.5" customHeight="1">
      <c r="A139" s="19"/>
      <c r="B139" s="19"/>
      <c r="C139" s="47" t="s">
        <v>214</v>
      </c>
      <c r="D139" s="142" t="s">
        <v>214</v>
      </c>
      <c r="E139" s="27"/>
      <c r="F139" s="28">
        <f t="shared" si="8"/>
        <v>0</v>
      </c>
      <c r="G139" s="28"/>
      <c r="H139" s="27"/>
      <c r="I139" s="28">
        <f t="shared" si="9"/>
        <v>0</v>
      </c>
      <c r="J139" s="31">
        <v>16993</v>
      </c>
      <c r="K139" s="31"/>
      <c r="L139" s="31">
        <f t="shared" si="12"/>
        <v>16993</v>
      </c>
      <c r="M139" s="40">
        <f t="shared" si="10"/>
        <v>17</v>
      </c>
      <c r="N139" s="69"/>
      <c r="O139" s="100"/>
      <c r="T139" s="113"/>
      <c r="U139" s="113"/>
    </row>
    <row r="140" spans="1:21" ht="33" customHeight="1">
      <c r="A140" s="19"/>
      <c r="B140" s="19"/>
      <c r="C140" s="47" t="s">
        <v>215</v>
      </c>
      <c r="D140" s="142" t="s">
        <v>215</v>
      </c>
      <c r="E140" s="27"/>
      <c r="F140" s="28">
        <f aca="true" t="shared" si="13" ref="F140:F206">ROUND(E140/1000,1)</f>
        <v>0</v>
      </c>
      <c r="G140" s="28"/>
      <c r="H140" s="27"/>
      <c r="I140" s="28">
        <f aca="true" t="shared" si="14" ref="I140:I206">ROUND(H140/1000,1)</f>
        <v>0</v>
      </c>
      <c r="J140" s="31">
        <v>48988</v>
      </c>
      <c r="K140" s="31"/>
      <c r="L140" s="31">
        <f t="shared" si="12"/>
        <v>48988</v>
      </c>
      <c r="M140" s="40">
        <f aca="true" t="shared" si="15" ref="M140:M205">ROUND(L140/1000,1)</f>
        <v>49</v>
      </c>
      <c r="N140" s="69"/>
      <c r="O140" s="100"/>
      <c r="T140" s="113"/>
      <c r="U140" s="113"/>
    </row>
    <row r="141" spans="1:21" ht="33" customHeight="1">
      <c r="A141" s="19"/>
      <c r="B141" s="19"/>
      <c r="C141" s="47" t="s">
        <v>241</v>
      </c>
      <c r="D141" s="142" t="s">
        <v>241</v>
      </c>
      <c r="E141" s="27"/>
      <c r="F141" s="28">
        <f t="shared" si="13"/>
        <v>0</v>
      </c>
      <c r="G141" s="28"/>
      <c r="H141" s="27"/>
      <c r="I141" s="28">
        <f t="shared" si="14"/>
        <v>0</v>
      </c>
      <c r="J141" s="31"/>
      <c r="K141" s="31">
        <v>35000</v>
      </c>
      <c r="L141" s="31">
        <f t="shared" si="12"/>
        <v>35000</v>
      </c>
      <c r="M141" s="40">
        <f t="shared" si="15"/>
        <v>35</v>
      </c>
      <c r="N141" s="69"/>
      <c r="O141" s="100"/>
      <c r="T141" s="113"/>
      <c r="U141" s="113"/>
    </row>
    <row r="142" spans="1:21" ht="33" customHeight="1">
      <c r="A142" s="19"/>
      <c r="B142" s="19"/>
      <c r="C142" s="47" t="s">
        <v>199</v>
      </c>
      <c r="D142" s="142" t="s">
        <v>199</v>
      </c>
      <c r="E142" s="27"/>
      <c r="F142" s="28">
        <f t="shared" si="13"/>
        <v>0</v>
      </c>
      <c r="G142" s="28"/>
      <c r="H142" s="27"/>
      <c r="I142" s="28">
        <f t="shared" si="14"/>
        <v>0</v>
      </c>
      <c r="J142" s="31">
        <f>25000+15000+20000</f>
        <v>60000</v>
      </c>
      <c r="K142" s="31"/>
      <c r="L142" s="31">
        <f t="shared" si="12"/>
        <v>60000</v>
      </c>
      <c r="M142" s="40">
        <f t="shared" si="15"/>
        <v>60</v>
      </c>
      <c r="N142" s="69"/>
      <c r="O142" s="100"/>
      <c r="T142" s="113"/>
      <c r="U142" s="113"/>
    </row>
    <row r="143" spans="1:21" ht="33" customHeight="1">
      <c r="A143" s="19"/>
      <c r="B143" s="19"/>
      <c r="C143" s="47" t="s">
        <v>161</v>
      </c>
      <c r="D143" s="142" t="s">
        <v>161</v>
      </c>
      <c r="E143" s="27"/>
      <c r="F143" s="28">
        <f t="shared" si="13"/>
        <v>0</v>
      </c>
      <c r="G143" s="28"/>
      <c r="H143" s="27"/>
      <c r="I143" s="28">
        <f t="shared" si="14"/>
        <v>0</v>
      </c>
      <c r="J143" s="31">
        <v>165000</v>
      </c>
      <c r="K143" s="31"/>
      <c r="L143" s="31">
        <f>K143+J143</f>
        <v>165000</v>
      </c>
      <c r="M143" s="40">
        <f>ROUND(L143/1000,1)-131.6</f>
        <v>33.400000000000006</v>
      </c>
      <c r="N143" s="69"/>
      <c r="O143" s="100"/>
      <c r="T143" s="113"/>
      <c r="U143" s="113"/>
    </row>
    <row r="144" spans="1:156" s="116" customFormat="1" ht="20.25">
      <c r="A144" s="19"/>
      <c r="B144" s="19"/>
      <c r="C144" s="25" t="s">
        <v>225</v>
      </c>
      <c r="D144" s="137" t="s">
        <v>225</v>
      </c>
      <c r="E144" s="39"/>
      <c r="F144" s="28">
        <f t="shared" si="13"/>
        <v>0</v>
      </c>
      <c r="G144" s="52"/>
      <c r="H144" s="39"/>
      <c r="I144" s="28">
        <f t="shared" si="14"/>
        <v>0</v>
      </c>
      <c r="J144" s="29" t="e">
        <f>#REF!</f>
        <v>#REF!</v>
      </c>
      <c r="K144" s="29" t="e">
        <f>#REF!</f>
        <v>#REF!</v>
      </c>
      <c r="L144" s="29" t="e">
        <f>#REF!</f>
        <v>#REF!</v>
      </c>
      <c r="M144" s="21">
        <f>M145+M146+M147+M148+M149</f>
        <v>300</v>
      </c>
      <c r="N144" s="61"/>
      <c r="O144" s="100"/>
      <c r="P144" s="115"/>
      <c r="Q144" s="115"/>
      <c r="R144" s="115"/>
      <c r="S144" s="115"/>
      <c r="T144" s="113"/>
      <c r="U144" s="113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5"/>
      <c r="DE144" s="115"/>
      <c r="DF144" s="115"/>
      <c r="DG144" s="115"/>
      <c r="DH144" s="115"/>
      <c r="DI144" s="115"/>
      <c r="DJ144" s="115"/>
      <c r="DK144" s="115"/>
      <c r="DL144" s="115"/>
      <c r="DM144" s="115"/>
      <c r="DN144" s="115"/>
      <c r="DO144" s="115"/>
      <c r="DP144" s="115"/>
      <c r="DQ144" s="115"/>
      <c r="DR144" s="115"/>
      <c r="DS144" s="115"/>
      <c r="DT144" s="115"/>
      <c r="DU144" s="115"/>
      <c r="DV144" s="115"/>
      <c r="DW144" s="115"/>
      <c r="DX144" s="115"/>
      <c r="DY144" s="115"/>
      <c r="DZ144" s="115"/>
      <c r="EA144" s="115"/>
      <c r="EB144" s="115"/>
      <c r="EC144" s="115"/>
      <c r="ED144" s="115"/>
      <c r="EE144" s="115"/>
      <c r="EF144" s="115"/>
      <c r="EG144" s="115"/>
      <c r="EH144" s="115"/>
      <c r="EI144" s="115"/>
      <c r="EJ144" s="115"/>
      <c r="EK144" s="115"/>
      <c r="EL144" s="115"/>
      <c r="EM144" s="115"/>
      <c r="EN144" s="115"/>
      <c r="EO144" s="115"/>
      <c r="EP144" s="115"/>
      <c r="EQ144" s="115"/>
      <c r="ER144" s="115"/>
      <c r="ES144" s="115"/>
      <c r="ET144" s="115"/>
      <c r="EU144" s="115"/>
      <c r="EV144" s="115"/>
      <c r="EW144" s="115"/>
      <c r="EX144" s="115"/>
      <c r="EY144" s="115"/>
      <c r="EZ144" s="115"/>
    </row>
    <row r="145" spans="1:21" ht="25.5" customHeight="1">
      <c r="A145" s="19"/>
      <c r="B145" s="19"/>
      <c r="C145" s="47" t="s">
        <v>285</v>
      </c>
      <c r="D145" s="142"/>
      <c r="E145" s="27"/>
      <c r="F145" s="28"/>
      <c r="G145" s="28"/>
      <c r="H145" s="27"/>
      <c r="I145" s="28"/>
      <c r="J145" s="31"/>
      <c r="K145" s="31"/>
      <c r="L145" s="31"/>
      <c r="M145" s="40">
        <v>60</v>
      </c>
      <c r="N145" s="69"/>
      <c r="O145" s="100"/>
      <c r="T145" s="113"/>
      <c r="U145" s="113"/>
    </row>
    <row r="146" spans="1:21" ht="25.5" customHeight="1">
      <c r="A146" s="19"/>
      <c r="B146" s="19"/>
      <c r="C146" s="47" t="s">
        <v>286</v>
      </c>
      <c r="D146" s="142"/>
      <c r="E146" s="27"/>
      <c r="F146" s="28"/>
      <c r="G146" s="28"/>
      <c r="H146" s="27"/>
      <c r="I146" s="28"/>
      <c r="J146" s="31"/>
      <c r="K146" s="31"/>
      <c r="L146" s="31"/>
      <c r="M146" s="40">
        <v>60</v>
      </c>
      <c r="N146" s="69"/>
      <c r="O146" s="100"/>
      <c r="T146" s="113"/>
      <c r="U146" s="113"/>
    </row>
    <row r="147" spans="1:21" ht="25.5" customHeight="1">
      <c r="A147" s="19"/>
      <c r="B147" s="19"/>
      <c r="C147" s="47" t="s">
        <v>287</v>
      </c>
      <c r="D147" s="142"/>
      <c r="E147" s="27"/>
      <c r="F147" s="28"/>
      <c r="G147" s="28"/>
      <c r="H147" s="27"/>
      <c r="I147" s="28"/>
      <c r="J147" s="31"/>
      <c r="K147" s="31"/>
      <c r="L147" s="31"/>
      <c r="M147" s="40">
        <v>60</v>
      </c>
      <c r="N147" s="69"/>
      <c r="O147" s="100"/>
      <c r="T147" s="113"/>
      <c r="U147" s="113"/>
    </row>
    <row r="148" spans="1:21" ht="25.5" customHeight="1">
      <c r="A148" s="19"/>
      <c r="B148" s="19"/>
      <c r="C148" s="47" t="s">
        <v>288</v>
      </c>
      <c r="D148" s="142"/>
      <c r="E148" s="27"/>
      <c r="F148" s="28"/>
      <c r="G148" s="28"/>
      <c r="H148" s="27"/>
      <c r="I148" s="28"/>
      <c r="J148" s="31"/>
      <c r="K148" s="31"/>
      <c r="L148" s="31"/>
      <c r="M148" s="40">
        <v>60</v>
      </c>
      <c r="N148" s="69"/>
      <c r="O148" s="100"/>
      <c r="T148" s="113"/>
      <c r="U148" s="113"/>
    </row>
    <row r="149" spans="1:21" ht="25.5" customHeight="1">
      <c r="A149" s="19"/>
      <c r="B149" s="19"/>
      <c r="C149" s="47" t="s">
        <v>289</v>
      </c>
      <c r="D149" s="142"/>
      <c r="E149" s="27"/>
      <c r="F149" s="28"/>
      <c r="G149" s="28"/>
      <c r="H149" s="27"/>
      <c r="I149" s="28"/>
      <c r="J149" s="31"/>
      <c r="K149" s="31"/>
      <c r="L149" s="31"/>
      <c r="M149" s="40">
        <v>60</v>
      </c>
      <c r="N149" s="69"/>
      <c r="O149" s="100"/>
      <c r="T149" s="113"/>
      <c r="U149" s="113"/>
    </row>
    <row r="150" spans="1:21" ht="20.25">
      <c r="A150" s="19"/>
      <c r="B150" s="19"/>
      <c r="C150" s="25" t="s">
        <v>7</v>
      </c>
      <c r="D150" s="137" t="s">
        <v>7</v>
      </c>
      <c r="E150" s="39">
        <f>SUM(E151:E214)</f>
        <v>82736270</v>
      </c>
      <c r="F150" s="52">
        <f>SUM(F151:F214)</f>
        <v>82736.3</v>
      </c>
      <c r="G150" s="39"/>
      <c r="H150" s="39">
        <f>SUM(H151:H214)</f>
        <v>61155414</v>
      </c>
      <c r="I150" s="52">
        <f>SUM(I151:I214)</f>
        <v>61155.299999999996</v>
      </c>
      <c r="J150" s="53">
        <f>SUM(J151:J216)</f>
        <v>109645063.94</v>
      </c>
      <c r="K150" s="53">
        <f>SUM(K151:K216)</f>
        <v>100000</v>
      </c>
      <c r="L150" s="53">
        <f>SUM(L151:L216)</f>
        <v>109745063.94</v>
      </c>
      <c r="M150" s="54">
        <f>SUM(M151:M216)</f>
        <v>109745.09999999999</v>
      </c>
      <c r="N150" s="69"/>
      <c r="O150" s="100"/>
      <c r="T150" s="113"/>
      <c r="U150" s="113"/>
    </row>
    <row r="151" spans="1:21" ht="27.75" customHeight="1">
      <c r="A151" s="19"/>
      <c r="B151" s="19"/>
      <c r="C151" s="47" t="s">
        <v>25</v>
      </c>
      <c r="D151" s="142" t="s">
        <v>25</v>
      </c>
      <c r="E151" s="27">
        <v>9995386</v>
      </c>
      <c r="F151" s="28">
        <f t="shared" si="13"/>
        <v>9995.4</v>
      </c>
      <c r="G151" s="28">
        <v>37.5</v>
      </c>
      <c r="H151" s="27">
        <v>3747696</v>
      </c>
      <c r="I151" s="28">
        <f t="shared" si="14"/>
        <v>3747.7</v>
      </c>
      <c r="J151" s="31">
        <v>341000</v>
      </c>
      <c r="K151" s="31"/>
      <c r="L151" s="31">
        <f aca="true" t="shared" si="16" ref="L151:L184">K151+J151</f>
        <v>341000</v>
      </c>
      <c r="M151" s="40">
        <f t="shared" si="15"/>
        <v>341</v>
      </c>
      <c r="N151" s="69"/>
      <c r="O151" s="100"/>
      <c r="T151" s="113"/>
      <c r="U151" s="113"/>
    </row>
    <row r="152" spans="1:21" ht="27.75" customHeight="1">
      <c r="A152" s="19"/>
      <c r="B152" s="19"/>
      <c r="C152" s="47" t="s">
        <v>35</v>
      </c>
      <c r="D152" s="142" t="s">
        <v>35</v>
      </c>
      <c r="E152" s="27">
        <v>17687640</v>
      </c>
      <c r="F152" s="28">
        <f t="shared" si="13"/>
        <v>17687.6</v>
      </c>
      <c r="G152" s="28">
        <v>63.8</v>
      </c>
      <c r="H152" s="27">
        <v>11282117</v>
      </c>
      <c r="I152" s="28">
        <f t="shared" si="14"/>
        <v>11282.1</v>
      </c>
      <c r="J152" s="31">
        <v>7280000</v>
      </c>
      <c r="K152" s="31"/>
      <c r="L152" s="31">
        <f t="shared" si="16"/>
        <v>7280000</v>
      </c>
      <c r="M152" s="40">
        <f t="shared" si="15"/>
        <v>7280</v>
      </c>
      <c r="N152" s="69"/>
      <c r="O152" s="100"/>
      <c r="T152" s="113"/>
      <c r="U152" s="113"/>
    </row>
    <row r="153" spans="1:21" ht="27.75" customHeight="1">
      <c r="A153" s="19"/>
      <c r="B153" s="19"/>
      <c r="C153" s="47" t="s">
        <v>49</v>
      </c>
      <c r="D153" s="142" t="s">
        <v>49</v>
      </c>
      <c r="E153" s="27">
        <v>3024919</v>
      </c>
      <c r="F153" s="28">
        <f t="shared" si="13"/>
        <v>3024.9</v>
      </c>
      <c r="G153" s="28">
        <v>72</v>
      </c>
      <c r="H153" s="27">
        <v>2177942</v>
      </c>
      <c r="I153" s="28">
        <f t="shared" si="14"/>
        <v>2177.9</v>
      </c>
      <c r="J153" s="31">
        <f>1600000+300000</f>
        <v>1900000</v>
      </c>
      <c r="K153" s="31"/>
      <c r="L153" s="31">
        <f t="shared" si="16"/>
        <v>1900000</v>
      </c>
      <c r="M153" s="40">
        <f>ROUND(L153/1000,1)+90</f>
        <v>1990</v>
      </c>
      <c r="N153" s="69"/>
      <c r="O153" s="100"/>
      <c r="T153" s="113"/>
      <c r="U153" s="113"/>
    </row>
    <row r="154" spans="1:21" ht="27.75" customHeight="1">
      <c r="A154" s="19"/>
      <c r="B154" s="19"/>
      <c r="C154" s="47" t="s">
        <v>264</v>
      </c>
      <c r="D154" s="142" t="s">
        <v>51</v>
      </c>
      <c r="E154" s="27"/>
      <c r="F154" s="28">
        <f t="shared" si="13"/>
        <v>0</v>
      </c>
      <c r="G154" s="28"/>
      <c r="H154" s="27"/>
      <c r="I154" s="28">
        <f t="shared" si="14"/>
        <v>0</v>
      </c>
      <c r="J154" s="31">
        <v>2461510</v>
      </c>
      <c r="K154" s="31"/>
      <c r="L154" s="31">
        <f t="shared" si="16"/>
        <v>2461510</v>
      </c>
      <c r="M154" s="40">
        <f t="shared" si="15"/>
        <v>2461.5</v>
      </c>
      <c r="N154" s="69"/>
      <c r="O154" s="100"/>
      <c r="T154" s="113"/>
      <c r="U154" s="113"/>
    </row>
    <row r="155" spans="1:21" ht="27.75" customHeight="1">
      <c r="A155" s="19"/>
      <c r="B155" s="19"/>
      <c r="C155" s="47" t="s">
        <v>112</v>
      </c>
      <c r="D155" s="142" t="s">
        <v>112</v>
      </c>
      <c r="E155" s="27"/>
      <c r="F155" s="28">
        <f t="shared" si="13"/>
        <v>0</v>
      </c>
      <c r="G155" s="28"/>
      <c r="H155" s="27"/>
      <c r="I155" s="28">
        <f t="shared" si="14"/>
        <v>0</v>
      </c>
      <c r="J155" s="31">
        <f>250000-100000</f>
        <v>150000</v>
      </c>
      <c r="K155" s="31"/>
      <c r="L155" s="31">
        <f t="shared" si="16"/>
        <v>150000</v>
      </c>
      <c r="M155" s="40">
        <f t="shared" si="15"/>
        <v>150</v>
      </c>
      <c r="N155" s="69"/>
      <c r="O155" s="100"/>
      <c r="T155" s="113"/>
      <c r="U155" s="113"/>
    </row>
    <row r="156" spans="1:21" ht="27.75" customHeight="1">
      <c r="A156" s="19"/>
      <c r="B156" s="19"/>
      <c r="C156" s="47" t="s">
        <v>265</v>
      </c>
      <c r="D156" s="142" t="s">
        <v>52</v>
      </c>
      <c r="E156" s="27"/>
      <c r="F156" s="28">
        <f t="shared" si="13"/>
        <v>0</v>
      </c>
      <c r="G156" s="28"/>
      <c r="H156" s="27"/>
      <c r="I156" s="28">
        <f t="shared" si="14"/>
        <v>0</v>
      </c>
      <c r="J156" s="31">
        <f>2375600+498256</f>
        <v>2873856</v>
      </c>
      <c r="K156" s="31"/>
      <c r="L156" s="31">
        <f t="shared" si="16"/>
        <v>2873856</v>
      </c>
      <c r="M156" s="40">
        <f>ROUND(L156/1000,1)-0.1</f>
        <v>2873.8</v>
      </c>
      <c r="N156" s="69"/>
      <c r="O156" s="100"/>
      <c r="T156" s="113"/>
      <c r="U156" s="113"/>
    </row>
    <row r="157" spans="1:21" ht="40.5">
      <c r="A157" s="19"/>
      <c r="B157" s="19"/>
      <c r="C157" s="47" t="s">
        <v>41</v>
      </c>
      <c r="D157" s="142" t="s">
        <v>41</v>
      </c>
      <c r="E157" s="27"/>
      <c r="F157" s="28">
        <f t="shared" si="13"/>
        <v>0</v>
      </c>
      <c r="G157" s="28"/>
      <c r="H157" s="27"/>
      <c r="I157" s="28">
        <f t="shared" si="14"/>
        <v>0</v>
      </c>
      <c r="J157" s="31">
        <f>5075+3831675</f>
        <v>3836750</v>
      </c>
      <c r="K157" s="31"/>
      <c r="L157" s="31">
        <f>K157+J157</f>
        <v>3836750</v>
      </c>
      <c r="M157" s="40">
        <f t="shared" si="15"/>
        <v>3836.8</v>
      </c>
      <c r="N157" s="69"/>
      <c r="O157" s="100"/>
      <c r="T157" s="113"/>
      <c r="U157" s="113"/>
    </row>
    <row r="158" spans="1:21" ht="20.25">
      <c r="A158" s="19"/>
      <c r="B158" s="19"/>
      <c r="C158" s="47" t="s">
        <v>177</v>
      </c>
      <c r="D158" s="142" t="s">
        <v>177</v>
      </c>
      <c r="E158" s="27"/>
      <c r="F158" s="28">
        <f t="shared" si="13"/>
        <v>0</v>
      </c>
      <c r="G158" s="28"/>
      <c r="H158" s="27"/>
      <c r="I158" s="28">
        <f t="shared" si="14"/>
        <v>0</v>
      </c>
      <c r="J158" s="31">
        <v>110000</v>
      </c>
      <c r="K158" s="31"/>
      <c r="L158" s="31">
        <f>K158+J158</f>
        <v>110000</v>
      </c>
      <c r="M158" s="40">
        <f t="shared" si="15"/>
        <v>110</v>
      </c>
      <c r="N158" s="69"/>
      <c r="O158" s="100"/>
      <c r="T158" s="113"/>
      <c r="U158" s="113"/>
    </row>
    <row r="159" spans="1:21" ht="24" customHeight="1">
      <c r="A159" s="19"/>
      <c r="B159" s="19"/>
      <c r="C159" s="47" t="s">
        <v>113</v>
      </c>
      <c r="D159" s="142" t="s">
        <v>113</v>
      </c>
      <c r="E159" s="27"/>
      <c r="F159" s="28">
        <f t="shared" si="13"/>
        <v>0</v>
      </c>
      <c r="G159" s="28"/>
      <c r="H159" s="27"/>
      <c r="I159" s="28">
        <f t="shared" si="14"/>
        <v>0</v>
      </c>
      <c r="J159" s="31">
        <f>431300+161000</f>
        <v>592300</v>
      </c>
      <c r="K159" s="31"/>
      <c r="L159" s="31">
        <f>K159+J159</f>
        <v>592300</v>
      </c>
      <c r="M159" s="40">
        <f t="shared" si="15"/>
        <v>592.3</v>
      </c>
      <c r="N159" s="69"/>
      <c r="O159" s="100"/>
      <c r="T159" s="113"/>
      <c r="U159" s="113"/>
    </row>
    <row r="160" spans="1:21" ht="40.5">
      <c r="A160" s="19"/>
      <c r="B160" s="19"/>
      <c r="C160" s="47" t="s">
        <v>105</v>
      </c>
      <c r="D160" s="142" t="s">
        <v>105</v>
      </c>
      <c r="E160" s="27"/>
      <c r="F160" s="28">
        <f t="shared" si="13"/>
        <v>0</v>
      </c>
      <c r="G160" s="28"/>
      <c r="H160" s="27"/>
      <c r="I160" s="28">
        <f t="shared" si="14"/>
        <v>0</v>
      </c>
      <c r="J160" s="31">
        <f>2000000-1750000</f>
        <v>250000</v>
      </c>
      <c r="K160" s="31"/>
      <c r="L160" s="31">
        <f>K160+J160</f>
        <v>250000</v>
      </c>
      <c r="M160" s="40">
        <f t="shared" si="15"/>
        <v>250</v>
      </c>
      <c r="N160" s="69"/>
      <c r="O160" s="100"/>
      <c r="T160" s="113"/>
      <c r="U160" s="113"/>
    </row>
    <row r="161" spans="1:21" ht="40.5">
      <c r="A161" s="19"/>
      <c r="B161" s="19"/>
      <c r="C161" s="47" t="s">
        <v>102</v>
      </c>
      <c r="D161" s="142" t="s">
        <v>102</v>
      </c>
      <c r="E161" s="27">
        <v>3536069</v>
      </c>
      <c r="F161" s="28">
        <f t="shared" si="13"/>
        <v>3536.1</v>
      </c>
      <c r="G161" s="28">
        <v>70.3</v>
      </c>
      <c r="H161" s="27">
        <v>2484527</v>
      </c>
      <c r="I161" s="28">
        <f t="shared" si="14"/>
        <v>2484.5</v>
      </c>
      <c r="J161" s="31">
        <f>2400000+160000</f>
        <v>2560000</v>
      </c>
      <c r="K161" s="31"/>
      <c r="L161" s="31">
        <f t="shared" si="16"/>
        <v>2560000</v>
      </c>
      <c r="M161" s="40">
        <f t="shared" si="15"/>
        <v>2560</v>
      </c>
      <c r="N161" s="69"/>
      <c r="O161" s="100"/>
      <c r="T161" s="113"/>
      <c r="U161" s="113"/>
    </row>
    <row r="162" spans="1:21" ht="40.5">
      <c r="A162" s="19"/>
      <c r="B162" s="19"/>
      <c r="C162" s="47" t="s">
        <v>243</v>
      </c>
      <c r="D162" s="142" t="s">
        <v>243</v>
      </c>
      <c r="E162" s="27"/>
      <c r="F162" s="28">
        <f t="shared" si="13"/>
        <v>0</v>
      </c>
      <c r="G162" s="28"/>
      <c r="H162" s="27"/>
      <c r="I162" s="28">
        <f t="shared" si="14"/>
        <v>0</v>
      </c>
      <c r="J162" s="31"/>
      <c r="K162" s="31">
        <v>100000</v>
      </c>
      <c r="L162" s="31">
        <f t="shared" si="16"/>
        <v>100000</v>
      </c>
      <c r="M162" s="40">
        <f t="shared" si="15"/>
        <v>100</v>
      </c>
      <c r="N162" s="69"/>
      <c r="O162" s="100"/>
      <c r="T162" s="113"/>
      <c r="U162" s="113"/>
    </row>
    <row r="163" spans="1:21" ht="41.25" customHeight="1">
      <c r="A163" s="19"/>
      <c r="B163" s="19"/>
      <c r="C163" s="47" t="s">
        <v>148</v>
      </c>
      <c r="D163" s="142" t="s">
        <v>148</v>
      </c>
      <c r="E163" s="27"/>
      <c r="F163" s="28">
        <f t="shared" si="13"/>
        <v>0</v>
      </c>
      <c r="G163" s="28"/>
      <c r="H163" s="27"/>
      <c r="I163" s="28">
        <f t="shared" si="14"/>
        <v>0</v>
      </c>
      <c r="J163" s="31">
        <v>1422000</v>
      </c>
      <c r="K163" s="31"/>
      <c r="L163" s="31">
        <f t="shared" si="16"/>
        <v>1422000</v>
      </c>
      <c r="M163" s="40">
        <f t="shared" si="15"/>
        <v>1422</v>
      </c>
      <c r="N163" s="69"/>
      <c r="O163" s="100"/>
      <c r="T163" s="113"/>
      <c r="U163" s="113"/>
    </row>
    <row r="164" spans="1:21" ht="58.5" customHeight="1">
      <c r="A164" s="19"/>
      <c r="B164" s="19"/>
      <c r="C164" s="47" t="s">
        <v>146</v>
      </c>
      <c r="D164" s="142" t="s">
        <v>146</v>
      </c>
      <c r="E164" s="27"/>
      <c r="F164" s="28">
        <f t="shared" si="13"/>
        <v>0</v>
      </c>
      <c r="G164" s="28"/>
      <c r="H164" s="27"/>
      <c r="I164" s="28">
        <f t="shared" si="14"/>
        <v>0</v>
      </c>
      <c r="J164" s="31">
        <v>1400000</v>
      </c>
      <c r="K164" s="31"/>
      <c r="L164" s="31">
        <f t="shared" si="16"/>
        <v>1400000</v>
      </c>
      <c r="M164" s="40">
        <f t="shared" si="15"/>
        <v>1400</v>
      </c>
      <c r="N164" s="69"/>
      <c r="O164" s="100"/>
      <c r="T164" s="113"/>
      <c r="U164" s="113"/>
    </row>
    <row r="165" spans="1:21" ht="26.25" customHeight="1">
      <c r="A165" s="19"/>
      <c r="B165" s="19"/>
      <c r="C165" s="47" t="s">
        <v>183</v>
      </c>
      <c r="D165" s="142" t="s">
        <v>183</v>
      </c>
      <c r="E165" s="27"/>
      <c r="F165" s="28">
        <f t="shared" si="13"/>
        <v>0</v>
      </c>
      <c r="G165" s="28"/>
      <c r="H165" s="27"/>
      <c r="I165" s="28">
        <f t="shared" si="14"/>
        <v>0</v>
      </c>
      <c r="J165" s="31">
        <v>50000</v>
      </c>
      <c r="K165" s="31"/>
      <c r="L165" s="31">
        <f t="shared" si="16"/>
        <v>50000</v>
      </c>
      <c r="M165" s="40">
        <f t="shared" si="15"/>
        <v>50</v>
      </c>
      <c r="N165" s="69"/>
      <c r="O165" s="100"/>
      <c r="T165" s="113"/>
      <c r="U165" s="113"/>
    </row>
    <row r="166" spans="1:21" ht="26.25" customHeight="1">
      <c r="A166" s="19"/>
      <c r="B166" s="19"/>
      <c r="C166" s="47" t="s">
        <v>266</v>
      </c>
      <c r="D166" s="142" t="s">
        <v>182</v>
      </c>
      <c r="E166" s="27"/>
      <c r="F166" s="28">
        <f t="shared" si="13"/>
        <v>0</v>
      </c>
      <c r="G166" s="28"/>
      <c r="H166" s="27"/>
      <c r="I166" s="28">
        <f t="shared" si="14"/>
        <v>0</v>
      </c>
      <c r="J166" s="31">
        <v>50000</v>
      </c>
      <c r="K166" s="31"/>
      <c r="L166" s="31">
        <f t="shared" si="16"/>
        <v>50000</v>
      </c>
      <c r="M166" s="40">
        <f t="shared" si="15"/>
        <v>50</v>
      </c>
      <c r="N166" s="69"/>
      <c r="O166" s="100"/>
      <c r="T166" s="113"/>
      <c r="U166" s="113"/>
    </row>
    <row r="167" spans="1:21" ht="26.25" customHeight="1">
      <c r="A167" s="19"/>
      <c r="B167" s="19"/>
      <c r="C167" s="47" t="s">
        <v>267</v>
      </c>
      <c r="D167" s="142" t="s">
        <v>184</v>
      </c>
      <c r="E167" s="27"/>
      <c r="F167" s="28">
        <f t="shared" si="13"/>
        <v>0</v>
      </c>
      <c r="G167" s="28"/>
      <c r="H167" s="27"/>
      <c r="I167" s="28">
        <f t="shared" si="14"/>
        <v>0</v>
      </c>
      <c r="J167" s="31">
        <v>50000</v>
      </c>
      <c r="K167" s="31"/>
      <c r="L167" s="31">
        <f t="shared" si="16"/>
        <v>50000</v>
      </c>
      <c r="M167" s="40">
        <f t="shared" si="15"/>
        <v>50</v>
      </c>
      <c r="N167" s="69"/>
      <c r="O167" s="100"/>
      <c r="T167" s="113"/>
      <c r="U167" s="113"/>
    </row>
    <row r="168" spans="1:21" ht="26.25" customHeight="1">
      <c r="A168" s="19"/>
      <c r="B168" s="19"/>
      <c r="C168" s="47" t="s">
        <v>268</v>
      </c>
      <c r="D168" s="142" t="s">
        <v>185</v>
      </c>
      <c r="E168" s="27"/>
      <c r="F168" s="28">
        <f t="shared" si="13"/>
        <v>0</v>
      </c>
      <c r="G168" s="28"/>
      <c r="H168" s="27"/>
      <c r="I168" s="28">
        <f t="shared" si="14"/>
        <v>0</v>
      </c>
      <c r="J168" s="31">
        <v>50000</v>
      </c>
      <c r="K168" s="31"/>
      <c r="L168" s="31">
        <f t="shared" si="16"/>
        <v>50000</v>
      </c>
      <c r="M168" s="40">
        <f t="shared" si="15"/>
        <v>50</v>
      </c>
      <c r="N168" s="69"/>
      <c r="O168" s="100"/>
      <c r="T168" s="113"/>
      <c r="U168" s="113"/>
    </row>
    <row r="169" spans="1:21" ht="26.25" customHeight="1">
      <c r="A169" s="19"/>
      <c r="B169" s="19"/>
      <c r="C169" s="47" t="s">
        <v>269</v>
      </c>
      <c r="D169" s="142" t="s">
        <v>186</v>
      </c>
      <c r="E169" s="27"/>
      <c r="F169" s="28">
        <f t="shared" si="13"/>
        <v>0</v>
      </c>
      <c r="G169" s="28"/>
      <c r="H169" s="27"/>
      <c r="I169" s="28">
        <f t="shared" si="14"/>
        <v>0</v>
      </c>
      <c r="J169" s="31">
        <v>50000</v>
      </c>
      <c r="K169" s="31"/>
      <c r="L169" s="31">
        <f t="shared" si="16"/>
        <v>50000</v>
      </c>
      <c r="M169" s="40">
        <f t="shared" si="15"/>
        <v>50</v>
      </c>
      <c r="N169" s="69"/>
      <c r="O169" s="100"/>
      <c r="T169" s="113"/>
      <c r="U169" s="113"/>
    </row>
    <row r="170" spans="1:21" ht="26.25" customHeight="1">
      <c r="A170" s="19"/>
      <c r="B170" s="19"/>
      <c r="C170" s="47" t="s">
        <v>187</v>
      </c>
      <c r="D170" s="142" t="s">
        <v>187</v>
      </c>
      <c r="E170" s="27"/>
      <c r="F170" s="28">
        <f t="shared" si="13"/>
        <v>0</v>
      </c>
      <c r="G170" s="28"/>
      <c r="H170" s="27"/>
      <c r="I170" s="28">
        <f t="shared" si="14"/>
        <v>0</v>
      </c>
      <c r="J170" s="31">
        <v>50000</v>
      </c>
      <c r="K170" s="31"/>
      <c r="L170" s="31">
        <f t="shared" si="16"/>
        <v>50000</v>
      </c>
      <c r="M170" s="40">
        <f t="shared" si="15"/>
        <v>50</v>
      </c>
      <c r="N170" s="69"/>
      <c r="O170" s="100"/>
      <c r="T170" s="113"/>
      <c r="U170" s="113"/>
    </row>
    <row r="171" spans="1:21" ht="26.25" customHeight="1">
      <c r="A171" s="19"/>
      <c r="B171" s="19"/>
      <c r="C171" s="47" t="s">
        <v>201</v>
      </c>
      <c r="D171" s="142" t="s">
        <v>201</v>
      </c>
      <c r="E171" s="27"/>
      <c r="F171" s="28">
        <f t="shared" si="13"/>
        <v>0</v>
      </c>
      <c r="G171" s="28"/>
      <c r="H171" s="27"/>
      <c r="I171" s="28">
        <f t="shared" si="14"/>
        <v>0</v>
      </c>
      <c r="J171" s="31">
        <v>50000</v>
      </c>
      <c r="K171" s="31"/>
      <c r="L171" s="31">
        <f t="shared" si="16"/>
        <v>50000</v>
      </c>
      <c r="M171" s="40">
        <f t="shared" si="15"/>
        <v>50</v>
      </c>
      <c r="N171" s="69"/>
      <c r="O171" s="100"/>
      <c r="T171" s="113"/>
      <c r="U171" s="113"/>
    </row>
    <row r="172" spans="1:21" ht="26.25" customHeight="1">
      <c r="A172" s="19"/>
      <c r="B172" s="19"/>
      <c r="C172" s="47" t="s">
        <v>55</v>
      </c>
      <c r="D172" s="142" t="s">
        <v>55</v>
      </c>
      <c r="E172" s="27"/>
      <c r="F172" s="28">
        <f t="shared" si="13"/>
        <v>0</v>
      </c>
      <c r="G172" s="28"/>
      <c r="H172" s="27"/>
      <c r="I172" s="28">
        <f t="shared" si="14"/>
        <v>0</v>
      </c>
      <c r="J172" s="31">
        <f>1000000+2000000-2000000-980000</f>
        <v>20000</v>
      </c>
      <c r="K172" s="31"/>
      <c r="L172" s="31">
        <f t="shared" si="16"/>
        <v>20000</v>
      </c>
      <c r="M172" s="40">
        <f t="shared" si="15"/>
        <v>20</v>
      </c>
      <c r="N172" s="69"/>
      <c r="O172" s="100"/>
      <c r="T172" s="113"/>
      <c r="U172" s="113"/>
    </row>
    <row r="173" spans="1:21" ht="26.25" customHeight="1">
      <c r="A173" s="19"/>
      <c r="B173" s="19"/>
      <c r="C173" s="47" t="s">
        <v>129</v>
      </c>
      <c r="D173" s="142" t="s">
        <v>129</v>
      </c>
      <c r="E173" s="27"/>
      <c r="F173" s="28">
        <f t="shared" si="13"/>
        <v>0</v>
      </c>
      <c r="G173" s="28"/>
      <c r="H173" s="27"/>
      <c r="I173" s="28">
        <f t="shared" si="14"/>
        <v>0</v>
      </c>
      <c r="J173" s="31">
        <v>1200000</v>
      </c>
      <c r="K173" s="31"/>
      <c r="L173" s="31">
        <f t="shared" si="16"/>
        <v>1200000</v>
      </c>
      <c r="M173" s="40">
        <f t="shared" si="15"/>
        <v>1200</v>
      </c>
      <c r="N173" s="69"/>
      <c r="O173" s="100"/>
      <c r="T173" s="113"/>
      <c r="U173" s="113"/>
    </row>
    <row r="174" spans="1:21" ht="26.25" customHeight="1">
      <c r="A174" s="19"/>
      <c r="B174" s="19"/>
      <c r="C174" s="47" t="s">
        <v>50</v>
      </c>
      <c r="D174" s="142" t="s">
        <v>50</v>
      </c>
      <c r="E174" s="27"/>
      <c r="F174" s="28">
        <f t="shared" si="13"/>
        <v>0</v>
      </c>
      <c r="G174" s="28"/>
      <c r="H174" s="27"/>
      <c r="I174" s="28">
        <f t="shared" si="14"/>
        <v>0</v>
      </c>
      <c r="J174" s="31">
        <f>80000+300000+300000+218500</f>
        <v>898500</v>
      </c>
      <c r="K174" s="31"/>
      <c r="L174" s="31">
        <f>K174+J174</f>
        <v>898500</v>
      </c>
      <c r="M174" s="40">
        <f>ROUND(L174/1000,1)-90</f>
        <v>808.5</v>
      </c>
      <c r="N174" s="69"/>
      <c r="O174" s="100"/>
      <c r="T174" s="113"/>
      <c r="U174" s="113"/>
    </row>
    <row r="175" spans="1:21" ht="26.25" customHeight="1">
      <c r="A175" s="19"/>
      <c r="B175" s="19"/>
      <c r="C175" s="47" t="s">
        <v>164</v>
      </c>
      <c r="D175" s="142" t="s">
        <v>164</v>
      </c>
      <c r="E175" s="27"/>
      <c r="F175" s="28">
        <f t="shared" si="13"/>
        <v>0</v>
      </c>
      <c r="G175" s="28"/>
      <c r="H175" s="27"/>
      <c r="I175" s="28">
        <f t="shared" si="14"/>
        <v>0</v>
      </c>
      <c r="J175" s="31">
        <f>300000+300000+169500</f>
        <v>769500</v>
      </c>
      <c r="K175" s="31"/>
      <c r="L175" s="31">
        <f>K175+J175</f>
        <v>769500</v>
      </c>
      <c r="M175" s="40">
        <f t="shared" si="15"/>
        <v>769.5</v>
      </c>
      <c r="N175" s="69"/>
      <c r="O175" s="100"/>
      <c r="T175" s="113"/>
      <c r="U175" s="113"/>
    </row>
    <row r="176" spans="1:21" ht="20.25">
      <c r="A176" s="19"/>
      <c r="B176" s="19"/>
      <c r="C176" s="47" t="s">
        <v>57</v>
      </c>
      <c r="D176" s="142" t="s">
        <v>57</v>
      </c>
      <c r="E176" s="27"/>
      <c r="F176" s="28">
        <f t="shared" si="13"/>
        <v>0</v>
      </c>
      <c r="G176" s="28"/>
      <c r="H176" s="27"/>
      <c r="I176" s="28">
        <f t="shared" si="14"/>
        <v>0</v>
      </c>
      <c r="J176" s="31">
        <f>1000000+2000000+2000000</f>
        <v>5000000</v>
      </c>
      <c r="K176" s="31"/>
      <c r="L176" s="31">
        <f t="shared" si="16"/>
        <v>5000000</v>
      </c>
      <c r="M176" s="40">
        <f t="shared" si="15"/>
        <v>5000</v>
      </c>
      <c r="N176" s="69"/>
      <c r="O176" s="100"/>
      <c r="T176" s="113"/>
      <c r="U176" s="113"/>
    </row>
    <row r="177" spans="1:21" ht="24.75" customHeight="1">
      <c r="A177" s="19"/>
      <c r="B177" s="19"/>
      <c r="C177" s="47" t="s">
        <v>123</v>
      </c>
      <c r="D177" s="142" t="s">
        <v>123</v>
      </c>
      <c r="E177" s="27"/>
      <c r="F177" s="28">
        <f t="shared" si="13"/>
        <v>0</v>
      </c>
      <c r="G177" s="28"/>
      <c r="H177" s="27"/>
      <c r="I177" s="28">
        <f t="shared" si="14"/>
        <v>0</v>
      </c>
      <c r="J177" s="31">
        <v>100000</v>
      </c>
      <c r="K177" s="31"/>
      <c r="L177" s="31">
        <f t="shared" si="16"/>
        <v>100000</v>
      </c>
      <c r="M177" s="40">
        <f t="shared" si="15"/>
        <v>100</v>
      </c>
      <c r="N177" s="69"/>
      <c r="O177" s="100"/>
      <c r="T177" s="113"/>
      <c r="U177" s="113"/>
    </row>
    <row r="178" spans="1:21" ht="25.5" customHeight="1">
      <c r="A178" s="19"/>
      <c r="B178" s="19"/>
      <c r="C178" s="47" t="s">
        <v>165</v>
      </c>
      <c r="D178" s="142" t="s">
        <v>165</v>
      </c>
      <c r="E178" s="27"/>
      <c r="F178" s="28">
        <f t="shared" si="13"/>
        <v>0</v>
      </c>
      <c r="G178" s="28"/>
      <c r="H178" s="27"/>
      <c r="I178" s="28">
        <f t="shared" si="14"/>
        <v>0</v>
      </c>
      <c r="J178" s="31">
        <f>450000+1500000</f>
        <v>1950000</v>
      </c>
      <c r="K178" s="31"/>
      <c r="L178" s="31">
        <f t="shared" si="16"/>
        <v>1950000</v>
      </c>
      <c r="M178" s="40">
        <f t="shared" si="15"/>
        <v>1950</v>
      </c>
      <c r="N178" s="69"/>
      <c r="O178" s="100"/>
      <c r="T178" s="113"/>
      <c r="U178" s="113"/>
    </row>
    <row r="179" spans="1:21" ht="26.25" customHeight="1">
      <c r="A179" s="19"/>
      <c r="B179" s="19"/>
      <c r="C179" s="47" t="s">
        <v>166</v>
      </c>
      <c r="D179" s="142" t="s">
        <v>166</v>
      </c>
      <c r="E179" s="27"/>
      <c r="F179" s="28">
        <f t="shared" si="13"/>
        <v>0</v>
      </c>
      <c r="G179" s="28"/>
      <c r="H179" s="27"/>
      <c r="I179" s="28">
        <f t="shared" si="14"/>
        <v>0</v>
      </c>
      <c r="J179" s="31">
        <f>450000+3500000</f>
        <v>3950000</v>
      </c>
      <c r="K179" s="31"/>
      <c r="L179" s="31">
        <f t="shared" si="16"/>
        <v>3950000</v>
      </c>
      <c r="M179" s="40">
        <f t="shared" si="15"/>
        <v>3950</v>
      </c>
      <c r="N179" s="69"/>
      <c r="O179" s="100"/>
      <c r="T179" s="113"/>
      <c r="U179" s="113"/>
    </row>
    <row r="180" spans="1:21" ht="21.75" customHeight="1">
      <c r="A180" s="19"/>
      <c r="B180" s="19"/>
      <c r="C180" s="47" t="s">
        <v>162</v>
      </c>
      <c r="D180" s="142" t="s">
        <v>162</v>
      </c>
      <c r="E180" s="27"/>
      <c r="F180" s="28">
        <f t="shared" si="13"/>
        <v>0</v>
      </c>
      <c r="G180" s="28"/>
      <c r="H180" s="27"/>
      <c r="I180" s="28">
        <f t="shared" si="14"/>
        <v>0</v>
      </c>
      <c r="J180" s="31">
        <f>7365000-1010000</f>
        <v>6355000</v>
      </c>
      <c r="K180" s="31"/>
      <c r="L180" s="31">
        <f t="shared" si="16"/>
        <v>6355000</v>
      </c>
      <c r="M180" s="40">
        <f t="shared" si="15"/>
        <v>6355</v>
      </c>
      <c r="N180" s="69"/>
      <c r="O180" s="100"/>
      <c r="T180" s="113"/>
      <c r="U180" s="113"/>
    </row>
    <row r="181" spans="1:21" ht="31.5" customHeight="1">
      <c r="A181" s="19"/>
      <c r="B181" s="19"/>
      <c r="C181" s="47" t="s">
        <v>192</v>
      </c>
      <c r="D181" s="142" t="s">
        <v>192</v>
      </c>
      <c r="E181" s="27"/>
      <c r="F181" s="28">
        <f t="shared" si="13"/>
        <v>0</v>
      </c>
      <c r="G181" s="28"/>
      <c r="H181" s="27"/>
      <c r="I181" s="28">
        <f t="shared" si="14"/>
        <v>0</v>
      </c>
      <c r="J181" s="31">
        <v>250000</v>
      </c>
      <c r="K181" s="31"/>
      <c r="L181" s="31">
        <f t="shared" si="16"/>
        <v>250000</v>
      </c>
      <c r="M181" s="40">
        <f t="shared" si="15"/>
        <v>250</v>
      </c>
      <c r="N181" s="69"/>
      <c r="O181" s="100"/>
      <c r="T181" s="113"/>
      <c r="U181" s="113"/>
    </row>
    <row r="182" spans="1:21" ht="31.5" customHeight="1">
      <c r="A182" s="19"/>
      <c r="B182" s="19"/>
      <c r="C182" s="47" t="s">
        <v>222</v>
      </c>
      <c r="D182" s="142" t="s">
        <v>222</v>
      </c>
      <c r="E182" s="27"/>
      <c r="F182" s="28">
        <f t="shared" si="13"/>
        <v>0</v>
      </c>
      <c r="G182" s="28"/>
      <c r="H182" s="27"/>
      <c r="I182" s="28">
        <f t="shared" si="14"/>
        <v>0</v>
      </c>
      <c r="J182" s="31">
        <v>1000</v>
      </c>
      <c r="K182" s="31"/>
      <c r="L182" s="31">
        <f t="shared" si="16"/>
        <v>1000</v>
      </c>
      <c r="M182" s="40">
        <f t="shared" si="15"/>
        <v>1</v>
      </c>
      <c r="N182" s="69"/>
      <c r="O182" s="100"/>
      <c r="T182" s="113"/>
      <c r="U182" s="113"/>
    </row>
    <row r="183" spans="1:21" ht="31.5" customHeight="1">
      <c r="A183" s="19"/>
      <c r="B183" s="19"/>
      <c r="C183" s="47" t="s">
        <v>223</v>
      </c>
      <c r="D183" s="142" t="s">
        <v>223</v>
      </c>
      <c r="E183" s="27"/>
      <c r="F183" s="28">
        <f t="shared" si="13"/>
        <v>0</v>
      </c>
      <c r="G183" s="28"/>
      <c r="H183" s="27"/>
      <c r="I183" s="28">
        <f t="shared" si="14"/>
        <v>0</v>
      </c>
      <c r="J183" s="31">
        <v>4783900</v>
      </c>
      <c r="K183" s="31"/>
      <c r="L183" s="31">
        <f t="shared" si="16"/>
        <v>4783900</v>
      </c>
      <c r="M183" s="40">
        <f t="shared" si="15"/>
        <v>4783.9</v>
      </c>
      <c r="N183" s="69"/>
      <c r="O183" s="100"/>
      <c r="T183" s="113"/>
      <c r="U183" s="113"/>
    </row>
    <row r="184" spans="1:21" ht="31.5" customHeight="1">
      <c r="A184" s="19"/>
      <c r="B184" s="19"/>
      <c r="C184" s="47" t="s">
        <v>224</v>
      </c>
      <c r="D184" s="142" t="s">
        <v>224</v>
      </c>
      <c r="E184" s="27"/>
      <c r="F184" s="28">
        <f t="shared" si="13"/>
        <v>0</v>
      </c>
      <c r="G184" s="28"/>
      <c r="H184" s="27"/>
      <c r="I184" s="28">
        <f t="shared" si="14"/>
        <v>0</v>
      </c>
      <c r="J184" s="31">
        <v>2344877</v>
      </c>
      <c r="K184" s="31"/>
      <c r="L184" s="31">
        <f t="shared" si="16"/>
        <v>2344877</v>
      </c>
      <c r="M184" s="40">
        <f t="shared" si="15"/>
        <v>2344.9</v>
      </c>
      <c r="N184" s="69"/>
      <c r="O184" s="100"/>
      <c r="T184" s="113"/>
      <c r="U184" s="113"/>
    </row>
    <row r="185" spans="1:21" ht="39" customHeight="1">
      <c r="A185" s="19"/>
      <c r="B185" s="19"/>
      <c r="C185" s="47" t="s">
        <v>270</v>
      </c>
      <c r="D185" s="142" t="s">
        <v>107</v>
      </c>
      <c r="E185" s="27"/>
      <c r="F185" s="28">
        <f t="shared" si="13"/>
        <v>0</v>
      </c>
      <c r="G185" s="28"/>
      <c r="H185" s="27"/>
      <c r="I185" s="28">
        <f t="shared" si="14"/>
        <v>0</v>
      </c>
      <c r="J185" s="31">
        <f>11000000+10000000</f>
        <v>21000000</v>
      </c>
      <c r="K185" s="31"/>
      <c r="L185" s="31">
        <f aca="true" t="shared" si="17" ref="L185:L199">K185+J185</f>
        <v>21000000</v>
      </c>
      <c r="M185" s="40">
        <f t="shared" si="15"/>
        <v>21000</v>
      </c>
      <c r="N185" s="69"/>
      <c r="O185" s="100"/>
      <c r="T185" s="113"/>
      <c r="U185" s="113"/>
    </row>
    <row r="186" spans="1:21" ht="31.5" customHeight="1">
      <c r="A186" s="19"/>
      <c r="B186" s="19"/>
      <c r="C186" s="47" t="s">
        <v>168</v>
      </c>
      <c r="D186" s="142" t="s">
        <v>168</v>
      </c>
      <c r="E186" s="27"/>
      <c r="F186" s="28">
        <f t="shared" si="13"/>
        <v>0</v>
      </c>
      <c r="G186" s="28"/>
      <c r="H186" s="27"/>
      <c r="I186" s="28">
        <f t="shared" si="14"/>
        <v>0</v>
      </c>
      <c r="J186" s="31">
        <v>1210370</v>
      </c>
      <c r="K186" s="31"/>
      <c r="L186" s="31">
        <f t="shared" si="17"/>
        <v>1210370</v>
      </c>
      <c r="M186" s="40">
        <f t="shared" si="15"/>
        <v>1210.4</v>
      </c>
      <c r="N186" s="69"/>
      <c r="O186" s="100"/>
      <c r="T186" s="113"/>
      <c r="U186" s="113"/>
    </row>
    <row r="187" spans="1:21" ht="44.25" customHeight="1">
      <c r="A187" s="19"/>
      <c r="B187" s="19"/>
      <c r="C187" s="47" t="s">
        <v>53</v>
      </c>
      <c r="D187" s="142" t="s">
        <v>53</v>
      </c>
      <c r="E187" s="27">
        <v>250015</v>
      </c>
      <c r="F187" s="28">
        <f t="shared" si="13"/>
        <v>250</v>
      </c>
      <c r="G187" s="28">
        <v>60</v>
      </c>
      <c r="H187" s="27">
        <v>150015</v>
      </c>
      <c r="I187" s="28">
        <f t="shared" si="14"/>
        <v>150</v>
      </c>
      <c r="J187" s="31">
        <v>150000</v>
      </c>
      <c r="K187" s="31"/>
      <c r="L187" s="31">
        <f t="shared" si="17"/>
        <v>150000</v>
      </c>
      <c r="M187" s="40">
        <f t="shared" si="15"/>
        <v>150</v>
      </c>
      <c r="N187" s="69"/>
      <c r="O187" s="100"/>
      <c r="T187" s="113"/>
      <c r="U187" s="113"/>
    </row>
    <row r="188" spans="1:21" ht="29.25" customHeight="1">
      <c r="A188" s="19"/>
      <c r="B188" s="19"/>
      <c r="C188" s="47" t="s">
        <v>271</v>
      </c>
      <c r="D188" s="142" t="s">
        <v>54</v>
      </c>
      <c r="E188" s="27">
        <v>4291979</v>
      </c>
      <c r="F188" s="28">
        <f t="shared" si="13"/>
        <v>4292</v>
      </c>
      <c r="G188" s="28">
        <v>53.7</v>
      </c>
      <c r="H188" s="27">
        <v>2304238</v>
      </c>
      <c r="I188" s="28">
        <f t="shared" si="14"/>
        <v>2304.2</v>
      </c>
      <c r="J188" s="31">
        <v>2000000</v>
      </c>
      <c r="K188" s="31"/>
      <c r="L188" s="31">
        <f t="shared" si="17"/>
        <v>2000000</v>
      </c>
      <c r="M188" s="40">
        <f>ROUND(L188/1000,1)-600</f>
        <v>1400</v>
      </c>
      <c r="N188" s="69"/>
      <c r="O188" s="100"/>
      <c r="T188" s="113"/>
      <c r="U188" s="113"/>
    </row>
    <row r="189" spans="1:21" ht="44.25" customHeight="1">
      <c r="A189" s="19"/>
      <c r="B189" s="19"/>
      <c r="C189" s="47" t="s">
        <v>122</v>
      </c>
      <c r="D189" s="142" t="s">
        <v>122</v>
      </c>
      <c r="E189" s="27"/>
      <c r="F189" s="28">
        <f t="shared" si="13"/>
        <v>0</v>
      </c>
      <c r="G189" s="28"/>
      <c r="H189" s="27"/>
      <c r="I189" s="28">
        <f t="shared" si="14"/>
        <v>0</v>
      </c>
      <c r="J189" s="31">
        <f>4200000+2700000</f>
        <v>6900000</v>
      </c>
      <c r="K189" s="31"/>
      <c r="L189" s="31">
        <f t="shared" si="17"/>
        <v>6900000</v>
      </c>
      <c r="M189" s="40">
        <f t="shared" si="15"/>
        <v>6900</v>
      </c>
      <c r="N189" s="69"/>
      <c r="O189" s="100"/>
      <c r="T189" s="113"/>
      <c r="U189" s="113"/>
    </row>
    <row r="190" spans="1:21" ht="39.75" customHeight="1">
      <c r="A190" s="19"/>
      <c r="B190" s="19"/>
      <c r="C190" s="47" t="s">
        <v>231</v>
      </c>
      <c r="D190" s="142" t="s">
        <v>231</v>
      </c>
      <c r="E190" s="27"/>
      <c r="F190" s="28">
        <f t="shared" si="13"/>
        <v>0</v>
      </c>
      <c r="G190" s="28"/>
      <c r="H190" s="27"/>
      <c r="I190" s="28">
        <f t="shared" si="14"/>
        <v>0</v>
      </c>
      <c r="J190" s="31">
        <v>912000</v>
      </c>
      <c r="K190" s="31"/>
      <c r="L190" s="31">
        <f t="shared" si="17"/>
        <v>912000</v>
      </c>
      <c r="M190" s="40">
        <f t="shared" si="15"/>
        <v>912</v>
      </c>
      <c r="N190" s="69"/>
      <c r="O190" s="100"/>
      <c r="T190" s="113"/>
      <c r="U190" s="113"/>
    </row>
    <row r="191" spans="1:21" ht="39.75" customHeight="1">
      <c r="A191" s="19"/>
      <c r="B191" s="19"/>
      <c r="C191" s="47" t="s">
        <v>56</v>
      </c>
      <c r="D191" s="142" t="s">
        <v>56</v>
      </c>
      <c r="E191" s="27">
        <v>1199810</v>
      </c>
      <c r="F191" s="28">
        <f t="shared" si="13"/>
        <v>1199.8</v>
      </c>
      <c r="G191" s="28">
        <v>49.2</v>
      </c>
      <c r="H191" s="27">
        <v>589810</v>
      </c>
      <c r="I191" s="28">
        <f t="shared" si="14"/>
        <v>589.8</v>
      </c>
      <c r="J191" s="31">
        <v>580000</v>
      </c>
      <c r="K191" s="31"/>
      <c r="L191" s="31">
        <f t="shared" si="17"/>
        <v>580000</v>
      </c>
      <c r="M191" s="40">
        <f t="shared" si="15"/>
        <v>580</v>
      </c>
      <c r="N191" s="69"/>
      <c r="O191" s="100"/>
      <c r="T191" s="113"/>
      <c r="U191" s="113"/>
    </row>
    <row r="192" spans="1:21" ht="39.75" customHeight="1">
      <c r="A192" s="19"/>
      <c r="B192" s="19"/>
      <c r="C192" s="47" t="s">
        <v>131</v>
      </c>
      <c r="D192" s="142" t="s">
        <v>131</v>
      </c>
      <c r="E192" s="27"/>
      <c r="F192" s="28">
        <f t="shared" si="13"/>
        <v>0</v>
      </c>
      <c r="G192" s="28"/>
      <c r="H192" s="27"/>
      <c r="I192" s="28">
        <f t="shared" si="14"/>
        <v>0</v>
      </c>
      <c r="J192" s="31">
        <f>1000000-120000</f>
        <v>880000</v>
      </c>
      <c r="K192" s="31"/>
      <c r="L192" s="31">
        <f t="shared" si="17"/>
        <v>880000</v>
      </c>
      <c r="M192" s="40">
        <f t="shared" si="15"/>
        <v>880</v>
      </c>
      <c r="N192" s="69"/>
      <c r="O192" s="100"/>
      <c r="T192" s="113"/>
      <c r="U192" s="113"/>
    </row>
    <row r="193" spans="1:21" ht="39.75" customHeight="1">
      <c r="A193" s="19"/>
      <c r="B193" s="19"/>
      <c r="C193" s="47" t="s">
        <v>121</v>
      </c>
      <c r="D193" s="142" t="s">
        <v>121</v>
      </c>
      <c r="E193" s="27"/>
      <c r="F193" s="28">
        <f t="shared" si="13"/>
        <v>0</v>
      </c>
      <c r="G193" s="28"/>
      <c r="H193" s="27"/>
      <c r="I193" s="28">
        <f t="shared" si="14"/>
        <v>0</v>
      </c>
      <c r="J193" s="31">
        <v>200000</v>
      </c>
      <c r="K193" s="31"/>
      <c r="L193" s="31">
        <f t="shared" si="17"/>
        <v>200000</v>
      </c>
      <c r="M193" s="40">
        <f t="shared" si="15"/>
        <v>200</v>
      </c>
      <c r="N193" s="69"/>
      <c r="O193" s="100"/>
      <c r="T193" s="113"/>
      <c r="U193" s="113"/>
    </row>
    <row r="194" spans="1:21" ht="36.75" customHeight="1">
      <c r="A194" s="19"/>
      <c r="B194" s="19"/>
      <c r="C194" s="47" t="s">
        <v>104</v>
      </c>
      <c r="D194" s="142" t="s">
        <v>104</v>
      </c>
      <c r="E194" s="27"/>
      <c r="F194" s="28">
        <f t="shared" si="13"/>
        <v>0</v>
      </c>
      <c r="G194" s="28"/>
      <c r="H194" s="27"/>
      <c r="I194" s="28">
        <f t="shared" si="14"/>
        <v>0</v>
      </c>
      <c r="J194" s="31">
        <f>950000-320000</f>
        <v>630000</v>
      </c>
      <c r="K194" s="31"/>
      <c r="L194" s="31">
        <f t="shared" si="17"/>
        <v>630000</v>
      </c>
      <c r="M194" s="40">
        <f t="shared" si="15"/>
        <v>630</v>
      </c>
      <c r="N194" s="69"/>
      <c r="O194" s="100"/>
      <c r="T194" s="113"/>
      <c r="U194" s="113"/>
    </row>
    <row r="195" spans="1:21" ht="37.5" customHeight="1">
      <c r="A195" s="19"/>
      <c r="B195" s="19"/>
      <c r="C195" s="47" t="s">
        <v>62</v>
      </c>
      <c r="D195" s="142" t="s">
        <v>62</v>
      </c>
      <c r="E195" s="27"/>
      <c r="F195" s="28">
        <f t="shared" si="13"/>
        <v>0</v>
      </c>
      <c r="G195" s="28"/>
      <c r="H195" s="27"/>
      <c r="I195" s="28">
        <f t="shared" si="14"/>
        <v>0</v>
      </c>
      <c r="J195" s="31">
        <f>500000-100000</f>
        <v>400000</v>
      </c>
      <c r="K195" s="31"/>
      <c r="L195" s="31">
        <f t="shared" si="17"/>
        <v>400000</v>
      </c>
      <c r="M195" s="40">
        <f t="shared" si="15"/>
        <v>400</v>
      </c>
      <c r="N195" s="69"/>
      <c r="O195" s="100"/>
      <c r="T195" s="113"/>
      <c r="U195" s="113"/>
    </row>
    <row r="196" spans="1:21" ht="44.25" customHeight="1">
      <c r="A196" s="19"/>
      <c r="B196" s="19"/>
      <c r="C196" s="47" t="s">
        <v>156</v>
      </c>
      <c r="D196" s="142" t="s">
        <v>156</v>
      </c>
      <c r="E196" s="27"/>
      <c r="F196" s="28">
        <f t="shared" si="13"/>
        <v>0</v>
      </c>
      <c r="G196" s="28"/>
      <c r="H196" s="27"/>
      <c r="I196" s="28">
        <f t="shared" si="14"/>
        <v>0</v>
      </c>
      <c r="J196" s="31">
        <v>50000</v>
      </c>
      <c r="K196" s="31"/>
      <c r="L196" s="31">
        <f t="shared" si="17"/>
        <v>50000</v>
      </c>
      <c r="M196" s="40">
        <f t="shared" si="15"/>
        <v>50</v>
      </c>
      <c r="N196" s="69"/>
      <c r="O196" s="100"/>
      <c r="T196" s="113"/>
      <c r="U196" s="113"/>
    </row>
    <row r="197" spans="1:21" ht="34.5" customHeight="1">
      <c r="A197" s="19"/>
      <c r="B197" s="19"/>
      <c r="C197" s="47" t="s">
        <v>170</v>
      </c>
      <c r="D197" s="142" t="s">
        <v>170</v>
      </c>
      <c r="E197" s="27"/>
      <c r="F197" s="28">
        <f t="shared" si="13"/>
        <v>0</v>
      </c>
      <c r="G197" s="28"/>
      <c r="H197" s="27"/>
      <c r="I197" s="28">
        <f t="shared" si="14"/>
        <v>0</v>
      </c>
      <c r="J197" s="31">
        <f>750000-100000</f>
        <v>650000</v>
      </c>
      <c r="K197" s="31"/>
      <c r="L197" s="31">
        <f t="shared" si="17"/>
        <v>650000</v>
      </c>
      <c r="M197" s="40">
        <f t="shared" si="15"/>
        <v>650</v>
      </c>
      <c r="N197" s="69"/>
      <c r="O197" s="100"/>
      <c r="T197" s="113"/>
      <c r="U197" s="113"/>
    </row>
    <row r="198" spans="1:21" ht="20.25">
      <c r="A198" s="19"/>
      <c r="B198" s="19"/>
      <c r="C198" s="47" t="s">
        <v>132</v>
      </c>
      <c r="D198" s="142" t="s">
        <v>132</v>
      </c>
      <c r="E198" s="27"/>
      <c r="F198" s="28">
        <f t="shared" si="13"/>
        <v>0</v>
      </c>
      <c r="G198" s="28"/>
      <c r="H198" s="27"/>
      <c r="I198" s="28">
        <f t="shared" si="14"/>
        <v>0</v>
      </c>
      <c r="J198" s="31">
        <f>4400000-2000000</f>
        <v>2400000</v>
      </c>
      <c r="K198" s="31"/>
      <c r="L198" s="31">
        <f t="shared" si="17"/>
        <v>2400000</v>
      </c>
      <c r="M198" s="40">
        <f t="shared" si="15"/>
        <v>2400</v>
      </c>
      <c r="N198" s="69"/>
      <c r="O198" s="100"/>
      <c r="T198" s="113"/>
      <c r="U198" s="113"/>
    </row>
    <row r="199" spans="1:21" ht="20.25">
      <c r="A199" s="19"/>
      <c r="B199" s="19"/>
      <c r="C199" s="47" t="s">
        <v>63</v>
      </c>
      <c r="D199" s="142" t="s">
        <v>63</v>
      </c>
      <c r="E199" s="27">
        <v>6201766</v>
      </c>
      <c r="F199" s="28">
        <f t="shared" si="13"/>
        <v>6201.8</v>
      </c>
      <c r="G199" s="28">
        <v>48.4</v>
      </c>
      <c r="H199" s="27">
        <v>3001766</v>
      </c>
      <c r="I199" s="28">
        <f t="shared" si="14"/>
        <v>3001.8</v>
      </c>
      <c r="J199" s="31">
        <f>3000000-1000000+0.94</f>
        <v>2000000.94</v>
      </c>
      <c r="K199" s="31"/>
      <c r="L199" s="31">
        <f t="shared" si="17"/>
        <v>2000000.94</v>
      </c>
      <c r="M199" s="40">
        <f t="shared" si="15"/>
        <v>2000</v>
      </c>
      <c r="N199" s="69"/>
      <c r="O199" s="100"/>
      <c r="T199" s="113"/>
      <c r="U199" s="113"/>
    </row>
    <row r="200" spans="1:21" ht="31.5" customHeight="1">
      <c r="A200" s="19"/>
      <c r="B200" s="19"/>
      <c r="C200" s="47" t="s">
        <v>33</v>
      </c>
      <c r="D200" s="142" t="s">
        <v>33</v>
      </c>
      <c r="E200" s="27">
        <v>4276667</v>
      </c>
      <c r="F200" s="28">
        <f t="shared" si="13"/>
        <v>4276.7</v>
      </c>
      <c r="G200" s="28">
        <v>75.4</v>
      </c>
      <c r="H200" s="27">
        <v>3225583</v>
      </c>
      <c r="I200" s="28">
        <f t="shared" si="14"/>
        <v>3225.6</v>
      </c>
      <c r="J200" s="31">
        <v>3200000</v>
      </c>
      <c r="K200" s="31"/>
      <c r="L200" s="31">
        <f aca="true" t="shared" si="18" ref="L200:L221">K200+J200</f>
        <v>3200000</v>
      </c>
      <c r="M200" s="40">
        <f t="shared" si="15"/>
        <v>3200</v>
      </c>
      <c r="N200" s="69"/>
      <c r="O200" s="100"/>
      <c r="T200" s="113"/>
      <c r="U200" s="113"/>
    </row>
    <row r="201" spans="1:21" ht="28.5" customHeight="1">
      <c r="A201" s="19"/>
      <c r="B201" s="19"/>
      <c r="C201" s="47" t="s">
        <v>124</v>
      </c>
      <c r="D201" s="142" t="s">
        <v>124</v>
      </c>
      <c r="E201" s="27">
        <v>3442904</v>
      </c>
      <c r="F201" s="28">
        <f t="shared" si="13"/>
        <v>3442.9</v>
      </c>
      <c r="G201" s="28">
        <v>98.3</v>
      </c>
      <c r="H201" s="27">
        <v>3382909</v>
      </c>
      <c r="I201" s="28">
        <f t="shared" si="14"/>
        <v>3382.9</v>
      </c>
      <c r="J201" s="31">
        <f>1000000+2636000</f>
        <v>3636000</v>
      </c>
      <c r="K201" s="31"/>
      <c r="L201" s="31">
        <f t="shared" si="18"/>
        <v>3636000</v>
      </c>
      <c r="M201" s="40">
        <f t="shared" si="15"/>
        <v>3636</v>
      </c>
      <c r="N201" s="69"/>
      <c r="O201" s="100"/>
      <c r="T201" s="113"/>
      <c r="U201" s="113"/>
    </row>
    <row r="202" spans="1:21" ht="20.25">
      <c r="A202" s="19"/>
      <c r="B202" s="19"/>
      <c r="C202" s="47" t="s">
        <v>126</v>
      </c>
      <c r="D202" s="142" t="s">
        <v>126</v>
      </c>
      <c r="E202" s="27">
        <v>25831121</v>
      </c>
      <c r="F202" s="28">
        <f t="shared" si="13"/>
        <v>25831.1</v>
      </c>
      <c r="G202" s="28"/>
      <c r="H202" s="27">
        <v>25831121</v>
      </c>
      <c r="I202" s="28">
        <f t="shared" si="14"/>
        <v>25831.1</v>
      </c>
      <c r="J202" s="31">
        <f>1000000+1000000-1500000</f>
        <v>500000</v>
      </c>
      <c r="K202" s="31"/>
      <c r="L202" s="31">
        <f t="shared" si="18"/>
        <v>500000</v>
      </c>
      <c r="M202" s="40">
        <f t="shared" si="15"/>
        <v>500</v>
      </c>
      <c r="N202" s="69"/>
      <c r="O202" s="100"/>
      <c r="T202" s="113"/>
      <c r="U202" s="113"/>
    </row>
    <row r="203" spans="1:21" ht="25.5" customHeight="1">
      <c r="A203" s="19"/>
      <c r="B203" s="19"/>
      <c r="C203" s="47" t="s">
        <v>125</v>
      </c>
      <c r="D203" s="142" t="s">
        <v>125</v>
      </c>
      <c r="E203" s="27"/>
      <c r="F203" s="28">
        <f t="shared" si="13"/>
        <v>0</v>
      </c>
      <c r="G203" s="28"/>
      <c r="H203" s="27"/>
      <c r="I203" s="28">
        <f t="shared" si="14"/>
        <v>0</v>
      </c>
      <c r="J203" s="31">
        <v>1000000</v>
      </c>
      <c r="K203" s="31"/>
      <c r="L203" s="31">
        <f t="shared" si="18"/>
        <v>1000000</v>
      </c>
      <c r="M203" s="40">
        <f t="shared" si="15"/>
        <v>1000</v>
      </c>
      <c r="N203" s="69"/>
      <c r="O203" s="100"/>
      <c r="T203" s="113"/>
      <c r="U203" s="113"/>
    </row>
    <row r="204" spans="1:21" ht="25.5" customHeight="1">
      <c r="A204" s="19"/>
      <c r="B204" s="19"/>
      <c r="C204" s="47" t="s">
        <v>130</v>
      </c>
      <c r="D204" s="142" t="s">
        <v>130</v>
      </c>
      <c r="E204" s="27"/>
      <c r="F204" s="28">
        <f t="shared" si="13"/>
        <v>0</v>
      </c>
      <c r="G204" s="28"/>
      <c r="H204" s="27"/>
      <c r="I204" s="28">
        <f t="shared" si="14"/>
        <v>0</v>
      </c>
      <c r="J204" s="31">
        <f>1000000+500000-150000</f>
        <v>1350000</v>
      </c>
      <c r="K204" s="31"/>
      <c r="L204" s="31">
        <f t="shared" si="18"/>
        <v>1350000</v>
      </c>
      <c r="M204" s="40">
        <f t="shared" si="15"/>
        <v>1350</v>
      </c>
      <c r="N204" s="69"/>
      <c r="O204" s="100"/>
      <c r="T204" s="113"/>
      <c r="U204" s="113"/>
    </row>
    <row r="205" spans="1:21" ht="25.5" customHeight="1">
      <c r="A205" s="19"/>
      <c r="B205" s="19"/>
      <c r="C205" s="47" t="s">
        <v>103</v>
      </c>
      <c r="D205" s="142" t="s">
        <v>103</v>
      </c>
      <c r="E205" s="27">
        <v>2997994</v>
      </c>
      <c r="F205" s="28">
        <f t="shared" si="13"/>
        <v>2998</v>
      </c>
      <c r="G205" s="28">
        <v>99.2</v>
      </c>
      <c r="H205" s="27">
        <v>2977690</v>
      </c>
      <c r="I205" s="28">
        <f t="shared" si="14"/>
        <v>2977.7</v>
      </c>
      <c r="J205" s="31">
        <v>1900000</v>
      </c>
      <c r="K205" s="31"/>
      <c r="L205" s="31">
        <f t="shared" si="18"/>
        <v>1900000</v>
      </c>
      <c r="M205" s="40">
        <f t="shared" si="15"/>
        <v>1900</v>
      </c>
      <c r="N205" s="69"/>
      <c r="O205" s="100"/>
      <c r="T205" s="113"/>
      <c r="U205" s="113"/>
    </row>
    <row r="206" spans="1:21" ht="25.5" customHeight="1">
      <c r="A206" s="19"/>
      <c r="B206" s="19"/>
      <c r="C206" s="47" t="s">
        <v>127</v>
      </c>
      <c r="D206" s="142" t="s">
        <v>127</v>
      </c>
      <c r="E206" s="27"/>
      <c r="F206" s="28">
        <f t="shared" si="13"/>
        <v>0</v>
      </c>
      <c r="G206" s="28"/>
      <c r="H206" s="27"/>
      <c r="I206" s="28">
        <f t="shared" si="14"/>
        <v>0</v>
      </c>
      <c r="J206" s="31">
        <f>200000+250000+500000</f>
        <v>950000</v>
      </c>
      <c r="K206" s="31"/>
      <c r="L206" s="31">
        <f t="shared" si="18"/>
        <v>950000</v>
      </c>
      <c r="M206" s="40">
        <f>ROUND(L206/1000,1)+600</f>
        <v>1550</v>
      </c>
      <c r="N206" s="69"/>
      <c r="O206" s="100"/>
      <c r="T206" s="113"/>
      <c r="U206" s="113"/>
    </row>
    <row r="207" spans="1:21" ht="25.5" customHeight="1">
      <c r="A207" s="19"/>
      <c r="B207" s="19"/>
      <c r="C207" s="47" t="s">
        <v>114</v>
      </c>
      <c r="D207" s="142" t="s">
        <v>114</v>
      </c>
      <c r="E207" s="27"/>
      <c r="F207" s="28">
        <f aca="true" t="shared" si="19" ref="F207:F236">ROUND(E207/1000,1)</f>
        <v>0</v>
      </c>
      <c r="G207" s="28"/>
      <c r="H207" s="27"/>
      <c r="I207" s="28">
        <f aca="true" t="shared" si="20" ref="I207:I236">ROUND(H207/1000,1)</f>
        <v>0</v>
      </c>
      <c r="J207" s="31">
        <f>150000-45000</f>
        <v>105000</v>
      </c>
      <c r="K207" s="31"/>
      <c r="L207" s="31">
        <f t="shared" si="18"/>
        <v>105000</v>
      </c>
      <c r="M207" s="40">
        <f aca="true" t="shared" si="21" ref="M207:M235">ROUND(L207/1000,1)</f>
        <v>105</v>
      </c>
      <c r="N207" s="69"/>
      <c r="O207" s="100"/>
      <c r="T207" s="113"/>
      <c r="U207" s="113"/>
    </row>
    <row r="208" spans="1:21" ht="25.5" customHeight="1">
      <c r="A208" s="19"/>
      <c r="B208" s="19"/>
      <c r="C208" s="47" t="s">
        <v>155</v>
      </c>
      <c r="D208" s="142" t="s">
        <v>155</v>
      </c>
      <c r="E208" s="27"/>
      <c r="F208" s="28">
        <f t="shared" si="19"/>
        <v>0</v>
      </c>
      <c r="G208" s="28"/>
      <c r="H208" s="27"/>
      <c r="I208" s="28">
        <f t="shared" si="20"/>
        <v>0</v>
      </c>
      <c r="J208" s="31">
        <v>50000</v>
      </c>
      <c r="K208" s="31"/>
      <c r="L208" s="31">
        <f t="shared" si="18"/>
        <v>50000</v>
      </c>
      <c r="M208" s="40">
        <f t="shared" si="21"/>
        <v>50</v>
      </c>
      <c r="N208" s="69"/>
      <c r="O208" s="100"/>
      <c r="T208" s="113"/>
      <c r="U208" s="113"/>
    </row>
    <row r="209" spans="1:21" ht="25.5" customHeight="1">
      <c r="A209" s="19"/>
      <c r="B209" s="19"/>
      <c r="C209" s="47" t="s">
        <v>154</v>
      </c>
      <c r="D209" s="142" t="s">
        <v>154</v>
      </c>
      <c r="E209" s="27"/>
      <c r="F209" s="28">
        <f t="shared" si="19"/>
        <v>0</v>
      </c>
      <c r="G209" s="28"/>
      <c r="H209" s="27"/>
      <c r="I209" s="28">
        <f t="shared" si="20"/>
        <v>0</v>
      </c>
      <c r="J209" s="31">
        <f>981000+350000</f>
        <v>1331000</v>
      </c>
      <c r="K209" s="31"/>
      <c r="L209" s="31">
        <f t="shared" si="18"/>
        <v>1331000</v>
      </c>
      <c r="M209" s="40">
        <f t="shared" si="21"/>
        <v>1331</v>
      </c>
      <c r="N209" s="69"/>
      <c r="O209" s="100"/>
      <c r="T209" s="113"/>
      <c r="U209" s="113"/>
    </row>
    <row r="210" spans="1:21" ht="25.5" customHeight="1">
      <c r="A210" s="19"/>
      <c r="B210" s="19"/>
      <c r="C210" s="47" t="s">
        <v>175</v>
      </c>
      <c r="D210" s="142" t="s">
        <v>175</v>
      </c>
      <c r="E210" s="27"/>
      <c r="F210" s="28">
        <f t="shared" si="19"/>
        <v>0</v>
      </c>
      <c r="G210" s="28"/>
      <c r="H210" s="27"/>
      <c r="I210" s="28">
        <f t="shared" si="20"/>
        <v>0</v>
      </c>
      <c r="J210" s="31">
        <f>200000+500000+520000</f>
        <v>1220000</v>
      </c>
      <c r="K210" s="31"/>
      <c r="L210" s="31">
        <f t="shared" si="18"/>
        <v>1220000</v>
      </c>
      <c r="M210" s="40">
        <f t="shared" si="21"/>
        <v>1220</v>
      </c>
      <c r="N210" s="69"/>
      <c r="O210" s="100"/>
      <c r="T210" s="113"/>
      <c r="U210" s="113"/>
    </row>
    <row r="211" spans="1:21" ht="25.5" customHeight="1">
      <c r="A211" s="19"/>
      <c r="B211" s="19"/>
      <c r="C211" s="47" t="s">
        <v>153</v>
      </c>
      <c r="D211" s="142" t="s">
        <v>153</v>
      </c>
      <c r="E211" s="27"/>
      <c r="F211" s="28">
        <f t="shared" si="19"/>
        <v>0</v>
      </c>
      <c r="G211" s="28"/>
      <c r="H211" s="27"/>
      <c r="I211" s="28">
        <f t="shared" si="20"/>
        <v>0</v>
      </c>
      <c r="J211" s="31">
        <v>530000</v>
      </c>
      <c r="K211" s="31"/>
      <c r="L211" s="31">
        <f t="shared" si="18"/>
        <v>530000</v>
      </c>
      <c r="M211" s="40">
        <f t="shared" si="21"/>
        <v>530</v>
      </c>
      <c r="N211" s="69"/>
      <c r="O211" s="100"/>
      <c r="T211" s="113"/>
      <c r="U211" s="113"/>
    </row>
    <row r="212" spans="1:21" ht="33" customHeight="1">
      <c r="A212" s="19"/>
      <c r="B212" s="19"/>
      <c r="C212" s="47" t="s">
        <v>169</v>
      </c>
      <c r="D212" s="142" t="s">
        <v>169</v>
      </c>
      <c r="E212" s="27"/>
      <c r="F212" s="28">
        <f t="shared" si="19"/>
        <v>0</v>
      </c>
      <c r="G212" s="28"/>
      <c r="H212" s="27"/>
      <c r="I212" s="28">
        <f t="shared" si="20"/>
        <v>0</v>
      </c>
      <c r="J212" s="31">
        <f>500000+69000</f>
        <v>569000</v>
      </c>
      <c r="K212" s="31"/>
      <c r="L212" s="31">
        <f t="shared" si="18"/>
        <v>569000</v>
      </c>
      <c r="M212" s="40">
        <f t="shared" si="21"/>
        <v>569</v>
      </c>
      <c r="N212" s="69"/>
      <c r="O212" s="100"/>
      <c r="T212" s="113"/>
      <c r="U212" s="113"/>
    </row>
    <row r="213" spans="1:21" ht="33" customHeight="1">
      <c r="A213" s="19"/>
      <c r="B213" s="19"/>
      <c r="C213" s="47" t="s">
        <v>200</v>
      </c>
      <c r="D213" s="142" t="s">
        <v>200</v>
      </c>
      <c r="E213" s="27"/>
      <c r="F213" s="28">
        <f t="shared" si="19"/>
        <v>0</v>
      </c>
      <c r="G213" s="28"/>
      <c r="H213" s="27"/>
      <c r="I213" s="28">
        <f t="shared" si="20"/>
        <v>0</v>
      </c>
      <c r="J213" s="31">
        <v>100000</v>
      </c>
      <c r="K213" s="31"/>
      <c r="L213" s="31">
        <f t="shared" si="18"/>
        <v>100000</v>
      </c>
      <c r="M213" s="40">
        <f t="shared" si="21"/>
        <v>100</v>
      </c>
      <c r="N213" s="69"/>
      <c r="O213" s="100"/>
      <c r="T213" s="113"/>
      <c r="U213" s="113"/>
    </row>
    <row r="214" spans="1:21" ht="33" customHeight="1">
      <c r="A214" s="19"/>
      <c r="B214" s="19"/>
      <c r="C214" s="47" t="s">
        <v>157</v>
      </c>
      <c r="D214" s="142" t="s">
        <v>157</v>
      </c>
      <c r="E214" s="27"/>
      <c r="F214" s="28">
        <f t="shared" si="19"/>
        <v>0</v>
      </c>
      <c r="G214" s="28"/>
      <c r="H214" s="27"/>
      <c r="I214" s="28">
        <f t="shared" si="20"/>
        <v>0</v>
      </c>
      <c r="J214" s="31">
        <v>40000</v>
      </c>
      <c r="K214" s="31"/>
      <c r="L214" s="31">
        <f t="shared" si="18"/>
        <v>40000</v>
      </c>
      <c r="M214" s="40">
        <f t="shared" si="21"/>
        <v>40</v>
      </c>
      <c r="N214" s="69"/>
      <c r="O214" s="100"/>
      <c r="T214" s="113"/>
      <c r="U214" s="113"/>
    </row>
    <row r="215" spans="1:21" ht="63.75" customHeight="1">
      <c r="A215" s="19"/>
      <c r="B215" s="19"/>
      <c r="C215" s="47" t="s">
        <v>219</v>
      </c>
      <c r="D215" s="142" t="s">
        <v>219</v>
      </c>
      <c r="E215" s="27"/>
      <c r="F215" s="28">
        <f>ROUND(E215/1000,1)</f>
        <v>0</v>
      </c>
      <c r="G215" s="28"/>
      <c r="H215" s="27"/>
      <c r="I215" s="28">
        <f t="shared" si="20"/>
        <v>0</v>
      </c>
      <c r="J215" s="31">
        <v>40000</v>
      </c>
      <c r="K215" s="31"/>
      <c r="L215" s="31">
        <f t="shared" si="18"/>
        <v>40000</v>
      </c>
      <c r="M215" s="40">
        <f t="shared" si="21"/>
        <v>40</v>
      </c>
      <c r="N215" s="69"/>
      <c r="O215" s="100"/>
      <c r="T215" s="113"/>
      <c r="U215" s="113"/>
    </row>
    <row r="216" spans="1:21" ht="29.25" customHeight="1">
      <c r="A216" s="19"/>
      <c r="B216" s="19"/>
      <c r="C216" s="47" t="s">
        <v>190</v>
      </c>
      <c r="D216" s="142" t="s">
        <v>190</v>
      </c>
      <c r="E216" s="27"/>
      <c r="F216" s="28">
        <f t="shared" si="19"/>
        <v>0</v>
      </c>
      <c r="G216" s="28"/>
      <c r="H216" s="27"/>
      <c r="I216" s="28">
        <f t="shared" si="20"/>
        <v>0</v>
      </c>
      <c r="J216" s="31">
        <v>11500</v>
      </c>
      <c r="K216" s="31"/>
      <c r="L216" s="31">
        <f t="shared" si="18"/>
        <v>11500</v>
      </c>
      <c r="M216" s="40">
        <f t="shared" si="21"/>
        <v>11.5</v>
      </c>
      <c r="N216" s="69"/>
      <c r="O216" s="100"/>
      <c r="T216" s="113"/>
      <c r="U216" s="113"/>
    </row>
    <row r="217" spans="1:21" ht="20.25">
      <c r="A217" s="17">
        <v>150118</v>
      </c>
      <c r="B217" s="107">
        <v>1062</v>
      </c>
      <c r="C217" s="55" t="s">
        <v>242</v>
      </c>
      <c r="D217" s="135" t="s">
        <v>11</v>
      </c>
      <c r="E217" s="27"/>
      <c r="F217" s="28">
        <f t="shared" si="19"/>
        <v>0</v>
      </c>
      <c r="G217" s="28"/>
      <c r="H217" s="27"/>
      <c r="I217" s="28">
        <f t="shared" si="20"/>
        <v>0</v>
      </c>
      <c r="J217" s="31"/>
      <c r="K217" s="31">
        <v>500000</v>
      </c>
      <c r="L217" s="31">
        <f t="shared" si="18"/>
        <v>500000</v>
      </c>
      <c r="M217" s="40">
        <f t="shared" si="21"/>
        <v>500</v>
      </c>
      <c r="N217" s="69"/>
      <c r="O217" s="100"/>
      <c r="T217" s="113"/>
      <c r="U217" s="113"/>
    </row>
    <row r="218" spans="1:21" ht="20.25">
      <c r="A218" s="17">
        <v>150201</v>
      </c>
      <c r="B218" s="30" t="s">
        <v>77</v>
      </c>
      <c r="C218" s="25" t="s">
        <v>300</v>
      </c>
      <c r="D218" s="142"/>
      <c r="E218" s="27"/>
      <c r="F218" s="28">
        <f t="shared" si="19"/>
        <v>0</v>
      </c>
      <c r="G218" s="28"/>
      <c r="H218" s="27"/>
      <c r="I218" s="28">
        <f t="shared" si="20"/>
        <v>0</v>
      </c>
      <c r="J218" s="31">
        <f>J219+J220</f>
        <v>270000</v>
      </c>
      <c r="K218" s="31">
        <f>K219+K220</f>
        <v>0</v>
      </c>
      <c r="L218" s="31">
        <f>L219+L220</f>
        <v>270000</v>
      </c>
      <c r="M218" s="21">
        <f t="shared" si="21"/>
        <v>270</v>
      </c>
      <c r="N218" s="69"/>
      <c r="O218" s="100"/>
      <c r="T218" s="113"/>
      <c r="U218" s="113"/>
    </row>
    <row r="219" spans="1:21" ht="40.5">
      <c r="A219" s="17"/>
      <c r="B219" s="30"/>
      <c r="C219" s="94" t="s">
        <v>180</v>
      </c>
      <c r="D219" s="144" t="s">
        <v>180</v>
      </c>
      <c r="E219" s="89"/>
      <c r="F219" s="90">
        <f t="shared" si="19"/>
        <v>0</v>
      </c>
      <c r="G219" s="90"/>
      <c r="H219" s="89"/>
      <c r="I219" s="90">
        <f t="shared" si="20"/>
        <v>0</v>
      </c>
      <c r="J219" s="91">
        <v>200000</v>
      </c>
      <c r="K219" s="91"/>
      <c r="L219" s="91">
        <v>200000</v>
      </c>
      <c r="M219" s="92">
        <f t="shared" si="21"/>
        <v>200</v>
      </c>
      <c r="N219" s="69"/>
      <c r="O219" s="100"/>
      <c r="T219" s="113"/>
      <c r="U219" s="113"/>
    </row>
    <row r="220" spans="1:21" ht="40.5">
      <c r="A220" s="17"/>
      <c r="B220" s="30"/>
      <c r="C220" s="94" t="s">
        <v>230</v>
      </c>
      <c r="D220" s="144" t="s">
        <v>230</v>
      </c>
      <c r="E220" s="89"/>
      <c r="F220" s="90">
        <f t="shared" si="19"/>
        <v>0</v>
      </c>
      <c r="G220" s="90"/>
      <c r="H220" s="89"/>
      <c r="I220" s="90">
        <f t="shared" si="20"/>
        <v>0</v>
      </c>
      <c r="J220" s="91">
        <v>70000</v>
      </c>
      <c r="K220" s="91"/>
      <c r="L220" s="91">
        <f>K220+J220</f>
        <v>70000</v>
      </c>
      <c r="M220" s="92">
        <f t="shared" si="21"/>
        <v>70</v>
      </c>
      <c r="N220" s="69"/>
      <c r="O220" s="100"/>
      <c r="T220" s="113"/>
      <c r="U220" s="113"/>
    </row>
    <row r="221" spans="1:21" ht="40.5">
      <c r="A221" s="17">
        <v>180409</v>
      </c>
      <c r="B221" s="30" t="s">
        <v>79</v>
      </c>
      <c r="C221" s="26" t="s">
        <v>255</v>
      </c>
      <c r="D221" s="142" t="s">
        <v>143</v>
      </c>
      <c r="E221" s="27"/>
      <c r="F221" s="28">
        <f t="shared" si="19"/>
        <v>0</v>
      </c>
      <c r="G221" s="28"/>
      <c r="H221" s="27"/>
      <c r="I221" s="28">
        <f t="shared" si="20"/>
        <v>0</v>
      </c>
      <c r="J221" s="31">
        <f>12000000+5798800</f>
        <v>17798800</v>
      </c>
      <c r="K221" s="31"/>
      <c r="L221" s="31">
        <f t="shared" si="18"/>
        <v>17798800</v>
      </c>
      <c r="M221" s="40">
        <f t="shared" si="21"/>
        <v>17798.8</v>
      </c>
      <c r="N221" s="73"/>
      <c r="O221" s="100"/>
      <c r="T221" s="113"/>
      <c r="U221" s="113"/>
    </row>
    <row r="222" spans="1:156" s="119" customFormat="1" ht="20.25">
      <c r="A222" s="86"/>
      <c r="B222" s="93"/>
      <c r="C222" s="94" t="s">
        <v>143</v>
      </c>
      <c r="D222" s="144"/>
      <c r="E222" s="89"/>
      <c r="F222" s="90">
        <f t="shared" si="19"/>
        <v>0</v>
      </c>
      <c r="G222" s="90"/>
      <c r="H222" s="89"/>
      <c r="I222" s="90">
        <f t="shared" si="20"/>
        <v>0</v>
      </c>
      <c r="J222" s="91"/>
      <c r="K222" s="91"/>
      <c r="L222" s="91">
        <v>17798800</v>
      </c>
      <c r="M222" s="92">
        <f t="shared" si="21"/>
        <v>17798.8</v>
      </c>
      <c r="N222" s="103"/>
      <c r="O222" s="104"/>
      <c r="P222" s="117"/>
      <c r="Q222" s="117"/>
      <c r="R222" s="117"/>
      <c r="S222" s="117"/>
      <c r="T222" s="118"/>
      <c r="U222" s="118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17"/>
      <c r="BE222" s="117"/>
      <c r="BF222" s="117"/>
      <c r="BG222" s="117"/>
      <c r="BH222" s="117"/>
      <c r="BI222" s="117"/>
      <c r="BJ222" s="117"/>
      <c r="BK222" s="117"/>
      <c r="BL222" s="117"/>
      <c r="BM222" s="117"/>
      <c r="BN222" s="117"/>
      <c r="BO222" s="117"/>
      <c r="BP222" s="117"/>
      <c r="BQ222" s="117"/>
      <c r="BR222" s="117"/>
      <c r="BS222" s="117"/>
      <c r="BT222" s="117"/>
      <c r="BU222" s="117"/>
      <c r="BV222" s="117"/>
      <c r="BW222" s="117"/>
      <c r="BX222" s="117"/>
      <c r="BY222" s="117"/>
      <c r="BZ222" s="117"/>
      <c r="CA222" s="117"/>
      <c r="CB222" s="117"/>
      <c r="CC222" s="117"/>
      <c r="CD222" s="117"/>
      <c r="CE222" s="117"/>
      <c r="CF222" s="117"/>
      <c r="CG222" s="117"/>
      <c r="CH222" s="117"/>
      <c r="CI222" s="117"/>
      <c r="CJ222" s="117"/>
      <c r="CK222" s="117"/>
      <c r="CL222" s="117"/>
      <c r="CM222" s="117"/>
      <c r="CN222" s="117"/>
      <c r="CO222" s="117"/>
      <c r="CP222" s="117"/>
      <c r="CQ222" s="117"/>
      <c r="CR222" s="117"/>
      <c r="CS222" s="117"/>
      <c r="CT222" s="117"/>
      <c r="CU222" s="117"/>
      <c r="CV222" s="117"/>
      <c r="CW222" s="117"/>
      <c r="CX222" s="117"/>
      <c r="CY222" s="117"/>
      <c r="CZ222" s="117"/>
      <c r="DA222" s="117"/>
      <c r="DB222" s="117"/>
      <c r="DC222" s="117"/>
      <c r="DD222" s="117"/>
      <c r="DE222" s="117"/>
      <c r="DF222" s="117"/>
      <c r="DG222" s="117"/>
      <c r="DH222" s="117"/>
      <c r="DI222" s="117"/>
      <c r="DJ222" s="117"/>
      <c r="DK222" s="117"/>
      <c r="DL222" s="117"/>
      <c r="DM222" s="117"/>
      <c r="DN222" s="117"/>
      <c r="DO222" s="117"/>
      <c r="DP222" s="117"/>
      <c r="DQ222" s="117"/>
      <c r="DR222" s="117"/>
      <c r="DS222" s="117"/>
      <c r="DT222" s="117"/>
      <c r="DU222" s="117"/>
      <c r="DV222" s="117"/>
      <c r="DW222" s="117"/>
      <c r="DX222" s="117"/>
      <c r="DY222" s="117"/>
      <c r="DZ222" s="117"/>
      <c r="EA222" s="117"/>
      <c r="EB222" s="117"/>
      <c r="EC222" s="117"/>
      <c r="ED222" s="117"/>
      <c r="EE222" s="117"/>
      <c r="EF222" s="117"/>
      <c r="EG222" s="117"/>
      <c r="EH222" s="117"/>
      <c r="EI222" s="117"/>
      <c r="EJ222" s="117"/>
      <c r="EK222" s="117"/>
      <c r="EL222" s="117"/>
      <c r="EM222" s="117"/>
      <c r="EN222" s="117"/>
      <c r="EO222" s="117"/>
      <c r="EP222" s="117"/>
      <c r="EQ222" s="117"/>
      <c r="ER222" s="117"/>
      <c r="ES222" s="117"/>
      <c r="ET222" s="117"/>
      <c r="EU222" s="117"/>
      <c r="EV222" s="117"/>
      <c r="EW222" s="117"/>
      <c r="EX222" s="117"/>
      <c r="EY222" s="117"/>
      <c r="EZ222" s="117"/>
    </row>
    <row r="223" spans="1:157" s="109" customFormat="1" ht="20.25">
      <c r="A223" s="24"/>
      <c r="B223" s="24"/>
      <c r="C223" s="56" t="s">
        <v>272</v>
      </c>
      <c r="D223" s="141"/>
      <c r="E223" s="39"/>
      <c r="F223" s="28">
        <f t="shared" si="19"/>
        <v>0</v>
      </c>
      <c r="G223" s="52"/>
      <c r="H223" s="39"/>
      <c r="I223" s="28">
        <f t="shared" si="20"/>
        <v>0</v>
      </c>
      <c r="J223" s="29">
        <f>J224+J225</f>
        <v>37000</v>
      </c>
      <c r="K223" s="29">
        <f>K224+K225</f>
        <v>0</v>
      </c>
      <c r="L223" s="29">
        <f>L224+L225</f>
        <v>37000</v>
      </c>
      <c r="M223" s="21">
        <f>M224+M225</f>
        <v>37</v>
      </c>
      <c r="N223" s="73"/>
      <c r="O223" s="100"/>
      <c r="P223" s="101"/>
      <c r="Q223" s="101"/>
      <c r="R223" s="101"/>
      <c r="S223" s="101"/>
      <c r="T223" s="113"/>
      <c r="U223" s="113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1"/>
      <c r="BN223" s="101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1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1"/>
      <c r="CM223" s="101"/>
      <c r="CN223" s="101"/>
      <c r="CO223" s="101"/>
      <c r="CP223" s="101"/>
      <c r="CQ223" s="101"/>
      <c r="CR223" s="101"/>
      <c r="CS223" s="101"/>
      <c r="CT223" s="101"/>
      <c r="CU223" s="101"/>
      <c r="CV223" s="101"/>
      <c r="CW223" s="101"/>
      <c r="CX223" s="101"/>
      <c r="CY223" s="101"/>
      <c r="CZ223" s="101"/>
      <c r="DA223" s="101"/>
      <c r="DB223" s="101"/>
      <c r="DC223" s="101"/>
      <c r="DD223" s="101"/>
      <c r="DE223" s="101"/>
      <c r="DF223" s="101"/>
      <c r="DG223" s="101"/>
      <c r="DH223" s="101"/>
      <c r="DI223" s="101"/>
      <c r="DJ223" s="101"/>
      <c r="DK223" s="101"/>
      <c r="DL223" s="101"/>
      <c r="DM223" s="101"/>
      <c r="DN223" s="101"/>
      <c r="DO223" s="101"/>
      <c r="DP223" s="101"/>
      <c r="DQ223" s="101"/>
      <c r="DR223" s="101"/>
      <c r="DS223" s="101"/>
      <c r="DT223" s="101"/>
      <c r="DU223" s="101"/>
      <c r="DV223" s="101"/>
      <c r="DW223" s="101"/>
      <c r="DX223" s="101"/>
      <c r="DY223" s="101"/>
      <c r="DZ223" s="101"/>
      <c r="EA223" s="101"/>
      <c r="EB223" s="101"/>
      <c r="EC223" s="101"/>
      <c r="ED223" s="101"/>
      <c r="EE223" s="101"/>
      <c r="EF223" s="101"/>
      <c r="EG223" s="101"/>
      <c r="EH223" s="101"/>
      <c r="EI223" s="101"/>
      <c r="EJ223" s="101"/>
      <c r="EK223" s="101"/>
      <c r="EL223" s="101"/>
      <c r="EM223" s="101"/>
      <c r="EN223" s="101"/>
      <c r="EO223" s="101"/>
      <c r="EP223" s="101"/>
      <c r="EQ223" s="101"/>
      <c r="ER223" s="101"/>
      <c r="ES223" s="101"/>
      <c r="ET223" s="101"/>
      <c r="EU223" s="101"/>
      <c r="EV223" s="101"/>
      <c r="EW223" s="101"/>
      <c r="EX223" s="101"/>
      <c r="EY223" s="101"/>
      <c r="EZ223" s="101"/>
      <c r="FA223" s="108"/>
    </row>
    <row r="224" spans="1:157" s="109" customFormat="1" ht="20.25">
      <c r="A224" s="30" t="s">
        <v>9</v>
      </c>
      <c r="B224" s="30" t="s">
        <v>76</v>
      </c>
      <c r="C224" s="26" t="s">
        <v>10</v>
      </c>
      <c r="D224" s="135" t="s">
        <v>11</v>
      </c>
      <c r="E224" s="27"/>
      <c r="F224" s="28">
        <f t="shared" si="19"/>
        <v>0</v>
      </c>
      <c r="G224" s="28"/>
      <c r="H224" s="27"/>
      <c r="I224" s="28">
        <f t="shared" si="20"/>
        <v>0</v>
      </c>
      <c r="J224" s="31">
        <f>250000-220000</f>
        <v>30000</v>
      </c>
      <c r="K224" s="34"/>
      <c r="L224" s="31">
        <f>K224+J224</f>
        <v>30000</v>
      </c>
      <c r="M224" s="40">
        <f t="shared" si="21"/>
        <v>30</v>
      </c>
      <c r="N224" s="73"/>
      <c r="O224" s="100"/>
      <c r="P224" s="101"/>
      <c r="Q224" s="101"/>
      <c r="R224" s="101"/>
      <c r="S224" s="101"/>
      <c r="T224" s="113"/>
      <c r="U224" s="113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1"/>
      <c r="BN224" s="101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1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1"/>
      <c r="CM224" s="101"/>
      <c r="CN224" s="101"/>
      <c r="CO224" s="101"/>
      <c r="CP224" s="101"/>
      <c r="CQ224" s="101"/>
      <c r="CR224" s="101"/>
      <c r="CS224" s="101"/>
      <c r="CT224" s="101"/>
      <c r="CU224" s="101"/>
      <c r="CV224" s="101"/>
      <c r="CW224" s="101"/>
      <c r="CX224" s="101"/>
      <c r="CY224" s="101"/>
      <c r="CZ224" s="101"/>
      <c r="DA224" s="101"/>
      <c r="DB224" s="101"/>
      <c r="DC224" s="101"/>
      <c r="DD224" s="101"/>
      <c r="DE224" s="101"/>
      <c r="DF224" s="101"/>
      <c r="DG224" s="101"/>
      <c r="DH224" s="101"/>
      <c r="DI224" s="101"/>
      <c r="DJ224" s="101"/>
      <c r="DK224" s="101"/>
      <c r="DL224" s="101"/>
      <c r="DM224" s="101"/>
      <c r="DN224" s="101"/>
      <c r="DO224" s="101"/>
      <c r="DP224" s="101"/>
      <c r="DQ224" s="101"/>
      <c r="DR224" s="101"/>
      <c r="DS224" s="101"/>
      <c r="DT224" s="101"/>
      <c r="DU224" s="101"/>
      <c r="DV224" s="101"/>
      <c r="DW224" s="101"/>
      <c r="DX224" s="101"/>
      <c r="DY224" s="101"/>
      <c r="DZ224" s="101"/>
      <c r="EA224" s="101"/>
      <c r="EB224" s="101"/>
      <c r="EC224" s="101"/>
      <c r="ED224" s="101"/>
      <c r="EE224" s="101"/>
      <c r="EF224" s="101"/>
      <c r="EG224" s="101"/>
      <c r="EH224" s="101"/>
      <c r="EI224" s="101"/>
      <c r="EJ224" s="101"/>
      <c r="EK224" s="101"/>
      <c r="EL224" s="101"/>
      <c r="EM224" s="101"/>
      <c r="EN224" s="101"/>
      <c r="EO224" s="101"/>
      <c r="EP224" s="101"/>
      <c r="EQ224" s="101"/>
      <c r="ER224" s="101"/>
      <c r="ES224" s="101"/>
      <c r="ET224" s="101"/>
      <c r="EU224" s="101"/>
      <c r="EV224" s="101"/>
      <c r="EW224" s="101"/>
      <c r="EX224" s="101"/>
      <c r="EY224" s="101"/>
      <c r="EZ224" s="101"/>
      <c r="FA224" s="108"/>
    </row>
    <row r="225" spans="1:21" s="101" customFormat="1" ht="20.25">
      <c r="A225" s="30" t="s">
        <v>21</v>
      </c>
      <c r="B225" s="30" t="s">
        <v>96</v>
      </c>
      <c r="C225" s="26" t="s">
        <v>38</v>
      </c>
      <c r="D225" s="135" t="s">
        <v>11</v>
      </c>
      <c r="E225" s="27"/>
      <c r="F225" s="28">
        <f t="shared" si="19"/>
        <v>0</v>
      </c>
      <c r="G225" s="28"/>
      <c r="H225" s="27"/>
      <c r="I225" s="28">
        <f t="shared" si="20"/>
        <v>0</v>
      </c>
      <c r="J225" s="31">
        <f>148000-141000</f>
        <v>7000</v>
      </c>
      <c r="K225" s="34"/>
      <c r="L225" s="31">
        <f>K225+J225</f>
        <v>7000</v>
      </c>
      <c r="M225" s="40">
        <f t="shared" si="21"/>
        <v>7</v>
      </c>
      <c r="N225" s="73"/>
      <c r="O225" s="100"/>
      <c r="T225" s="113"/>
      <c r="U225" s="113"/>
    </row>
    <row r="226" spans="1:157" s="109" customFormat="1" ht="20.25">
      <c r="A226" s="24"/>
      <c r="B226" s="24"/>
      <c r="C226" s="56" t="s">
        <v>273</v>
      </c>
      <c r="D226" s="141"/>
      <c r="E226" s="39"/>
      <c r="F226" s="28">
        <f t="shared" si="19"/>
        <v>0</v>
      </c>
      <c r="G226" s="52"/>
      <c r="H226" s="39"/>
      <c r="I226" s="28">
        <f t="shared" si="20"/>
        <v>0</v>
      </c>
      <c r="J226" s="29">
        <f>J229+J227</f>
        <v>381500</v>
      </c>
      <c r="K226" s="29">
        <f>K229+K227</f>
        <v>0</v>
      </c>
      <c r="L226" s="29">
        <f>L229+L227</f>
        <v>381500</v>
      </c>
      <c r="M226" s="21">
        <f>M229+M227</f>
        <v>381.5</v>
      </c>
      <c r="N226" s="73"/>
      <c r="O226" s="100"/>
      <c r="P226" s="101"/>
      <c r="Q226" s="101"/>
      <c r="R226" s="101"/>
      <c r="S226" s="101"/>
      <c r="T226" s="113"/>
      <c r="U226" s="113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1"/>
      <c r="BN226" s="101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1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1"/>
      <c r="CM226" s="101"/>
      <c r="CN226" s="101"/>
      <c r="CO226" s="101"/>
      <c r="CP226" s="101"/>
      <c r="CQ226" s="101"/>
      <c r="CR226" s="101"/>
      <c r="CS226" s="101"/>
      <c r="CT226" s="101"/>
      <c r="CU226" s="101"/>
      <c r="CV226" s="101"/>
      <c r="CW226" s="101"/>
      <c r="CX226" s="101"/>
      <c r="CY226" s="101"/>
      <c r="CZ226" s="101"/>
      <c r="DA226" s="101"/>
      <c r="DB226" s="101"/>
      <c r="DC226" s="101"/>
      <c r="DD226" s="101"/>
      <c r="DE226" s="101"/>
      <c r="DF226" s="101"/>
      <c r="DG226" s="101"/>
      <c r="DH226" s="101"/>
      <c r="DI226" s="101"/>
      <c r="DJ226" s="101"/>
      <c r="DK226" s="101"/>
      <c r="DL226" s="101"/>
      <c r="DM226" s="101"/>
      <c r="DN226" s="101"/>
      <c r="DO226" s="101"/>
      <c r="DP226" s="101"/>
      <c r="DQ226" s="101"/>
      <c r="DR226" s="101"/>
      <c r="DS226" s="101"/>
      <c r="DT226" s="101"/>
      <c r="DU226" s="101"/>
      <c r="DV226" s="101"/>
      <c r="DW226" s="101"/>
      <c r="DX226" s="101"/>
      <c r="DY226" s="101"/>
      <c r="DZ226" s="101"/>
      <c r="EA226" s="101"/>
      <c r="EB226" s="101"/>
      <c r="EC226" s="101"/>
      <c r="ED226" s="101"/>
      <c r="EE226" s="101"/>
      <c r="EF226" s="101"/>
      <c r="EG226" s="101"/>
      <c r="EH226" s="101"/>
      <c r="EI226" s="101"/>
      <c r="EJ226" s="101"/>
      <c r="EK226" s="101"/>
      <c r="EL226" s="101"/>
      <c r="EM226" s="101"/>
      <c r="EN226" s="101"/>
      <c r="EO226" s="101"/>
      <c r="EP226" s="101"/>
      <c r="EQ226" s="101"/>
      <c r="ER226" s="101"/>
      <c r="ES226" s="101"/>
      <c r="ET226" s="101"/>
      <c r="EU226" s="101"/>
      <c r="EV226" s="101"/>
      <c r="EW226" s="101"/>
      <c r="EX226" s="101"/>
      <c r="EY226" s="101"/>
      <c r="EZ226" s="101"/>
      <c r="FA226" s="108"/>
    </row>
    <row r="227" spans="1:21" s="101" customFormat="1" ht="40.5">
      <c r="A227" s="30" t="s">
        <v>176</v>
      </c>
      <c r="B227" s="30" t="s">
        <v>79</v>
      </c>
      <c r="C227" s="26" t="s">
        <v>255</v>
      </c>
      <c r="D227" s="145" t="s">
        <v>179</v>
      </c>
      <c r="E227" s="27"/>
      <c r="F227" s="28">
        <f t="shared" si="19"/>
        <v>0</v>
      </c>
      <c r="G227" s="28"/>
      <c r="H227" s="27"/>
      <c r="I227" s="28">
        <f t="shared" si="20"/>
        <v>0</v>
      </c>
      <c r="J227" s="31">
        <v>39000</v>
      </c>
      <c r="K227" s="31"/>
      <c r="L227" s="31">
        <f>K227+J227</f>
        <v>39000</v>
      </c>
      <c r="M227" s="40">
        <f t="shared" si="21"/>
        <v>39</v>
      </c>
      <c r="N227" s="73"/>
      <c r="O227" s="100"/>
      <c r="T227" s="113"/>
      <c r="U227" s="113"/>
    </row>
    <row r="228" spans="1:21" s="105" customFormat="1" ht="20.25">
      <c r="A228" s="93"/>
      <c r="B228" s="93"/>
      <c r="C228" s="87" t="s">
        <v>179</v>
      </c>
      <c r="D228" s="134"/>
      <c r="E228" s="89"/>
      <c r="F228" s="90">
        <f t="shared" si="19"/>
        <v>0</v>
      </c>
      <c r="G228" s="90"/>
      <c r="H228" s="89"/>
      <c r="I228" s="90">
        <f t="shared" si="20"/>
        <v>0</v>
      </c>
      <c r="J228" s="91"/>
      <c r="K228" s="91"/>
      <c r="L228" s="91"/>
      <c r="M228" s="92">
        <v>39</v>
      </c>
      <c r="N228" s="110"/>
      <c r="O228" s="104"/>
      <c r="T228" s="118"/>
      <c r="U228" s="118"/>
    </row>
    <row r="229" spans="1:21" s="101" customFormat="1" ht="20.25">
      <c r="A229" s="30" t="s">
        <v>174</v>
      </c>
      <c r="B229" s="30" t="s">
        <v>97</v>
      </c>
      <c r="C229" s="20" t="s">
        <v>20</v>
      </c>
      <c r="D229" s="135" t="s">
        <v>11</v>
      </c>
      <c r="E229" s="27"/>
      <c r="F229" s="28">
        <f t="shared" si="19"/>
        <v>0</v>
      </c>
      <c r="G229" s="28"/>
      <c r="H229" s="27"/>
      <c r="I229" s="28">
        <f t="shared" si="20"/>
        <v>0</v>
      </c>
      <c r="J229" s="31">
        <f>99500+243000</f>
        <v>342500</v>
      </c>
      <c r="K229" s="31"/>
      <c r="L229" s="31">
        <f>K229+J229</f>
        <v>342500</v>
      </c>
      <c r="M229" s="40">
        <f t="shared" si="21"/>
        <v>342.5</v>
      </c>
      <c r="N229" s="73"/>
      <c r="O229" s="100"/>
      <c r="T229" s="113"/>
      <c r="U229" s="113"/>
    </row>
    <row r="230" spans="1:21" s="120" customFormat="1" ht="20.25">
      <c r="A230" s="24"/>
      <c r="B230" s="24"/>
      <c r="C230" s="25" t="s">
        <v>274</v>
      </c>
      <c r="D230" s="141"/>
      <c r="E230" s="39"/>
      <c r="F230" s="28">
        <f t="shared" si="19"/>
        <v>0</v>
      </c>
      <c r="G230" s="52"/>
      <c r="H230" s="39"/>
      <c r="I230" s="28">
        <f t="shared" si="20"/>
        <v>0</v>
      </c>
      <c r="J230" s="29">
        <f>J231</f>
        <v>30000</v>
      </c>
      <c r="K230" s="29">
        <f>K231</f>
        <v>0</v>
      </c>
      <c r="L230" s="29">
        <f>L231</f>
        <v>30000</v>
      </c>
      <c r="M230" s="21">
        <f>M231</f>
        <v>30</v>
      </c>
      <c r="N230" s="69"/>
      <c r="O230" s="100"/>
      <c r="T230" s="113"/>
      <c r="U230" s="113"/>
    </row>
    <row r="231" spans="1:21" s="101" customFormat="1" ht="20.25">
      <c r="A231" s="30" t="s">
        <v>9</v>
      </c>
      <c r="B231" s="30" t="s">
        <v>76</v>
      </c>
      <c r="C231" s="26" t="s">
        <v>10</v>
      </c>
      <c r="D231" s="135" t="s">
        <v>11</v>
      </c>
      <c r="E231" s="27"/>
      <c r="F231" s="28">
        <f t="shared" si="19"/>
        <v>0</v>
      </c>
      <c r="G231" s="28"/>
      <c r="H231" s="27"/>
      <c r="I231" s="28">
        <f t="shared" si="20"/>
        <v>0</v>
      </c>
      <c r="J231" s="31">
        <v>30000</v>
      </c>
      <c r="K231" s="31"/>
      <c r="L231" s="31">
        <f>K231+J231</f>
        <v>30000</v>
      </c>
      <c r="M231" s="40">
        <f t="shared" si="21"/>
        <v>30</v>
      </c>
      <c r="N231" s="69"/>
      <c r="O231" s="100"/>
      <c r="T231" s="113"/>
      <c r="U231" s="113"/>
    </row>
    <row r="232" spans="1:21" ht="20.25">
      <c r="A232" s="57"/>
      <c r="B232" s="57"/>
      <c r="C232" s="56" t="s">
        <v>275</v>
      </c>
      <c r="D232" s="135"/>
      <c r="E232" s="58"/>
      <c r="F232" s="28">
        <f t="shared" si="19"/>
        <v>0</v>
      </c>
      <c r="G232" s="23"/>
      <c r="H232" s="58"/>
      <c r="I232" s="28">
        <f t="shared" si="20"/>
        <v>0</v>
      </c>
      <c r="J232" s="29">
        <f>J233</f>
        <v>64070</v>
      </c>
      <c r="K232" s="29">
        <f>K233</f>
        <v>0</v>
      </c>
      <c r="L232" s="29">
        <f>L233</f>
        <v>64070</v>
      </c>
      <c r="M232" s="21">
        <f>M233</f>
        <v>64.1</v>
      </c>
      <c r="N232" s="69"/>
      <c r="O232" s="100"/>
      <c r="T232" s="113"/>
      <c r="U232" s="113"/>
    </row>
    <row r="233" spans="1:21" ht="20.25">
      <c r="A233" s="30" t="s">
        <v>9</v>
      </c>
      <c r="B233" s="30" t="s">
        <v>76</v>
      </c>
      <c r="C233" s="20" t="s">
        <v>10</v>
      </c>
      <c r="D233" s="135" t="s">
        <v>19</v>
      </c>
      <c r="E233" s="58"/>
      <c r="F233" s="28">
        <f t="shared" si="19"/>
        <v>0</v>
      </c>
      <c r="G233" s="23"/>
      <c r="H233" s="58"/>
      <c r="I233" s="28">
        <f t="shared" si="20"/>
        <v>0</v>
      </c>
      <c r="J233" s="31">
        <f>52400+4670+7000</f>
        <v>64070</v>
      </c>
      <c r="K233" s="31"/>
      <c r="L233" s="31">
        <f>K233+J233</f>
        <v>64070</v>
      </c>
      <c r="M233" s="40">
        <f t="shared" si="21"/>
        <v>64.1</v>
      </c>
      <c r="N233" s="69"/>
      <c r="O233" s="100"/>
      <c r="T233" s="113"/>
      <c r="U233" s="113"/>
    </row>
    <row r="234" spans="1:21" ht="40.5">
      <c r="A234" s="57"/>
      <c r="B234" s="57"/>
      <c r="C234" s="56" t="s">
        <v>276</v>
      </c>
      <c r="D234" s="135"/>
      <c r="E234" s="58"/>
      <c r="F234" s="28">
        <f t="shared" si="19"/>
        <v>0</v>
      </c>
      <c r="G234" s="23"/>
      <c r="H234" s="58"/>
      <c r="I234" s="28">
        <f t="shared" si="20"/>
        <v>0</v>
      </c>
      <c r="J234" s="29">
        <f>J235</f>
        <v>700000</v>
      </c>
      <c r="K234" s="29">
        <f>K235</f>
        <v>9900</v>
      </c>
      <c r="L234" s="29">
        <f>L235</f>
        <v>709900</v>
      </c>
      <c r="M234" s="21">
        <f>M235</f>
        <v>709.9</v>
      </c>
      <c r="N234" s="121"/>
      <c r="O234" s="100"/>
      <c r="T234" s="113"/>
      <c r="U234" s="113"/>
    </row>
    <row r="235" spans="1:21" ht="20.25">
      <c r="A235" s="59">
        <v>250380</v>
      </c>
      <c r="B235" s="30" t="s">
        <v>97</v>
      </c>
      <c r="C235" s="20" t="s">
        <v>20</v>
      </c>
      <c r="D235" s="135" t="s">
        <v>11</v>
      </c>
      <c r="E235" s="58"/>
      <c r="F235" s="28">
        <f t="shared" si="19"/>
        <v>0</v>
      </c>
      <c r="G235" s="58"/>
      <c r="H235" s="58"/>
      <c r="I235" s="28">
        <f t="shared" si="20"/>
        <v>0</v>
      </c>
      <c r="J235" s="31">
        <v>700000</v>
      </c>
      <c r="K235" s="31">
        <v>9900</v>
      </c>
      <c r="L235" s="31">
        <f>K235+J235</f>
        <v>709900</v>
      </c>
      <c r="M235" s="40">
        <f t="shared" si="21"/>
        <v>709.9</v>
      </c>
      <c r="N235" s="61"/>
      <c r="O235" s="100"/>
      <c r="T235" s="113"/>
      <c r="U235" s="113"/>
    </row>
    <row r="236" spans="1:156" s="116" customFormat="1" ht="20.25">
      <c r="A236" s="18"/>
      <c r="B236" s="18"/>
      <c r="C236" s="18" t="s">
        <v>278</v>
      </c>
      <c r="D236" s="146"/>
      <c r="E236" s="60"/>
      <c r="F236" s="27">
        <f t="shared" si="19"/>
        <v>0</v>
      </c>
      <c r="G236" s="60"/>
      <c r="H236" s="60"/>
      <c r="I236" s="28">
        <f t="shared" si="20"/>
        <v>0</v>
      </c>
      <c r="J236" s="29" t="e">
        <f>J234+J232+J230+J226+J88+J83+J57+J52+J48+J39+J29+J15+J86+J223</f>
        <v>#REF!</v>
      </c>
      <c r="K236" s="29" t="e">
        <f>K234+K232+K230+K226+K88+K83+K57+K52+K48+K39+K29+K15+K86+K223</f>
        <v>#REF!</v>
      </c>
      <c r="L236" s="29" t="e">
        <f>L234+L232+L230+L226+L88+L83+L57+L52+L48+L39+L29+L15+L86+L223</f>
        <v>#REF!</v>
      </c>
      <c r="M236" s="21">
        <f>M234+M232+M230+M226+M88+M83+M57+M52+M48+M39+M29+M15+M86+M223</f>
        <v>505174.1</v>
      </c>
      <c r="N236" s="61"/>
      <c r="O236" s="100"/>
      <c r="P236" s="115"/>
      <c r="Q236" s="115"/>
      <c r="R236" s="115"/>
      <c r="S236" s="115"/>
      <c r="T236" s="113"/>
      <c r="U236" s="113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5"/>
      <c r="BD236" s="115"/>
      <c r="BE236" s="115"/>
      <c r="BF236" s="115"/>
      <c r="BG236" s="115"/>
      <c r="BH236" s="115"/>
      <c r="BI236" s="115"/>
      <c r="BJ236" s="115"/>
      <c r="BK236" s="115"/>
      <c r="BL236" s="115"/>
      <c r="BM236" s="115"/>
      <c r="BN236" s="115"/>
      <c r="BO236" s="115"/>
      <c r="BP236" s="115"/>
      <c r="BQ236" s="115"/>
      <c r="BR236" s="115"/>
      <c r="BS236" s="115"/>
      <c r="BT236" s="115"/>
      <c r="BU236" s="115"/>
      <c r="BV236" s="115"/>
      <c r="BW236" s="115"/>
      <c r="BX236" s="115"/>
      <c r="BY236" s="115"/>
      <c r="BZ236" s="115"/>
      <c r="CA236" s="115"/>
      <c r="CB236" s="115"/>
      <c r="CC236" s="115"/>
      <c r="CD236" s="115"/>
      <c r="CE236" s="115"/>
      <c r="CF236" s="115"/>
      <c r="CG236" s="115"/>
      <c r="CH236" s="115"/>
      <c r="CI236" s="115"/>
      <c r="CJ236" s="115"/>
      <c r="CK236" s="115"/>
      <c r="CL236" s="115"/>
      <c r="CM236" s="115"/>
      <c r="CN236" s="115"/>
      <c r="CO236" s="115"/>
      <c r="CP236" s="115"/>
      <c r="CQ236" s="115"/>
      <c r="CR236" s="115"/>
      <c r="CS236" s="115"/>
      <c r="CT236" s="115"/>
      <c r="CU236" s="115"/>
      <c r="CV236" s="115"/>
      <c r="CW236" s="115"/>
      <c r="CX236" s="115"/>
      <c r="CY236" s="115"/>
      <c r="CZ236" s="115"/>
      <c r="DA236" s="115"/>
      <c r="DB236" s="115"/>
      <c r="DC236" s="115"/>
      <c r="DD236" s="115"/>
      <c r="DE236" s="115"/>
      <c r="DF236" s="115"/>
      <c r="DG236" s="115"/>
      <c r="DH236" s="115"/>
      <c r="DI236" s="115"/>
      <c r="DJ236" s="115"/>
      <c r="DK236" s="115"/>
      <c r="DL236" s="115"/>
      <c r="DM236" s="115"/>
      <c r="DN236" s="115"/>
      <c r="DO236" s="115"/>
      <c r="DP236" s="115"/>
      <c r="DQ236" s="115"/>
      <c r="DR236" s="115"/>
      <c r="DS236" s="115"/>
      <c r="DT236" s="115"/>
      <c r="DU236" s="115"/>
      <c r="DV236" s="115"/>
      <c r="DW236" s="115"/>
      <c r="DX236" s="115"/>
      <c r="DY236" s="115"/>
      <c r="DZ236" s="115"/>
      <c r="EA236" s="115"/>
      <c r="EB236" s="115"/>
      <c r="EC236" s="115"/>
      <c r="ED236" s="115"/>
      <c r="EE236" s="115"/>
      <c r="EF236" s="115"/>
      <c r="EG236" s="115"/>
      <c r="EH236" s="115"/>
      <c r="EI236" s="115"/>
      <c r="EJ236" s="115"/>
      <c r="EK236" s="115"/>
      <c r="EL236" s="115"/>
      <c r="EM236" s="115"/>
      <c r="EN236" s="115"/>
      <c r="EO236" s="115"/>
      <c r="EP236" s="115"/>
      <c r="EQ236" s="115"/>
      <c r="ER236" s="115"/>
      <c r="ES236" s="115"/>
      <c r="ET236" s="115"/>
      <c r="EU236" s="115"/>
      <c r="EV236" s="115"/>
      <c r="EW236" s="115"/>
      <c r="EX236" s="115"/>
      <c r="EY236" s="115"/>
      <c r="EZ236" s="115"/>
    </row>
    <row r="237" spans="1:21" s="115" customFormat="1" ht="20.25">
      <c r="A237" s="61"/>
      <c r="B237" s="61"/>
      <c r="C237" s="18" t="s">
        <v>279</v>
      </c>
      <c r="D237" s="147"/>
      <c r="E237" s="60"/>
      <c r="F237" s="60"/>
      <c r="G237" s="150"/>
      <c r="H237" s="150"/>
      <c r="I237" s="60"/>
      <c r="J237" s="29"/>
      <c r="K237" s="34"/>
      <c r="L237" s="18"/>
      <c r="M237" s="21">
        <v>8721</v>
      </c>
      <c r="N237" s="61"/>
      <c r="O237" s="100"/>
      <c r="T237" s="113"/>
      <c r="U237" s="113"/>
    </row>
    <row r="238" spans="1:21" s="115" customFormat="1" ht="60.75">
      <c r="A238" s="61"/>
      <c r="B238" s="61"/>
      <c r="C238" s="19" t="s">
        <v>280</v>
      </c>
      <c r="D238" s="147"/>
      <c r="E238" s="60"/>
      <c r="F238" s="60"/>
      <c r="G238" s="150"/>
      <c r="H238" s="150"/>
      <c r="I238" s="60"/>
      <c r="J238" s="29"/>
      <c r="K238" s="34"/>
      <c r="L238" s="18"/>
      <c r="M238" s="22">
        <f>M239</f>
        <v>63.4</v>
      </c>
      <c r="N238" s="61"/>
      <c r="O238" s="100"/>
      <c r="T238" s="113"/>
      <c r="U238" s="113"/>
    </row>
    <row r="239" spans="1:21" s="115" customFormat="1" ht="20.25">
      <c r="A239" s="61"/>
      <c r="B239" s="61"/>
      <c r="C239" s="20" t="s">
        <v>27</v>
      </c>
      <c r="D239" s="147"/>
      <c r="E239" s="60"/>
      <c r="F239" s="60"/>
      <c r="G239" s="150"/>
      <c r="H239" s="150"/>
      <c r="I239" s="60"/>
      <c r="J239" s="29"/>
      <c r="K239" s="62"/>
      <c r="L239" s="18"/>
      <c r="M239" s="23">
        <v>63.4</v>
      </c>
      <c r="N239" s="61"/>
      <c r="O239" s="100"/>
      <c r="T239" s="113"/>
      <c r="U239" s="113"/>
    </row>
    <row r="240" spans="1:21" s="115" customFormat="1" ht="20.25">
      <c r="A240" s="61"/>
      <c r="B240" s="61"/>
      <c r="C240" s="61"/>
      <c r="D240" s="63"/>
      <c r="E240" s="64"/>
      <c r="F240" s="64"/>
      <c r="G240" s="155"/>
      <c r="H240" s="155"/>
      <c r="I240" s="64"/>
      <c r="J240" s="65"/>
      <c r="K240" s="66"/>
      <c r="L240" s="61"/>
      <c r="M240" s="70"/>
      <c r="N240" s="71"/>
      <c r="T240" s="113"/>
      <c r="U240" s="113"/>
    </row>
    <row r="241" spans="1:156" s="123" customFormat="1" ht="27">
      <c r="A241" s="149" t="s">
        <v>232</v>
      </c>
      <c r="B241" s="149"/>
      <c r="C241" s="61"/>
      <c r="D241" s="61"/>
      <c r="E241" s="68"/>
      <c r="F241" s="68"/>
      <c r="G241" s="68"/>
      <c r="H241" s="149"/>
      <c r="I241" s="149"/>
      <c r="J241" s="149"/>
      <c r="K241" s="149" t="s">
        <v>233</v>
      </c>
      <c r="L241" s="149"/>
      <c r="M241" s="70"/>
      <c r="N241" s="71"/>
      <c r="O241" s="122"/>
      <c r="P241" s="122"/>
      <c r="Q241" s="122"/>
      <c r="R241" s="122"/>
      <c r="S241" s="122"/>
      <c r="T241" s="113"/>
      <c r="U241" s="113"/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22"/>
      <c r="AJ241" s="122"/>
      <c r="AK241" s="122"/>
      <c r="AL241" s="122"/>
      <c r="AM241" s="122"/>
      <c r="AN241" s="122"/>
      <c r="AO241" s="122"/>
      <c r="AP241" s="122"/>
      <c r="AQ241" s="122"/>
      <c r="AR241" s="122"/>
      <c r="AS241" s="122"/>
      <c r="AT241" s="122"/>
      <c r="AU241" s="122"/>
      <c r="AV241" s="122"/>
      <c r="AW241" s="122"/>
      <c r="AX241" s="122"/>
      <c r="AY241" s="122"/>
      <c r="AZ241" s="122"/>
      <c r="BA241" s="122"/>
      <c r="BB241" s="122"/>
      <c r="BC241" s="122"/>
      <c r="BD241" s="122"/>
      <c r="BE241" s="122"/>
      <c r="BF241" s="122"/>
      <c r="BG241" s="122"/>
      <c r="BH241" s="122"/>
      <c r="BI241" s="122"/>
      <c r="BJ241" s="122"/>
      <c r="BK241" s="122"/>
      <c r="BL241" s="122"/>
      <c r="BM241" s="122"/>
      <c r="BN241" s="122"/>
      <c r="BO241" s="122"/>
      <c r="BP241" s="122"/>
      <c r="BQ241" s="122"/>
      <c r="BR241" s="122"/>
      <c r="BS241" s="122"/>
      <c r="BT241" s="122"/>
      <c r="BU241" s="122"/>
      <c r="BV241" s="122"/>
      <c r="BW241" s="122"/>
      <c r="BX241" s="122"/>
      <c r="BY241" s="122"/>
      <c r="BZ241" s="122"/>
      <c r="CA241" s="122"/>
      <c r="CB241" s="122"/>
      <c r="CC241" s="122"/>
      <c r="CD241" s="122"/>
      <c r="CE241" s="122"/>
      <c r="CF241" s="122"/>
      <c r="CG241" s="122"/>
      <c r="CH241" s="122"/>
      <c r="CI241" s="122"/>
      <c r="CJ241" s="122"/>
      <c r="CK241" s="122"/>
      <c r="CL241" s="122"/>
      <c r="CM241" s="122"/>
      <c r="CN241" s="122"/>
      <c r="CO241" s="122"/>
      <c r="CP241" s="122"/>
      <c r="CQ241" s="122"/>
      <c r="CR241" s="122"/>
      <c r="CS241" s="122"/>
      <c r="CT241" s="122"/>
      <c r="CU241" s="122"/>
      <c r="CV241" s="122"/>
      <c r="CW241" s="122"/>
      <c r="CX241" s="122"/>
      <c r="CY241" s="122"/>
      <c r="CZ241" s="122"/>
      <c r="DA241" s="122"/>
      <c r="DB241" s="122"/>
      <c r="DC241" s="122"/>
      <c r="DD241" s="122"/>
      <c r="DE241" s="122"/>
      <c r="DF241" s="122"/>
      <c r="DG241" s="122"/>
      <c r="DH241" s="122"/>
      <c r="DI241" s="122"/>
      <c r="DJ241" s="122"/>
      <c r="DK241" s="122"/>
      <c r="DL241" s="122"/>
      <c r="DM241" s="122"/>
      <c r="DN241" s="122"/>
      <c r="DO241" s="122"/>
      <c r="DP241" s="122"/>
      <c r="DQ241" s="122"/>
      <c r="DR241" s="122"/>
      <c r="DS241" s="122"/>
      <c r="DT241" s="122"/>
      <c r="DU241" s="122"/>
      <c r="DV241" s="122"/>
      <c r="DW241" s="122"/>
      <c r="DX241" s="122"/>
      <c r="DY241" s="122"/>
      <c r="DZ241" s="122"/>
      <c r="EA241" s="122"/>
      <c r="EB241" s="122"/>
      <c r="EC241" s="122"/>
      <c r="ED241" s="122"/>
      <c r="EE241" s="122"/>
      <c r="EF241" s="122"/>
      <c r="EG241" s="122"/>
      <c r="EH241" s="122"/>
      <c r="EI241" s="122"/>
      <c r="EJ241" s="122"/>
      <c r="EK241" s="122"/>
      <c r="EL241" s="122"/>
      <c r="EM241" s="122"/>
      <c r="EN241" s="122"/>
      <c r="EO241" s="122"/>
      <c r="EP241" s="122"/>
      <c r="EQ241" s="122"/>
      <c r="ER241" s="122"/>
      <c r="ES241" s="122"/>
      <c r="ET241" s="122"/>
      <c r="EU241" s="122"/>
      <c r="EV241" s="122"/>
      <c r="EW241" s="122"/>
      <c r="EX241" s="122"/>
      <c r="EY241" s="122"/>
      <c r="EZ241" s="122"/>
    </row>
    <row r="242" spans="1:14" s="124" customFormat="1" ht="30.75">
      <c r="A242" s="149"/>
      <c r="B242" s="149"/>
      <c r="C242" s="149"/>
      <c r="D242" s="69"/>
      <c r="E242" s="70"/>
      <c r="F242" s="70"/>
      <c r="G242" s="149"/>
      <c r="H242" s="149"/>
      <c r="I242" s="67"/>
      <c r="J242" s="68"/>
      <c r="K242" s="66"/>
      <c r="L242" s="71"/>
      <c r="M242" s="70"/>
      <c r="N242" s="71"/>
    </row>
    <row r="243" spans="1:14" s="124" customFormat="1" ht="30.75">
      <c r="A243" s="67"/>
      <c r="B243" s="67"/>
      <c r="C243" s="67"/>
      <c r="D243" s="69"/>
      <c r="E243" s="70"/>
      <c r="F243" s="70"/>
      <c r="G243" s="67"/>
      <c r="H243" s="67"/>
      <c r="I243" s="67"/>
      <c r="J243" s="68"/>
      <c r="K243" s="66"/>
      <c r="L243" s="71"/>
      <c r="M243" s="70"/>
      <c r="N243" s="71"/>
    </row>
    <row r="244" spans="1:13" s="123" customFormat="1" ht="27">
      <c r="A244" s="156" t="s">
        <v>296</v>
      </c>
      <c r="B244" s="156"/>
      <c r="C244" s="156"/>
      <c r="D244" s="122"/>
      <c r="E244" s="132"/>
      <c r="F244" s="132"/>
      <c r="G244" s="156"/>
      <c r="H244" s="156"/>
      <c r="I244" s="159" t="s">
        <v>233</v>
      </c>
      <c r="J244" s="159"/>
      <c r="K244" s="159"/>
      <c r="L244" s="159"/>
      <c r="M244" s="159"/>
    </row>
    <row r="245" spans="1:14" s="125" customFormat="1" ht="27.75">
      <c r="A245" s="72" t="s">
        <v>235</v>
      </c>
      <c r="B245" s="69"/>
      <c r="C245" s="73"/>
      <c r="D245" s="74"/>
      <c r="E245" s="75"/>
      <c r="F245" s="75"/>
      <c r="G245" s="71"/>
      <c r="H245" s="71"/>
      <c r="I245" s="71"/>
      <c r="J245" s="71"/>
      <c r="K245" s="66"/>
      <c r="L245" s="76"/>
      <c r="M245" s="70"/>
      <c r="N245" s="71"/>
    </row>
    <row r="246" spans="1:14" s="125" customFormat="1" ht="27.75">
      <c r="A246" s="72"/>
      <c r="B246" s="69"/>
      <c r="C246" s="73"/>
      <c r="D246" s="74"/>
      <c r="E246" s="75"/>
      <c r="F246" s="75"/>
      <c r="G246" s="71"/>
      <c r="H246" s="71"/>
      <c r="I246" s="71"/>
      <c r="J246" s="71"/>
      <c r="K246" s="66"/>
      <c r="L246" s="76"/>
      <c r="M246" s="70"/>
      <c r="N246" s="71"/>
    </row>
    <row r="247" spans="1:14" s="125" customFormat="1" ht="27.75">
      <c r="A247" s="72"/>
      <c r="B247" s="69"/>
      <c r="C247" s="73" t="s">
        <v>235</v>
      </c>
      <c r="D247" s="74"/>
      <c r="E247" s="75"/>
      <c r="F247" s="75"/>
      <c r="G247" s="71"/>
      <c r="H247" s="71"/>
      <c r="I247" s="71"/>
      <c r="J247" s="71"/>
      <c r="K247" s="66"/>
      <c r="L247" s="76"/>
      <c r="M247" s="70"/>
      <c r="N247" s="71"/>
    </row>
    <row r="248" spans="1:14" s="125" customFormat="1" ht="37.5" customHeight="1">
      <c r="A248" s="154" t="s">
        <v>234</v>
      </c>
      <c r="B248" s="154"/>
      <c r="C248" s="133" t="s">
        <v>297</v>
      </c>
      <c r="D248" s="77"/>
      <c r="E248" s="78"/>
      <c r="F248" s="78"/>
      <c r="G248" s="77"/>
      <c r="H248" s="77"/>
      <c r="I248" s="77"/>
      <c r="J248" s="77"/>
      <c r="K248" s="66"/>
      <c r="L248" s="77"/>
      <c r="M248" s="70"/>
      <c r="N248" s="69"/>
    </row>
    <row r="249" spans="1:14" s="125" customFormat="1" ht="27.75">
      <c r="A249" s="154"/>
      <c r="B249" s="154"/>
      <c r="C249" s="71"/>
      <c r="D249" s="71"/>
      <c r="E249" s="76"/>
      <c r="F249" s="76"/>
      <c r="G249" s="71"/>
      <c r="H249" s="71"/>
      <c r="I249" s="71"/>
      <c r="J249" s="79"/>
      <c r="K249" s="66"/>
      <c r="L249" s="76"/>
      <c r="M249" s="70"/>
      <c r="N249" s="69"/>
    </row>
    <row r="250" spans="1:156" s="124" customFormat="1" ht="30.75">
      <c r="A250" s="153"/>
      <c r="B250" s="153"/>
      <c r="C250" s="153"/>
      <c r="D250" s="80"/>
      <c r="E250" s="81"/>
      <c r="F250" s="81"/>
      <c r="G250" s="69"/>
      <c r="H250" s="71"/>
      <c r="I250" s="71"/>
      <c r="J250" s="82"/>
      <c r="K250" s="66"/>
      <c r="L250" s="69"/>
      <c r="M250" s="70"/>
      <c r="N250" s="69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  <c r="AF250" s="126"/>
      <c r="AG250" s="126"/>
      <c r="AH250" s="126"/>
      <c r="AI250" s="126"/>
      <c r="AJ250" s="126"/>
      <c r="AK250" s="126"/>
      <c r="AL250" s="126"/>
      <c r="AM250" s="126"/>
      <c r="AN250" s="126"/>
      <c r="AO250" s="126"/>
      <c r="AP250" s="126"/>
      <c r="AQ250" s="126"/>
      <c r="AR250" s="126"/>
      <c r="AS250" s="126"/>
      <c r="AT250" s="126"/>
      <c r="AU250" s="126"/>
      <c r="AV250" s="126"/>
      <c r="AW250" s="126"/>
      <c r="AX250" s="126"/>
      <c r="AY250" s="126"/>
      <c r="AZ250" s="126"/>
      <c r="BA250" s="126"/>
      <c r="BB250" s="126"/>
      <c r="BC250" s="126"/>
      <c r="BD250" s="126"/>
      <c r="BE250" s="126"/>
      <c r="BF250" s="126"/>
      <c r="BG250" s="126"/>
      <c r="BH250" s="126"/>
      <c r="BI250" s="126"/>
      <c r="BJ250" s="126"/>
      <c r="BK250" s="126"/>
      <c r="BL250" s="126"/>
      <c r="BM250" s="126"/>
      <c r="BN250" s="126"/>
      <c r="BO250" s="126"/>
      <c r="BP250" s="126"/>
      <c r="BQ250" s="126"/>
      <c r="BR250" s="126"/>
      <c r="BS250" s="126"/>
      <c r="BT250" s="126"/>
      <c r="BU250" s="126"/>
      <c r="BV250" s="126"/>
      <c r="BW250" s="126"/>
      <c r="BX250" s="126"/>
      <c r="BY250" s="126"/>
      <c r="BZ250" s="126"/>
      <c r="CA250" s="126"/>
      <c r="CB250" s="126"/>
      <c r="CC250" s="126"/>
      <c r="CD250" s="126"/>
      <c r="CE250" s="126"/>
      <c r="CF250" s="126"/>
      <c r="CG250" s="126"/>
      <c r="CH250" s="126"/>
      <c r="CI250" s="126"/>
      <c r="CJ250" s="126"/>
      <c r="CK250" s="126"/>
      <c r="CL250" s="126"/>
      <c r="CM250" s="126"/>
      <c r="CN250" s="126"/>
      <c r="CO250" s="126"/>
      <c r="CP250" s="126"/>
      <c r="CQ250" s="126"/>
      <c r="CR250" s="126"/>
      <c r="CS250" s="126"/>
      <c r="CT250" s="126"/>
      <c r="CU250" s="126"/>
      <c r="CV250" s="126"/>
      <c r="CW250" s="126"/>
      <c r="CX250" s="126"/>
      <c r="CY250" s="126"/>
      <c r="CZ250" s="126"/>
      <c r="DA250" s="126"/>
      <c r="DB250" s="126"/>
      <c r="DC250" s="126"/>
      <c r="DD250" s="126"/>
      <c r="DE250" s="126"/>
      <c r="DF250" s="126"/>
      <c r="DG250" s="126"/>
      <c r="DH250" s="126"/>
      <c r="DI250" s="126"/>
      <c r="DJ250" s="126"/>
      <c r="DK250" s="126"/>
      <c r="DL250" s="126"/>
      <c r="DM250" s="126"/>
      <c r="DN250" s="126"/>
      <c r="DO250" s="126"/>
      <c r="DP250" s="126"/>
      <c r="DQ250" s="126"/>
      <c r="DR250" s="126"/>
      <c r="DS250" s="126"/>
      <c r="DT250" s="126"/>
      <c r="DU250" s="126"/>
      <c r="DV250" s="126"/>
      <c r="DW250" s="126"/>
      <c r="DX250" s="126"/>
      <c r="DY250" s="126"/>
      <c r="DZ250" s="126"/>
      <c r="EA250" s="126"/>
      <c r="EB250" s="126"/>
      <c r="EC250" s="126"/>
      <c r="ED250" s="126"/>
      <c r="EE250" s="126"/>
      <c r="EF250" s="126"/>
      <c r="EG250" s="126"/>
      <c r="EH250" s="126"/>
      <c r="EI250" s="126"/>
      <c r="EJ250" s="126"/>
      <c r="EK250" s="126"/>
      <c r="EL250" s="126"/>
      <c r="EM250" s="126"/>
      <c r="EN250" s="126"/>
      <c r="EO250" s="126"/>
      <c r="EP250" s="126"/>
      <c r="EQ250" s="126"/>
      <c r="ER250" s="126"/>
      <c r="ES250" s="126"/>
      <c r="ET250" s="126"/>
      <c r="EU250" s="126"/>
      <c r="EV250" s="126"/>
      <c r="EW250" s="126"/>
      <c r="EX250" s="126"/>
      <c r="EY250" s="126"/>
      <c r="EZ250" s="126"/>
    </row>
    <row r="251" spans="1:14" ht="20.25">
      <c r="A251" s="71"/>
      <c r="B251" s="71"/>
      <c r="C251" s="71"/>
      <c r="D251" s="80"/>
      <c r="E251" s="81"/>
      <c r="F251" s="81"/>
      <c r="G251" s="69"/>
      <c r="H251" s="71"/>
      <c r="I251" s="71"/>
      <c r="J251" s="82"/>
      <c r="K251" s="66"/>
      <c r="L251" s="69"/>
      <c r="M251" s="70"/>
      <c r="N251" s="69"/>
    </row>
    <row r="252" spans="1:14" ht="20.25">
      <c r="A252" s="71"/>
      <c r="B252" s="71"/>
      <c r="C252" s="71"/>
      <c r="D252" s="80"/>
      <c r="E252" s="81"/>
      <c r="F252" s="81"/>
      <c r="G252" s="69"/>
      <c r="H252" s="71"/>
      <c r="I252" s="71"/>
      <c r="J252" s="82"/>
      <c r="K252" s="66"/>
      <c r="L252" s="69"/>
      <c r="M252" s="70"/>
      <c r="N252" s="69"/>
    </row>
    <row r="253" spans="1:14" ht="20.25">
      <c r="A253" s="71"/>
      <c r="B253" s="71"/>
      <c r="C253" s="71"/>
      <c r="D253" s="80"/>
      <c r="E253" s="81"/>
      <c r="F253" s="81"/>
      <c r="G253" s="71"/>
      <c r="H253" s="71"/>
      <c r="I253" s="71"/>
      <c r="J253" s="82"/>
      <c r="K253" s="83"/>
      <c r="L253" s="69"/>
      <c r="M253" s="70"/>
      <c r="N253" s="69"/>
    </row>
    <row r="254" spans="1:14" ht="20.25">
      <c r="A254" s="71"/>
      <c r="B254" s="71"/>
      <c r="C254" s="71"/>
      <c r="D254" s="80"/>
      <c r="E254" s="81"/>
      <c r="F254" s="81"/>
      <c r="G254" s="71"/>
      <c r="H254" s="71"/>
      <c r="I254" s="71"/>
      <c r="J254" s="82"/>
      <c r="K254" s="83"/>
      <c r="L254" s="69"/>
      <c r="M254" s="70"/>
      <c r="N254" s="61"/>
    </row>
    <row r="255" spans="1:14" ht="20.25">
      <c r="A255" s="71"/>
      <c r="B255" s="71"/>
      <c r="C255" s="71"/>
      <c r="D255" s="80"/>
      <c r="E255" s="81"/>
      <c r="F255" s="81"/>
      <c r="G255" s="71"/>
      <c r="H255" s="71"/>
      <c r="I255" s="71"/>
      <c r="J255" s="82"/>
      <c r="K255" s="83"/>
      <c r="L255" s="69"/>
      <c r="M255" s="70"/>
      <c r="N255" s="69"/>
    </row>
    <row r="256" spans="1:156" s="128" customFormat="1" ht="20.25">
      <c r="A256" s="68"/>
      <c r="B256" s="68"/>
      <c r="C256" s="68"/>
      <c r="D256" s="84"/>
      <c r="E256" s="85"/>
      <c r="F256" s="85"/>
      <c r="G256" s="68"/>
      <c r="H256" s="68"/>
      <c r="I256" s="68"/>
      <c r="J256" s="61"/>
      <c r="K256" s="68"/>
      <c r="L256" s="61"/>
      <c r="M256" s="70"/>
      <c r="N256" s="69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  <c r="AF256" s="127"/>
      <c r="AG256" s="127"/>
      <c r="AH256" s="127"/>
      <c r="AI256" s="127"/>
      <c r="AJ256" s="127"/>
      <c r="AK256" s="127"/>
      <c r="AL256" s="127"/>
      <c r="AM256" s="127"/>
      <c r="AN256" s="127"/>
      <c r="AO256" s="127"/>
      <c r="AP256" s="127"/>
      <c r="AQ256" s="127"/>
      <c r="AR256" s="127"/>
      <c r="AS256" s="127"/>
      <c r="AT256" s="127"/>
      <c r="AU256" s="127"/>
      <c r="AV256" s="127"/>
      <c r="AW256" s="127"/>
      <c r="AX256" s="127"/>
      <c r="AY256" s="127"/>
      <c r="AZ256" s="127"/>
      <c r="BA256" s="127"/>
      <c r="BB256" s="127"/>
      <c r="BC256" s="127"/>
      <c r="BD256" s="127"/>
      <c r="BE256" s="127"/>
      <c r="BF256" s="127"/>
      <c r="BG256" s="127"/>
      <c r="BH256" s="127"/>
      <c r="BI256" s="127"/>
      <c r="BJ256" s="127"/>
      <c r="BK256" s="127"/>
      <c r="BL256" s="127"/>
      <c r="BM256" s="127"/>
      <c r="BN256" s="127"/>
      <c r="BO256" s="127"/>
      <c r="BP256" s="127"/>
      <c r="BQ256" s="127"/>
      <c r="BR256" s="127"/>
      <c r="BS256" s="127"/>
      <c r="BT256" s="127"/>
      <c r="BU256" s="127"/>
      <c r="BV256" s="127"/>
      <c r="BW256" s="127"/>
      <c r="BX256" s="127"/>
      <c r="BY256" s="127"/>
      <c r="BZ256" s="127"/>
      <c r="CA256" s="127"/>
      <c r="CB256" s="127"/>
      <c r="CC256" s="127"/>
      <c r="CD256" s="127"/>
      <c r="CE256" s="127"/>
      <c r="CF256" s="127"/>
      <c r="CG256" s="127"/>
      <c r="CH256" s="127"/>
      <c r="CI256" s="127"/>
      <c r="CJ256" s="127"/>
      <c r="CK256" s="127"/>
      <c r="CL256" s="127"/>
      <c r="CM256" s="127"/>
      <c r="CN256" s="127"/>
      <c r="CO256" s="127"/>
      <c r="CP256" s="127"/>
      <c r="CQ256" s="127"/>
      <c r="CR256" s="127"/>
      <c r="CS256" s="127"/>
      <c r="CT256" s="127"/>
      <c r="CU256" s="127"/>
      <c r="CV256" s="127"/>
      <c r="CW256" s="127"/>
      <c r="CX256" s="127"/>
      <c r="CY256" s="127"/>
      <c r="CZ256" s="127"/>
      <c r="DA256" s="127"/>
      <c r="DB256" s="127"/>
      <c r="DC256" s="127"/>
      <c r="DD256" s="127"/>
      <c r="DE256" s="127"/>
      <c r="DF256" s="127"/>
      <c r="DG256" s="127"/>
      <c r="DH256" s="127"/>
      <c r="DI256" s="127"/>
      <c r="DJ256" s="127"/>
      <c r="DK256" s="127"/>
      <c r="DL256" s="127"/>
      <c r="DM256" s="127"/>
      <c r="DN256" s="127"/>
      <c r="DO256" s="127"/>
      <c r="DP256" s="127"/>
      <c r="DQ256" s="127"/>
      <c r="DR256" s="127"/>
      <c r="DS256" s="127"/>
      <c r="DT256" s="127"/>
      <c r="DU256" s="127"/>
      <c r="DV256" s="127"/>
      <c r="DW256" s="127"/>
      <c r="DX256" s="127"/>
      <c r="DY256" s="127"/>
      <c r="DZ256" s="127"/>
      <c r="EA256" s="127"/>
      <c r="EB256" s="127"/>
      <c r="EC256" s="127"/>
      <c r="ED256" s="127"/>
      <c r="EE256" s="127"/>
      <c r="EF256" s="127"/>
      <c r="EG256" s="127"/>
      <c r="EH256" s="127"/>
      <c r="EI256" s="127"/>
      <c r="EJ256" s="127"/>
      <c r="EK256" s="127"/>
      <c r="EL256" s="127"/>
      <c r="EM256" s="127"/>
      <c r="EN256" s="127"/>
      <c r="EO256" s="127"/>
      <c r="EP256" s="127"/>
      <c r="EQ256" s="127"/>
      <c r="ER256" s="127"/>
      <c r="ES256" s="127"/>
      <c r="ET256" s="127"/>
      <c r="EU256" s="127"/>
      <c r="EV256" s="127"/>
      <c r="EW256" s="127"/>
      <c r="EX256" s="127"/>
      <c r="EY256" s="127"/>
      <c r="EZ256" s="127"/>
    </row>
    <row r="257" spans="1:14" ht="20.25">
      <c r="A257" s="71"/>
      <c r="B257" s="71"/>
      <c r="C257" s="71"/>
      <c r="D257" s="71"/>
      <c r="E257" s="71"/>
      <c r="F257" s="71"/>
      <c r="G257" s="71"/>
      <c r="H257" s="71"/>
      <c r="I257" s="71"/>
      <c r="J257" s="82"/>
      <c r="K257" s="83"/>
      <c r="L257" s="69"/>
      <c r="M257" s="70"/>
      <c r="N257" s="69"/>
    </row>
    <row r="258" spans="1:14" ht="20.25">
      <c r="A258" s="71"/>
      <c r="B258" s="71"/>
      <c r="C258" s="71"/>
      <c r="D258" s="71"/>
      <c r="E258" s="71"/>
      <c r="F258" s="71"/>
      <c r="G258" s="71"/>
      <c r="H258" s="71"/>
      <c r="I258" s="71"/>
      <c r="J258" s="82"/>
      <c r="K258" s="83"/>
      <c r="L258" s="69"/>
      <c r="M258" s="70"/>
      <c r="N258" s="69"/>
    </row>
    <row r="259" spans="1:14" ht="20.25">
      <c r="A259" s="71"/>
      <c r="B259" s="71"/>
      <c r="C259" s="71"/>
      <c r="D259" s="71"/>
      <c r="E259" s="71"/>
      <c r="F259" s="71"/>
      <c r="G259" s="71"/>
      <c r="H259" s="71"/>
      <c r="I259" s="71"/>
      <c r="J259" s="82"/>
      <c r="K259" s="83"/>
      <c r="L259" s="69"/>
      <c r="M259" s="70"/>
      <c r="N259" s="69"/>
    </row>
    <row r="260" spans="1:14" ht="20.25">
      <c r="A260" s="71"/>
      <c r="B260" s="71"/>
      <c r="C260" s="71"/>
      <c r="D260" s="71"/>
      <c r="E260" s="71"/>
      <c r="F260" s="71"/>
      <c r="G260" s="71"/>
      <c r="H260" s="71"/>
      <c r="I260" s="71"/>
      <c r="J260" s="82"/>
      <c r="K260" s="83"/>
      <c r="L260" s="69"/>
      <c r="M260" s="70"/>
      <c r="N260" s="69"/>
    </row>
    <row r="261" spans="1:14" ht="20.25">
      <c r="A261" s="71"/>
      <c r="B261" s="71"/>
      <c r="C261" s="71"/>
      <c r="D261" s="71"/>
      <c r="E261" s="71"/>
      <c r="F261" s="71"/>
      <c r="G261" s="71"/>
      <c r="H261" s="71"/>
      <c r="I261" s="71"/>
      <c r="J261" s="82"/>
      <c r="K261" s="83"/>
      <c r="L261" s="69"/>
      <c r="M261" s="70"/>
      <c r="N261" s="69"/>
    </row>
    <row r="262" spans="1:14" ht="20.25">
      <c r="A262" s="71"/>
      <c r="B262" s="71"/>
      <c r="C262" s="71"/>
      <c r="D262" s="71"/>
      <c r="E262" s="71"/>
      <c r="F262" s="71"/>
      <c r="G262" s="71"/>
      <c r="H262" s="71"/>
      <c r="I262" s="71"/>
      <c r="J262" s="82"/>
      <c r="K262" s="83"/>
      <c r="L262" s="69"/>
      <c r="M262" s="70"/>
      <c r="N262" s="69"/>
    </row>
    <row r="263" spans="1:14" ht="20.25">
      <c r="A263" s="71"/>
      <c r="B263" s="71"/>
      <c r="C263" s="71"/>
      <c r="D263" s="71"/>
      <c r="E263" s="71"/>
      <c r="F263" s="71"/>
      <c r="G263" s="71"/>
      <c r="H263" s="71"/>
      <c r="I263" s="71"/>
      <c r="J263" s="82"/>
      <c r="K263" s="83"/>
      <c r="L263" s="69"/>
      <c r="M263" s="70"/>
      <c r="N263" s="69"/>
    </row>
    <row r="264" spans="1:14" ht="20.25">
      <c r="A264" s="71"/>
      <c r="B264" s="71"/>
      <c r="C264" s="71"/>
      <c r="D264" s="71"/>
      <c r="E264" s="71"/>
      <c r="F264" s="71"/>
      <c r="G264" s="71"/>
      <c r="H264" s="71"/>
      <c r="I264" s="71"/>
      <c r="J264" s="82"/>
      <c r="K264" s="83"/>
      <c r="L264" s="69"/>
      <c r="M264" s="70"/>
      <c r="N264" s="69"/>
    </row>
    <row r="265" spans="1:14" ht="20.25">
      <c r="A265" s="71"/>
      <c r="B265" s="71"/>
      <c r="C265" s="71"/>
      <c r="D265" s="71"/>
      <c r="E265" s="71"/>
      <c r="F265" s="71"/>
      <c r="G265" s="71"/>
      <c r="H265" s="71"/>
      <c r="I265" s="71"/>
      <c r="J265" s="82"/>
      <c r="K265" s="83"/>
      <c r="L265" s="69"/>
      <c r="M265" s="70"/>
      <c r="N265" s="69"/>
    </row>
    <row r="266" spans="1:14" ht="20.25">
      <c r="A266" s="71"/>
      <c r="B266" s="71"/>
      <c r="C266" s="71"/>
      <c r="D266" s="71"/>
      <c r="E266" s="71"/>
      <c r="F266" s="71"/>
      <c r="G266" s="71"/>
      <c r="H266" s="71"/>
      <c r="I266" s="71"/>
      <c r="J266" s="82"/>
      <c r="K266" s="83"/>
      <c r="L266" s="69"/>
      <c r="M266" s="70"/>
      <c r="N266" s="69"/>
    </row>
    <row r="267" spans="1:14" ht="20.25">
      <c r="A267" s="71"/>
      <c r="B267" s="71"/>
      <c r="C267" s="71"/>
      <c r="D267" s="71"/>
      <c r="E267" s="71"/>
      <c r="F267" s="71"/>
      <c r="G267" s="71"/>
      <c r="H267" s="71"/>
      <c r="I267" s="71"/>
      <c r="J267" s="82"/>
      <c r="K267" s="83"/>
      <c r="L267" s="69"/>
      <c r="M267" s="70"/>
      <c r="N267" s="69"/>
    </row>
    <row r="268" spans="1:14" ht="20.25">
      <c r="A268" s="71"/>
      <c r="B268" s="71"/>
      <c r="C268" s="71"/>
      <c r="D268" s="71"/>
      <c r="E268" s="71"/>
      <c r="F268" s="71"/>
      <c r="G268" s="71"/>
      <c r="H268" s="71"/>
      <c r="I268" s="71"/>
      <c r="J268" s="82"/>
      <c r="K268" s="83"/>
      <c r="L268" s="69"/>
      <c r="M268" s="70"/>
      <c r="N268" s="69"/>
    </row>
    <row r="269" spans="1:14" ht="20.25">
      <c r="A269" s="71"/>
      <c r="B269" s="71"/>
      <c r="C269" s="71"/>
      <c r="D269" s="71"/>
      <c r="E269" s="71"/>
      <c r="F269" s="71"/>
      <c r="G269" s="71"/>
      <c r="H269" s="71"/>
      <c r="I269" s="71"/>
      <c r="J269" s="82"/>
      <c r="K269" s="83"/>
      <c r="L269" s="69"/>
      <c r="M269" s="70"/>
      <c r="N269" s="69"/>
    </row>
    <row r="270" spans="1:14" ht="20.25">
      <c r="A270" s="71"/>
      <c r="B270" s="71"/>
      <c r="C270" s="71"/>
      <c r="D270" s="71"/>
      <c r="E270" s="71"/>
      <c r="F270" s="71"/>
      <c r="G270" s="71"/>
      <c r="H270" s="71"/>
      <c r="I270" s="71"/>
      <c r="J270" s="82"/>
      <c r="K270" s="83"/>
      <c r="L270" s="69"/>
      <c r="M270" s="70"/>
      <c r="N270" s="69"/>
    </row>
    <row r="271" spans="1:14" ht="20.25">
      <c r="A271" s="71"/>
      <c r="B271" s="71"/>
      <c r="C271" s="71"/>
      <c r="D271" s="71"/>
      <c r="E271" s="71"/>
      <c r="F271" s="71"/>
      <c r="G271" s="71"/>
      <c r="H271" s="71"/>
      <c r="I271" s="71"/>
      <c r="J271" s="82"/>
      <c r="K271" s="83"/>
      <c r="L271" s="69"/>
      <c r="M271" s="129"/>
      <c r="N271" s="69"/>
    </row>
    <row r="272" spans="1:14" ht="20.25">
      <c r="A272" s="71"/>
      <c r="B272" s="71"/>
      <c r="C272" s="71"/>
      <c r="D272" s="71"/>
      <c r="E272" s="71"/>
      <c r="F272" s="71"/>
      <c r="G272" s="71"/>
      <c r="H272" s="71"/>
      <c r="I272" s="71"/>
      <c r="J272" s="82"/>
      <c r="K272" s="83"/>
      <c r="L272" s="69"/>
      <c r="M272" s="129"/>
      <c r="N272" s="69"/>
    </row>
    <row r="273" spans="1:14" ht="20.25">
      <c r="A273" s="71"/>
      <c r="B273" s="71"/>
      <c r="C273" s="71"/>
      <c r="D273" s="71"/>
      <c r="E273" s="71"/>
      <c r="F273" s="71"/>
      <c r="G273" s="71"/>
      <c r="H273" s="71"/>
      <c r="I273" s="71"/>
      <c r="J273" s="82"/>
      <c r="K273" s="83"/>
      <c r="L273" s="69"/>
      <c r="M273" s="129"/>
      <c r="N273" s="69"/>
    </row>
    <row r="274" spans="1:14" ht="20.25">
      <c r="A274" s="71"/>
      <c r="B274" s="71"/>
      <c r="C274" s="71"/>
      <c r="D274" s="71"/>
      <c r="E274" s="71"/>
      <c r="F274" s="71"/>
      <c r="G274" s="71"/>
      <c r="H274" s="71"/>
      <c r="I274" s="71"/>
      <c r="J274" s="82"/>
      <c r="K274" s="83"/>
      <c r="L274" s="69"/>
      <c r="M274" s="129"/>
      <c r="N274" s="69"/>
    </row>
    <row r="275" spans="1:14" ht="20.25">
      <c r="A275" s="71"/>
      <c r="B275" s="71"/>
      <c r="C275" s="71"/>
      <c r="D275" s="71"/>
      <c r="E275" s="71"/>
      <c r="F275" s="71"/>
      <c r="G275" s="71"/>
      <c r="H275" s="71"/>
      <c r="I275" s="71"/>
      <c r="J275" s="82"/>
      <c r="K275" s="83"/>
      <c r="L275" s="69"/>
      <c r="M275" s="129"/>
      <c r="N275" s="69"/>
    </row>
    <row r="276" spans="1:14" ht="20.25">
      <c r="A276" s="71"/>
      <c r="B276" s="71"/>
      <c r="C276" s="71"/>
      <c r="D276" s="71"/>
      <c r="E276" s="71"/>
      <c r="F276" s="71"/>
      <c r="G276" s="71"/>
      <c r="H276" s="71"/>
      <c r="I276" s="71"/>
      <c r="J276" s="82"/>
      <c r="K276" s="83"/>
      <c r="L276" s="69"/>
      <c r="M276" s="129"/>
      <c r="N276" s="69"/>
    </row>
    <row r="277" spans="1:14" ht="20.25">
      <c r="A277" s="71"/>
      <c r="B277" s="71"/>
      <c r="C277" s="71"/>
      <c r="D277" s="71"/>
      <c r="E277" s="71"/>
      <c r="F277" s="71"/>
      <c r="G277" s="71"/>
      <c r="H277" s="71"/>
      <c r="I277" s="71"/>
      <c r="J277" s="82"/>
      <c r="K277" s="83"/>
      <c r="L277" s="69"/>
      <c r="M277" s="129"/>
      <c r="N277" s="69"/>
    </row>
    <row r="278" spans="1:14" ht="20.25">
      <c r="A278" s="71"/>
      <c r="B278" s="71"/>
      <c r="C278" s="71"/>
      <c r="D278" s="71"/>
      <c r="E278" s="71"/>
      <c r="F278" s="71"/>
      <c r="G278" s="71"/>
      <c r="H278" s="71"/>
      <c r="I278" s="71"/>
      <c r="J278" s="82"/>
      <c r="K278" s="83"/>
      <c r="L278" s="69"/>
      <c r="M278" s="129"/>
      <c r="N278" s="69"/>
    </row>
    <row r="279" spans="1:14" ht="20.25">
      <c r="A279" s="71"/>
      <c r="B279" s="71"/>
      <c r="C279" s="71"/>
      <c r="D279" s="71"/>
      <c r="E279" s="71"/>
      <c r="F279" s="71"/>
      <c r="G279" s="71"/>
      <c r="H279" s="71"/>
      <c r="I279" s="71"/>
      <c r="J279" s="82"/>
      <c r="K279" s="83"/>
      <c r="L279" s="69"/>
      <c r="M279" s="129"/>
      <c r="N279" s="69"/>
    </row>
    <row r="280" spans="1:14" ht="20.25">
      <c r="A280" s="71"/>
      <c r="B280" s="71"/>
      <c r="C280" s="71"/>
      <c r="D280" s="71"/>
      <c r="E280" s="71"/>
      <c r="F280" s="71"/>
      <c r="G280" s="71"/>
      <c r="H280" s="71"/>
      <c r="I280" s="71"/>
      <c r="J280" s="82"/>
      <c r="K280" s="83"/>
      <c r="L280" s="69"/>
      <c r="M280" s="129"/>
      <c r="N280" s="69"/>
    </row>
    <row r="281" spans="1:14" ht="20.25">
      <c r="A281" s="71"/>
      <c r="B281" s="71"/>
      <c r="C281" s="71"/>
      <c r="D281" s="71"/>
      <c r="E281" s="71"/>
      <c r="F281" s="71"/>
      <c r="G281" s="71"/>
      <c r="H281" s="71"/>
      <c r="I281" s="71"/>
      <c r="J281" s="82"/>
      <c r="K281" s="83"/>
      <c r="L281" s="69"/>
      <c r="M281" s="129"/>
      <c r="N281" s="69"/>
    </row>
    <row r="282" spans="1:14" ht="20.25">
      <c r="A282" s="71"/>
      <c r="B282" s="71"/>
      <c r="C282" s="71"/>
      <c r="D282" s="71"/>
      <c r="E282" s="71"/>
      <c r="F282" s="71"/>
      <c r="G282" s="71"/>
      <c r="H282" s="71"/>
      <c r="I282" s="71"/>
      <c r="J282" s="82"/>
      <c r="K282" s="83"/>
      <c r="L282" s="69"/>
      <c r="M282" s="129"/>
      <c r="N282" s="69"/>
    </row>
    <row r="283" spans="1:14" ht="20.25">
      <c r="A283" s="71"/>
      <c r="B283" s="71"/>
      <c r="C283" s="71"/>
      <c r="D283" s="71"/>
      <c r="E283" s="71"/>
      <c r="F283" s="71"/>
      <c r="G283" s="71"/>
      <c r="H283" s="71"/>
      <c r="I283" s="71"/>
      <c r="J283" s="82"/>
      <c r="K283" s="83"/>
      <c r="L283" s="69"/>
      <c r="M283" s="129"/>
      <c r="N283" s="69"/>
    </row>
    <row r="284" spans="1:14" ht="20.25">
      <c r="A284" s="71"/>
      <c r="B284" s="71"/>
      <c r="C284" s="71"/>
      <c r="D284" s="71"/>
      <c r="E284" s="71"/>
      <c r="F284" s="71"/>
      <c r="G284" s="71"/>
      <c r="H284" s="71"/>
      <c r="I284" s="71"/>
      <c r="J284" s="82"/>
      <c r="K284" s="83"/>
      <c r="L284" s="69"/>
      <c r="M284" s="129"/>
      <c r="N284" s="69"/>
    </row>
    <row r="285" spans="1:14" ht="20.25">
      <c r="A285" s="71"/>
      <c r="B285" s="71"/>
      <c r="C285" s="71"/>
      <c r="D285" s="71"/>
      <c r="E285" s="71"/>
      <c r="F285" s="71"/>
      <c r="G285" s="71"/>
      <c r="H285" s="71"/>
      <c r="I285" s="71"/>
      <c r="J285" s="82"/>
      <c r="K285" s="83"/>
      <c r="L285" s="69"/>
      <c r="M285" s="129"/>
      <c r="N285" s="69"/>
    </row>
    <row r="286" spans="1:14" ht="20.25">
      <c r="A286" s="71"/>
      <c r="B286" s="71"/>
      <c r="C286" s="71"/>
      <c r="D286" s="71"/>
      <c r="E286" s="71"/>
      <c r="F286" s="71"/>
      <c r="G286" s="71"/>
      <c r="H286" s="71"/>
      <c r="I286" s="71"/>
      <c r="J286" s="82"/>
      <c r="K286" s="83"/>
      <c r="L286" s="69"/>
      <c r="M286" s="129"/>
      <c r="N286" s="69"/>
    </row>
    <row r="287" spans="1:14" ht="20.25">
      <c r="A287" s="71"/>
      <c r="B287" s="71"/>
      <c r="C287" s="71"/>
      <c r="D287" s="71"/>
      <c r="E287" s="71"/>
      <c r="F287" s="71"/>
      <c r="G287" s="71"/>
      <c r="H287" s="71"/>
      <c r="I287" s="71"/>
      <c r="J287" s="82"/>
      <c r="K287" s="83"/>
      <c r="L287" s="69"/>
      <c r="M287" s="129"/>
      <c r="N287" s="69"/>
    </row>
    <row r="288" spans="1:14" ht="20.25">
      <c r="A288" s="71"/>
      <c r="B288" s="71"/>
      <c r="C288" s="71"/>
      <c r="D288" s="71"/>
      <c r="E288" s="71"/>
      <c r="F288" s="71"/>
      <c r="G288" s="71"/>
      <c r="H288" s="71"/>
      <c r="I288" s="71"/>
      <c r="J288" s="82"/>
      <c r="K288" s="83"/>
      <c r="L288" s="69"/>
      <c r="M288" s="129"/>
      <c r="N288" s="69"/>
    </row>
    <row r="289" spans="1:14" ht="20.25">
      <c r="A289" s="71"/>
      <c r="B289" s="71"/>
      <c r="C289" s="71"/>
      <c r="D289" s="71"/>
      <c r="E289" s="71"/>
      <c r="F289" s="71"/>
      <c r="G289" s="71"/>
      <c r="H289" s="71"/>
      <c r="I289" s="71"/>
      <c r="J289" s="82"/>
      <c r="K289" s="83"/>
      <c r="L289" s="69"/>
      <c r="M289" s="129"/>
      <c r="N289" s="69"/>
    </row>
    <row r="290" spans="1:14" ht="20.25">
      <c r="A290" s="71"/>
      <c r="B290" s="71"/>
      <c r="C290" s="71"/>
      <c r="D290" s="71"/>
      <c r="E290" s="71"/>
      <c r="F290" s="71"/>
      <c r="G290" s="71"/>
      <c r="H290" s="71"/>
      <c r="I290" s="71"/>
      <c r="J290" s="82"/>
      <c r="K290" s="83"/>
      <c r="L290" s="69"/>
      <c r="M290" s="129"/>
      <c r="N290" s="69"/>
    </row>
    <row r="291" spans="1:14" ht="20.25">
      <c r="A291" s="71"/>
      <c r="B291" s="71"/>
      <c r="C291" s="71"/>
      <c r="D291" s="71"/>
      <c r="E291" s="71"/>
      <c r="F291" s="71"/>
      <c r="G291" s="71"/>
      <c r="H291" s="71"/>
      <c r="I291" s="71"/>
      <c r="J291" s="82"/>
      <c r="K291" s="83"/>
      <c r="L291" s="69"/>
      <c r="M291" s="129"/>
      <c r="N291" s="69"/>
    </row>
    <row r="292" spans="1:14" ht="20.25">
      <c r="A292" s="71"/>
      <c r="B292" s="71"/>
      <c r="C292" s="71"/>
      <c r="D292" s="71"/>
      <c r="E292" s="71"/>
      <c r="F292" s="71"/>
      <c r="G292" s="71"/>
      <c r="H292" s="71"/>
      <c r="I292" s="71"/>
      <c r="J292" s="82"/>
      <c r="K292" s="83"/>
      <c r="L292" s="69"/>
      <c r="M292" s="129"/>
      <c r="N292" s="69"/>
    </row>
    <row r="293" spans="1:14" ht="20.25">
      <c r="A293" s="71"/>
      <c r="B293" s="71"/>
      <c r="C293" s="71"/>
      <c r="D293" s="71"/>
      <c r="E293" s="71"/>
      <c r="F293" s="71"/>
      <c r="G293" s="71"/>
      <c r="H293" s="71"/>
      <c r="I293" s="71"/>
      <c r="J293" s="82"/>
      <c r="K293" s="83"/>
      <c r="L293" s="69"/>
      <c r="M293" s="129"/>
      <c r="N293" s="69"/>
    </row>
    <row r="294" spans="1:14" ht="20.25">
      <c r="A294" s="71"/>
      <c r="B294" s="71"/>
      <c r="C294" s="71"/>
      <c r="D294" s="71"/>
      <c r="E294" s="71"/>
      <c r="F294" s="71"/>
      <c r="G294" s="71"/>
      <c r="H294" s="71"/>
      <c r="I294" s="71"/>
      <c r="J294" s="82"/>
      <c r="K294" s="83"/>
      <c r="L294" s="69"/>
      <c r="M294" s="129"/>
      <c r="N294" s="69"/>
    </row>
    <row r="295" spans="1:14" ht="20.25">
      <c r="A295" s="71"/>
      <c r="B295" s="71"/>
      <c r="C295" s="71"/>
      <c r="D295" s="71"/>
      <c r="E295" s="71"/>
      <c r="F295" s="71"/>
      <c r="G295" s="71"/>
      <c r="H295" s="71"/>
      <c r="I295" s="71"/>
      <c r="J295" s="82"/>
      <c r="K295" s="83"/>
      <c r="L295" s="69"/>
      <c r="M295" s="129"/>
      <c r="N295" s="69"/>
    </row>
    <row r="296" spans="1:14" ht="20.25">
      <c r="A296" s="71"/>
      <c r="B296" s="71"/>
      <c r="C296" s="71"/>
      <c r="D296" s="71"/>
      <c r="E296" s="71"/>
      <c r="F296" s="71"/>
      <c r="G296" s="71"/>
      <c r="H296" s="71"/>
      <c r="I296" s="71"/>
      <c r="J296" s="82"/>
      <c r="K296" s="83"/>
      <c r="L296" s="69"/>
      <c r="M296" s="129"/>
      <c r="N296" s="69"/>
    </row>
    <row r="297" spans="1:14" ht="20.25">
      <c r="A297" s="71"/>
      <c r="B297" s="71"/>
      <c r="C297" s="71"/>
      <c r="D297" s="71"/>
      <c r="E297" s="71"/>
      <c r="F297" s="71"/>
      <c r="G297" s="71"/>
      <c r="H297" s="71"/>
      <c r="I297" s="71"/>
      <c r="J297" s="82"/>
      <c r="K297" s="83"/>
      <c r="L297" s="69"/>
      <c r="M297" s="129"/>
      <c r="N297" s="69"/>
    </row>
    <row r="298" spans="1:14" ht="20.25">
      <c r="A298" s="71"/>
      <c r="B298" s="71"/>
      <c r="C298" s="71"/>
      <c r="D298" s="71"/>
      <c r="E298" s="71"/>
      <c r="F298" s="71"/>
      <c r="G298" s="71"/>
      <c r="H298" s="71"/>
      <c r="I298" s="71"/>
      <c r="J298" s="82"/>
      <c r="K298" s="83"/>
      <c r="L298" s="69"/>
      <c r="M298" s="129"/>
      <c r="N298" s="69"/>
    </row>
    <row r="299" spans="1:14" ht="20.25">
      <c r="A299" s="71"/>
      <c r="B299" s="71"/>
      <c r="C299" s="71"/>
      <c r="D299" s="71"/>
      <c r="E299" s="71"/>
      <c r="F299" s="71"/>
      <c r="G299" s="71"/>
      <c r="H299" s="71"/>
      <c r="I299" s="71"/>
      <c r="J299" s="82"/>
      <c r="K299" s="83"/>
      <c r="L299" s="69"/>
      <c r="M299" s="129"/>
      <c r="N299" s="69"/>
    </row>
    <row r="300" spans="1:14" ht="20.25">
      <c r="A300" s="71"/>
      <c r="B300" s="71"/>
      <c r="C300" s="71"/>
      <c r="D300" s="71"/>
      <c r="E300" s="71"/>
      <c r="F300" s="71"/>
      <c r="G300" s="71"/>
      <c r="H300" s="71"/>
      <c r="I300" s="71"/>
      <c r="J300" s="82"/>
      <c r="K300" s="83"/>
      <c r="L300" s="69"/>
      <c r="M300" s="129"/>
      <c r="N300" s="69"/>
    </row>
    <row r="301" spans="1:14" ht="20.25">
      <c r="A301" s="71"/>
      <c r="B301" s="71"/>
      <c r="C301" s="71"/>
      <c r="D301" s="71"/>
      <c r="E301" s="71"/>
      <c r="F301" s="71"/>
      <c r="G301" s="71"/>
      <c r="H301" s="71"/>
      <c r="I301" s="71"/>
      <c r="J301" s="82"/>
      <c r="K301" s="83"/>
      <c r="L301" s="69"/>
      <c r="M301" s="129"/>
      <c r="N301" s="69"/>
    </row>
    <row r="302" spans="1:14" ht="20.25">
      <c r="A302" s="71"/>
      <c r="B302" s="71"/>
      <c r="C302" s="71"/>
      <c r="D302" s="71"/>
      <c r="E302" s="71"/>
      <c r="F302" s="71"/>
      <c r="G302" s="71"/>
      <c r="H302" s="71"/>
      <c r="I302" s="71"/>
      <c r="J302" s="82"/>
      <c r="K302" s="83"/>
      <c r="L302" s="69"/>
      <c r="M302" s="129"/>
      <c r="N302" s="69"/>
    </row>
    <row r="303" spans="1:14" ht="20.25">
      <c r="A303" s="71"/>
      <c r="B303" s="71"/>
      <c r="C303" s="71"/>
      <c r="D303" s="71"/>
      <c r="E303" s="71"/>
      <c r="F303" s="71"/>
      <c r="G303" s="71"/>
      <c r="H303" s="71"/>
      <c r="I303" s="71"/>
      <c r="J303" s="82"/>
      <c r="K303" s="83"/>
      <c r="L303" s="69"/>
      <c r="M303" s="129"/>
      <c r="N303" s="69"/>
    </row>
    <row r="304" spans="1:14" ht="20.25">
      <c r="A304" s="71"/>
      <c r="B304" s="71"/>
      <c r="C304" s="71"/>
      <c r="D304" s="71"/>
      <c r="E304" s="71"/>
      <c r="F304" s="71"/>
      <c r="G304" s="71"/>
      <c r="H304" s="71"/>
      <c r="I304" s="71"/>
      <c r="J304" s="82"/>
      <c r="K304" s="83"/>
      <c r="L304" s="69"/>
      <c r="M304" s="129"/>
      <c r="N304" s="69"/>
    </row>
    <row r="305" spans="1:14" ht="20.25">
      <c r="A305" s="71"/>
      <c r="B305" s="71"/>
      <c r="C305" s="71"/>
      <c r="D305" s="71"/>
      <c r="E305" s="71"/>
      <c r="F305" s="71"/>
      <c r="G305" s="71"/>
      <c r="H305" s="71"/>
      <c r="I305" s="71"/>
      <c r="J305" s="82"/>
      <c r="K305" s="83"/>
      <c r="L305" s="69"/>
      <c r="M305" s="129"/>
      <c r="N305" s="69"/>
    </row>
    <row r="306" spans="1:14" ht="20.25">
      <c r="A306" s="71"/>
      <c r="B306" s="71"/>
      <c r="C306" s="71"/>
      <c r="D306" s="71"/>
      <c r="E306" s="71"/>
      <c r="F306" s="71"/>
      <c r="G306" s="71"/>
      <c r="H306" s="71"/>
      <c r="I306" s="71"/>
      <c r="J306" s="82"/>
      <c r="K306" s="83"/>
      <c r="L306" s="69"/>
      <c r="M306" s="129"/>
      <c r="N306" s="69"/>
    </row>
    <row r="307" spans="1:14" ht="20.25">
      <c r="A307" s="71"/>
      <c r="B307" s="71"/>
      <c r="C307" s="71"/>
      <c r="D307" s="71"/>
      <c r="E307" s="71"/>
      <c r="F307" s="71"/>
      <c r="G307" s="71"/>
      <c r="H307" s="71"/>
      <c r="I307" s="71"/>
      <c r="J307" s="82"/>
      <c r="K307" s="83"/>
      <c r="L307" s="69"/>
      <c r="M307" s="129"/>
      <c r="N307" s="69"/>
    </row>
    <row r="308" spans="1:14" ht="20.25">
      <c r="A308" s="71"/>
      <c r="B308" s="71"/>
      <c r="C308" s="71"/>
      <c r="D308" s="71"/>
      <c r="E308" s="71"/>
      <c r="F308" s="71"/>
      <c r="G308" s="71"/>
      <c r="H308" s="71"/>
      <c r="I308" s="71"/>
      <c r="J308" s="82"/>
      <c r="K308" s="83"/>
      <c r="L308" s="69"/>
      <c r="M308" s="129"/>
      <c r="N308" s="69"/>
    </row>
    <row r="309" spans="1:14" ht="20.25">
      <c r="A309" s="71"/>
      <c r="B309" s="71"/>
      <c r="C309" s="71"/>
      <c r="D309" s="71"/>
      <c r="E309" s="71"/>
      <c r="F309" s="71"/>
      <c r="G309" s="71"/>
      <c r="H309" s="71"/>
      <c r="I309" s="71"/>
      <c r="J309" s="82"/>
      <c r="K309" s="83"/>
      <c r="L309" s="69"/>
      <c r="M309" s="129"/>
      <c r="N309" s="69"/>
    </row>
    <row r="310" spans="1:14" ht="20.25">
      <c r="A310" s="71"/>
      <c r="B310" s="71"/>
      <c r="C310" s="71"/>
      <c r="D310" s="71"/>
      <c r="E310" s="71"/>
      <c r="F310" s="71"/>
      <c r="G310" s="71"/>
      <c r="H310" s="71"/>
      <c r="I310" s="71"/>
      <c r="J310" s="82"/>
      <c r="K310" s="83"/>
      <c r="L310" s="69"/>
      <c r="M310" s="129"/>
      <c r="N310" s="69"/>
    </row>
    <row r="311" ht="18.75">
      <c r="J311" s="10"/>
    </row>
    <row r="312" ht="18.75">
      <c r="J312" s="10"/>
    </row>
    <row r="313" ht="18.75">
      <c r="J313" s="10"/>
    </row>
    <row r="314" ht="18.75">
      <c r="J314" s="10"/>
    </row>
    <row r="315" ht="18.75">
      <c r="J315" s="10"/>
    </row>
    <row r="316" ht="18.75">
      <c r="J316" s="10"/>
    </row>
    <row r="317" ht="18.75">
      <c r="J317" s="10"/>
    </row>
    <row r="318" ht="18.75">
      <c r="J318" s="10"/>
    </row>
    <row r="319" ht="18.75">
      <c r="J319" s="10"/>
    </row>
    <row r="320" ht="18.75">
      <c r="J320" s="10"/>
    </row>
    <row r="321" ht="18.75">
      <c r="J321" s="10"/>
    </row>
    <row r="322" ht="18.75">
      <c r="J322" s="10"/>
    </row>
    <row r="323" ht="18.75">
      <c r="J323" s="10"/>
    </row>
    <row r="324" ht="18.75">
      <c r="J324" s="10"/>
    </row>
    <row r="325" ht="18.75">
      <c r="J325" s="10"/>
    </row>
    <row r="326" ht="18.75">
      <c r="J326" s="10"/>
    </row>
    <row r="327" ht="18.75">
      <c r="J327" s="10"/>
    </row>
    <row r="328" ht="18.75">
      <c r="J328" s="10"/>
    </row>
    <row r="329" ht="18.75">
      <c r="J329" s="10"/>
    </row>
    <row r="330" ht="18.75">
      <c r="J330" s="10"/>
    </row>
    <row r="331" ht="18.75">
      <c r="J331" s="10"/>
    </row>
    <row r="332" ht="18.75">
      <c r="J332" s="10"/>
    </row>
    <row r="333" ht="18.75">
      <c r="J333" s="10"/>
    </row>
    <row r="334" ht="18.75">
      <c r="J334" s="10"/>
    </row>
    <row r="335" ht="18.75">
      <c r="J335" s="10"/>
    </row>
    <row r="336" ht="18.75">
      <c r="J336" s="10"/>
    </row>
    <row r="337" ht="18.75">
      <c r="J337" s="10"/>
    </row>
    <row r="338" ht="18.75">
      <c r="J338" s="10"/>
    </row>
    <row r="339" ht="18.75">
      <c r="J339" s="10"/>
    </row>
    <row r="340" ht="18.75">
      <c r="J340" s="10"/>
    </row>
    <row r="341" ht="18.75">
      <c r="J341" s="10"/>
    </row>
    <row r="342" ht="18.75">
      <c r="J342" s="10"/>
    </row>
    <row r="343" ht="18.75">
      <c r="J343" s="10"/>
    </row>
    <row r="344" ht="18.75">
      <c r="J344" s="10"/>
    </row>
    <row r="345" ht="18.75">
      <c r="J345" s="10"/>
    </row>
    <row r="346" ht="18.75">
      <c r="J346" s="10"/>
    </row>
    <row r="347" ht="18.75">
      <c r="J347" s="10"/>
    </row>
    <row r="348" ht="18.75">
      <c r="J348" s="10"/>
    </row>
    <row r="349" ht="18.75">
      <c r="J349" s="10"/>
    </row>
    <row r="350" ht="18.75">
      <c r="J350" s="10"/>
    </row>
    <row r="351" ht="18.75">
      <c r="J351" s="10"/>
    </row>
    <row r="352" ht="18.75">
      <c r="J352" s="10"/>
    </row>
    <row r="353" ht="18.75">
      <c r="J353" s="10"/>
    </row>
  </sheetData>
  <sheetProtection/>
  <mergeCells count="36">
    <mergeCell ref="I244:M244"/>
    <mergeCell ref="F1:M1"/>
    <mergeCell ref="F2:M2"/>
    <mergeCell ref="F3:M3"/>
    <mergeCell ref="F4:M4"/>
    <mergeCell ref="F5:M5"/>
    <mergeCell ref="M12:M13"/>
    <mergeCell ref="C9:M9"/>
    <mergeCell ref="C10:M10"/>
    <mergeCell ref="D12:D13"/>
    <mergeCell ref="I12:I13"/>
    <mergeCell ref="B12:B13"/>
    <mergeCell ref="K12:K13"/>
    <mergeCell ref="E12:E13"/>
    <mergeCell ref="J12:J13"/>
    <mergeCell ref="H12:H13"/>
    <mergeCell ref="G12:G13"/>
    <mergeCell ref="A250:C250"/>
    <mergeCell ref="G237:H237"/>
    <mergeCell ref="A249:B249"/>
    <mergeCell ref="G240:H240"/>
    <mergeCell ref="A248:B248"/>
    <mergeCell ref="A241:B241"/>
    <mergeCell ref="G239:H239"/>
    <mergeCell ref="A244:C244"/>
    <mergeCell ref="G244:H244"/>
    <mergeCell ref="F6:M6"/>
    <mergeCell ref="K241:L241"/>
    <mergeCell ref="A242:C242"/>
    <mergeCell ref="G242:H242"/>
    <mergeCell ref="H241:J241"/>
    <mergeCell ref="G238:H238"/>
    <mergeCell ref="L12:L13"/>
    <mergeCell ref="A12:A13"/>
    <mergeCell ref="C12:C13"/>
    <mergeCell ref="F12:F13"/>
  </mergeCells>
  <printOptions horizontalCentered="1"/>
  <pageMargins left="0.3937007874015748" right="0.3937007874015748" top="1.3779527559055118" bottom="0.3937007874015748" header="0.4330708661417323" footer="0.1968503937007874"/>
  <pageSetup firstPageNumber="7" useFirstPageNumber="1" fitToHeight="15" fitToWidth="1" horizontalDpi="600" verticalDpi="600" orientation="landscape" paperSize="9" scale="52" r:id="rId1"/>
  <headerFooter alignWithMargins="0">
    <oddFooter>&amp;R&amp;"Times New Roman,обычный"&amp;22&amp;P</oddFooter>
  </headerFooter>
  <rowBreaks count="1" manualBreakCount="1">
    <brk id="225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Users</cp:lastModifiedBy>
  <cp:lastPrinted>2016-11-01T06:17:46Z</cp:lastPrinted>
  <dcterms:created xsi:type="dcterms:W3CDTF">2011-11-24T09:09:31Z</dcterms:created>
  <dcterms:modified xsi:type="dcterms:W3CDTF">2016-11-01T06:41:02Z</dcterms:modified>
  <cp:category/>
  <cp:version/>
  <cp:contentType/>
  <cp:contentStatus/>
</cp:coreProperties>
</file>