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260" activeTab="0"/>
  </bookViews>
  <sheets>
    <sheet name="дод. 8" sheetId="1" r:id="rId1"/>
  </sheets>
  <definedNames>
    <definedName name="_xlfn.AGGREGATE" hidden="1">#NAME?</definedName>
    <definedName name="_xlnm.Print_Titles" localSheetId="0">'дод. 8'!$10:$13</definedName>
    <definedName name="_xlnm.Print_Area" localSheetId="0">'дод. 8'!$B$1:$P$335</definedName>
  </definedNames>
  <calcPr fullCalcOnLoad="1"/>
</workbook>
</file>

<file path=xl/sharedStrings.xml><?xml version="1.0" encoding="utf-8"?>
<sst xmlns="http://schemas.openxmlformats.org/spreadsheetml/2006/main" count="751" uniqueCount="515">
  <si>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</si>
  <si>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</si>
  <si>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</si>
  <si>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</si>
  <si>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</si>
  <si>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</si>
  <si>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</si>
  <si>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</si>
  <si>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</si>
  <si>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</si>
  <si>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</si>
  <si>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</si>
  <si>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</si>
  <si>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</si>
  <si>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</si>
  <si>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</si>
  <si>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</si>
  <si>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</si>
  <si>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</si>
  <si>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</si>
  <si>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</si>
  <si>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</si>
  <si>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</si>
  <si>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</si>
  <si>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</si>
  <si>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</si>
  <si>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</si>
  <si>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</si>
  <si>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</si>
  <si>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</si>
  <si>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</si>
  <si>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</si>
  <si>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</si>
  <si>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</si>
  <si>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</si>
  <si>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</si>
  <si>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</si>
  <si>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</si>
  <si>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</si>
  <si>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</si>
  <si>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</si>
  <si>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</si>
  <si>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</si>
  <si>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</si>
  <si>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</si>
  <si>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</si>
  <si>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</si>
  <si>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</si>
  <si>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</si>
  <si>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</si>
  <si>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</si>
  <si>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</si>
  <si>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</si>
  <si>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</si>
  <si>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</si>
  <si>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</si>
  <si>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</si>
  <si>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</si>
  <si>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</si>
  <si>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</si>
  <si>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</si>
  <si>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</si>
  <si>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</si>
  <si>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</si>
  <si>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</si>
  <si>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</si>
  <si>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</si>
  <si>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</si>
  <si>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</si>
  <si>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</si>
  <si>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</si>
  <si>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</si>
  <si>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</si>
  <si>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</si>
  <si>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</si>
  <si>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</si>
  <si>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</si>
  <si>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</si>
  <si>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</si>
  <si>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</si>
  <si>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</si>
  <si>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</si>
  <si>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</si>
  <si>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</si>
  <si>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</si>
  <si>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</si>
  <si>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</si>
  <si>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</si>
  <si>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</si>
  <si>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</si>
  <si>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</si>
  <si>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</si>
  <si>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</si>
  <si>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</si>
  <si>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</si>
  <si>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</si>
  <si>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</si>
  <si>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</si>
  <si>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</si>
  <si>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</si>
  <si>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</si>
  <si>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</si>
  <si>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</si>
  <si>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</si>
  <si>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</si>
  <si>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</si>
  <si>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</si>
  <si>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</si>
  <si>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</si>
  <si>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</si>
  <si>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</si>
  <si>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</si>
  <si>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</si>
  <si>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</si>
  <si>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</si>
  <si>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</si>
  <si>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</si>
  <si>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</si>
  <si>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</si>
  <si>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</si>
  <si>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</si>
  <si>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</si>
  <si>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</si>
  <si>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</si>
  <si>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</si>
  <si>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</si>
  <si>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</si>
  <si>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</si>
  <si>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</si>
  <si>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</si>
  <si>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</si>
  <si>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</si>
  <si>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</si>
  <si>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</si>
  <si>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</si>
  <si>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</si>
  <si>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</si>
  <si>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</si>
  <si>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</si>
  <si>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</si>
  <si>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</si>
  <si>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</si>
  <si>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</si>
  <si>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</si>
  <si>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</si>
  <si>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</si>
  <si>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</si>
  <si>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</si>
  <si>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</si>
  <si>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</si>
  <si>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</si>
  <si>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</si>
  <si>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</si>
  <si>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</si>
  <si>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</si>
  <si>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</si>
  <si>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</si>
  <si>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</si>
  <si>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</si>
  <si>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</si>
  <si>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</si>
  <si>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</si>
  <si>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</si>
  <si>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</si>
  <si>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</si>
  <si>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</si>
  <si>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</si>
  <si>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</si>
  <si>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</si>
  <si>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</si>
  <si>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</si>
  <si>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</si>
  <si>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</si>
  <si>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</si>
  <si>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</si>
  <si>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</si>
  <si>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</si>
  <si>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</si>
  <si>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</si>
  <si>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</si>
  <si>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</si>
  <si>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</si>
  <si>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</si>
  <si>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</si>
  <si>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</si>
  <si>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</si>
  <si>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</si>
  <si>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</si>
  <si>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</si>
  <si>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</si>
  <si>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</si>
  <si>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</si>
  <si>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</si>
  <si>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</si>
  <si>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</si>
  <si>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</si>
  <si>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</si>
  <si>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</si>
  <si>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</si>
  <si>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</si>
  <si>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</si>
  <si>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</si>
  <si>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</si>
  <si>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</si>
  <si>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</si>
  <si>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</si>
  <si>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</si>
  <si>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</si>
  <si>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</si>
  <si>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</si>
  <si>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</si>
  <si>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</si>
  <si>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</si>
  <si>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</si>
  <si>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</si>
  <si>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</si>
  <si>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</si>
  <si>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</si>
  <si>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</si>
  <si>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</si>
  <si>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</si>
  <si>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</si>
  <si>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</si>
  <si>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</si>
  <si>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</si>
  <si>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</si>
  <si>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</si>
  <si>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</si>
  <si>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</si>
  <si>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</si>
  <si>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</si>
  <si>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</si>
  <si>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</si>
  <si>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</si>
  <si>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</si>
  <si>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</si>
  <si>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</si>
  <si>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</si>
  <si>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</si>
  <si>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</si>
  <si>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</si>
  <si>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</si>
  <si>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</si>
  <si>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</si>
  <si>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</si>
  <si>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</si>
  <si>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</si>
  <si>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</si>
  <si>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</si>
  <si>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</si>
  <si>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</si>
  <si>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</si>
  <si>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</si>
  <si>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</si>
  <si>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</si>
  <si>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</si>
  <si>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</si>
  <si>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</si>
  <si>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</si>
  <si>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</si>
  <si>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</si>
  <si>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</si>
  <si>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</si>
  <si>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</si>
  <si>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</si>
  <si>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</si>
  <si>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</si>
  <si>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</si>
  <si>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</si>
  <si>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</si>
  <si>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</si>
  <si>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</si>
  <si>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</si>
  <si>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</si>
  <si>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</si>
  <si>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</si>
  <si>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</si>
  <si>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</si>
  <si>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</si>
  <si>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</si>
  <si>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</si>
  <si>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</si>
  <si>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</si>
  <si>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</si>
  <si>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</si>
  <si>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</si>
  <si>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</si>
  <si>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</si>
  <si>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</si>
  <si>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</si>
  <si>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</si>
  <si>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</si>
  <si>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</si>
  <si>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</si>
  <si>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</si>
  <si>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</si>
  <si>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7500000</t>
  </si>
  <si>
    <t>7510000</t>
  </si>
  <si>
    <t>7510180</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</si>
  <si>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</si>
  <si>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</si>
  <si>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</si>
  <si>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</si>
  <si>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</si>
  <si>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</si>
  <si>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</si>
  <si>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</si>
  <si>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</si>
  <si>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</si>
  <si>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</si>
  <si>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</si>
  <si>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</si>
  <si>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</si>
  <si>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</si>
  <si>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</si>
  <si>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</si>
  <si>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</si>
  <si>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</si>
  <si>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</si>
  <si>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</si>
  <si>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</si>
  <si>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</si>
  <si>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</si>
  <si>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</si>
  <si>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</si>
  <si>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</si>
  <si>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</si>
  <si>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</si>
  <si>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</si>
  <si>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</si>
  <si>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</si>
  <si>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</si>
  <si>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Виконання «Програми економічного і соціального розвитку м. Суми на  2016 рік»</t>
  </si>
  <si>
    <t xml:space="preserve">Виконання міської програми «Відкритий інформаційний простір м. Суми» на 2016-2018 роки </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</si>
  <si>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</si>
  <si>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</si>
  <si>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</si>
  <si>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</si>
  <si>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4718600</t>
  </si>
  <si>
    <t>4718601</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</si>
  <si>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</si>
  <si>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</si>
  <si>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</si>
  <si>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</si>
  <si>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</si>
  <si>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</si>
  <si>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</si>
  <si>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</si>
  <si>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</si>
  <si>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</si>
  <si>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</si>
  <si>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</si>
  <si>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</si>
  <si>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</si>
  <si>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</si>
  <si>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</si>
  <si>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</si>
  <si>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</si>
  <si>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</si>
  <si>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</si>
  <si>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</si>
  <si>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</si>
  <si>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</si>
  <si>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</si>
  <si>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</si>
  <si>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</si>
  <si>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</si>
  <si>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</si>
  <si>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</si>
  <si>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</si>
  <si>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</si>
  <si>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</si>
  <si>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</si>
  <si>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</si>
  <si>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</si>
  <si>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</si>
  <si>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</si>
  <si>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</si>
  <si>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</si>
  <si>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</si>
  <si>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</si>
  <si>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</si>
  <si>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</si>
  <si>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</si>
  <si>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</si>
  <si>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</si>
  <si>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</si>
  <si>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</si>
  <si>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</si>
  <si>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</si>
  <si>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</si>
  <si>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</si>
  <si>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</si>
  <si>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</si>
  <si>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</si>
  <si>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</si>
  <si>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</si>
  <si>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</si>
  <si>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</si>
  <si>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</si>
  <si>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</si>
  <si>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</si>
  <si>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</si>
  <si>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</si>
  <si>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</si>
  <si>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</si>
  <si>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</si>
  <si>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</si>
  <si>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</si>
  <si>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</si>
  <si>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</si>
  <si>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</si>
  <si>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</si>
  <si>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</si>
  <si>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4119120</t>
  </si>
  <si>
    <t>240602</t>
  </si>
  <si>
    <t>Утилізація відходів</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</si>
  <si>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</si>
  <si>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</si>
  <si>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</si>
  <si>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</si>
  <si>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</si>
  <si>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</si>
  <si>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</si>
  <si>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</si>
  <si>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</si>
  <si>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</si>
  <si>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</si>
  <si>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</si>
  <si>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</si>
  <si>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0316800</t>
  </si>
  <si>
    <t>170103</t>
  </si>
  <si>
    <t>Інші заходи у сфері автомобільного транспорту</t>
  </si>
  <si>
    <t>Надання фінансової підтримки КП СМР «Електроавтотранс»</t>
  </si>
  <si>
    <t>0316801</t>
  </si>
  <si>
    <t>4818602</t>
  </si>
  <si>
    <t>0318370</t>
  </si>
  <si>
    <t>250344</t>
  </si>
  <si>
    <t>Субвенція з місцевого бюджету державному бюджету на виконання програм соціально-економічного та культурного розвитку регіонів</t>
  </si>
  <si>
    <t>4113600</t>
  </si>
  <si>
    <t>4719150</t>
  </si>
  <si>
    <t>0319140</t>
  </si>
  <si>
    <t>4716430</t>
  </si>
  <si>
    <t>Ліквідація іншого забруднення навколишнього
природного середовища</t>
  </si>
  <si>
    <t>240603</t>
  </si>
  <si>
    <t>4719130</t>
  </si>
  <si>
    <t>4116130</t>
  </si>
  <si>
    <t>100302</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</si>
  <si>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</si>
  <si>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4818801</t>
  </si>
  <si>
    <t xml:space="preserve">Інші субвенції районному бюджету Сумського району на розроблення топогеодезичної зйомки та проекту детального плану території  </t>
  </si>
  <si>
    <t>4717310</t>
  </si>
  <si>
    <t>4817470</t>
  </si>
  <si>
    <t>Виконання «Програми енергозбереження та енергоефективності в бюджетній сфері м. Суми на 2014-2016 роки »</t>
  </si>
  <si>
    <t>1513302</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</si>
  <si>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</si>
  <si>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</si>
  <si>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Органи місцевого самоврядування</t>
  </si>
  <si>
    <t>Землеустрій</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</si>
  <si>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</si>
  <si>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</si>
  <si>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</si>
  <si>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0318606</t>
  </si>
  <si>
    <t>090203</t>
  </si>
  <si>
    <t>090209</t>
  </si>
  <si>
    <t>150201</t>
  </si>
  <si>
    <t>Виконання програми «Енергозбереження та енергоефективності в бюджетній сфері        м. Суми на 2014-2016 роки»</t>
  </si>
  <si>
    <t>090214</t>
  </si>
  <si>
    <t>Надання пільг окремим категоріям громадян з
оплати послуг зв'язку</t>
  </si>
  <si>
    <t>170102</t>
  </si>
  <si>
    <t>1518801</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</si>
  <si>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</si>
  <si>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</si>
  <si>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</si>
  <si>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</si>
  <si>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</si>
  <si>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</si>
  <si>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</si>
  <si>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</si>
  <si>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</si>
  <si>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Інші субвенції обласному бюджету Сумської області на виконання програми «Місто Суми – територія добра та милосердя на 2016 – 2018 роки»</t>
  </si>
  <si>
    <t>4610180</t>
  </si>
  <si>
    <t>5016060</t>
  </si>
  <si>
    <t>1513240</t>
  </si>
  <si>
    <t>4116310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</si>
  <si>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</si>
  <si>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</si>
  <si>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4719181</t>
  </si>
  <si>
    <t>4716650</t>
  </si>
  <si>
    <t>170703</t>
  </si>
  <si>
    <t>Утримання та розвиток інфраструктури доріг</t>
  </si>
  <si>
    <t xml:space="preserve">Виконання міської комплексної програми «Правопорядок» на період 2016-2018 роки </t>
  </si>
  <si>
    <t>0318607</t>
  </si>
  <si>
    <t xml:space="preserve">Виконання міської програми «Автоматизація муніципальних телекомунікаційних систем на 2016- 2018 роки в м. Суми» </t>
  </si>
  <si>
    <t>Виконання міської цільової програми з військово-патріотичного виховання молоді на 2016 рік</t>
  </si>
  <si>
    <t>4716324</t>
  </si>
  <si>
    <t>150118</t>
  </si>
  <si>
    <t>Будівництво та придбання житла для окремих категорій населення</t>
  </si>
  <si>
    <t>Виконання програми «Фізична культура і спорт  міста Суми</t>
  </si>
  <si>
    <t xml:space="preserve">Виконання Програми «Фізична культура і спорт  міста Суми </t>
  </si>
  <si>
    <t>Утримання КУ «Агенція промоції «Суми»</t>
  </si>
  <si>
    <t>1516324</t>
  </si>
  <si>
    <t>170302</t>
  </si>
  <si>
    <t>Компенсаційні виплати за пільговий проїзд окремих категорій громадян на залізничному транспорті</t>
  </si>
  <si>
    <t>Міський голова</t>
  </si>
  <si>
    <t>О.М. Лисенко</t>
  </si>
  <si>
    <t>Виконавець: Липова С.А.</t>
  </si>
  <si>
    <t>до  рішення  Сумської  міської  ради</t>
  </si>
  <si>
    <t xml:space="preserve">«Про внесення   змін   та  доповнень </t>
  </si>
  <si>
    <t>до  міського  бюджету  на  2016 рік»</t>
  </si>
  <si>
    <t>Додаток № 8</t>
  </si>
  <si>
    <t>Надання допомоги у вирішенні житлових питань</t>
  </si>
  <si>
    <t>1516320</t>
  </si>
  <si>
    <t>4716320</t>
  </si>
  <si>
    <t>від 30 листопада 2016 року № 1447-МР</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</si>
</sst>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3">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4"/>
      <name val="Times New Roman"/>
      <family val="1"/>
    </font>
    <font>
      <sz val="20"/>
      <name val="Times New Roman"/>
      <family val="0"/>
    </font>
    <font>
      <sz val="16"/>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6" fillId="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8"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9"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05">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29" fillId="0" borderId="13" xfId="0" applyNumberFormat="1" applyFont="1" applyFill="1" applyBorder="1" applyAlignment="1" applyProtection="1">
      <alignment/>
      <protection/>
    </xf>
    <xf numFmtId="0" fontId="29" fillId="0" borderId="0" xfId="0" applyFont="1" applyFill="1" applyAlignment="1">
      <alignment/>
    </xf>
    <xf numFmtId="0" fontId="29" fillId="0" borderId="14" xfId="0" applyNumberFormat="1" applyFont="1" applyFill="1" applyBorder="1" applyAlignment="1" applyProtection="1">
      <alignment/>
      <protection/>
    </xf>
    <xf numFmtId="0" fontId="29"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9" fillId="0" borderId="0" xfId="0" applyNumberFormat="1" applyFont="1" applyFill="1" applyAlignment="1" applyProtection="1">
      <alignment vertical="center"/>
      <protection/>
    </xf>
    <xf numFmtId="0" fontId="30" fillId="0" borderId="16" xfId="0" applyFont="1" applyFill="1" applyBorder="1" applyAlignment="1">
      <alignment vertical="center" wrapText="1"/>
    </xf>
    <xf numFmtId="0" fontId="29" fillId="0" borderId="0" xfId="0" applyFont="1" applyFill="1" applyAlignment="1">
      <alignment vertical="center"/>
    </xf>
    <xf numFmtId="49" fontId="30" fillId="0" borderId="17" xfId="0" applyNumberFormat="1" applyFont="1" applyFill="1" applyBorder="1" applyAlignment="1">
      <alignment horizontal="center" vertical="center"/>
    </xf>
    <xf numFmtId="0" fontId="30" fillId="0" borderId="17" xfId="0" applyFont="1" applyFill="1" applyBorder="1" applyAlignment="1">
      <alignment horizontal="left" vertical="center" wrapText="1"/>
    </xf>
    <xf numFmtId="4" fontId="29" fillId="0" borderId="17" xfId="95" applyNumberFormat="1" applyFont="1" applyFill="1" applyBorder="1" applyAlignment="1">
      <alignment vertic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31" fillId="0" borderId="17" xfId="0" applyFont="1" applyFill="1" applyBorder="1" applyAlignment="1">
      <alignment horizontal="left" vertical="center" wrapText="1"/>
    </xf>
    <xf numFmtId="0" fontId="29" fillId="0" borderId="17" xfId="0" applyFont="1" applyFill="1" applyBorder="1" applyAlignment="1">
      <alignment vertical="center"/>
    </xf>
    <xf numFmtId="49" fontId="29" fillId="0" borderId="17" xfId="0" applyNumberFormat="1" applyFont="1" applyFill="1" applyBorder="1" applyAlignment="1">
      <alignment horizontal="center" vertical="center"/>
    </xf>
    <xf numFmtId="49" fontId="29" fillId="0" borderId="18" xfId="0" applyNumberFormat="1" applyFont="1" applyFill="1" applyBorder="1" applyAlignment="1">
      <alignment horizontal="center" vertical="center"/>
    </xf>
    <xf numFmtId="0" fontId="29" fillId="0" borderId="0" xfId="0" applyNumberFormat="1" applyFont="1" applyFill="1" applyAlignment="1" applyProtection="1">
      <alignment vertical="center"/>
      <protection/>
    </xf>
    <xf numFmtId="0" fontId="29" fillId="0" borderId="17" xfId="0" applyFont="1" applyFill="1" applyBorder="1" applyAlignment="1">
      <alignment horizontal="left" vertical="center" wrapText="1"/>
    </xf>
    <xf numFmtId="0" fontId="32" fillId="0" borderId="16" xfId="0" applyFont="1" applyFill="1" applyBorder="1" applyAlignment="1">
      <alignment vertical="center" wrapText="1"/>
    </xf>
    <xf numFmtId="49" fontId="32" fillId="0" borderId="17" xfId="0" applyNumberFormat="1" applyFont="1" applyFill="1" applyBorder="1" applyAlignment="1">
      <alignment horizontal="center" vertical="center"/>
    </xf>
    <xf numFmtId="0" fontId="32" fillId="0" borderId="17" xfId="0" applyFont="1" applyFill="1" applyBorder="1" applyAlignment="1">
      <alignment horizontal="left" vertical="center" wrapText="1"/>
    </xf>
    <xf numFmtId="0" fontId="31" fillId="0" borderId="17" xfId="0" applyNumberFormat="1" applyFont="1" applyFill="1" applyBorder="1" applyAlignment="1" applyProtection="1">
      <alignment horizontal="center" vertical="center"/>
      <protection/>
    </xf>
    <xf numFmtId="0" fontId="29" fillId="0" borderId="17" xfId="0" applyNumberFormat="1" applyFont="1" applyFill="1" applyBorder="1" applyAlignment="1" applyProtection="1">
      <alignment horizontal="center" vertical="center"/>
      <protection/>
    </xf>
    <xf numFmtId="0" fontId="29" fillId="0" borderId="17" xfId="0" applyNumberFormat="1" applyFont="1" applyFill="1" applyBorder="1" applyAlignment="1" applyProtection="1">
      <alignment vertical="center"/>
      <protection/>
    </xf>
    <xf numFmtId="0" fontId="29" fillId="0" borderId="19" xfId="0" applyFont="1" applyFill="1" applyBorder="1" applyAlignment="1">
      <alignment vertical="center"/>
    </xf>
    <xf numFmtId="49" fontId="29" fillId="0" borderId="17" xfId="0" applyNumberFormat="1" applyFont="1" applyFill="1" applyBorder="1" applyAlignment="1" applyProtection="1">
      <alignment horizontal="center" vertical="center"/>
      <protection/>
    </xf>
    <xf numFmtId="4" fontId="30" fillId="0" borderId="17" xfId="95" applyNumberFormat="1" applyFont="1" applyFill="1" applyBorder="1" applyAlignment="1">
      <alignment vertical="center"/>
      <protection/>
    </xf>
    <xf numFmtId="192" fontId="30" fillId="0" borderId="17" xfId="95" applyNumberFormat="1" applyFont="1" applyFill="1" applyBorder="1" applyAlignment="1">
      <alignment vertical="center"/>
      <protection/>
    </xf>
    <xf numFmtId="192" fontId="31" fillId="0" borderId="16" xfId="95" applyNumberFormat="1" applyFont="1" applyFill="1" applyBorder="1" applyAlignment="1">
      <alignment vertical="center"/>
      <protection/>
    </xf>
    <xf numFmtId="4" fontId="31" fillId="0" borderId="16" xfId="95" applyNumberFormat="1" applyFont="1" applyFill="1" applyBorder="1" applyAlignment="1">
      <alignment vertical="center"/>
      <protection/>
    </xf>
    <xf numFmtId="192" fontId="31" fillId="0" borderId="17" xfId="95" applyNumberFormat="1" applyFont="1" applyFill="1" applyBorder="1" applyAlignment="1">
      <alignment vertical="center"/>
      <protection/>
    </xf>
    <xf numFmtId="4" fontId="31" fillId="0" borderId="17" xfId="95" applyNumberFormat="1" applyFont="1" applyFill="1" applyBorder="1" applyAlignment="1">
      <alignment vertical="center"/>
      <protection/>
    </xf>
    <xf numFmtId="0" fontId="29" fillId="0" borderId="0" xfId="0" applyNumberFormat="1" applyFont="1" applyFill="1" applyAlignment="1" applyProtection="1">
      <alignment vertical="center" wrapText="1"/>
      <protection/>
    </xf>
    <xf numFmtId="49" fontId="30" fillId="0" borderId="17" xfId="0" applyNumberFormat="1" applyFont="1" applyFill="1" applyBorder="1" applyAlignment="1">
      <alignment horizontal="center" vertical="center" wrapText="1"/>
    </xf>
    <xf numFmtId="49" fontId="32" fillId="0" borderId="17" xfId="0" applyNumberFormat="1" applyFont="1" applyFill="1" applyBorder="1" applyAlignment="1">
      <alignment horizontal="center" vertical="center" wrapText="1"/>
    </xf>
    <xf numFmtId="4" fontId="31" fillId="0" borderId="17" xfId="95" applyNumberFormat="1" applyFont="1" applyFill="1" applyBorder="1" applyAlignment="1">
      <alignment vertical="center"/>
      <protection/>
    </xf>
    <xf numFmtId="4" fontId="32" fillId="0" borderId="17" xfId="95" applyNumberFormat="1" applyFont="1" applyFill="1" applyBorder="1" applyAlignment="1">
      <alignment vertical="center"/>
      <protection/>
    </xf>
    <xf numFmtId="4" fontId="29" fillId="0" borderId="17" xfId="95" applyNumberFormat="1" applyFont="1" applyFill="1" applyBorder="1" applyAlignment="1">
      <alignment vertical="center"/>
      <protection/>
    </xf>
    <xf numFmtId="4" fontId="30" fillId="0" borderId="17" xfId="95" applyNumberFormat="1" applyFont="1" applyFill="1" applyBorder="1" applyAlignment="1">
      <alignment vertical="center"/>
      <protection/>
    </xf>
    <xf numFmtId="0" fontId="0" fillId="0" borderId="0" xfId="0" applyNumberFormat="1" applyFont="1" applyFill="1" applyAlignment="1" applyProtection="1">
      <alignment/>
      <protection/>
    </xf>
    <xf numFmtId="0" fontId="0" fillId="0" borderId="0" xfId="0" applyFont="1" applyFill="1" applyAlignment="1">
      <alignment/>
    </xf>
    <xf numFmtId="0" fontId="31" fillId="0" borderId="17" xfId="0" applyNumberFormat="1" applyFont="1" applyFill="1" applyBorder="1" applyAlignment="1" applyProtection="1">
      <alignment horizontal="center" vertical="center"/>
      <protection/>
    </xf>
    <xf numFmtId="49" fontId="31" fillId="0" borderId="17" xfId="0" applyNumberFormat="1" applyFont="1" applyFill="1" applyBorder="1" applyAlignment="1">
      <alignment horizontal="center" vertical="center"/>
    </xf>
    <xf numFmtId="0" fontId="31" fillId="0" borderId="17" xfId="0" applyFont="1" applyFill="1" applyBorder="1" applyAlignment="1">
      <alignment horizontal="left" vertical="center" wrapText="1"/>
    </xf>
    <xf numFmtId="0" fontId="31" fillId="0" borderId="0" xfId="0" applyNumberFormat="1" applyFont="1" applyFill="1" applyBorder="1" applyAlignment="1" applyProtection="1">
      <alignment vertical="center"/>
      <protection/>
    </xf>
    <xf numFmtId="0" fontId="31" fillId="0" borderId="0" xfId="0" applyFont="1" applyFill="1" applyBorder="1" applyAlignment="1">
      <alignment vertical="center"/>
    </xf>
    <xf numFmtId="49" fontId="31" fillId="0" borderId="16" xfId="0" applyNumberFormat="1" applyFont="1" applyFill="1" applyBorder="1" applyAlignment="1">
      <alignment horizontal="center" vertical="center"/>
    </xf>
    <xf numFmtId="49" fontId="31" fillId="0" borderId="17"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xf>
    <xf numFmtId="0" fontId="31" fillId="0" borderId="0" xfId="0" applyNumberFormat="1" applyFont="1" applyFill="1" applyAlignment="1" applyProtection="1">
      <alignment vertical="center"/>
      <protection/>
    </xf>
    <xf numFmtId="0" fontId="31" fillId="0" borderId="0" xfId="0" applyFont="1" applyFill="1" applyAlignment="1">
      <alignment vertical="center"/>
    </xf>
    <xf numFmtId="0" fontId="31" fillId="0" borderId="17" xfId="0" applyFont="1" applyFill="1" applyBorder="1" applyAlignment="1">
      <alignment vertical="center" wrapText="1"/>
    </xf>
    <xf numFmtId="49" fontId="31" fillId="0" borderId="17" xfId="0" applyNumberFormat="1"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0" fillId="0" borderId="12" xfId="0" applyFont="1" applyFill="1" applyBorder="1" applyAlignment="1">
      <alignment horizontal="center"/>
    </xf>
    <xf numFmtId="49" fontId="31" fillId="0" borderId="17" xfId="0" applyNumberFormat="1" applyFont="1" applyFill="1" applyBorder="1" applyAlignment="1" applyProtection="1">
      <alignment horizontal="center" vertical="center"/>
      <protection/>
    </xf>
    <xf numFmtId="0" fontId="29" fillId="0" borderId="0" xfId="0" applyFont="1" applyFill="1" applyAlignment="1">
      <alignment vertical="center" wrapText="1"/>
    </xf>
    <xf numFmtId="192" fontId="29" fillId="0" borderId="17" xfId="95" applyNumberFormat="1" applyFont="1" applyFill="1" applyBorder="1" applyAlignment="1">
      <alignment vertical="center"/>
      <protection/>
    </xf>
    <xf numFmtId="0" fontId="29" fillId="0" borderId="17" xfId="0" applyFont="1" applyFill="1" applyBorder="1" applyAlignment="1">
      <alignment vertical="center"/>
    </xf>
    <xf numFmtId="0" fontId="31" fillId="0" borderId="16" xfId="0" applyFont="1" applyFill="1" applyBorder="1" applyAlignment="1">
      <alignment horizontal="left" vertical="center" wrapText="1"/>
    </xf>
    <xf numFmtId="192" fontId="31" fillId="0" borderId="16" xfId="95" applyNumberFormat="1" applyFont="1" applyFill="1" applyBorder="1" applyAlignment="1">
      <alignment vertical="center"/>
      <protection/>
    </xf>
    <xf numFmtId="192" fontId="32" fillId="0" borderId="16" xfId="95" applyNumberFormat="1" applyFont="1" applyFill="1" applyBorder="1" applyAlignment="1">
      <alignment vertical="center"/>
      <protection/>
    </xf>
    <xf numFmtId="192" fontId="31" fillId="0" borderId="17" xfId="95" applyNumberFormat="1" applyFont="1" applyFill="1" applyBorder="1" applyAlignment="1">
      <alignment vertical="center"/>
      <protection/>
    </xf>
    <xf numFmtId="192" fontId="32" fillId="0" borderId="17" xfId="95" applyNumberFormat="1" applyFont="1" applyFill="1" applyBorder="1" applyAlignment="1">
      <alignment vertical="center"/>
      <protection/>
    </xf>
    <xf numFmtId="0" fontId="29" fillId="0" borderId="18" xfId="0" applyFont="1" applyFill="1" applyBorder="1" applyAlignment="1">
      <alignment horizontal="left" vertical="center" wrapText="1"/>
    </xf>
    <xf numFmtId="4" fontId="29" fillId="0" borderId="18" xfId="95" applyNumberFormat="1" applyFont="1" applyFill="1" applyBorder="1" applyAlignment="1">
      <alignment vertical="center"/>
      <protection/>
    </xf>
    <xf numFmtId="4" fontId="29" fillId="0" borderId="17" xfId="0" applyNumberFormat="1" applyFont="1" applyFill="1" applyBorder="1" applyAlignment="1">
      <alignment vertical="center"/>
    </xf>
    <xf numFmtId="4" fontId="31" fillId="0" borderId="17" xfId="0" applyNumberFormat="1" applyFont="1" applyFill="1" applyBorder="1" applyAlignment="1">
      <alignment vertical="center" wrapText="1"/>
    </xf>
    <xf numFmtId="0" fontId="31" fillId="0" borderId="0" xfId="0" applyNumberFormat="1" applyFont="1" applyFill="1" applyAlignment="1" applyProtection="1">
      <alignment horizontal="center" vertical="center"/>
      <protection/>
    </xf>
    <xf numFmtId="0" fontId="31" fillId="0" borderId="0" xfId="0" applyFont="1" applyFill="1" applyAlignment="1">
      <alignment horizontal="center" vertical="center"/>
    </xf>
    <xf numFmtId="0" fontId="29" fillId="0" borderId="17" xfId="0" applyFont="1" applyFill="1" applyBorder="1" applyAlignment="1">
      <alignment vertical="center" wrapText="1"/>
    </xf>
    <xf numFmtId="4" fontId="0" fillId="0" borderId="0" xfId="0" applyNumberFormat="1" applyFont="1" applyFill="1" applyAlignment="1" applyProtection="1">
      <alignment/>
      <protection/>
    </xf>
    <xf numFmtId="0" fontId="28" fillId="0" borderId="0" xfId="0" applyFont="1" applyFill="1" applyAlignment="1">
      <alignment/>
    </xf>
    <xf numFmtId="3" fontId="33" fillId="0" borderId="0" xfId="0" applyNumberFormat="1" applyFont="1" applyFill="1" applyBorder="1" applyAlignment="1">
      <alignment wrapText="1"/>
    </xf>
    <xf numFmtId="0" fontId="0" fillId="0" borderId="0" xfId="0" applyFill="1" applyAlignment="1">
      <alignment wrapText="1"/>
    </xf>
    <xf numFmtId="49" fontId="29" fillId="0" borderId="17" xfId="0" applyNumberFormat="1" applyFont="1" applyFill="1" applyBorder="1" applyAlignment="1">
      <alignment horizontal="center" vertical="center"/>
    </xf>
    <xf numFmtId="0" fontId="29" fillId="0" borderId="17" xfId="0" applyFont="1" applyFill="1" applyBorder="1" applyAlignment="1">
      <alignment horizontal="left" vertical="center" wrapText="1"/>
    </xf>
    <xf numFmtId="0" fontId="29" fillId="0" borderId="0" xfId="0" applyNumberFormat="1" applyFont="1" applyFill="1" applyBorder="1" applyAlignment="1" applyProtection="1">
      <alignment horizontal="center" vertical="center"/>
      <protection/>
    </xf>
    <xf numFmtId="49" fontId="30" fillId="0" borderId="0" xfId="0" applyNumberFormat="1" applyFont="1" applyFill="1" applyBorder="1" applyAlignment="1">
      <alignment horizontal="center" vertical="center"/>
    </xf>
    <xf numFmtId="0" fontId="30" fillId="0" borderId="0" xfId="0" applyFont="1" applyFill="1" applyBorder="1" applyAlignment="1">
      <alignment horizontal="left" vertical="center" wrapText="1"/>
    </xf>
    <xf numFmtId="4" fontId="30" fillId="0" borderId="0" xfId="95" applyNumberFormat="1" applyFont="1" applyFill="1" applyBorder="1" applyAlignment="1">
      <alignment vertical="center"/>
      <protection/>
    </xf>
    <xf numFmtId="0" fontId="0" fillId="0" borderId="0" xfId="0" applyNumberFormat="1" applyFont="1" applyFill="1" applyAlignment="1" applyProtection="1">
      <alignment horizontal="center"/>
      <protection/>
    </xf>
    <xf numFmtId="0" fontId="29" fillId="0" borderId="0" xfId="0" applyNumberFormat="1" applyFont="1" applyFill="1" applyBorder="1" applyAlignment="1" applyProtection="1">
      <alignment vertical="center"/>
      <protection/>
    </xf>
    <xf numFmtId="0" fontId="29" fillId="0" borderId="0" xfId="0" applyFont="1" applyFill="1" applyBorder="1" applyAlignment="1">
      <alignment vertical="center"/>
    </xf>
    <xf numFmtId="4" fontId="31" fillId="0" borderId="17" xfId="0" applyNumberFormat="1" applyFont="1" applyFill="1" applyBorder="1" applyAlignment="1">
      <alignment vertical="center"/>
    </xf>
    <xf numFmtId="4" fontId="31" fillId="0" borderId="17" xfId="95" applyNumberFormat="1" applyFont="1" applyFill="1" applyBorder="1" applyAlignment="1">
      <alignment vertical="center"/>
      <protection/>
    </xf>
    <xf numFmtId="0" fontId="32" fillId="0" borderId="0" xfId="0" applyNumberFormat="1" applyFont="1" applyFill="1" applyAlignment="1" applyProtection="1">
      <alignment vertical="center"/>
      <protection/>
    </xf>
    <xf numFmtId="0" fontId="32" fillId="0" borderId="0" xfId="0" applyFont="1" applyFill="1" applyAlignment="1">
      <alignment vertical="center"/>
    </xf>
    <xf numFmtId="0" fontId="40" fillId="0" borderId="0" xfId="0" applyFont="1" applyFill="1" applyBorder="1" applyAlignment="1">
      <alignment horizontal="center" vertical="center" textRotation="180"/>
    </xf>
    <xf numFmtId="3" fontId="28" fillId="0" borderId="0" xfId="0" applyNumberFormat="1" applyFont="1" applyFill="1" applyBorder="1" applyAlignment="1">
      <alignment horizontal="center" vertical="center" wrapText="1"/>
    </xf>
    <xf numFmtId="0" fontId="28" fillId="0" borderId="0" xfId="0" applyFont="1" applyFill="1" applyAlignment="1">
      <alignment/>
    </xf>
    <xf numFmtId="4" fontId="28" fillId="0" borderId="0" xfId="0" applyNumberFormat="1" applyFont="1" applyFill="1" applyAlignment="1">
      <alignment/>
    </xf>
    <xf numFmtId="0" fontId="41" fillId="0" borderId="0" xfId="0" applyNumberFormat="1" applyFont="1" applyFill="1" applyAlignment="1" applyProtection="1">
      <alignment/>
      <protection/>
    </xf>
    <xf numFmtId="0" fontId="41" fillId="0" borderId="0" xfId="0" applyNumberFormat="1" applyFont="1" applyFill="1" applyBorder="1" applyAlignment="1" applyProtection="1">
      <alignment vertical="center" wrapText="1"/>
      <protection/>
    </xf>
    <xf numFmtId="0" fontId="41" fillId="0" borderId="0" xfId="0" applyFont="1" applyFill="1" applyAlignment="1">
      <alignment/>
    </xf>
    <xf numFmtId="4" fontId="41" fillId="0" borderId="0" xfId="0" applyNumberFormat="1" applyFont="1" applyFill="1" applyAlignment="1">
      <alignment/>
    </xf>
    <xf numFmtId="0" fontId="28" fillId="0" borderId="0" xfId="0" applyNumberFormat="1" applyFont="1" applyFill="1" applyAlignment="1" applyProtection="1">
      <alignment/>
      <protection/>
    </xf>
    <xf numFmtId="3" fontId="25" fillId="0" borderId="0" xfId="0" applyNumberFormat="1" applyFont="1" applyFill="1" applyBorder="1" applyAlignment="1">
      <alignment horizontal="center" vertical="center" wrapText="1"/>
    </xf>
    <xf numFmtId="0" fontId="28" fillId="0" borderId="0" xfId="0" applyFont="1" applyFill="1" applyAlignment="1">
      <alignment vertical="center"/>
    </xf>
    <xf numFmtId="0" fontId="0" fillId="0" borderId="0" xfId="0" applyFill="1" applyBorder="1" applyAlignment="1">
      <alignment wrapText="1"/>
    </xf>
    <xf numFmtId="4" fontId="29" fillId="0" borderId="17" xfId="95" applyNumberFormat="1" applyFont="1" applyFill="1" applyBorder="1" applyAlignment="1">
      <alignment vertical="center"/>
      <protection/>
    </xf>
    <xf numFmtId="3" fontId="25" fillId="0" borderId="0" xfId="0" applyNumberFormat="1" applyFont="1" applyFill="1" applyBorder="1" applyAlignment="1">
      <alignment horizontal="center" vertical="center" wrapText="1"/>
    </xf>
    <xf numFmtId="0" fontId="28" fillId="0" borderId="0" xfId="0" applyNumberFormat="1" applyFont="1" applyFill="1" applyAlignment="1" applyProtection="1">
      <alignment horizontal="center"/>
      <protection/>
    </xf>
    <xf numFmtId="0" fontId="40" fillId="0" borderId="0" xfId="0" applyFont="1" applyFill="1" applyBorder="1" applyAlignment="1">
      <alignment vertical="center" textRotation="180"/>
    </xf>
    <xf numFmtId="0" fontId="28" fillId="0" borderId="0" xfId="0" applyFont="1" applyFill="1" applyBorder="1" applyAlignment="1">
      <alignment/>
    </xf>
    <xf numFmtId="0" fontId="28" fillId="0" borderId="0" xfId="0" applyFont="1" applyFill="1" applyAlignment="1">
      <alignment horizontal="left" vertical="center"/>
    </xf>
    <xf numFmtId="0" fontId="28" fillId="0" borderId="0" xfId="0" applyFont="1" applyFill="1" applyAlignment="1">
      <alignment horizontal="left" vertical="center" wrapText="1"/>
    </xf>
    <xf numFmtId="0" fontId="29" fillId="0" borderId="0" xfId="0" applyFont="1" applyFill="1" applyAlignment="1">
      <alignment vertical="center"/>
    </xf>
    <xf numFmtId="0" fontId="26" fillId="0" borderId="0" xfId="0" applyNumberFormat="1" applyFont="1" applyFill="1" applyAlignment="1" applyProtection="1">
      <alignment vertical="top"/>
      <protection/>
    </xf>
    <xf numFmtId="0" fontId="29" fillId="0" borderId="17" xfId="0" applyNumberFormat="1" applyFont="1" applyFill="1" applyBorder="1" applyAlignment="1" applyProtection="1">
      <alignment horizontal="center" vertical="center" wrapText="1"/>
      <protection/>
    </xf>
    <xf numFmtId="49" fontId="29" fillId="0" borderId="17" xfId="0" applyNumberFormat="1" applyFont="1" applyFill="1" applyBorder="1" applyAlignment="1" applyProtection="1">
      <alignment horizontal="center" vertical="center"/>
      <protection/>
    </xf>
    <xf numFmtId="4" fontId="29" fillId="0" borderId="17" xfId="95" applyNumberFormat="1" applyFont="1" applyFill="1" applyBorder="1" applyAlignment="1">
      <alignment vertical="center"/>
      <protection/>
    </xf>
    <xf numFmtId="49" fontId="31" fillId="0" borderId="17" xfId="0" applyNumberFormat="1" applyFont="1" applyFill="1" applyBorder="1" applyAlignment="1" applyProtection="1">
      <alignment horizontal="center" vertical="center"/>
      <protection/>
    </xf>
    <xf numFmtId="49" fontId="31" fillId="0" borderId="17" xfId="0" applyNumberFormat="1" applyFont="1" applyFill="1" applyBorder="1" applyAlignment="1">
      <alignment horizontal="center" vertical="center"/>
    </xf>
    <xf numFmtId="0" fontId="31" fillId="0" borderId="17" xfId="0" applyFont="1" applyFill="1" applyBorder="1" applyAlignment="1">
      <alignment vertical="center" wrapText="1"/>
    </xf>
    <xf numFmtId="192" fontId="29" fillId="0" borderId="17" xfId="95" applyNumberFormat="1" applyFont="1" applyFill="1" applyBorder="1" applyAlignment="1">
      <alignment vertical="center"/>
      <protection/>
    </xf>
    <xf numFmtId="0" fontId="29" fillId="0" borderId="17" xfId="0" applyFont="1" applyFill="1" applyBorder="1" applyAlignment="1">
      <alignment vertical="center"/>
    </xf>
    <xf numFmtId="49" fontId="29" fillId="0" borderId="18" xfId="0" applyNumberFormat="1" applyFont="1" applyFill="1" applyBorder="1" applyAlignment="1">
      <alignment horizontal="center" vertical="center"/>
    </xf>
    <xf numFmtId="49" fontId="29" fillId="0" borderId="17" xfId="0" applyNumberFormat="1" applyFont="1" applyFill="1" applyBorder="1" applyAlignment="1">
      <alignment horizontal="left" vertical="center"/>
    </xf>
    <xf numFmtId="4" fontId="29" fillId="0" borderId="17" xfId="0" applyNumberFormat="1" applyFont="1" applyFill="1" applyBorder="1" applyAlignment="1">
      <alignment vertical="center"/>
    </xf>
    <xf numFmtId="49" fontId="31" fillId="0" borderId="18" xfId="0" applyNumberFormat="1" applyFont="1" applyFill="1" applyBorder="1" applyAlignment="1">
      <alignment horizontal="center" vertical="center"/>
    </xf>
    <xf numFmtId="49" fontId="29" fillId="0" borderId="17"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49" fontId="31" fillId="0" borderId="17" xfId="0" applyNumberFormat="1" applyFont="1" applyFill="1" applyBorder="1" applyAlignment="1">
      <alignment horizontal="left" vertical="center" wrapText="1"/>
    </xf>
    <xf numFmtId="0" fontId="29" fillId="0" borderId="17" xfId="0" applyNumberFormat="1" applyFont="1" applyFill="1" applyBorder="1" applyAlignment="1" applyProtection="1">
      <alignment horizontal="center" vertical="center"/>
      <protection/>
    </xf>
    <xf numFmtId="0" fontId="29" fillId="0" borderId="16" xfId="0" applyFont="1" applyFill="1" applyBorder="1" applyAlignment="1">
      <alignment horizontal="left" vertical="center" wrapText="1"/>
    </xf>
    <xf numFmtId="4" fontId="29" fillId="0" borderId="16" xfId="95" applyNumberFormat="1" applyFont="1" applyFill="1" applyBorder="1" applyAlignment="1">
      <alignment vertical="center"/>
      <protection/>
    </xf>
    <xf numFmtId="49" fontId="29" fillId="0" borderId="16" xfId="0" applyNumberFormat="1" applyFont="1" applyFill="1" applyBorder="1" applyAlignment="1">
      <alignment horizontal="center" vertical="center"/>
    </xf>
    <xf numFmtId="0" fontId="29" fillId="0" borderId="17" xfId="0" applyFont="1" applyFill="1" applyBorder="1" applyAlignment="1">
      <alignment horizontal="left" vertical="center" wrapText="1"/>
    </xf>
    <xf numFmtId="0" fontId="29" fillId="0" borderId="17" xfId="0" applyFont="1" applyFill="1" applyBorder="1" applyAlignment="1">
      <alignment horizontal="left" vertical="center" wrapText="1"/>
    </xf>
    <xf numFmtId="4" fontId="31" fillId="0" borderId="17" xfId="95" applyNumberFormat="1" applyFont="1" applyFill="1" applyBorder="1" applyAlignment="1">
      <alignment vertical="center"/>
      <protection/>
    </xf>
    <xf numFmtId="0" fontId="29" fillId="0" borderId="17" xfId="0" applyFont="1" applyFill="1" applyBorder="1" applyAlignment="1">
      <alignment vertical="center" wrapText="1"/>
    </xf>
    <xf numFmtId="4" fontId="31" fillId="0" borderId="17" xfId="0" applyNumberFormat="1" applyFont="1" applyFill="1" applyBorder="1" applyAlignment="1">
      <alignment vertical="center"/>
    </xf>
    <xf numFmtId="49" fontId="29" fillId="0" borderId="18" xfId="0" applyNumberFormat="1" applyFont="1" applyFill="1" applyBorder="1" applyAlignment="1" applyProtection="1">
      <alignment horizontal="center" vertical="center"/>
      <protection/>
    </xf>
    <xf numFmtId="4" fontId="31" fillId="0" borderId="17" xfId="0" applyNumberFormat="1" applyFont="1" applyFill="1" applyBorder="1" applyAlignment="1">
      <alignment vertical="center" wrapText="1"/>
    </xf>
    <xf numFmtId="0" fontId="30" fillId="0" borderId="17" xfId="0" applyNumberFormat="1" applyFont="1" applyFill="1" applyBorder="1" applyAlignment="1" applyProtection="1">
      <alignment horizontal="center" vertical="center"/>
      <protection/>
    </xf>
    <xf numFmtId="49" fontId="30" fillId="0" borderId="17" xfId="0" applyNumberFormat="1" applyFont="1" applyFill="1" applyBorder="1" applyAlignment="1">
      <alignment horizontal="center" vertical="center"/>
    </xf>
    <xf numFmtId="0" fontId="30" fillId="0" borderId="17" xfId="0" applyFont="1" applyFill="1" applyBorder="1" applyAlignment="1">
      <alignment horizontal="left" vertical="center" wrapText="1"/>
    </xf>
    <xf numFmtId="4" fontId="29" fillId="0" borderId="17" xfId="95" applyNumberFormat="1" applyFont="1" applyFill="1" applyBorder="1" applyAlignment="1">
      <alignment vertical="center"/>
      <protection/>
    </xf>
    <xf numFmtId="0" fontId="40" fillId="0" borderId="0" xfId="0" applyNumberFormat="1" applyFont="1" applyFill="1" applyAlignment="1" applyProtection="1">
      <alignment/>
      <protection/>
    </xf>
    <xf numFmtId="0" fontId="40" fillId="0" borderId="0" xfId="0" applyNumberFormat="1" applyFont="1" applyFill="1" applyAlignment="1" applyProtection="1">
      <alignment/>
      <protection/>
    </xf>
    <xf numFmtId="0" fontId="0" fillId="0" borderId="0" xfId="0" applyNumberFormat="1" applyFont="1" applyFill="1" applyBorder="1" applyAlignment="1" applyProtection="1">
      <alignment horizontal="center"/>
      <protection/>
    </xf>
    <xf numFmtId="0" fontId="28"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3" fontId="41" fillId="0" borderId="0" xfId="0" applyNumberFormat="1" applyFont="1" applyFill="1" applyBorder="1" applyAlignment="1">
      <alignment horizontal="center" vertical="center" wrapText="1"/>
    </xf>
    <xf numFmtId="0" fontId="28" fillId="0" borderId="12" xfId="0" applyFont="1" applyFill="1" applyBorder="1" applyAlignment="1">
      <alignment horizontal="center" vertical="center"/>
    </xf>
    <xf numFmtId="0" fontId="0" fillId="0" borderId="12" xfId="0" applyFill="1" applyBorder="1" applyAlignment="1">
      <alignment wrapText="1"/>
    </xf>
    <xf numFmtId="0" fontId="42" fillId="0" borderId="0" xfId="0" applyNumberFormat="1" applyFont="1" applyFill="1" applyAlignment="1" applyProtection="1">
      <alignment/>
      <protection/>
    </xf>
    <xf numFmtId="0" fontId="42" fillId="0" borderId="0" xfId="0" applyFont="1" applyFill="1" applyAlignment="1">
      <alignment vertical="center"/>
    </xf>
    <xf numFmtId="49" fontId="29" fillId="0" borderId="17" xfId="0" applyNumberFormat="1" applyFont="1" applyFill="1" applyBorder="1" applyAlignment="1">
      <alignment horizontal="center" vertical="center"/>
    </xf>
    <xf numFmtId="0" fontId="29" fillId="0" borderId="17" xfId="0" applyFont="1" applyFill="1" applyBorder="1" applyAlignment="1">
      <alignment horizontal="left" vertical="center" wrapText="1"/>
    </xf>
    <xf numFmtId="0" fontId="29" fillId="0" borderId="20" xfId="0" applyNumberFormat="1" applyFont="1" applyFill="1" applyBorder="1" applyAlignment="1" applyProtection="1">
      <alignment horizontal="center" vertical="center" wrapText="1"/>
      <protection/>
    </xf>
    <xf numFmtId="0" fontId="29" fillId="0" borderId="19" xfId="0" applyNumberFormat="1" applyFont="1" applyFill="1" applyBorder="1" applyAlignment="1" applyProtection="1">
      <alignment horizontal="center" vertical="center" wrapText="1"/>
      <protection/>
    </xf>
    <xf numFmtId="0" fontId="40" fillId="0" borderId="14" xfId="0" applyFont="1" applyFill="1" applyBorder="1" applyAlignment="1">
      <alignment horizontal="center" vertical="center" textRotation="180"/>
    </xf>
    <xf numFmtId="0" fontId="25" fillId="0" borderId="0" xfId="0" applyNumberFormat="1" applyFont="1" applyFill="1" applyBorder="1" applyAlignment="1" applyProtection="1">
      <alignment horizontal="center" vertical="top" wrapText="1"/>
      <protection/>
    </xf>
    <xf numFmtId="0" fontId="29" fillId="0" borderId="18" xfId="0" applyNumberFormat="1" applyFont="1" applyFill="1" applyBorder="1" applyAlignment="1" applyProtection="1">
      <alignment horizontal="center" vertical="center" wrapText="1"/>
      <protection/>
    </xf>
    <xf numFmtId="49" fontId="41" fillId="0" borderId="0" xfId="0" applyNumberFormat="1" applyFont="1" applyFill="1" applyBorder="1" applyAlignment="1">
      <alignment horizontal="left" vertical="center" wrapText="1"/>
    </xf>
    <xf numFmtId="0" fontId="0" fillId="0" borderId="0" xfId="0" applyFill="1" applyAlignment="1">
      <alignment vertical="center" wrapText="1"/>
    </xf>
    <xf numFmtId="3" fontId="41" fillId="0" borderId="0" xfId="0" applyNumberFormat="1" applyFont="1" applyFill="1" applyBorder="1" applyAlignment="1">
      <alignment horizontal="center" vertical="center" wrapText="1"/>
    </xf>
    <xf numFmtId="0" fontId="42" fillId="0" borderId="0" xfId="0" applyNumberFormat="1" applyFont="1" applyFill="1" applyAlignment="1" applyProtection="1">
      <alignment horizontal="center"/>
      <protection/>
    </xf>
    <xf numFmtId="0" fontId="29" fillId="0" borderId="18"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protection/>
    </xf>
    <xf numFmtId="0" fontId="0" fillId="0" borderId="16" xfId="0" applyFont="1" applyFill="1" applyBorder="1" applyAlignment="1">
      <alignment horizontal="center" vertical="center"/>
    </xf>
    <xf numFmtId="49" fontId="31" fillId="0" borderId="18" xfId="0" applyNumberFormat="1" applyFont="1" applyFill="1" applyBorder="1" applyAlignment="1">
      <alignment horizontal="center" vertical="center"/>
    </xf>
    <xf numFmtId="4" fontId="29" fillId="0" borderId="18" xfId="95" applyNumberFormat="1" applyFont="1" applyFill="1" applyBorder="1" applyAlignment="1">
      <alignment vertical="center"/>
      <protection/>
    </xf>
    <xf numFmtId="4" fontId="29" fillId="0" borderId="16" xfId="95" applyNumberFormat="1" applyFont="1" applyFill="1" applyBorder="1" applyAlignment="1">
      <alignmen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xf numFmtId="0" fontId="29" fillId="0" borderId="19"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31" fillId="0" borderId="21"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31" fillId="0" borderId="21"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40" fillId="0" borderId="0" xfId="0" applyFont="1" applyFill="1" applyBorder="1" applyAlignment="1">
      <alignment horizontal="center" vertical="center" textRotation="180"/>
    </xf>
    <xf numFmtId="0" fontId="28" fillId="0" borderId="0" xfId="0" applyFont="1" applyFill="1" applyAlignment="1">
      <alignment horizontal="left" vertical="center"/>
    </xf>
    <xf numFmtId="0" fontId="28" fillId="0" borderId="0" xfId="0" applyFont="1" applyFill="1" applyAlignment="1">
      <alignment horizontal="left" vertical="center" wrapText="1"/>
    </xf>
    <xf numFmtId="0" fontId="0" fillId="0" borderId="0" xfId="0" applyFont="1" applyFill="1" applyAlignment="1">
      <alignment horizont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42"/>
  <sheetViews>
    <sheetView showGridLines="0" showZeros="0" tabSelected="1" view="pageBreakPreview" zoomScale="70" zoomScaleNormal="70" zoomScaleSheetLayoutView="70" zoomScalePageLayoutView="0" workbookViewId="0" topLeftCell="B1">
      <selection activeCell="M6" sqref="M6"/>
    </sheetView>
  </sheetViews>
  <sheetFormatPr defaultColWidth="9.16015625" defaultRowHeight="12.75"/>
  <cols>
    <col min="1" max="1" width="3.83203125" style="12" hidden="1" customWidth="1"/>
    <col min="2" max="2" width="16.5" style="26" customWidth="1"/>
    <col min="3" max="3" width="13.66015625" style="12" customWidth="1"/>
    <col min="4" max="4" width="48.16015625" style="12" customWidth="1"/>
    <col min="5" max="5" width="20.16015625" style="12" customWidth="1"/>
    <col min="6" max="6" width="22.33203125" style="12" customWidth="1"/>
    <col min="7" max="7" width="18.5" style="12" customWidth="1"/>
    <col min="8" max="8" width="17" style="12" customWidth="1"/>
    <col min="9" max="9" width="16.5" style="12" customWidth="1"/>
    <col min="10" max="10" width="19" style="12" customWidth="1"/>
    <col min="11" max="11" width="17.83203125" style="12" customWidth="1"/>
    <col min="12" max="12" width="16.66015625" style="12" customWidth="1"/>
    <col min="13" max="13" width="16.16015625" style="12" customWidth="1"/>
    <col min="14" max="14" width="18.33203125" style="12" customWidth="1"/>
    <col min="15" max="15" width="22" style="12" customWidth="1"/>
    <col min="16" max="16" width="20.5" style="12" customWidth="1"/>
    <col min="17" max="17" width="7.33203125" style="105" customWidth="1"/>
    <col min="18" max="16384" width="9.16015625" style="57" customWidth="1"/>
  </cols>
  <sheetData>
    <row r="1" spans="1:18" s="11" customFormat="1" ht="25.5" customHeight="1">
      <c r="A1" s="2"/>
      <c r="B1" s="98"/>
      <c r="C1" s="2"/>
      <c r="D1" s="2"/>
      <c r="E1" s="2"/>
      <c r="F1" s="2"/>
      <c r="G1" s="2"/>
      <c r="H1" s="2"/>
      <c r="I1" s="2"/>
      <c r="J1" s="2"/>
      <c r="K1" s="2"/>
      <c r="M1" s="176" t="s">
        <v>510</v>
      </c>
      <c r="N1" s="176"/>
      <c r="O1" s="176"/>
      <c r="P1" s="156"/>
      <c r="Q1" s="201"/>
      <c r="R1" s="204"/>
    </row>
    <row r="2" spans="13:18" ht="23.25" customHeight="1">
      <c r="M2" s="165" t="s">
        <v>507</v>
      </c>
      <c r="N2" s="164"/>
      <c r="O2" s="164"/>
      <c r="P2" s="115"/>
      <c r="Q2" s="201"/>
      <c r="R2" s="204"/>
    </row>
    <row r="3" spans="13:23" ht="23.25" customHeight="1">
      <c r="M3" s="165" t="s">
        <v>508</v>
      </c>
      <c r="N3" s="164"/>
      <c r="O3" s="164"/>
      <c r="P3" s="115"/>
      <c r="Q3" s="201"/>
      <c r="R3" s="204"/>
      <c r="S3" s="122"/>
      <c r="T3" s="122"/>
      <c r="U3" s="122"/>
      <c r="V3" s="122"/>
      <c r="W3" s="122"/>
    </row>
    <row r="4" spans="13:23" ht="23.25" customHeight="1">
      <c r="M4" s="165" t="s">
        <v>509</v>
      </c>
      <c r="N4" s="164"/>
      <c r="O4" s="164"/>
      <c r="P4" s="115"/>
      <c r="Q4" s="201"/>
      <c r="R4" s="204"/>
      <c r="S4" s="123"/>
      <c r="T4" s="123"/>
      <c r="U4" s="123"/>
      <c r="V4" s="123"/>
      <c r="W4" s="123"/>
    </row>
    <row r="5" spans="1:23" s="8" customFormat="1" ht="23.25" customHeight="1">
      <c r="A5" s="7"/>
      <c r="B5" s="27"/>
      <c r="C5" s="125"/>
      <c r="D5" s="125"/>
      <c r="E5" s="125"/>
      <c r="F5" s="125"/>
      <c r="G5" s="125"/>
      <c r="H5" s="125"/>
      <c r="I5" s="125"/>
      <c r="J5" s="125"/>
      <c r="K5" s="125"/>
      <c r="M5" s="165" t="s">
        <v>514</v>
      </c>
      <c r="N5" s="164"/>
      <c r="O5" s="164"/>
      <c r="P5" s="115"/>
      <c r="Q5" s="201"/>
      <c r="R5" s="204"/>
      <c r="S5" s="202"/>
      <c r="T5" s="202"/>
      <c r="U5" s="202"/>
      <c r="V5" s="202"/>
      <c r="W5" s="202"/>
    </row>
    <row r="6" spans="1:23" s="8" customFormat="1" ht="23.25" customHeight="1">
      <c r="A6" s="7"/>
      <c r="B6" s="27"/>
      <c r="C6" s="125"/>
      <c r="D6" s="125"/>
      <c r="E6" s="125"/>
      <c r="F6" s="125"/>
      <c r="G6" s="125"/>
      <c r="H6" s="125"/>
      <c r="I6" s="125"/>
      <c r="J6" s="125"/>
      <c r="K6" s="125"/>
      <c r="L6" s="115"/>
      <c r="M6" s="115"/>
      <c r="N6" s="115"/>
      <c r="O6" s="115"/>
      <c r="P6" s="115"/>
      <c r="Q6" s="201"/>
      <c r="R6" s="204"/>
      <c r="S6" s="122"/>
      <c r="T6" s="122"/>
      <c r="U6" s="122"/>
      <c r="V6" s="122"/>
      <c r="W6" s="122"/>
    </row>
    <row r="7" spans="5:23" ht="23.25" customHeight="1">
      <c r="E7" s="1"/>
      <c r="F7" s="1"/>
      <c r="G7" s="1"/>
      <c r="H7" s="1"/>
      <c r="I7" s="1"/>
      <c r="J7" s="1"/>
      <c r="K7" s="1"/>
      <c r="L7" s="1"/>
      <c r="M7" s="49"/>
      <c r="N7" s="49"/>
      <c r="O7" s="49"/>
      <c r="P7" s="49"/>
      <c r="Q7" s="201"/>
      <c r="R7" s="204"/>
      <c r="S7" s="203"/>
      <c r="T7" s="203"/>
      <c r="U7" s="203"/>
      <c r="V7" s="203"/>
      <c r="W7" s="203"/>
    </row>
    <row r="8" spans="1:18" s="11" customFormat="1" ht="50.25" customHeight="1">
      <c r="A8" s="56"/>
      <c r="B8" s="98"/>
      <c r="C8" s="171" t="s">
        <v>343</v>
      </c>
      <c r="D8" s="171"/>
      <c r="E8" s="171"/>
      <c r="F8" s="171"/>
      <c r="G8" s="171"/>
      <c r="H8" s="171"/>
      <c r="I8" s="171"/>
      <c r="J8" s="171"/>
      <c r="K8" s="171"/>
      <c r="L8" s="171"/>
      <c r="M8" s="171"/>
      <c r="N8" s="171"/>
      <c r="O8" s="171"/>
      <c r="P8" s="171"/>
      <c r="Q8" s="201"/>
      <c r="R8" s="204"/>
    </row>
    <row r="9" spans="1:18" s="11" customFormat="1" ht="11.25" customHeight="1">
      <c r="A9" s="12"/>
      <c r="B9" s="26"/>
      <c r="C9" s="71"/>
      <c r="D9" s="71"/>
      <c r="E9" s="71"/>
      <c r="F9" s="71"/>
      <c r="G9" s="6"/>
      <c r="H9" s="3"/>
      <c r="I9" s="3"/>
      <c r="J9" s="4"/>
      <c r="K9" s="5"/>
      <c r="L9" s="5"/>
      <c r="M9" s="5"/>
      <c r="N9" s="5"/>
      <c r="O9" s="5"/>
      <c r="P9" s="14" t="s">
        <v>12</v>
      </c>
      <c r="Q9" s="201"/>
      <c r="R9" s="204"/>
    </row>
    <row r="10" spans="1:18" s="16" customFormat="1" ht="21.75" customHeight="1">
      <c r="A10" s="15"/>
      <c r="B10" s="177" t="s">
        <v>97</v>
      </c>
      <c r="C10" s="177" t="s">
        <v>11</v>
      </c>
      <c r="D10" s="180" t="s">
        <v>304</v>
      </c>
      <c r="E10" s="188" t="s">
        <v>0</v>
      </c>
      <c r="F10" s="189"/>
      <c r="G10" s="189"/>
      <c r="H10" s="189"/>
      <c r="I10" s="190"/>
      <c r="J10" s="188" t="s">
        <v>1</v>
      </c>
      <c r="K10" s="189"/>
      <c r="L10" s="189"/>
      <c r="M10" s="189"/>
      <c r="N10" s="189"/>
      <c r="O10" s="190"/>
      <c r="P10" s="180" t="s">
        <v>2</v>
      </c>
      <c r="Q10" s="201"/>
      <c r="R10" s="204"/>
    </row>
    <row r="11" spans="1:18" s="16" customFormat="1" ht="16.5" customHeight="1">
      <c r="A11" s="17"/>
      <c r="B11" s="178"/>
      <c r="C11" s="178"/>
      <c r="D11" s="181"/>
      <c r="E11" s="180" t="s">
        <v>3</v>
      </c>
      <c r="F11" s="194" t="s">
        <v>4</v>
      </c>
      <c r="G11" s="168" t="s">
        <v>5</v>
      </c>
      <c r="H11" s="169"/>
      <c r="I11" s="191" t="s">
        <v>6</v>
      </c>
      <c r="J11" s="172" t="s">
        <v>3</v>
      </c>
      <c r="K11" s="194" t="s">
        <v>4</v>
      </c>
      <c r="L11" s="168" t="s">
        <v>5</v>
      </c>
      <c r="M11" s="169"/>
      <c r="N11" s="191" t="s">
        <v>6</v>
      </c>
      <c r="O11" s="126" t="s">
        <v>5</v>
      </c>
      <c r="P11" s="181"/>
      <c r="Q11" s="201"/>
      <c r="R11" s="204"/>
    </row>
    <row r="12" spans="1:18" s="16" customFormat="1" ht="20.25" customHeight="1">
      <c r="A12" s="18"/>
      <c r="B12" s="178"/>
      <c r="C12" s="178"/>
      <c r="D12" s="181"/>
      <c r="E12" s="181"/>
      <c r="F12" s="195"/>
      <c r="G12" s="197" t="s">
        <v>7</v>
      </c>
      <c r="H12" s="197" t="s">
        <v>8</v>
      </c>
      <c r="I12" s="192"/>
      <c r="J12" s="199"/>
      <c r="K12" s="195"/>
      <c r="L12" s="197" t="s">
        <v>7</v>
      </c>
      <c r="M12" s="197" t="s">
        <v>8</v>
      </c>
      <c r="N12" s="192"/>
      <c r="O12" s="172" t="s">
        <v>10</v>
      </c>
      <c r="P12" s="181"/>
      <c r="Q12" s="201"/>
      <c r="R12" s="204"/>
    </row>
    <row r="13" spans="1:18" s="16" customFormat="1" ht="96" customHeight="1">
      <c r="A13" s="19"/>
      <c r="B13" s="179"/>
      <c r="C13" s="179"/>
      <c r="D13" s="182"/>
      <c r="E13" s="182"/>
      <c r="F13" s="196"/>
      <c r="G13" s="198"/>
      <c r="H13" s="198"/>
      <c r="I13" s="193"/>
      <c r="J13" s="200"/>
      <c r="K13" s="196"/>
      <c r="L13" s="198"/>
      <c r="M13" s="198"/>
      <c r="N13" s="193"/>
      <c r="O13" s="200"/>
      <c r="P13" s="182"/>
      <c r="Q13" s="201"/>
      <c r="R13" s="204"/>
    </row>
    <row r="14" spans="1:18" s="22" customFormat="1" ht="28.5">
      <c r="A14" s="20"/>
      <c r="B14" s="127" t="s">
        <v>98</v>
      </c>
      <c r="C14" s="50"/>
      <c r="D14" s="21" t="s">
        <v>303</v>
      </c>
      <c r="E14" s="43">
        <f>E15</f>
        <v>78137261.39</v>
      </c>
      <c r="F14" s="43">
        <f aca="true" t="shared" si="0" ref="F14:P14">F15</f>
        <v>58837621.39</v>
      </c>
      <c r="G14" s="43">
        <f t="shared" si="0"/>
        <v>26650695</v>
      </c>
      <c r="H14" s="43">
        <f t="shared" si="0"/>
        <v>2980550.79</v>
      </c>
      <c r="I14" s="43">
        <f t="shared" si="0"/>
        <v>19299640</v>
      </c>
      <c r="J14" s="43">
        <f t="shared" si="0"/>
        <v>60889262.47</v>
      </c>
      <c r="K14" s="43">
        <f t="shared" si="0"/>
        <v>473457.47</v>
      </c>
      <c r="L14" s="43">
        <f t="shared" si="0"/>
        <v>144491</v>
      </c>
      <c r="M14" s="43">
        <f t="shared" si="0"/>
        <v>98348</v>
      </c>
      <c r="N14" s="43">
        <f t="shared" si="0"/>
        <v>60415805</v>
      </c>
      <c r="O14" s="43">
        <f t="shared" si="0"/>
        <v>60415805</v>
      </c>
      <c r="P14" s="43">
        <f t="shared" si="0"/>
        <v>139026523.86</v>
      </c>
      <c r="Q14" s="201"/>
      <c r="R14" s="204"/>
    </row>
    <row r="15" spans="1:18" s="67" customFormat="1" ht="30">
      <c r="A15" s="66"/>
      <c r="B15" s="72" t="s">
        <v>99</v>
      </c>
      <c r="C15" s="51"/>
      <c r="D15" s="35" t="s">
        <v>303</v>
      </c>
      <c r="E15" s="53">
        <f aca="true" t="shared" si="1" ref="E15:P15">E16+E19+E22+E23+E24+E26+E28+E31+E34+E37+E38+E40+E45+E50+E51+E52+E54+E56+E66+E57+E48+E17+E42+E43+E41+E46+E55+E65</f>
        <v>78137261.39</v>
      </c>
      <c r="F15" s="53">
        <f t="shared" si="1"/>
        <v>58837621.39</v>
      </c>
      <c r="G15" s="53">
        <f t="shared" si="1"/>
        <v>26650695</v>
      </c>
      <c r="H15" s="53">
        <f t="shared" si="1"/>
        <v>2980550.79</v>
      </c>
      <c r="I15" s="53">
        <f t="shared" si="1"/>
        <v>19299640</v>
      </c>
      <c r="J15" s="53">
        <f t="shared" si="1"/>
        <v>60889262.47</v>
      </c>
      <c r="K15" s="53">
        <f t="shared" si="1"/>
        <v>473457.47</v>
      </c>
      <c r="L15" s="53">
        <f t="shared" si="1"/>
        <v>144491</v>
      </c>
      <c r="M15" s="53">
        <f t="shared" si="1"/>
        <v>98348</v>
      </c>
      <c r="N15" s="53">
        <f t="shared" si="1"/>
        <v>60415805</v>
      </c>
      <c r="O15" s="53">
        <f t="shared" si="1"/>
        <v>60415805</v>
      </c>
      <c r="P15" s="53">
        <f t="shared" si="1"/>
        <v>139026523.86</v>
      </c>
      <c r="Q15" s="201"/>
      <c r="R15" s="204"/>
    </row>
    <row r="16" spans="1:18" s="22" customFormat="1" ht="45" customHeight="1">
      <c r="A16" s="33"/>
      <c r="B16" s="127" t="s">
        <v>101</v>
      </c>
      <c r="C16" s="92" t="s">
        <v>9</v>
      </c>
      <c r="D16" s="93" t="s">
        <v>100</v>
      </c>
      <c r="E16" s="128">
        <f>F16+I16</f>
        <v>32557493.6</v>
      </c>
      <c r="F16" s="128">
        <f>27284910+1516344+285000+126395+1030900+63943.6+92299-493340+40000-40000+765469+70200+231000+281400+632060+312940+100000+404800-146827</f>
        <v>32557493.6</v>
      </c>
      <c r="G16" s="128">
        <f>16195850+1873700+845100+447106+331800</f>
        <v>19693556</v>
      </c>
      <c r="H16" s="128">
        <v>1520550</v>
      </c>
      <c r="I16" s="128"/>
      <c r="J16" s="128">
        <f>K16+N16</f>
        <v>6002548</v>
      </c>
      <c r="K16" s="128"/>
      <c r="L16" s="128"/>
      <c r="M16" s="128"/>
      <c r="N16" s="128">
        <f>1100000+2043480+900000+1211765-92299+493340+34835+33600+64000+213827</f>
        <v>6002548</v>
      </c>
      <c r="O16" s="128">
        <f>1100000+2043480+900000+1211765-92299+493340+34835+33600+64000+213827</f>
        <v>6002548</v>
      </c>
      <c r="P16" s="128">
        <f>E16+J16</f>
        <v>38560041.6</v>
      </c>
      <c r="Q16" s="201"/>
      <c r="R16" s="204"/>
    </row>
    <row r="17" spans="1:18" s="22" customFormat="1" ht="210">
      <c r="A17" s="20"/>
      <c r="B17" s="127" t="s">
        <v>330</v>
      </c>
      <c r="C17" s="92"/>
      <c r="D17" s="93" t="s">
        <v>208</v>
      </c>
      <c r="E17" s="128">
        <f>E18</f>
        <v>32500</v>
      </c>
      <c r="F17" s="128">
        <f aca="true" t="shared" si="2" ref="F17:P17">F18</f>
        <v>32500</v>
      </c>
      <c r="G17" s="128">
        <f t="shared" si="2"/>
        <v>0</v>
      </c>
      <c r="H17" s="128">
        <f t="shared" si="2"/>
        <v>0</v>
      </c>
      <c r="I17" s="128">
        <f t="shared" si="2"/>
        <v>0</v>
      </c>
      <c r="J17" s="128">
        <f t="shared" si="2"/>
        <v>0</v>
      </c>
      <c r="K17" s="128">
        <f t="shared" si="2"/>
        <v>0</v>
      </c>
      <c r="L17" s="128">
        <f t="shared" si="2"/>
        <v>0</v>
      </c>
      <c r="M17" s="128">
        <f t="shared" si="2"/>
        <v>0</v>
      </c>
      <c r="N17" s="128">
        <f t="shared" si="2"/>
        <v>0</v>
      </c>
      <c r="O17" s="128">
        <f t="shared" si="2"/>
        <v>0</v>
      </c>
      <c r="P17" s="128">
        <f t="shared" si="2"/>
        <v>32500</v>
      </c>
      <c r="Q17" s="201"/>
      <c r="R17" s="204"/>
    </row>
    <row r="18" spans="1:18" s="67" customFormat="1" ht="45">
      <c r="A18" s="66"/>
      <c r="B18" s="72" t="s">
        <v>331</v>
      </c>
      <c r="C18" s="59" t="s">
        <v>72</v>
      </c>
      <c r="D18" s="60" t="s">
        <v>73</v>
      </c>
      <c r="E18" s="48">
        <f>F18+I18</f>
        <v>32500</v>
      </c>
      <c r="F18" s="54">
        <v>32500</v>
      </c>
      <c r="G18" s="52"/>
      <c r="H18" s="52"/>
      <c r="I18" s="52"/>
      <c r="J18" s="52"/>
      <c r="K18" s="52"/>
      <c r="L18" s="52"/>
      <c r="M18" s="52"/>
      <c r="N18" s="52"/>
      <c r="O18" s="52"/>
      <c r="P18" s="52">
        <f>E18+J18</f>
        <v>32500</v>
      </c>
      <c r="Q18" s="201"/>
      <c r="R18" s="204"/>
    </row>
    <row r="19" spans="1:18" s="22" customFormat="1" ht="30">
      <c r="A19" s="33"/>
      <c r="B19" s="127" t="s">
        <v>102</v>
      </c>
      <c r="C19" s="92"/>
      <c r="D19" s="93" t="s">
        <v>103</v>
      </c>
      <c r="E19" s="128">
        <f>E20+E21</f>
        <v>757600</v>
      </c>
      <c r="F19" s="128">
        <f aca="true" t="shared" si="3" ref="F19:P19">F20+F21</f>
        <v>757600</v>
      </c>
      <c r="G19" s="128">
        <f t="shared" si="3"/>
        <v>502990</v>
      </c>
      <c r="H19" s="128">
        <f t="shared" si="3"/>
        <v>55897</v>
      </c>
      <c r="I19" s="128">
        <f t="shared" si="3"/>
        <v>0</v>
      </c>
      <c r="J19" s="128">
        <f t="shared" si="3"/>
        <v>0</v>
      </c>
      <c r="K19" s="128">
        <f t="shared" si="3"/>
        <v>0</v>
      </c>
      <c r="L19" s="128">
        <f t="shared" si="3"/>
        <v>0</v>
      </c>
      <c r="M19" s="128">
        <f t="shared" si="3"/>
        <v>0</v>
      </c>
      <c r="N19" s="128">
        <f t="shared" si="3"/>
        <v>0</v>
      </c>
      <c r="O19" s="128">
        <f t="shared" si="3"/>
        <v>0</v>
      </c>
      <c r="P19" s="128">
        <f t="shared" si="3"/>
        <v>757600</v>
      </c>
      <c r="Q19" s="201"/>
      <c r="R19" s="204"/>
    </row>
    <row r="20" spans="1:18" s="67" customFormat="1" ht="30">
      <c r="A20" s="66"/>
      <c r="B20" s="72" t="s">
        <v>104</v>
      </c>
      <c r="C20" s="59" t="s">
        <v>15</v>
      </c>
      <c r="D20" s="60" t="s">
        <v>107</v>
      </c>
      <c r="E20" s="48">
        <f>F20+I20</f>
        <v>717600</v>
      </c>
      <c r="F20" s="54">
        <f>847250-160250+5000+17100+8500</f>
        <v>717600</v>
      </c>
      <c r="G20" s="54">
        <f>564500-71550+14000-3960</f>
        <v>502990</v>
      </c>
      <c r="H20" s="54">
        <v>55897</v>
      </c>
      <c r="I20" s="52"/>
      <c r="J20" s="52">
        <f>K20+N20</f>
        <v>0</v>
      </c>
      <c r="K20" s="52"/>
      <c r="L20" s="52"/>
      <c r="M20" s="52"/>
      <c r="N20" s="52"/>
      <c r="O20" s="52"/>
      <c r="P20" s="52">
        <f>E20+J20</f>
        <v>717600</v>
      </c>
      <c r="Q20" s="201"/>
      <c r="R20" s="204"/>
    </row>
    <row r="21" spans="1:18" s="67" customFormat="1" ht="30">
      <c r="A21" s="66"/>
      <c r="B21" s="129" t="s">
        <v>105</v>
      </c>
      <c r="C21" s="130" t="s">
        <v>16</v>
      </c>
      <c r="D21" s="29" t="s">
        <v>108</v>
      </c>
      <c r="E21" s="52">
        <f>F21+I21</f>
        <v>40000</v>
      </c>
      <c r="F21" s="128">
        <v>40000</v>
      </c>
      <c r="G21" s="48"/>
      <c r="H21" s="48"/>
      <c r="I21" s="48"/>
      <c r="J21" s="48">
        <f>K21+N21</f>
        <v>0</v>
      </c>
      <c r="K21" s="48"/>
      <c r="L21" s="48"/>
      <c r="M21" s="48"/>
      <c r="N21" s="48"/>
      <c r="O21" s="48"/>
      <c r="P21" s="48">
        <f>E21+J21</f>
        <v>40000</v>
      </c>
      <c r="Q21" s="201"/>
      <c r="R21" s="204"/>
    </row>
    <row r="22" spans="1:18" s="67" customFormat="1" ht="15">
      <c r="A22" s="66"/>
      <c r="B22" s="42" t="s">
        <v>106</v>
      </c>
      <c r="C22" s="31" t="s">
        <v>17</v>
      </c>
      <c r="D22" s="34" t="s">
        <v>109</v>
      </c>
      <c r="E22" s="54">
        <f>F22+I22</f>
        <v>605000</v>
      </c>
      <c r="F22" s="54">
        <f>105000+500000</f>
        <v>605000</v>
      </c>
      <c r="G22" s="54"/>
      <c r="H22" s="54"/>
      <c r="I22" s="54"/>
      <c r="J22" s="54">
        <f>K22+N22</f>
        <v>0</v>
      </c>
      <c r="K22" s="54"/>
      <c r="L22" s="54"/>
      <c r="M22" s="54"/>
      <c r="N22" s="54"/>
      <c r="O22" s="54"/>
      <c r="P22" s="54">
        <f>E22+J22</f>
        <v>605000</v>
      </c>
      <c r="Q22" s="201"/>
      <c r="R22" s="204"/>
    </row>
    <row r="23" spans="1:18" s="67" customFormat="1" ht="75">
      <c r="A23" s="66"/>
      <c r="B23" s="42" t="s">
        <v>110</v>
      </c>
      <c r="C23" s="31" t="s">
        <v>20</v>
      </c>
      <c r="D23" s="73" t="s">
        <v>111</v>
      </c>
      <c r="E23" s="54">
        <f>F23+I23</f>
        <v>1106888</v>
      </c>
      <c r="F23" s="54">
        <f>189000+917888</f>
        <v>1106888</v>
      </c>
      <c r="G23" s="54"/>
      <c r="H23" s="54"/>
      <c r="I23" s="54"/>
      <c r="J23" s="54">
        <f>K23+N23</f>
        <v>0</v>
      </c>
      <c r="K23" s="54"/>
      <c r="L23" s="54"/>
      <c r="M23" s="54"/>
      <c r="N23" s="54"/>
      <c r="O23" s="54"/>
      <c r="P23" s="54">
        <f>E23+J23</f>
        <v>1106888</v>
      </c>
      <c r="Q23" s="201"/>
      <c r="R23" s="204"/>
    </row>
    <row r="24" spans="1:18" s="67" customFormat="1" ht="30">
      <c r="A24" s="66"/>
      <c r="B24" s="42" t="s">
        <v>112</v>
      </c>
      <c r="C24" s="31" t="s">
        <v>13</v>
      </c>
      <c r="D24" s="34" t="s">
        <v>14</v>
      </c>
      <c r="E24" s="54">
        <f>E25</f>
        <v>207253</v>
      </c>
      <c r="F24" s="54">
        <f aca="true" t="shared" si="4" ref="F24:P24">F25</f>
        <v>207253</v>
      </c>
      <c r="G24" s="54">
        <f t="shared" si="4"/>
        <v>0</v>
      </c>
      <c r="H24" s="54">
        <f t="shared" si="4"/>
        <v>0</v>
      </c>
      <c r="I24" s="54">
        <f t="shared" si="4"/>
        <v>0</v>
      </c>
      <c r="J24" s="54">
        <f t="shared" si="4"/>
        <v>0</v>
      </c>
      <c r="K24" s="54">
        <f t="shared" si="4"/>
        <v>0</v>
      </c>
      <c r="L24" s="54">
        <f t="shared" si="4"/>
        <v>0</v>
      </c>
      <c r="M24" s="54">
        <f t="shared" si="4"/>
        <v>0</v>
      </c>
      <c r="N24" s="54">
        <f t="shared" si="4"/>
        <v>0</v>
      </c>
      <c r="O24" s="54">
        <f t="shared" si="4"/>
        <v>0</v>
      </c>
      <c r="P24" s="54">
        <f t="shared" si="4"/>
        <v>207253</v>
      </c>
      <c r="Q24" s="201"/>
      <c r="R24" s="204"/>
    </row>
    <row r="25" spans="1:18" s="67" customFormat="1" ht="45">
      <c r="A25" s="66"/>
      <c r="B25" s="129" t="s">
        <v>113</v>
      </c>
      <c r="C25" s="130" t="s">
        <v>13</v>
      </c>
      <c r="D25" s="29" t="s">
        <v>344</v>
      </c>
      <c r="E25" s="52">
        <f>F25+I25</f>
        <v>207253</v>
      </c>
      <c r="F25" s="128">
        <f>143404+22688+10861+30300</f>
        <v>207253</v>
      </c>
      <c r="G25" s="53"/>
      <c r="H25" s="53"/>
      <c r="I25" s="53"/>
      <c r="J25" s="48">
        <f>K25+N25</f>
        <v>0</v>
      </c>
      <c r="K25" s="53"/>
      <c r="L25" s="53"/>
      <c r="M25" s="53"/>
      <c r="N25" s="53"/>
      <c r="O25" s="53"/>
      <c r="P25" s="48">
        <f>E25+J25</f>
        <v>207253</v>
      </c>
      <c r="Q25" s="201"/>
      <c r="R25" s="204"/>
    </row>
    <row r="26" spans="1:18" s="22" customFormat="1" ht="15" customHeight="1">
      <c r="A26" s="33"/>
      <c r="B26" s="42" t="s">
        <v>114</v>
      </c>
      <c r="C26" s="31" t="s">
        <v>18</v>
      </c>
      <c r="D26" s="34" t="s">
        <v>19</v>
      </c>
      <c r="E26" s="54">
        <f>E27</f>
        <v>515473</v>
      </c>
      <c r="F26" s="54">
        <f aca="true" t="shared" si="5" ref="F26:P26">F27</f>
        <v>515473</v>
      </c>
      <c r="G26" s="54">
        <f t="shared" si="5"/>
        <v>338600</v>
      </c>
      <c r="H26" s="54">
        <f t="shared" si="5"/>
        <v>76406</v>
      </c>
      <c r="I26" s="54">
        <f t="shared" si="5"/>
        <v>0</v>
      </c>
      <c r="J26" s="54">
        <f t="shared" si="5"/>
        <v>9645</v>
      </c>
      <c r="K26" s="54">
        <f t="shared" si="5"/>
        <v>0</v>
      </c>
      <c r="L26" s="54">
        <f t="shared" si="5"/>
        <v>0</v>
      </c>
      <c r="M26" s="54">
        <f t="shared" si="5"/>
        <v>0</v>
      </c>
      <c r="N26" s="54">
        <f t="shared" si="5"/>
        <v>9645</v>
      </c>
      <c r="O26" s="54">
        <f t="shared" si="5"/>
        <v>9645</v>
      </c>
      <c r="P26" s="54">
        <f t="shared" si="5"/>
        <v>525118</v>
      </c>
      <c r="Q26" s="201"/>
      <c r="R26" s="204"/>
    </row>
    <row r="27" spans="1:17" s="67" customFormat="1" ht="45">
      <c r="A27" s="66"/>
      <c r="B27" s="129" t="s">
        <v>115</v>
      </c>
      <c r="C27" s="130" t="s">
        <v>18</v>
      </c>
      <c r="D27" s="29" t="s">
        <v>345</v>
      </c>
      <c r="E27" s="52">
        <f>F27+I27</f>
        <v>515473</v>
      </c>
      <c r="F27" s="128">
        <f>582100-72200+1600+3973</f>
        <v>515473</v>
      </c>
      <c r="G27" s="128">
        <f>354900-17600+1300</f>
        <v>338600</v>
      </c>
      <c r="H27" s="128">
        <f>72433+3973</f>
        <v>76406</v>
      </c>
      <c r="I27" s="48"/>
      <c r="J27" s="48">
        <f>K27+N27</f>
        <v>9645</v>
      </c>
      <c r="K27" s="48"/>
      <c r="L27" s="48"/>
      <c r="M27" s="48"/>
      <c r="N27" s="48">
        <v>9645</v>
      </c>
      <c r="O27" s="48">
        <v>9645</v>
      </c>
      <c r="P27" s="48">
        <f>E27+J27</f>
        <v>525118</v>
      </c>
      <c r="Q27" s="170"/>
    </row>
    <row r="28" spans="1:17" s="22" customFormat="1" ht="15">
      <c r="A28" s="33"/>
      <c r="B28" s="42" t="s">
        <v>117</v>
      </c>
      <c r="C28" s="31" t="s">
        <v>23</v>
      </c>
      <c r="D28" s="34" t="s">
        <v>116</v>
      </c>
      <c r="E28" s="54">
        <f>E29+E30</f>
        <v>1888832</v>
      </c>
      <c r="F28" s="54">
        <f aca="true" t="shared" si="6" ref="F28:P28">F29+F30</f>
        <v>1888832</v>
      </c>
      <c r="G28" s="54">
        <f t="shared" si="6"/>
        <v>997413</v>
      </c>
      <c r="H28" s="54">
        <f t="shared" si="6"/>
        <v>91785</v>
      </c>
      <c r="I28" s="54">
        <f t="shared" si="6"/>
        <v>0</v>
      </c>
      <c r="J28" s="54">
        <f t="shared" si="6"/>
        <v>112582</v>
      </c>
      <c r="K28" s="54">
        <f t="shared" si="6"/>
        <v>0</v>
      </c>
      <c r="L28" s="54">
        <f t="shared" si="6"/>
        <v>0</v>
      </c>
      <c r="M28" s="54">
        <f t="shared" si="6"/>
        <v>0</v>
      </c>
      <c r="N28" s="54">
        <f t="shared" si="6"/>
        <v>112582</v>
      </c>
      <c r="O28" s="54">
        <f t="shared" si="6"/>
        <v>112582</v>
      </c>
      <c r="P28" s="54">
        <f t="shared" si="6"/>
        <v>2001414</v>
      </c>
      <c r="Q28" s="170"/>
    </row>
    <row r="29" spans="1:17" s="22" customFormat="1" ht="30">
      <c r="A29" s="20"/>
      <c r="B29" s="130" t="s">
        <v>119</v>
      </c>
      <c r="C29" s="130" t="s">
        <v>23</v>
      </c>
      <c r="D29" s="131" t="s">
        <v>118</v>
      </c>
      <c r="E29" s="128">
        <f>F29+I29</f>
        <v>918268</v>
      </c>
      <c r="F29" s="128">
        <f>720570-85950+1446+105200+27000+12000+26825+47000+60000+4177</f>
        <v>918268</v>
      </c>
      <c r="G29" s="132">
        <f>387400-25042</f>
        <v>362358</v>
      </c>
      <c r="H29" s="132">
        <v>29252</v>
      </c>
      <c r="I29" s="44"/>
      <c r="J29" s="54">
        <f>K29+N29</f>
        <v>92582</v>
      </c>
      <c r="K29" s="54"/>
      <c r="L29" s="54"/>
      <c r="M29" s="54"/>
      <c r="N29" s="74">
        <f>50000+4759+69000-27000-4177</f>
        <v>92582</v>
      </c>
      <c r="O29" s="74">
        <f>50000+4759+69000-27000-4177</f>
        <v>92582</v>
      </c>
      <c r="P29" s="54">
        <f>E29+J29</f>
        <v>1010850</v>
      </c>
      <c r="Q29" s="170"/>
    </row>
    <row r="30" spans="1:17" s="22" customFormat="1" ht="30">
      <c r="A30" s="20"/>
      <c r="B30" s="130" t="s">
        <v>120</v>
      </c>
      <c r="C30" s="130" t="s">
        <v>23</v>
      </c>
      <c r="D30" s="131" t="s">
        <v>500</v>
      </c>
      <c r="E30" s="128">
        <f>F30</f>
        <v>970564</v>
      </c>
      <c r="F30" s="128">
        <f>971550-74514+20000+5000+1528+27000+20000</f>
        <v>970564</v>
      </c>
      <c r="G30" s="132">
        <f>621975+11827+1253</f>
        <v>635055</v>
      </c>
      <c r="H30" s="132">
        <v>62533</v>
      </c>
      <c r="I30" s="133"/>
      <c r="J30" s="128">
        <f>K30+N30</f>
        <v>20000</v>
      </c>
      <c r="K30" s="133"/>
      <c r="L30" s="133"/>
      <c r="M30" s="133"/>
      <c r="N30" s="132">
        <v>20000</v>
      </c>
      <c r="O30" s="132">
        <v>20000</v>
      </c>
      <c r="P30" s="128">
        <f>E30+J30</f>
        <v>990564</v>
      </c>
      <c r="Q30" s="170"/>
    </row>
    <row r="31" spans="1:17" s="22" customFormat="1" ht="15" customHeight="1">
      <c r="A31" s="20"/>
      <c r="B31" s="134" t="s">
        <v>121</v>
      </c>
      <c r="C31" s="92"/>
      <c r="D31" s="135" t="s">
        <v>122</v>
      </c>
      <c r="E31" s="136">
        <f>E32+E33</f>
        <v>1023780</v>
      </c>
      <c r="F31" s="136">
        <f aca="true" t="shared" si="7" ref="F31:O31">F32+F33</f>
        <v>1023780</v>
      </c>
      <c r="G31" s="136">
        <f t="shared" si="7"/>
        <v>0</v>
      </c>
      <c r="H31" s="136">
        <f t="shared" si="7"/>
        <v>0</v>
      </c>
      <c r="I31" s="136">
        <f t="shared" si="7"/>
        <v>0</v>
      </c>
      <c r="J31" s="136">
        <f t="shared" si="7"/>
        <v>0</v>
      </c>
      <c r="K31" s="136">
        <f t="shared" si="7"/>
        <v>0</v>
      </c>
      <c r="L31" s="136">
        <f t="shared" si="7"/>
        <v>0</v>
      </c>
      <c r="M31" s="136">
        <f t="shared" si="7"/>
        <v>0</v>
      </c>
      <c r="N31" s="136">
        <f t="shared" si="7"/>
        <v>0</v>
      </c>
      <c r="O31" s="136">
        <f t="shared" si="7"/>
        <v>0</v>
      </c>
      <c r="P31" s="136">
        <f>P32+P33</f>
        <v>1023780</v>
      </c>
      <c r="Q31" s="170"/>
    </row>
    <row r="32" spans="1:17" s="67" customFormat="1" ht="45">
      <c r="A32" s="66"/>
      <c r="B32" s="65" t="s">
        <v>123</v>
      </c>
      <c r="C32" s="63" t="s">
        <v>24</v>
      </c>
      <c r="D32" s="76" t="s">
        <v>125</v>
      </c>
      <c r="E32" s="46">
        <f>F32+I32</f>
        <v>500000</v>
      </c>
      <c r="F32" s="54">
        <v>500000</v>
      </c>
      <c r="G32" s="77"/>
      <c r="H32" s="77"/>
      <c r="I32" s="78"/>
      <c r="J32" s="46">
        <f>K32+N32</f>
        <v>0</v>
      </c>
      <c r="K32" s="46"/>
      <c r="L32" s="46"/>
      <c r="M32" s="46"/>
      <c r="N32" s="45"/>
      <c r="O32" s="45"/>
      <c r="P32" s="46">
        <f>E32+J32</f>
        <v>500000</v>
      </c>
      <c r="Q32" s="170"/>
    </row>
    <row r="33" spans="1:17" s="67" customFormat="1" ht="45">
      <c r="A33" s="66"/>
      <c r="B33" s="65" t="s">
        <v>124</v>
      </c>
      <c r="C33" s="59" t="s">
        <v>25</v>
      </c>
      <c r="D33" s="60" t="s">
        <v>26</v>
      </c>
      <c r="E33" s="48">
        <f>F33+I33</f>
        <v>523780</v>
      </c>
      <c r="F33" s="54">
        <f>500000+16500+7280</f>
        <v>523780</v>
      </c>
      <c r="G33" s="79"/>
      <c r="H33" s="79"/>
      <c r="I33" s="80"/>
      <c r="J33" s="48">
        <f>K33+N33</f>
        <v>0</v>
      </c>
      <c r="K33" s="48"/>
      <c r="L33" s="48"/>
      <c r="M33" s="48"/>
      <c r="N33" s="47"/>
      <c r="O33" s="47"/>
      <c r="P33" s="48">
        <f>E33+J33</f>
        <v>523780</v>
      </c>
      <c r="Q33" s="170"/>
    </row>
    <row r="34" spans="1:17" s="22" customFormat="1" ht="30">
      <c r="A34" s="33"/>
      <c r="B34" s="32" t="s">
        <v>127</v>
      </c>
      <c r="C34" s="31"/>
      <c r="D34" s="34" t="s">
        <v>126</v>
      </c>
      <c r="E34" s="54">
        <f>E35+E36</f>
        <v>9736989</v>
      </c>
      <c r="F34" s="54">
        <f aca="true" t="shared" si="8" ref="F34:P34">F35+F36</f>
        <v>9736989</v>
      </c>
      <c r="G34" s="54">
        <f t="shared" si="8"/>
        <v>3542824</v>
      </c>
      <c r="H34" s="54">
        <f t="shared" si="8"/>
        <v>456616</v>
      </c>
      <c r="I34" s="54">
        <f t="shared" si="8"/>
        <v>0</v>
      </c>
      <c r="J34" s="54">
        <f t="shared" si="8"/>
        <v>267000</v>
      </c>
      <c r="K34" s="54">
        <f t="shared" si="8"/>
        <v>0</v>
      </c>
      <c r="L34" s="54">
        <f t="shared" si="8"/>
        <v>0</v>
      </c>
      <c r="M34" s="54">
        <f t="shared" si="8"/>
        <v>0</v>
      </c>
      <c r="N34" s="54">
        <f t="shared" si="8"/>
        <v>267000</v>
      </c>
      <c r="O34" s="54">
        <f t="shared" si="8"/>
        <v>267000</v>
      </c>
      <c r="P34" s="54">
        <f t="shared" si="8"/>
        <v>10003989</v>
      </c>
      <c r="Q34" s="170"/>
    </row>
    <row r="35" spans="1:17" s="67" customFormat="1" ht="45">
      <c r="A35" s="66"/>
      <c r="B35" s="137" t="s">
        <v>130</v>
      </c>
      <c r="C35" s="130" t="s">
        <v>27</v>
      </c>
      <c r="D35" s="29" t="s">
        <v>128</v>
      </c>
      <c r="E35" s="52">
        <f>F35+I35</f>
        <v>5509112</v>
      </c>
      <c r="F35" s="128">
        <f>5633420-548729+30000+7000+34000+1569+14132+13000+4000+10000+124142+82878+15000+19976.03+22323.97+46400</f>
        <v>5509112</v>
      </c>
      <c r="G35" s="128">
        <f>3602473-51151+1286-9784</f>
        <v>3542824</v>
      </c>
      <c r="H35" s="128">
        <f>410216+46400</f>
        <v>456616</v>
      </c>
      <c r="I35" s="80"/>
      <c r="J35" s="48">
        <f>K35+N35</f>
        <v>244000</v>
      </c>
      <c r="K35" s="53"/>
      <c r="L35" s="53"/>
      <c r="M35" s="53"/>
      <c r="N35" s="47">
        <f>200000+10000-13000+14000+33000</f>
        <v>244000</v>
      </c>
      <c r="O35" s="47">
        <f>200000+10000-13000+14000+33000</f>
        <v>244000</v>
      </c>
      <c r="P35" s="48">
        <f>E35+J35</f>
        <v>5753112</v>
      </c>
      <c r="Q35" s="170"/>
    </row>
    <row r="36" spans="1:17" s="67" customFormat="1" ht="45">
      <c r="A36" s="66"/>
      <c r="B36" s="65" t="s">
        <v>131</v>
      </c>
      <c r="C36" s="59" t="s">
        <v>30</v>
      </c>
      <c r="D36" s="60" t="s">
        <v>129</v>
      </c>
      <c r="E36" s="48">
        <f>F36+I36</f>
        <v>4227877</v>
      </c>
      <c r="F36" s="54">
        <f>4485660-399442+10000+25000+38000+5659+42000+6000+15000</f>
        <v>4227877</v>
      </c>
      <c r="G36" s="79"/>
      <c r="H36" s="79"/>
      <c r="I36" s="80"/>
      <c r="J36" s="48">
        <f>K36+N36</f>
        <v>23000</v>
      </c>
      <c r="K36" s="53"/>
      <c r="L36" s="53"/>
      <c r="M36" s="53"/>
      <c r="N36" s="47">
        <f>12000+11000</f>
        <v>23000</v>
      </c>
      <c r="O36" s="47">
        <f>12000+11000</f>
        <v>23000</v>
      </c>
      <c r="P36" s="48">
        <f>E36+J36</f>
        <v>4250877</v>
      </c>
      <c r="Q36" s="170"/>
    </row>
    <row r="37" spans="1:17" s="67" customFormat="1" ht="30">
      <c r="A37" s="66"/>
      <c r="B37" s="32" t="s">
        <v>133</v>
      </c>
      <c r="C37" s="31" t="s">
        <v>29</v>
      </c>
      <c r="D37" s="34" t="s">
        <v>132</v>
      </c>
      <c r="E37" s="54">
        <f>F37+I37</f>
        <v>2128666</v>
      </c>
      <c r="F37" s="54">
        <f>1995340-308001+17000+14500+6327+400000-21500+25000</f>
        <v>2128666</v>
      </c>
      <c r="G37" s="54">
        <f>1058675-128369+5186-780</f>
        <v>934712</v>
      </c>
      <c r="H37" s="54">
        <f>384290-21500</f>
        <v>362790</v>
      </c>
      <c r="I37" s="44"/>
      <c r="J37" s="54">
        <f>K37+N37</f>
        <v>817714</v>
      </c>
      <c r="K37" s="54">
        <v>317714</v>
      </c>
      <c r="L37" s="54">
        <v>144491</v>
      </c>
      <c r="M37" s="54">
        <v>97628</v>
      </c>
      <c r="N37" s="74">
        <f>500000+96600-96600</f>
        <v>500000</v>
      </c>
      <c r="O37" s="74">
        <f>500000+96600-96600</f>
        <v>500000</v>
      </c>
      <c r="P37" s="54">
        <f>E37+J37</f>
        <v>2946380</v>
      </c>
      <c r="Q37" s="170"/>
    </row>
    <row r="38" spans="1:17" s="22" customFormat="1" ht="15">
      <c r="A38" s="33"/>
      <c r="B38" s="32" t="s">
        <v>134</v>
      </c>
      <c r="C38" s="31" t="s">
        <v>28</v>
      </c>
      <c r="D38" s="34" t="s">
        <v>19</v>
      </c>
      <c r="E38" s="54">
        <f>E39</f>
        <v>2373363</v>
      </c>
      <c r="F38" s="54">
        <f>F39</f>
        <v>2373363</v>
      </c>
      <c r="G38" s="54">
        <f>G39</f>
        <v>0</v>
      </c>
      <c r="H38" s="54">
        <f aca="true" t="shared" si="9" ref="H38:P38">H39</f>
        <v>0</v>
      </c>
      <c r="I38" s="54">
        <f t="shared" si="9"/>
        <v>0</v>
      </c>
      <c r="J38" s="54">
        <f t="shared" si="9"/>
        <v>0</v>
      </c>
      <c r="K38" s="54">
        <f t="shared" si="9"/>
        <v>0</v>
      </c>
      <c r="L38" s="54">
        <f t="shared" si="9"/>
        <v>0</v>
      </c>
      <c r="M38" s="54">
        <f t="shared" si="9"/>
        <v>0</v>
      </c>
      <c r="N38" s="54">
        <f t="shared" si="9"/>
        <v>0</v>
      </c>
      <c r="O38" s="54">
        <f t="shared" si="9"/>
        <v>0</v>
      </c>
      <c r="P38" s="54">
        <f t="shared" si="9"/>
        <v>2373363</v>
      </c>
      <c r="Q38" s="170"/>
    </row>
    <row r="39" spans="1:17" s="22" customFormat="1" ht="30">
      <c r="A39" s="20"/>
      <c r="B39" s="130" t="s">
        <v>135</v>
      </c>
      <c r="C39" s="130" t="s">
        <v>28</v>
      </c>
      <c r="D39" s="131" t="s">
        <v>499</v>
      </c>
      <c r="E39" s="128">
        <f>F39+I39</f>
        <v>2373363</v>
      </c>
      <c r="F39" s="128">
        <f>2545380-198212+20000+6195</f>
        <v>2373363</v>
      </c>
      <c r="G39" s="132"/>
      <c r="H39" s="132"/>
      <c r="I39" s="44"/>
      <c r="J39" s="54">
        <f>K39+N39</f>
        <v>0</v>
      </c>
      <c r="K39" s="43"/>
      <c r="L39" s="43"/>
      <c r="M39" s="43"/>
      <c r="N39" s="74"/>
      <c r="O39" s="74"/>
      <c r="P39" s="54">
        <f>E39+J39</f>
        <v>2373363</v>
      </c>
      <c r="Q39" s="170"/>
    </row>
    <row r="40" spans="1:17" s="22" customFormat="1" ht="15">
      <c r="A40" s="20"/>
      <c r="B40" s="32" t="s">
        <v>137</v>
      </c>
      <c r="C40" s="31" t="s">
        <v>21</v>
      </c>
      <c r="D40" s="34" t="s">
        <v>136</v>
      </c>
      <c r="E40" s="54">
        <f>F40+I40</f>
        <v>169209.79</v>
      </c>
      <c r="F40" s="54">
        <f>125140+37439.79+6630</f>
        <v>169209.79</v>
      </c>
      <c r="G40" s="54"/>
      <c r="H40" s="54">
        <f>124940+37439.79+6630</f>
        <v>169009.79</v>
      </c>
      <c r="I40" s="54"/>
      <c r="J40" s="54">
        <f>K40+N40</f>
        <v>0</v>
      </c>
      <c r="K40" s="54"/>
      <c r="L40" s="54"/>
      <c r="M40" s="54"/>
      <c r="N40" s="54"/>
      <c r="O40" s="54"/>
      <c r="P40" s="54">
        <f>E40+J40</f>
        <v>169209.79</v>
      </c>
      <c r="Q40" s="170"/>
    </row>
    <row r="41" spans="1:17" s="22" customFormat="1" ht="30">
      <c r="A41" s="20"/>
      <c r="B41" s="42" t="s">
        <v>423</v>
      </c>
      <c r="C41" s="31" t="s">
        <v>316</v>
      </c>
      <c r="D41" s="34" t="s">
        <v>317</v>
      </c>
      <c r="E41" s="54">
        <f>F41+I41</f>
        <v>99000</v>
      </c>
      <c r="F41" s="54">
        <v>99000</v>
      </c>
      <c r="G41" s="54"/>
      <c r="H41" s="54"/>
      <c r="I41" s="54"/>
      <c r="J41" s="54"/>
      <c r="K41" s="54"/>
      <c r="L41" s="54"/>
      <c r="M41" s="54"/>
      <c r="N41" s="54"/>
      <c r="O41" s="54"/>
      <c r="P41" s="54">
        <f>E41+J41</f>
        <v>99000</v>
      </c>
      <c r="Q41" s="170"/>
    </row>
    <row r="42" spans="1:17" s="22" customFormat="1" ht="30">
      <c r="A42" s="20"/>
      <c r="B42" s="32" t="s">
        <v>325</v>
      </c>
      <c r="C42" s="31" t="s">
        <v>322</v>
      </c>
      <c r="D42" s="34" t="s">
        <v>324</v>
      </c>
      <c r="E42" s="54">
        <f>F42+I42</f>
        <v>1642000</v>
      </c>
      <c r="F42" s="54"/>
      <c r="G42" s="54"/>
      <c r="H42" s="54"/>
      <c r="I42" s="54">
        <v>1642000</v>
      </c>
      <c r="J42" s="54"/>
      <c r="K42" s="54"/>
      <c r="L42" s="54"/>
      <c r="M42" s="54"/>
      <c r="N42" s="54"/>
      <c r="O42" s="54"/>
      <c r="P42" s="54">
        <f>E42+J42</f>
        <v>1642000</v>
      </c>
      <c r="Q42" s="170"/>
    </row>
    <row r="43" spans="1:17" s="22" customFormat="1" ht="30">
      <c r="A43" s="20"/>
      <c r="B43" s="32" t="s">
        <v>327</v>
      </c>
      <c r="C43" s="31"/>
      <c r="D43" s="34" t="s">
        <v>326</v>
      </c>
      <c r="E43" s="54">
        <f>E44</f>
        <v>3607600</v>
      </c>
      <c r="F43" s="54">
        <f>F44</f>
        <v>0</v>
      </c>
      <c r="G43" s="54">
        <f aca="true" t="shared" si="10" ref="G43:P43">G44</f>
        <v>0</v>
      </c>
      <c r="H43" s="54">
        <f t="shared" si="10"/>
        <v>0</v>
      </c>
      <c r="I43" s="54">
        <f t="shared" si="10"/>
        <v>3607600</v>
      </c>
      <c r="J43" s="54">
        <f t="shared" si="10"/>
        <v>0</v>
      </c>
      <c r="K43" s="54">
        <f t="shared" si="10"/>
        <v>0</v>
      </c>
      <c r="L43" s="54">
        <f t="shared" si="10"/>
        <v>0</v>
      </c>
      <c r="M43" s="54">
        <f t="shared" si="10"/>
        <v>0</v>
      </c>
      <c r="N43" s="54">
        <f t="shared" si="10"/>
        <v>0</v>
      </c>
      <c r="O43" s="54">
        <f t="shared" si="10"/>
        <v>0</v>
      </c>
      <c r="P43" s="54">
        <f t="shared" si="10"/>
        <v>3607600</v>
      </c>
      <c r="Q43" s="170"/>
    </row>
    <row r="44" spans="1:17" s="67" customFormat="1" ht="30">
      <c r="A44" s="66"/>
      <c r="B44" s="137" t="s">
        <v>328</v>
      </c>
      <c r="C44" s="130" t="s">
        <v>323</v>
      </c>
      <c r="D44" s="29" t="s">
        <v>329</v>
      </c>
      <c r="E44" s="52">
        <f>F44+I44</f>
        <v>3607600</v>
      </c>
      <c r="F44" s="52"/>
      <c r="G44" s="52"/>
      <c r="H44" s="52"/>
      <c r="I44" s="128">
        <v>3607600</v>
      </c>
      <c r="J44" s="48"/>
      <c r="K44" s="48"/>
      <c r="L44" s="48"/>
      <c r="M44" s="48"/>
      <c r="N44" s="48"/>
      <c r="O44" s="48"/>
      <c r="P44" s="48">
        <f>E44+J44</f>
        <v>3607600</v>
      </c>
      <c r="Q44" s="170"/>
    </row>
    <row r="45" spans="1:17" s="22" customFormat="1" ht="24.75" customHeight="1">
      <c r="A45" s="33"/>
      <c r="B45" s="32" t="s">
        <v>138</v>
      </c>
      <c r="C45" s="31" t="s">
        <v>31</v>
      </c>
      <c r="D45" s="34" t="s">
        <v>32</v>
      </c>
      <c r="E45" s="54">
        <f>F45+I45</f>
        <v>11477540</v>
      </c>
      <c r="F45" s="54"/>
      <c r="G45" s="43"/>
      <c r="H45" s="43"/>
      <c r="I45" s="54">
        <f>2000000+1600000+2098040+420000+1474800+3058900+650800+175000</f>
        <v>11477540</v>
      </c>
      <c r="J45" s="54">
        <f>K45+N45</f>
        <v>650000</v>
      </c>
      <c r="K45" s="54"/>
      <c r="L45" s="54"/>
      <c r="M45" s="54"/>
      <c r="N45" s="54">
        <v>650000</v>
      </c>
      <c r="O45" s="54">
        <v>650000</v>
      </c>
      <c r="P45" s="54">
        <f>E45+J45</f>
        <v>12127540</v>
      </c>
      <c r="Q45" s="170"/>
    </row>
    <row r="46" spans="1:17" s="22" customFormat="1" ht="36.75" customHeight="1">
      <c r="A46" s="20"/>
      <c r="B46" s="32" t="s">
        <v>430</v>
      </c>
      <c r="C46" s="31" t="s">
        <v>431</v>
      </c>
      <c r="D46" s="34" t="s">
        <v>432</v>
      </c>
      <c r="E46" s="54">
        <f>E47</f>
        <v>2572500</v>
      </c>
      <c r="F46" s="54">
        <f aca="true" t="shared" si="11" ref="F46:P46">F47</f>
        <v>0</v>
      </c>
      <c r="G46" s="54">
        <f t="shared" si="11"/>
        <v>0</v>
      </c>
      <c r="H46" s="54">
        <f t="shared" si="11"/>
        <v>0</v>
      </c>
      <c r="I46" s="54">
        <f t="shared" si="11"/>
        <v>2572500</v>
      </c>
      <c r="J46" s="54">
        <f t="shared" si="11"/>
        <v>0</v>
      </c>
      <c r="K46" s="54">
        <f t="shared" si="11"/>
        <v>0</v>
      </c>
      <c r="L46" s="54">
        <f t="shared" si="11"/>
        <v>0</v>
      </c>
      <c r="M46" s="54">
        <f t="shared" si="11"/>
        <v>0</v>
      </c>
      <c r="N46" s="54">
        <f t="shared" si="11"/>
        <v>0</v>
      </c>
      <c r="O46" s="54">
        <f t="shared" si="11"/>
        <v>0</v>
      </c>
      <c r="P46" s="54">
        <f t="shared" si="11"/>
        <v>2572500</v>
      </c>
      <c r="Q46" s="170"/>
    </row>
    <row r="47" spans="1:17" s="67" customFormat="1" ht="30">
      <c r="A47" s="66"/>
      <c r="B47" s="137" t="s">
        <v>434</v>
      </c>
      <c r="C47" s="130" t="s">
        <v>431</v>
      </c>
      <c r="D47" s="29" t="s">
        <v>433</v>
      </c>
      <c r="E47" s="52">
        <f>F47+I47</f>
        <v>2572500</v>
      </c>
      <c r="F47" s="52"/>
      <c r="G47" s="53"/>
      <c r="H47" s="53"/>
      <c r="I47" s="48">
        <f>350000+156400+1941100+125000</f>
        <v>2572500</v>
      </c>
      <c r="J47" s="48"/>
      <c r="K47" s="48"/>
      <c r="L47" s="48"/>
      <c r="M47" s="48"/>
      <c r="N47" s="48"/>
      <c r="O47" s="48"/>
      <c r="P47" s="48">
        <f>E47+J47</f>
        <v>2572500</v>
      </c>
      <c r="Q47" s="170"/>
    </row>
    <row r="48" spans="1:17" s="22" customFormat="1" ht="20.25" customHeight="1">
      <c r="A48" s="33"/>
      <c r="B48" s="32" t="s">
        <v>312</v>
      </c>
      <c r="C48" s="31"/>
      <c r="D48" s="34" t="s">
        <v>311</v>
      </c>
      <c r="E48" s="54">
        <f>E49</f>
        <v>101500</v>
      </c>
      <c r="F48" s="54">
        <f aca="true" t="shared" si="12" ref="F48:P48">F49</f>
        <v>101500</v>
      </c>
      <c r="G48" s="54">
        <f t="shared" si="12"/>
        <v>0</v>
      </c>
      <c r="H48" s="54">
        <f t="shared" si="12"/>
        <v>0</v>
      </c>
      <c r="I48" s="54">
        <f t="shared" si="12"/>
        <v>0</v>
      </c>
      <c r="J48" s="54">
        <f t="shared" si="12"/>
        <v>0</v>
      </c>
      <c r="K48" s="54">
        <f t="shared" si="12"/>
        <v>0</v>
      </c>
      <c r="L48" s="54">
        <f t="shared" si="12"/>
        <v>0</v>
      </c>
      <c r="M48" s="54">
        <f t="shared" si="12"/>
        <v>0</v>
      </c>
      <c r="N48" s="54">
        <f t="shared" si="12"/>
        <v>0</v>
      </c>
      <c r="O48" s="54">
        <f t="shared" si="12"/>
        <v>0</v>
      </c>
      <c r="P48" s="54">
        <f t="shared" si="12"/>
        <v>101500</v>
      </c>
      <c r="Q48" s="170"/>
    </row>
    <row r="49" spans="1:17" s="67" customFormat="1" ht="29.25" customHeight="1">
      <c r="A49" s="66"/>
      <c r="B49" s="137" t="s">
        <v>314</v>
      </c>
      <c r="C49" s="130" t="s">
        <v>315</v>
      </c>
      <c r="D49" s="29" t="s">
        <v>313</v>
      </c>
      <c r="E49" s="52">
        <f>F49+I49</f>
        <v>101500</v>
      </c>
      <c r="F49" s="128">
        <f>90300+7700+3500</f>
        <v>101500</v>
      </c>
      <c r="G49" s="53"/>
      <c r="H49" s="53"/>
      <c r="I49" s="53"/>
      <c r="J49" s="48"/>
      <c r="K49" s="48"/>
      <c r="L49" s="48"/>
      <c r="M49" s="48"/>
      <c r="N49" s="48"/>
      <c r="O49" s="48"/>
      <c r="P49" s="48">
        <f>E49+J49</f>
        <v>101500</v>
      </c>
      <c r="Q49" s="170"/>
    </row>
    <row r="50" spans="1:17" s="22" customFormat="1" ht="30">
      <c r="A50" s="33"/>
      <c r="B50" s="32" t="s">
        <v>140</v>
      </c>
      <c r="C50" s="31" t="s">
        <v>33</v>
      </c>
      <c r="D50" s="34" t="s">
        <v>139</v>
      </c>
      <c r="E50" s="54">
        <f>F50+I50</f>
        <v>85000</v>
      </c>
      <c r="F50" s="54">
        <v>85000</v>
      </c>
      <c r="G50" s="43"/>
      <c r="H50" s="43"/>
      <c r="I50" s="43"/>
      <c r="J50" s="54">
        <f>K50+N50</f>
        <v>0</v>
      </c>
      <c r="K50" s="43"/>
      <c r="L50" s="43"/>
      <c r="M50" s="43"/>
      <c r="N50" s="54"/>
      <c r="O50" s="54"/>
      <c r="P50" s="54">
        <f>E50+J50</f>
        <v>85000</v>
      </c>
      <c r="Q50" s="170"/>
    </row>
    <row r="51" spans="1:17" s="22" customFormat="1" ht="30">
      <c r="A51" s="20"/>
      <c r="B51" s="32" t="s">
        <v>142</v>
      </c>
      <c r="C51" s="31" t="s">
        <v>34</v>
      </c>
      <c r="D51" s="34" t="s">
        <v>141</v>
      </c>
      <c r="E51" s="54">
        <f>F51+I51</f>
        <v>0</v>
      </c>
      <c r="F51" s="43"/>
      <c r="G51" s="43"/>
      <c r="H51" s="43"/>
      <c r="I51" s="43"/>
      <c r="J51" s="54">
        <f>K51+N51</f>
        <v>52113000</v>
      </c>
      <c r="K51" s="43"/>
      <c r="L51" s="43"/>
      <c r="M51" s="43"/>
      <c r="N51" s="54">
        <f>46000000+5400000+1302900-1302900+405000+308000</f>
        <v>52113000</v>
      </c>
      <c r="O51" s="54">
        <f>46000000+5400000+1302900-1302900+405000+308000</f>
        <v>52113000</v>
      </c>
      <c r="P51" s="54">
        <f>E51+J51</f>
        <v>52113000</v>
      </c>
      <c r="Q51" s="170"/>
    </row>
    <row r="52" spans="1:17" s="22" customFormat="1" ht="30">
      <c r="A52" s="20"/>
      <c r="B52" s="32" t="s">
        <v>143</v>
      </c>
      <c r="C52" s="31" t="s">
        <v>35</v>
      </c>
      <c r="D52" s="34" t="s">
        <v>36</v>
      </c>
      <c r="E52" s="54">
        <f>E53</f>
        <v>837300</v>
      </c>
      <c r="F52" s="54">
        <f aca="true" t="shared" si="13" ref="F52:P52">F53</f>
        <v>837300</v>
      </c>
      <c r="G52" s="54">
        <f t="shared" si="13"/>
        <v>0</v>
      </c>
      <c r="H52" s="54">
        <f t="shared" si="13"/>
        <v>0</v>
      </c>
      <c r="I52" s="54">
        <f t="shared" si="13"/>
        <v>0</v>
      </c>
      <c r="J52" s="54">
        <f t="shared" si="13"/>
        <v>0</v>
      </c>
      <c r="K52" s="54">
        <f t="shared" si="13"/>
        <v>0</v>
      </c>
      <c r="L52" s="54">
        <f t="shared" si="13"/>
        <v>0</v>
      </c>
      <c r="M52" s="54">
        <f t="shared" si="13"/>
        <v>0</v>
      </c>
      <c r="N52" s="54">
        <f t="shared" si="13"/>
        <v>0</v>
      </c>
      <c r="O52" s="54">
        <f t="shared" si="13"/>
        <v>0</v>
      </c>
      <c r="P52" s="54">
        <f t="shared" si="13"/>
        <v>837300</v>
      </c>
      <c r="Q52" s="170"/>
    </row>
    <row r="53" spans="1:17" s="67" customFormat="1" ht="45">
      <c r="A53" s="66"/>
      <c r="B53" s="137" t="s">
        <v>144</v>
      </c>
      <c r="C53" s="92" t="s">
        <v>35</v>
      </c>
      <c r="D53" s="60" t="s">
        <v>333</v>
      </c>
      <c r="E53" s="54">
        <f>F53+I53</f>
        <v>837300</v>
      </c>
      <c r="F53" s="54">
        <f>837300</f>
        <v>837300</v>
      </c>
      <c r="G53" s="43"/>
      <c r="H53" s="43"/>
      <c r="I53" s="43"/>
      <c r="J53" s="54">
        <f>K53+N53</f>
        <v>0</v>
      </c>
      <c r="K53" s="43"/>
      <c r="L53" s="43"/>
      <c r="M53" s="43"/>
      <c r="N53" s="43"/>
      <c r="O53" s="43"/>
      <c r="P53" s="54">
        <f>E53+J53</f>
        <v>837300</v>
      </c>
      <c r="Q53" s="170"/>
    </row>
    <row r="54" spans="1:17" s="22" customFormat="1" ht="45">
      <c r="A54" s="33"/>
      <c r="B54" s="32" t="s">
        <v>148</v>
      </c>
      <c r="C54" s="31" t="s">
        <v>37</v>
      </c>
      <c r="D54" s="34" t="s">
        <v>147</v>
      </c>
      <c r="E54" s="54">
        <f>F54+I54</f>
        <v>172410</v>
      </c>
      <c r="F54" s="54">
        <f>162726+9684</f>
        <v>172410</v>
      </c>
      <c r="G54" s="43"/>
      <c r="H54" s="54">
        <v>4300</v>
      </c>
      <c r="I54" s="43"/>
      <c r="J54" s="54">
        <f>K54+N54</f>
        <v>0</v>
      </c>
      <c r="K54" s="54"/>
      <c r="L54" s="54"/>
      <c r="M54" s="54"/>
      <c r="N54" s="54">
        <f>343874-343874</f>
        <v>0</v>
      </c>
      <c r="O54" s="54">
        <f>343874-343874</f>
        <v>0</v>
      </c>
      <c r="P54" s="54">
        <f>E54+J54</f>
        <v>172410</v>
      </c>
      <c r="Q54" s="170"/>
    </row>
    <row r="55" spans="1:17" s="22" customFormat="1" ht="60">
      <c r="A55" s="20"/>
      <c r="B55" s="42" t="s">
        <v>436</v>
      </c>
      <c r="C55" s="31" t="s">
        <v>437</v>
      </c>
      <c r="D55" s="34" t="s">
        <v>438</v>
      </c>
      <c r="E55" s="54">
        <f>F55+I55</f>
        <v>800170</v>
      </c>
      <c r="F55" s="54">
        <f>100000+150000+30000+40000+181170+20000+199000+80000</f>
        <v>800170</v>
      </c>
      <c r="G55" s="43"/>
      <c r="H55" s="54"/>
      <c r="I55" s="43"/>
      <c r="J55" s="54">
        <f>K55+N55</f>
        <v>738830</v>
      </c>
      <c r="K55" s="54"/>
      <c r="L55" s="54"/>
      <c r="M55" s="54"/>
      <c r="N55" s="54">
        <f>518830+90000+130000</f>
        <v>738830</v>
      </c>
      <c r="O55" s="54">
        <f>518830+90000+130000</f>
        <v>738830</v>
      </c>
      <c r="P55" s="54">
        <f>E55+J55</f>
        <v>1539000</v>
      </c>
      <c r="Q55" s="170"/>
    </row>
    <row r="56" spans="1:17" s="22" customFormat="1" ht="19.5" customHeight="1">
      <c r="A56" s="20"/>
      <c r="B56" s="32" t="s">
        <v>146</v>
      </c>
      <c r="C56" s="138" t="s">
        <v>38</v>
      </c>
      <c r="D56" s="34" t="s">
        <v>145</v>
      </c>
      <c r="E56" s="54">
        <f>F56+I56</f>
        <v>900100</v>
      </c>
      <c r="F56" s="54">
        <f>1027600-160500+30000+3000</f>
        <v>900100</v>
      </c>
      <c r="G56" s="54">
        <f>690800-52700+2500</f>
        <v>640600</v>
      </c>
      <c r="H56" s="54">
        <v>46377</v>
      </c>
      <c r="I56" s="54"/>
      <c r="J56" s="54">
        <f>K56+N56</f>
        <v>4700</v>
      </c>
      <c r="K56" s="54">
        <v>4700</v>
      </c>
      <c r="L56" s="54"/>
      <c r="M56" s="54">
        <v>720</v>
      </c>
      <c r="N56" s="54"/>
      <c r="O56" s="54"/>
      <c r="P56" s="54">
        <f>E56+J56</f>
        <v>904800</v>
      </c>
      <c r="Q56" s="170"/>
    </row>
    <row r="57" spans="1:17" s="22" customFormat="1" ht="21.75" customHeight="1">
      <c r="A57" s="20"/>
      <c r="B57" s="32" t="s">
        <v>156</v>
      </c>
      <c r="C57" s="31" t="s">
        <v>42</v>
      </c>
      <c r="D57" s="34" t="s">
        <v>19</v>
      </c>
      <c r="E57" s="54">
        <f>E58+E59+E60+E61+E62+E63+E64</f>
        <v>2739094</v>
      </c>
      <c r="F57" s="54">
        <f aca="true" t="shared" si="14" ref="F57:P57">F58+F59+F60+F61+F62+F63+F64</f>
        <v>2739094</v>
      </c>
      <c r="G57" s="54">
        <f t="shared" si="14"/>
        <v>0</v>
      </c>
      <c r="H57" s="54">
        <f t="shared" si="14"/>
        <v>196820</v>
      </c>
      <c r="I57" s="54">
        <f t="shared" si="14"/>
        <v>0</v>
      </c>
      <c r="J57" s="54">
        <f t="shared" si="14"/>
        <v>22200</v>
      </c>
      <c r="K57" s="54">
        <f t="shared" si="14"/>
        <v>0</v>
      </c>
      <c r="L57" s="54">
        <f t="shared" si="14"/>
        <v>0</v>
      </c>
      <c r="M57" s="54">
        <f t="shared" si="14"/>
        <v>0</v>
      </c>
      <c r="N57" s="54">
        <f t="shared" si="14"/>
        <v>22200</v>
      </c>
      <c r="O57" s="54">
        <f t="shared" si="14"/>
        <v>22200</v>
      </c>
      <c r="P57" s="54">
        <f t="shared" si="14"/>
        <v>2761294</v>
      </c>
      <c r="Q57" s="170"/>
    </row>
    <row r="58" spans="1:17" s="22" customFormat="1" ht="45">
      <c r="A58" s="20"/>
      <c r="B58" s="130" t="s">
        <v>151</v>
      </c>
      <c r="C58" s="139" t="s">
        <v>42</v>
      </c>
      <c r="D58" s="140" t="s">
        <v>491</v>
      </c>
      <c r="E58" s="52">
        <f aca="true" t="shared" si="15" ref="E58:E65">F58+I58</f>
        <v>311181</v>
      </c>
      <c r="F58" s="52">
        <f>572644+64000+7260-332723</f>
        <v>311181</v>
      </c>
      <c r="G58" s="79"/>
      <c r="H58" s="128">
        <v>196820</v>
      </c>
      <c r="I58" s="53"/>
      <c r="J58" s="48">
        <f aca="true" t="shared" si="16" ref="J58:J65">K58+N58</f>
        <v>0</v>
      </c>
      <c r="K58" s="53"/>
      <c r="L58" s="53"/>
      <c r="M58" s="53"/>
      <c r="N58" s="48">
        <f>89000-64000-25000</f>
        <v>0</v>
      </c>
      <c r="O58" s="48">
        <f>89000-64000-25000</f>
        <v>0</v>
      </c>
      <c r="P58" s="48">
        <f aca="true" t="shared" si="17" ref="P58:P65">E58+J58</f>
        <v>311181</v>
      </c>
      <c r="Q58" s="170"/>
    </row>
    <row r="59" spans="1:17" s="22" customFormat="1" ht="45">
      <c r="A59" s="20"/>
      <c r="B59" s="59" t="s">
        <v>152</v>
      </c>
      <c r="C59" s="64" t="s">
        <v>42</v>
      </c>
      <c r="D59" s="69" t="s">
        <v>332</v>
      </c>
      <c r="E59" s="48">
        <f t="shared" si="15"/>
        <v>135180</v>
      </c>
      <c r="F59" s="48">
        <f>80580+15000+39600</f>
        <v>135180</v>
      </c>
      <c r="G59" s="47"/>
      <c r="H59" s="47"/>
      <c r="I59" s="53"/>
      <c r="J59" s="48">
        <f t="shared" si="16"/>
        <v>0</v>
      </c>
      <c r="K59" s="53"/>
      <c r="L59" s="53"/>
      <c r="M59" s="53"/>
      <c r="N59" s="53"/>
      <c r="O59" s="53"/>
      <c r="P59" s="48">
        <f t="shared" si="17"/>
        <v>135180</v>
      </c>
      <c r="Q59" s="170"/>
    </row>
    <row r="60" spans="1:17" s="22" customFormat="1" ht="60">
      <c r="A60" s="20"/>
      <c r="B60" s="59" t="s">
        <v>153</v>
      </c>
      <c r="C60" s="64" t="s">
        <v>42</v>
      </c>
      <c r="D60" s="69" t="s">
        <v>493</v>
      </c>
      <c r="E60" s="48">
        <f t="shared" si="15"/>
        <v>728200</v>
      </c>
      <c r="F60" s="48">
        <f>130200+640000+25000-67000</f>
        <v>728200</v>
      </c>
      <c r="G60" s="47"/>
      <c r="H60" s="47"/>
      <c r="I60" s="53"/>
      <c r="J60" s="48">
        <f t="shared" si="16"/>
        <v>0</v>
      </c>
      <c r="K60" s="53"/>
      <c r="L60" s="53"/>
      <c r="M60" s="53"/>
      <c r="N60" s="48">
        <f>25000-25000</f>
        <v>0</v>
      </c>
      <c r="O60" s="48">
        <f>25000-25000</f>
        <v>0</v>
      </c>
      <c r="P60" s="48">
        <f t="shared" si="17"/>
        <v>728200</v>
      </c>
      <c r="Q60" s="170"/>
    </row>
    <row r="61" spans="1:17" s="22" customFormat="1" ht="45">
      <c r="A61" s="20"/>
      <c r="B61" s="59" t="s">
        <v>154</v>
      </c>
      <c r="C61" s="64" t="s">
        <v>42</v>
      </c>
      <c r="D61" s="69" t="s">
        <v>333</v>
      </c>
      <c r="E61" s="48">
        <f t="shared" si="15"/>
        <v>822500</v>
      </c>
      <c r="F61" s="48">
        <f>822500+30000+39600-30000-39600</f>
        <v>822500</v>
      </c>
      <c r="G61" s="47"/>
      <c r="H61" s="47"/>
      <c r="I61" s="53"/>
      <c r="J61" s="48">
        <f t="shared" si="16"/>
        <v>0</v>
      </c>
      <c r="K61" s="53"/>
      <c r="L61" s="53"/>
      <c r="M61" s="53"/>
      <c r="N61" s="128"/>
      <c r="O61" s="128"/>
      <c r="P61" s="48">
        <f t="shared" si="17"/>
        <v>822500</v>
      </c>
      <c r="Q61" s="170"/>
    </row>
    <row r="62" spans="1:17" s="22" customFormat="1" ht="36.75" customHeight="1">
      <c r="A62" s="20"/>
      <c r="B62" s="59" t="s">
        <v>155</v>
      </c>
      <c r="C62" s="64" t="s">
        <v>42</v>
      </c>
      <c r="D62" s="69" t="s">
        <v>498</v>
      </c>
      <c r="E62" s="48">
        <f t="shared" si="15"/>
        <v>688513</v>
      </c>
      <c r="F62" s="102">
        <f>602640-97102+22000+160975</f>
        <v>688513</v>
      </c>
      <c r="G62" s="47"/>
      <c r="H62" s="47"/>
      <c r="I62" s="53"/>
      <c r="J62" s="48">
        <f t="shared" si="16"/>
        <v>0</v>
      </c>
      <c r="K62" s="53"/>
      <c r="L62" s="53"/>
      <c r="M62" s="53"/>
      <c r="N62" s="53"/>
      <c r="O62" s="53"/>
      <c r="P62" s="48">
        <f t="shared" si="17"/>
        <v>688513</v>
      </c>
      <c r="Q62" s="170"/>
    </row>
    <row r="63" spans="1:17" s="22" customFormat="1" ht="60">
      <c r="A63" s="20"/>
      <c r="B63" s="59" t="s">
        <v>462</v>
      </c>
      <c r="C63" s="64" t="s">
        <v>42</v>
      </c>
      <c r="D63" s="69" t="s">
        <v>466</v>
      </c>
      <c r="E63" s="48">
        <f t="shared" si="15"/>
        <v>45000</v>
      </c>
      <c r="F63" s="48">
        <f>45000</f>
        <v>45000</v>
      </c>
      <c r="G63" s="47"/>
      <c r="H63" s="47"/>
      <c r="I63" s="53"/>
      <c r="J63" s="48">
        <f t="shared" si="16"/>
        <v>0</v>
      </c>
      <c r="K63" s="53"/>
      <c r="L63" s="53"/>
      <c r="M63" s="53"/>
      <c r="N63" s="53"/>
      <c r="O63" s="53"/>
      <c r="P63" s="48">
        <f t="shared" si="17"/>
        <v>45000</v>
      </c>
      <c r="Q63" s="170"/>
    </row>
    <row r="64" spans="1:17" s="22" customFormat="1" ht="48" customHeight="1">
      <c r="A64" s="20"/>
      <c r="B64" s="59" t="s">
        <v>492</v>
      </c>
      <c r="C64" s="64" t="s">
        <v>42</v>
      </c>
      <c r="D64" s="69" t="s">
        <v>494</v>
      </c>
      <c r="E64" s="48">
        <f t="shared" si="15"/>
        <v>8520</v>
      </c>
      <c r="F64" s="48">
        <v>8520</v>
      </c>
      <c r="G64" s="47"/>
      <c r="H64" s="47"/>
      <c r="I64" s="53"/>
      <c r="J64" s="48">
        <f t="shared" si="16"/>
        <v>22200</v>
      </c>
      <c r="K64" s="53"/>
      <c r="L64" s="53"/>
      <c r="M64" s="53"/>
      <c r="N64" s="53">
        <v>22200</v>
      </c>
      <c r="O64" s="53">
        <v>22200</v>
      </c>
      <c r="P64" s="48">
        <f t="shared" si="17"/>
        <v>30720</v>
      </c>
      <c r="Q64" s="170"/>
    </row>
    <row r="65" spans="1:17" s="22" customFormat="1" ht="30">
      <c r="A65" s="20"/>
      <c r="B65" s="42" t="s">
        <v>441</v>
      </c>
      <c r="C65" s="31" t="s">
        <v>417</v>
      </c>
      <c r="D65" s="34" t="s">
        <v>418</v>
      </c>
      <c r="E65" s="54">
        <f t="shared" si="15"/>
        <v>0</v>
      </c>
      <c r="F65" s="54"/>
      <c r="G65" s="74"/>
      <c r="H65" s="74"/>
      <c r="I65" s="54"/>
      <c r="J65" s="54">
        <f t="shared" si="16"/>
        <v>30600</v>
      </c>
      <c r="K65" s="54">
        <v>30600</v>
      </c>
      <c r="L65" s="54"/>
      <c r="M65" s="54"/>
      <c r="N65" s="54"/>
      <c r="O65" s="54"/>
      <c r="P65" s="54">
        <f t="shared" si="17"/>
        <v>30600</v>
      </c>
      <c r="Q65" s="170"/>
    </row>
    <row r="66" spans="1:17" s="22" customFormat="1" ht="60">
      <c r="A66" s="20"/>
      <c r="B66" s="32" t="s">
        <v>149</v>
      </c>
      <c r="C66" s="31" t="s">
        <v>39</v>
      </c>
      <c r="D66" s="34" t="s">
        <v>40</v>
      </c>
      <c r="E66" s="83">
        <f aca="true" t="shared" si="18" ref="E66:P66">E67</f>
        <v>0</v>
      </c>
      <c r="F66" s="83">
        <f t="shared" si="18"/>
        <v>0</v>
      </c>
      <c r="G66" s="83">
        <f t="shared" si="18"/>
        <v>0</v>
      </c>
      <c r="H66" s="83">
        <f t="shared" si="18"/>
        <v>0</v>
      </c>
      <c r="I66" s="83">
        <f t="shared" si="18"/>
        <v>0</v>
      </c>
      <c r="J66" s="83">
        <f t="shared" si="18"/>
        <v>120443.47</v>
      </c>
      <c r="K66" s="83">
        <f t="shared" si="18"/>
        <v>120443.47</v>
      </c>
      <c r="L66" s="83">
        <f t="shared" si="18"/>
        <v>0</v>
      </c>
      <c r="M66" s="83">
        <f t="shared" si="18"/>
        <v>0</v>
      </c>
      <c r="N66" s="83">
        <f t="shared" si="18"/>
        <v>0</v>
      </c>
      <c r="O66" s="83">
        <f t="shared" si="18"/>
        <v>0</v>
      </c>
      <c r="P66" s="83">
        <f t="shared" si="18"/>
        <v>120443.47</v>
      </c>
      <c r="Q66" s="170"/>
    </row>
    <row r="67" spans="1:17" s="67" customFormat="1" ht="60">
      <c r="A67" s="66"/>
      <c r="B67" s="137" t="s">
        <v>150</v>
      </c>
      <c r="C67" s="130" t="s">
        <v>39</v>
      </c>
      <c r="D67" s="29" t="s">
        <v>40</v>
      </c>
      <c r="E67" s="52">
        <f>F67+I67</f>
        <v>0</v>
      </c>
      <c r="F67" s="52"/>
      <c r="G67" s="52"/>
      <c r="H67" s="52"/>
      <c r="I67" s="52"/>
      <c r="J67" s="52">
        <f>K67+N67</f>
        <v>120443.47</v>
      </c>
      <c r="K67" s="52">
        <f>119543+900.47</f>
        <v>120443.47</v>
      </c>
      <c r="L67" s="52"/>
      <c r="M67" s="52"/>
      <c r="N67" s="52"/>
      <c r="O67" s="52"/>
      <c r="P67" s="52">
        <f>E67+J67</f>
        <v>120443.47</v>
      </c>
      <c r="Q67" s="170"/>
    </row>
    <row r="68" spans="1:17" s="22" customFormat="1" ht="28.5">
      <c r="A68" s="33"/>
      <c r="B68" s="92" t="s">
        <v>167</v>
      </c>
      <c r="C68" s="23"/>
      <c r="D68" s="24" t="s">
        <v>157</v>
      </c>
      <c r="E68" s="43">
        <f>E69</f>
        <v>434319776.06000006</v>
      </c>
      <c r="F68" s="43">
        <f aca="true" t="shared" si="19" ref="F68:P68">F69</f>
        <v>434319776.06000006</v>
      </c>
      <c r="G68" s="43">
        <f t="shared" si="19"/>
        <v>250590938</v>
      </c>
      <c r="H68" s="43">
        <f t="shared" si="19"/>
        <v>61399288</v>
      </c>
      <c r="I68" s="43">
        <f t="shared" si="19"/>
        <v>0</v>
      </c>
      <c r="J68" s="43">
        <f t="shared" si="19"/>
        <v>69568664.45</v>
      </c>
      <c r="K68" s="43">
        <f t="shared" si="19"/>
        <v>36448867</v>
      </c>
      <c r="L68" s="43">
        <f t="shared" si="19"/>
        <v>2470383</v>
      </c>
      <c r="M68" s="43">
        <f t="shared" si="19"/>
        <v>1518188</v>
      </c>
      <c r="N68" s="43">
        <f t="shared" si="19"/>
        <v>33119797.45</v>
      </c>
      <c r="O68" s="43">
        <f t="shared" si="19"/>
        <v>32702547.45</v>
      </c>
      <c r="P68" s="43">
        <f t="shared" si="19"/>
        <v>503888440.51000005</v>
      </c>
      <c r="Q68" s="170"/>
    </row>
    <row r="69" spans="1:17" s="67" customFormat="1" ht="30">
      <c r="A69" s="66"/>
      <c r="B69" s="59" t="s">
        <v>168</v>
      </c>
      <c r="C69" s="36"/>
      <c r="D69" s="37" t="s">
        <v>157</v>
      </c>
      <c r="E69" s="53">
        <f>E71+E72+E74+E76+E78+E80+E82+E83+E84+E85+E86+E88+E89+E90+E81+E92+E93</f>
        <v>434319776.06000006</v>
      </c>
      <c r="F69" s="53">
        <f aca="true" t="shared" si="20" ref="F69:P69">F71+F72+F74+F76+F78+F80+F82+F83+F84+F85+F86+F88+F89+F90+F81+F92+F93</f>
        <v>434319776.06000006</v>
      </c>
      <c r="G69" s="53">
        <f t="shared" si="20"/>
        <v>250590938</v>
      </c>
      <c r="H69" s="53">
        <f t="shared" si="20"/>
        <v>61399288</v>
      </c>
      <c r="I69" s="53">
        <f t="shared" si="20"/>
        <v>0</v>
      </c>
      <c r="J69" s="53">
        <f t="shared" si="20"/>
        <v>69568664.45</v>
      </c>
      <c r="K69" s="53">
        <f t="shared" si="20"/>
        <v>36448867</v>
      </c>
      <c r="L69" s="53">
        <f t="shared" si="20"/>
        <v>2470383</v>
      </c>
      <c r="M69" s="53">
        <f t="shared" si="20"/>
        <v>1518188</v>
      </c>
      <c r="N69" s="53">
        <f t="shared" si="20"/>
        <v>33119797.45</v>
      </c>
      <c r="O69" s="53">
        <f t="shared" si="20"/>
        <v>32702547.45</v>
      </c>
      <c r="P69" s="53">
        <f t="shared" si="20"/>
        <v>503888440.51000005</v>
      </c>
      <c r="Q69" s="170"/>
    </row>
    <row r="70" spans="1:17" s="22" customFormat="1" ht="15">
      <c r="A70" s="33"/>
      <c r="B70" s="141"/>
      <c r="C70" s="23"/>
      <c r="D70" s="34" t="s">
        <v>41</v>
      </c>
      <c r="E70" s="54">
        <f>E75+E77+E79+E73</f>
        <v>193886645.09</v>
      </c>
      <c r="F70" s="54">
        <f aca="true" t="shared" si="21" ref="F70:P70">F75+F77+F79+F73</f>
        <v>193886645.09</v>
      </c>
      <c r="G70" s="54">
        <f t="shared" si="21"/>
        <v>133211668</v>
      </c>
      <c r="H70" s="54">
        <f t="shared" si="21"/>
        <v>28507754</v>
      </c>
      <c r="I70" s="54">
        <f t="shared" si="21"/>
        <v>0</v>
      </c>
      <c r="J70" s="54">
        <f t="shared" si="21"/>
        <v>10409710</v>
      </c>
      <c r="K70" s="54">
        <f t="shared" si="21"/>
        <v>0</v>
      </c>
      <c r="L70" s="54">
        <f t="shared" si="21"/>
        <v>0</v>
      </c>
      <c r="M70" s="54">
        <f t="shared" si="21"/>
        <v>0</v>
      </c>
      <c r="N70" s="54">
        <f t="shared" si="21"/>
        <v>10409710</v>
      </c>
      <c r="O70" s="54">
        <f t="shared" si="21"/>
        <v>10409710</v>
      </c>
      <c r="P70" s="54">
        <f t="shared" si="21"/>
        <v>204296355.09</v>
      </c>
      <c r="Q70" s="170"/>
    </row>
    <row r="71" spans="1:17" s="22" customFormat="1" ht="45" customHeight="1">
      <c r="A71" s="20"/>
      <c r="B71" s="42" t="s">
        <v>169</v>
      </c>
      <c r="C71" s="31" t="s">
        <v>9</v>
      </c>
      <c r="D71" s="34" t="s">
        <v>100</v>
      </c>
      <c r="E71" s="54">
        <f>F71+I71</f>
        <v>1042001</v>
      </c>
      <c r="F71" s="54">
        <f>1009660-118390+63630+41301+6000+25600+14200</f>
        <v>1042001</v>
      </c>
      <c r="G71" s="54">
        <f>667920-18750+52156+33853+21000+11600-930</f>
        <v>766849</v>
      </c>
      <c r="H71" s="54">
        <f>24724+930</f>
        <v>25654</v>
      </c>
      <c r="I71" s="43"/>
      <c r="J71" s="54">
        <f aca="true" t="shared" si="22" ref="J71:J93">K71+N71</f>
        <v>194600</v>
      </c>
      <c r="K71" s="43"/>
      <c r="L71" s="43"/>
      <c r="M71" s="43"/>
      <c r="N71" s="54">
        <f>170000+24000-6000+6600</f>
        <v>194600</v>
      </c>
      <c r="O71" s="54">
        <f>170000+24000-6000+6600</f>
        <v>194600</v>
      </c>
      <c r="P71" s="54">
        <f aca="true" t="shared" si="23" ref="P71:P85">E71+J71</f>
        <v>1236601</v>
      </c>
      <c r="Q71" s="170"/>
    </row>
    <row r="72" spans="1:17" s="22" customFormat="1" ht="15">
      <c r="A72" s="20"/>
      <c r="B72" s="42" t="s">
        <v>170</v>
      </c>
      <c r="C72" s="31" t="s">
        <v>43</v>
      </c>
      <c r="D72" s="34" t="s">
        <v>158</v>
      </c>
      <c r="E72" s="54">
        <f aca="true" t="shared" si="24" ref="E72:E91">F72+I72</f>
        <v>113836807</v>
      </c>
      <c r="F72" s="54">
        <f>127615802+181800-17960782+85000+2791744+55100+15000+65000+20000+62570+11742+28164+14430+6200+1200+224779+25000+38000+2600+20920+250800+14000+2750+1070+65300+136330+30142+2998+5000+126910+34867-137600+2600-2629</f>
        <v>113836807</v>
      </c>
      <c r="G72" s="54">
        <f>70161106-6341216+184245+112022-335600</f>
        <v>63780557</v>
      </c>
      <c r="H72" s="54">
        <f>19789563-27000</f>
        <v>19762563</v>
      </c>
      <c r="I72" s="43"/>
      <c r="J72" s="54">
        <f t="shared" si="22"/>
        <v>18405675</v>
      </c>
      <c r="K72" s="54">
        <v>11284686</v>
      </c>
      <c r="L72" s="54"/>
      <c r="M72" s="54"/>
      <c r="N72" s="54">
        <f>2750000+850000+125000+35900+42000+15000+15000+49430-11742+103334-14430-6200+5000-2600+9000-2750+84000+892900-1070+1197300+35919-12100+17108+265488-2998-5000+670000+20100-570000+570000-2600</f>
        <v>7120989</v>
      </c>
      <c r="O72" s="54">
        <f>2750000+850000+125000+35900+42000+15000+15000+49430-11742+103334-14430-6200+5000-2600+9000-2750+84000+892900-1070+1197300+35919-12100+17108+265488-2998-5000+670000+20100-570000+570000-2600</f>
        <v>7120989</v>
      </c>
      <c r="P72" s="54">
        <f t="shared" si="23"/>
        <v>132242482</v>
      </c>
      <c r="Q72" s="170"/>
    </row>
    <row r="73" spans="1:17" s="22" customFormat="1" ht="15">
      <c r="A73" s="20"/>
      <c r="B73" s="42"/>
      <c r="C73" s="31"/>
      <c r="D73" s="34" t="s">
        <v>41</v>
      </c>
      <c r="E73" s="54">
        <f>F73+I73</f>
        <v>0</v>
      </c>
      <c r="F73" s="54"/>
      <c r="G73" s="54"/>
      <c r="H73" s="54"/>
      <c r="I73" s="43"/>
      <c r="J73" s="54">
        <f t="shared" si="22"/>
        <v>1867300</v>
      </c>
      <c r="K73" s="54"/>
      <c r="L73" s="54"/>
      <c r="M73" s="54"/>
      <c r="N73" s="54">
        <f>1197300+670000</f>
        <v>1867300</v>
      </c>
      <c r="O73" s="54">
        <f>1197300+670000</f>
        <v>1867300</v>
      </c>
      <c r="P73" s="54">
        <f t="shared" si="23"/>
        <v>1867300</v>
      </c>
      <c r="Q73" s="170"/>
    </row>
    <row r="74" spans="1:17" s="22" customFormat="1" ht="75">
      <c r="A74" s="20"/>
      <c r="B74" s="42" t="s">
        <v>171</v>
      </c>
      <c r="C74" s="31" t="s">
        <v>44</v>
      </c>
      <c r="D74" s="34" t="s">
        <v>159</v>
      </c>
      <c r="E74" s="54">
        <f t="shared" si="24"/>
        <v>235951112.31000003</v>
      </c>
      <c r="F74" s="54">
        <f>241356212+318200+8795512-27766183+3940000+192036+4086044+727101.34+332450+191339+19908+164032.8+54675+11719+54600+224238+98087+11250+95329.4+400171+231903.77+601633+7500-12611-1600+89200+27000+65000+12200+25000+30000-136330+34300+3000+2000+766435+511500+240999-111500+151500-1739+109000</f>
        <v>235951112.31000003</v>
      </c>
      <c r="G74" s="54">
        <f>142701242+16080119-18252562+328009+493142-112022+628249+108100</f>
        <v>141974277</v>
      </c>
      <c r="H74" s="54">
        <f>31014749+1000000-1000000+433572</f>
        <v>31448321</v>
      </c>
      <c r="I74" s="43"/>
      <c r="J74" s="54">
        <f t="shared" si="22"/>
        <v>42901628.45</v>
      </c>
      <c r="K74" s="54">
        <f>18497171</f>
        <v>18497171</v>
      </c>
      <c r="L74" s="54">
        <v>740455</v>
      </c>
      <c r="M74" s="54">
        <v>47940</v>
      </c>
      <c r="N74" s="54">
        <f>6090000+2150000+190000+134464+500000+184300+1498110+185661+148820-15000+78400+88075-11719+331212-54600+98780-98087+359032.45-3580+16300+384410+20000+41500+12611+1635157+140000+168000+20000+450000+1197300-35919+199973+212479-17900+300000+8000+2280000+291578+68400+770700-430000+430000+337000-40000+400000+3550000+141000</f>
        <v>24404457.45</v>
      </c>
      <c r="O74" s="54">
        <f>6090000+2150000+190000+134464+500000+184300+1498110+185661+148820-15000+78400+88075-11719+331212-54600+98780-98087+359032.45-3580+16300+384410+20000+41500+12611+1635157+140000+168000+20000+450000+1197300-35919+199973+212479-17900+300000+8000+2280000+291578+68400+770700-430000+430000+337000-40000+400000+3550000+141000</f>
        <v>24404457.45</v>
      </c>
      <c r="P74" s="54">
        <f t="shared" si="23"/>
        <v>278852740.76000005</v>
      </c>
      <c r="Q74" s="170"/>
    </row>
    <row r="75" spans="1:17" s="22" customFormat="1" ht="15">
      <c r="A75" s="20"/>
      <c r="B75" s="39"/>
      <c r="C75" s="31"/>
      <c r="D75" s="34" t="s">
        <v>41</v>
      </c>
      <c r="E75" s="54">
        <f>F75+I75</f>
        <v>189238172.34</v>
      </c>
      <c r="F75" s="54">
        <f>179099299+8795512+727101.34+601633-1600+16227</f>
        <v>189238172.34</v>
      </c>
      <c r="G75" s="54">
        <f>113504164+16080119+493142+12000</f>
        <v>130089425</v>
      </c>
      <c r="H75" s="54">
        <f>19360798+1000000+7664491-3000</f>
        <v>28022289</v>
      </c>
      <c r="I75" s="43"/>
      <c r="J75" s="54">
        <f t="shared" si="22"/>
        <v>8542410</v>
      </c>
      <c r="K75" s="54"/>
      <c r="L75" s="54"/>
      <c r="M75" s="54"/>
      <c r="N75" s="54">
        <f>344410+1197300+2280000+770700+400000+3550000</f>
        <v>8542410</v>
      </c>
      <c r="O75" s="54">
        <f>344410+1197300+2280000+770700+400000+3550000</f>
        <v>8542410</v>
      </c>
      <c r="P75" s="54">
        <f t="shared" si="23"/>
        <v>197780582.34</v>
      </c>
      <c r="Q75" s="170"/>
    </row>
    <row r="76" spans="1:17" s="22" customFormat="1" ht="30">
      <c r="A76" s="20"/>
      <c r="B76" s="42" t="s">
        <v>172</v>
      </c>
      <c r="C76" s="31" t="s">
        <v>45</v>
      </c>
      <c r="D76" s="34" t="s">
        <v>160</v>
      </c>
      <c r="E76" s="54">
        <f t="shared" si="24"/>
        <v>379549</v>
      </c>
      <c r="F76" s="54">
        <f>372150+25184-39610+1220+18776+1829</f>
        <v>379549</v>
      </c>
      <c r="G76" s="54">
        <f>277448+45301-29836+1000+18776+1499</f>
        <v>314188</v>
      </c>
      <c r="H76" s="54"/>
      <c r="I76" s="43"/>
      <c r="J76" s="54">
        <f t="shared" si="22"/>
        <v>0</v>
      </c>
      <c r="K76" s="54"/>
      <c r="L76" s="54"/>
      <c r="M76" s="54"/>
      <c r="N76" s="54"/>
      <c r="O76" s="54"/>
      <c r="P76" s="54">
        <f t="shared" si="23"/>
        <v>379549</v>
      </c>
      <c r="Q76" s="170"/>
    </row>
    <row r="77" spans="1:17" s="22" customFormat="1" ht="24.75" customHeight="1">
      <c r="A77" s="20"/>
      <c r="B77" s="39"/>
      <c r="C77" s="31"/>
      <c r="D77" s="34" t="s">
        <v>41</v>
      </c>
      <c r="E77" s="54">
        <f t="shared" si="24"/>
        <v>377350</v>
      </c>
      <c r="F77" s="54">
        <f>332170+25184+1220+18776</f>
        <v>377350</v>
      </c>
      <c r="G77" s="54">
        <f>247612+45301+1000+18776</f>
        <v>312689</v>
      </c>
      <c r="H77" s="54"/>
      <c r="I77" s="43"/>
      <c r="J77" s="54">
        <f t="shared" si="22"/>
        <v>0</v>
      </c>
      <c r="K77" s="54"/>
      <c r="L77" s="54"/>
      <c r="M77" s="54"/>
      <c r="N77" s="54"/>
      <c r="O77" s="54">
        <f>N76-N77</f>
        <v>0</v>
      </c>
      <c r="P77" s="54">
        <f t="shared" si="23"/>
        <v>377350</v>
      </c>
      <c r="Q77" s="170"/>
    </row>
    <row r="78" spans="1:17" s="22" customFormat="1" ht="90">
      <c r="A78" s="20"/>
      <c r="B78" s="42" t="s">
        <v>173</v>
      </c>
      <c r="C78" s="31" t="s">
        <v>46</v>
      </c>
      <c r="D78" s="34" t="s">
        <v>161</v>
      </c>
      <c r="E78" s="54">
        <f t="shared" si="24"/>
        <v>4554428.75</v>
      </c>
      <c r="F78" s="54">
        <f>4650387+37304-403808+60000+30000+97943.75+23000+15000+26417+15000+9976+5000+11547+1600-6200-18776+16736-16227-471</f>
        <v>4554428.75</v>
      </c>
      <c r="G78" s="54">
        <f>2854137+321793-345065+8177+9465-18776+13752-12000</f>
        <v>2831483</v>
      </c>
      <c r="H78" s="54">
        <f>517072+18373</f>
        <v>535445</v>
      </c>
      <c r="I78" s="43"/>
      <c r="J78" s="54">
        <f t="shared" si="22"/>
        <v>129783</v>
      </c>
      <c r="K78" s="54"/>
      <c r="L78" s="54"/>
      <c r="M78" s="54"/>
      <c r="N78" s="54">
        <f>150000-26417+6200</f>
        <v>129783</v>
      </c>
      <c r="O78" s="54">
        <f>150000-26417+6200</f>
        <v>129783</v>
      </c>
      <c r="P78" s="54">
        <f t="shared" si="23"/>
        <v>4684211.75</v>
      </c>
      <c r="Q78" s="170"/>
    </row>
    <row r="79" spans="1:17" s="22" customFormat="1" ht="26.25" customHeight="1">
      <c r="A79" s="20"/>
      <c r="B79" s="39"/>
      <c r="C79" s="31"/>
      <c r="D79" s="34" t="s">
        <v>41</v>
      </c>
      <c r="E79" s="54">
        <f t="shared" si="24"/>
        <v>4271122.75</v>
      </c>
      <c r="F79" s="54">
        <f>4157731+37304+97943.75+11547+1600-18776-16227</f>
        <v>4271122.75</v>
      </c>
      <c r="G79" s="54">
        <f>2509072+321793+9465-18776-12000</f>
        <v>2809554</v>
      </c>
      <c r="H79" s="54">
        <f>517072-49980+18373</f>
        <v>485465</v>
      </c>
      <c r="I79" s="43"/>
      <c r="J79" s="54">
        <f t="shared" si="22"/>
        <v>0</v>
      </c>
      <c r="K79" s="54"/>
      <c r="L79" s="54"/>
      <c r="M79" s="54"/>
      <c r="N79" s="54"/>
      <c r="O79" s="54"/>
      <c r="P79" s="54">
        <f t="shared" si="23"/>
        <v>4271122.75</v>
      </c>
      <c r="Q79" s="170"/>
    </row>
    <row r="80" spans="1:17" s="22" customFormat="1" ht="45">
      <c r="A80" s="20"/>
      <c r="B80" s="42" t="s">
        <v>174</v>
      </c>
      <c r="C80" s="31" t="s">
        <v>47</v>
      </c>
      <c r="D80" s="34" t="s">
        <v>162</v>
      </c>
      <c r="E80" s="54">
        <f t="shared" si="24"/>
        <v>12605875</v>
      </c>
      <c r="F80" s="54">
        <f>14471495-2278502+222906+17000+75000+27938+10000+27000+33038</f>
        <v>12605875</v>
      </c>
      <c r="G80" s="54">
        <f>9257594-784442+22900-12000</f>
        <v>8484052</v>
      </c>
      <c r="H80" s="54">
        <f>1785662+33038</f>
        <v>1818700</v>
      </c>
      <c r="I80" s="43"/>
      <c r="J80" s="54">
        <f t="shared" si="22"/>
        <v>450000</v>
      </c>
      <c r="K80" s="54"/>
      <c r="L80" s="54"/>
      <c r="M80" s="54"/>
      <c r="N80" s="54">
        <f>525000-75000</f>
        <v>450000</v>
      </c>
      <c r="O80" s="54">
        <f>525000-75000</f>
        <v>450000</v>
      </c>
      <c r="P80" s="54">
        <f t="shared" si="23"/>
        <v>13055875</v>
      </c>
      <c r="Q80" s="170"/>
    </row>
    <row r="81" spans="1:17" s="22" customFormat="1" ht="30">
      <c r="A81" s="20"/>
      <c r="B81" s="42" t="s">
        <v>360</v>
      </c>
      <c r="C81" s="31" t="s">
        <v>361</v>
      </c>
      <c r="D81" s="34" t="s">
        <v>362</v>
      </c>
      <c r="E81" s="54">
        <f t="shared" si="24"/>
        <v>55069266</v>
      </c>
      <c r="F81" s="54">
        <f>55886018-791752-25000</f>
        <v>55069266</v>
      </c>
      <c r="G81" s="54">
        <f>26608329-219784-10303</f>
        <v>26378242</v>
      </c>
      <c r="H81" s="54">
        <f>6083140+284318+204900+581056</f>
        <v>7153414</v>
      </c>
      <c r="I81" s="43"/>
      <c r="J81" s="54">
        <f t="shared" si="22"/>
        <v>6805998</v>
      </c>
      <c r="K81" s="54">
        <v>6459260</v>
      </c>
      <c r="L81" s="54">
        <v>1729928</v>
      </c>
      <c r="M81" s="54">
        <v>1470248</v>
      </c>
      <c r="N81" s="54">
        <f>305000+41738</f>
        <v>346738</v>
      </c>
      <c r="O81" s="54">
        <f>41738</f>
        <v>41738</v>
      </c>
      <c r="P81" s="54">
        <f t="shared" si="23"/>
        <v>61875264</v>
      </c>
      <c r="Q81" s="170"/>
    </row>
    <row r="82" spans="1:17" s="22" customFormat="1" ht="45">
      <c r="A82" s="20"/>
      <c r="B82" s="42" t="s">
        <v>175</v>
      </c>
      <c r="C82" s="31" t="s">
        <v>48</v>
      </c>
      <c r="D82" s="34" t="s">
        <v>163</v>
      </c>
      <c r="E82" s="54">
        <f t="shared" si="24"/>
        <v>1772516</v>
      </c>
      <c r="F82" s="54">
        <f>2094920-330296+4000+3950+531-4290-1299+5000</f>
        <v>1772516</v>
      </c>
      <c r="G82" s="54">
        <f>1451158-100640+435-6900</f>
        <v>1344053</v>
      </c>
      <c r="H82" s="54">
        <f>79885+2610</f>
        <v>82495</v>
      </c>
      <c r="I82" s="43"/>
      <c r="J82" s="54">
        <f t="shared" si="22"/>
        <v>118730</v>
      </c>
      <c r="K82" s="54"/>
      <c r="L82" s="54"/>
      <c r="M82" s="54"/>
      <c r="N82" s="54">
        <f>110000+11000-2270</f>
        <v>118730</v>
      </c>
      <c r="O82" s="54">
        <f>110000+11000-2270</f>
        <v>118730</v>
      </c>
      <c r="P82" s="54">
        <f t="shared" si="23"/>
        <v>1891246</v>
      </c>
      <c r="Q82" s="170"/>
    </row>
    <row r="83" spans="1:17" s="22" customFormat="1" ht="30">
      <c r="A83" s="20"/>
      <c r="B83" s="42" t="s">
        <v>176</v>
      </c>
      <c r="C83" s="31" t="s">
        <v>49</v>
      </c>
      <c r="D83" s="34" t="s">
        <v>164</v>
      </c>
      <c r="E83" s="54">
        <f t="shared" si="24"/>
        <v>1656670</v>
      </c>
      <c r="F83" s="54">
        <f>1911767-371097+104666+531+4665+6138</f>
        <v>1656670</v>
      </c>
      <c r="G83" s="54">
        <f>1242033-158595+85792+435</f>
        <v>1169665</v>
      </c>
      <c r="H83" s="54">
        <f>82225+3165</f>
        <v>85390</v>
      </c>
      <c r="I83" s="43"/>
      <c r="J83" s="54">
        <f t="shared" si="22"/>
        <v>92250</v>
      </c>
      <c r="K83" s="54"/>
      <c r="L83" s="54"/>
      <c r="M83" s="54"/>
      <c r="N83" s="54">
        <f>75000+18000-750</f>
        <v>92250</v>
      </c>
      <c r="O83" s="54">
        <f>75000+18000-750</f>
        <v>92250</v>
      </c>
      <c r="P83" s="54">
        <f t="shared" si="23"/>
        <v>1748920</v>
      </c>
      <c r="Q83" s="170"/>
    </row>
    <row r="84" spans="1:17" s="22" customFormat="1" ht="30">
      <c r="A84" s="20"/>
      <c r="B84" s="42" t="s">
        <v>177</v>
      </c>
      <c r="C84" s="31" t="s">
        <v>50</v>
      </c>
      <c r="D84" s="34" t="s">
        <v>165</v>
      </c>
      <c r="E84" s="54">
        <f t="shared" si="24"/>
        <v>143953</v>
      </c>
      <c r="F84" s="54">
        <f>206673-44535-18185</f>
        <v>143953</v>
      </c>
      <c r="G84" s="54">
        <f>145804-19414-15000</f>
        <v>111390</v>
      </c>
      <c r="H84" s="54">
        <f>5147+115</f>
        <v>5262</v>
      </c>
      <c r="I84" s="43"/>
      <c r="J84" s="54">
        <f t="shared" si="22"/>
        <v>0</v>
      </c>
      <c r="K84" s="54"/>
      <c r="L84" s="54"/>
      <c r="M84" s="54"/>
      <c r="N84" s="54"/>
      <c r="O84" s="54"/>
      <c r="P84" s="54">
        <f t="shared" si="23"/>
        <v>143953</v>
      </c>
      <c r="Q84" s="170"/>
    </row>
    <row r="85" spans="1:17" s="22" customFormat="1" ht="26.25" customHeight="1">
      <c r="A85" s="20"/>
      <c r="B85" s="42" t="s">
        <v>178</v>
      </c>
      <c r="C85" s="31" t="s">
        <v>51</v>
      </c>
      <c r="D85" s="34" t="s">
        <v>166</v>
      </c>
      <c r="E85" s="54">
        <f t="shared" si="24"/>
        <v>2534037</v>
      </c>
      <c r="F85" s="54">
        <f>2955196-425073+45291+15000+10000+6823-73200</f>
        <v>2534037</v>
      </c>
      <c r="G85" s="54">
        <f>1837478-145690+5593-33000</f>
        <v>1664381</v>
      </c>
      <c r="H85" s="54">
        <f>335643-6000-30000</f>
        <v>299643</v>
      </c>
      <c r="I85" s="43"/>
      <c r="J85" s="54">
        <f t="shared" si="22"/>
        <v>150000</v>
      </c>
      <c r="K85" s="54"/>
      <c r="L85" s="54"/>
      <c r="M85" s="54"/>
      <c r="N85" s="54">
        <v>150000</v>
      </c>
      <c r="O85" s="54">
        <v>150000</v>
      </c>
      <c r="P85" s="54">
        <f t="shared" si="23"/>
        <v>2684037</v>
      </c>
      <c r="Q85" s="170"/>
    </row>
    <row r="86" spans="1:17" s="22" customFormat="1" ht="27" customHeight="1">
      <c r="A86" s="20"/>
      <c r="B86" s="42" t="s">
        <v>179</v>
      </c>
      <c r="C86" s="31" t="s">
        <v>52</v>
      </c>
      <c r="D86" s="34" t="s">
        <v>53</v>
      </c>
      <c r="E86" s="54">
        <f t="shared" si="24"/>
        <v>53240</v>
      </c>
      <c r="F86" s="54">
        <f aca="true" t="shared" si="25" ref="F86:P86">F87</f>
        <v>53240</v>
      </c>
      <c r="G86" s="54">
        <f t="shared" si="25"/>
        <v>0</v>
      </c>
      <c r="H86" s="54">
        <f t="shared" si="25"/>
        <v>0</v>
      </c>
      <c r="I86" s="54">
        <f t="shared" si="25"/>
        <v>0</v>
      </c>
      <c r="J86" s="54">
        <f t="shared" si="22"/>
        <v>0</v>
      </c>
      <c r="K86" s="54">
        <f t="shared" si="25"/>
        <v>0</v>
      </c>
      <c r="L86" s="54">
        <f t="shared" si="25"/>
        <v>0</v>
      </c>
      <c r="M86" s="54">
        <f t="shared" si="25"/>
        <v>0</v>
      </c>
      <c r="N86" s="54">
        <f t="shared" si="25"/>
        <v>0</v>
      </c>
      <c r="O86" s="54">
        <f t="shared" si="25"/>
        <v>0</v>
      </c>
      <c r="P86" s="54">
        <f t="shared" si="25"/>
        <v>53240</v>
      </c>
      <c r="Q86" s="170"/>
    </row>
    <row r="87" spans="1:17" s="67" customFormat="1" ht="45">
      <c r="A87" s="66"/>
      <c r="B87" s="129" t="s">
        <v>180</v>
      </c>
      <c r="C87" s="130" t="s">
        <v>52</v>
      </c>
      <c r="D87" s="131" t="s">
        <v>347</v>
      </c>
      <c r="E87" s="128">
        <f t="shared" si="24"/>
        <v>53240</v>
      </c>
      <c r="F87" s="128">
        <f>73148-19908</f>
        <v>53240</v>
      </c>
      <c r="G87" s="48"/>
      <c r="H87" s="48"/>
      <c r="I87" s="53"/>
      <c r="J87" s="128">
        <f t="shared" si="22"/>
        <v>0</v>
      </c>
      <c r="K87" s="48"/>
      <c r="L87" s="48"/>
      <c r="M87" s="48"/>
      <c r="N87" s="48"/>
      <c r="O87" s="48"/>
      <c r="P87" s="48">
        <f>E87+J87</f>
        <v>53240</v>
      </c>
      <c r="Q87" s="170"/>
    </row>
    <row r="88" spans="1:17" s="22" customFormat="1" ht="49.5" customHeight="1">
      <c r="A88" s="33"/>
      <c r="B88" s="42" t="s">
        <v>182</v>
      </c>
      <c r="C88" s="31" t="s">
        <v>54</v>
      </c>
      <c r="D88" s="34" t="s">
        <v>181</v>
      </c>
      <c r="E88" s="54">
        <f t="shared" si="24"/>
        <v>45250</v>
      </c>
      <c r="F88" s="54">
        <v>45250</v>
      </c>
      <c r="G88" s="54"/>
      <c r="H88" s="54"/>
      <c r="I88" s="43"/>
      <c r="J88" s="54">
        <f t="shared" si="22"/>
        <v>0</v>
      </c>
      <c r="K88" s="54"/>
      <c r="L88" s="54"/>
      <c r="M88" s="54"/>
      <c r="N88" s="54"/>
      <c r="O88" s="54"/>
      <c r="P88" s="54">
        <f>E88+J88</f>
        <v>45250</v>
      </c>
      <c r="Q88" s="170"/>
    </row>
    <row r="89" spans="1:17" s="22" customFormat="1" ht="75">
      <c r="A89" s="20"/>
      <c r="B89" s="42" t="s">
        <v>183</v>
      </c>
      <c r="C89" s="31" t="s">
        <v>20</v>
      </c>
      <c r="D89" s="73" t="s">
        <v>111</v>
      </c>
      <c r="E89" s="54">
        <f t="shared" si="24"/>
        <v>2109980</v>
      </c>
      <c r="F89" s="54">
        <f>2000000+109980</f>
        <v>2109980</v>
      </c>
      <c r="G89" s="54"/>
      <c r="H89" s="54"/>
      <c r="I89" s="43"/>
      <c r="J89" s="54">
        <f t="shared" si="22"/>
        <v>0</v>
      </c>
      <c r="K89" s="54"/>
      <c r="L89" s="54"/>
      <c r="M89" s="54"/>
      <c r="N89" s="54"/>
      <c r="O89" s="54"/>
      <c r="P89" s="54">
        <f>E89+J89</f>
        <v>2109980</v>
      </c>
      <c r="Q89" s="170"/>
    </row>
    <row r="90" spans="1:17" s="22" customFormat="1" ht="30">
      <c r="A90" s="20"/>
      <c r="B90" s="42" t="s">
        <v>184</v>
      </c>
      <c r="C90" s="31"/>
      <c r="D90" s="87" t="s">
        <v>126</v>
      </c>
      <c r="E90" s="54">
        <f t="shared" si="24"/>
        <v>2565091</v>
      </c>
      <c r="F90" s="54">
        <f aca="true" t="shared" si="26" ref="F90:P90">F91</f>
        <v>2565091</v>
      </c>
      <c r="G90" s="54">
        <f t="shared" si="26"/>
        <v>1771801</v>
      </c>
      <c r="H90" s="54">
        <f t="shared" si="26"/>
        <v>182401</v>
      </c>
      <c r="I90" s="54">
        <f t="shared" si="26"/>
        <v>0</v>
      </c>
      <c r="J90" s="54">
        <f t="shared" si="22"/>
        <v>0</v>
      </c>
      <c r="K90" s="54">
        <f t="shared" si="26"/>
        <v>0</v>
      </c>
      <c r="L90" s="54">
        <f t="shared" si="26"/>
        <v>0</v>
      </c>
      <c r="M90" s="54">
        <f t="shared" si="26"/>
        <v>0</v>
      </c>
      <c r="N90" s="54">
        <f t="shared" si="26"/>
        <v>0</v>
      </c>
      <c r="O90" s="54">
        <f t="shared" si="26"/>
        <v>0</v>
      </c>
      <c r="P90" s="54">
        <f t="shared" si="26"/>
        <v>2565091</v>
      </c>
      <c r="Q90" s="170"/>
    </row>
    <row r="91" spans="1:17" s="67" customFormat="1" ht="45">
      <c r="A91" s="66"/>
      <c r="B91" s="129" t="s">
        <v>185</v>
      </c>
      <c r="C91" s="130" t="s">
        <v>27</v>
      </c>
      <c r="D91" s="29" t="s">
        <v>128</v>
      </c>
      <c r="E91" s="52">
        <f t="shared" si="24"/>
        <v>2565091</v>
      </c>
      <c r="F91" s="128">
        <f>2940630-378096+28970+2787-29200</f>
        <v>2565091</v>
      </c>
      <c r="G91" s="128">
        <f>1887404-88687+2284-29200</f>
        <v>1771801</v>
      </c>
      <c r="H91" s="128">
        <v>182401</v>
      </c>
      <c r="I91" s="53"/>
      <c r="J91" s="128">
        <f t="shared" si="22"/>
        <v>0</v>
      </c>
      <c r="K91" s="53"/>
      <c r="L91" s="53"/>
      <c r="M91" s="53"/>
      <c r="N91" s="53"/>
      <c r="O91" s="53"/>
      <c r="P91" s="48">
        <f>E91+J91</f>
        <v>2565091</v>
      </c>
      <c r="Q91" s="170"/>
    </row>
    <row r="92" spans="1:17" s="67" customFormat="1" ht="30">
      <c r="A92" s="66"/>
      <c r="B92" s="42" t="s">
        <v>421</v>
      </c>
      <c r="C92" s="31" t="s">
        <v>417</v>
      </c>
      <c r="D92" s="34" t="s">
        <v>418</v>
      </c>
      <c r="E92" s="52"/>
      <c r="F92" s="128"/>
      <c r="G92" s="128"/>
      <c r="H92" s="128"/>
      <c r="I92" s="53"/>
      <c r="J92" s="128">
        <f t="shared" si="22"/>
        <v>70000</v>
      </c>
      <c r="K92" s="128">
        <f>40000+2550</f>
        <v>42550</v>
      </c>
      <c r="L92" s="128"/>
      <c r="M92" s="128"/>
      <c r="N92" s="128">
        <f>30000-2550</f>
        <v>27450</v>
      </c>
      <c r="O92" s="128"/>
      <c r="P92" s="128">
        <f>E92+J92</f>
        <v>70000</v>
      </c>
      <c r="Q92" s="170"/>
    </row>
    <row r="93" spans="1:17" s="67" customFormat="1" ht="27.75" customHeight="1">
      <c r="A93" s="66"/>
      <c r="B93" s="127" t="s">
        <v>422</v>
      </c>
      <c r="C93" s="92" t="s">
        <v>420</v>
      </c>
      <c r="D93" s="93" t="s">
        <v>55</v>
      </c>
      <c r="E93" s="48"/>
      <c r="F93" s="54"/>
      <c r="G93" s="54"/>
      <c r="H93" s="54"/>
      <c r="I93" s="53"/>
      <c r="J93" s="128">
        <f t="shared" si="22"/>
        <v>250000</v>
      </c>
      <c r="K93" s="128">
        <f>160000+5200</f>
        <v>165200</v>
      </c>
      <c r="L93" s="128"/>
      <c r="M93" s="128"/>
      <c r="N93" s="128">
        <f>90000-5200</f>
        <v>84800</v>
      </c>
      <c r="O93" s="128"/>
      <c r="P93" s="128">
        <f>E93+J93</f>
        <v>250000</v>
      </c>
      <c r="Q93" s="170"/>
    </row>
    <row r="94" spans="1:17" s="22" customFormat="1" ht="28.5">
      <c r="A94" s="33"/>
      <c r="B94" s="127" t="s">
        <v>187</v>
      </c>
      <c r="C94" s="23"/>
      <c r="D94" s="24" t="s">
        <v>186</v>
      </c>
      <c r="E94" s="43">
        <f>E95</f>
        <v>227641930.43</v>
      </c>
      <c r="F94" s="43">
        <f aca="true" t="shared" si="27" ref="F94:P94">F95</f>
        <v>227641930.43</v>
      </c>
      <c r="G94" s="43">
        <f t="shared" si="27"/>
        <v>127418165</v>
      </c>
      <c r="H94" s="43">
        <f t="shared" si="27"/>
        <v>20155700</v>
      </c>
      <c r="I94" s="43">
        <f t="shared" si="27"/>
        <v>0</v>
      </c>
      <c r="J94" s="43">
        <f t="shared" si="27"/>
        <v>45925404</v>
      </c>
      <c r="K94" s="43">
        <f t="shared" si="27"/>
        <v>11785214</v>
      </c>
      <c r="L94" s="43">
        <f t="shared" si="27"/>
        <v>6366242</v>
      </c>
      <c r="M94" s="43">
        <f t="shared" si="27"/>
        <v>500810</v>
      </c>
      <c r="N94" s="43">
        <f t="shared" si="27"/>
        <v>34140190</v>
      </c>
      <c r="O94" s="43">
        <f t="shared" si="27"/>
        <v>34140190</v>
      </c>
      <c r="P94" s="43">
        <f t="shared" si="27"/>
        <v>273567334.43</v>
      </c>
      <c r="Q94" s="170"/>
    </row>
    <row r="95" spans="1:17" s="67" customFormat="1" ht="30">
      <c r="A95" s="66"/>
      <c r="B95" s="42" t="s">
        <v>188</v>
      </c>
      <c r="C95" s="36"/>
      <c r="D95" s="37" t="s">
        <v>186</v>
      </c>
      <c r="E95" s="53">
        <f>E97+E98+E100+E104+E106+E108+E114+E102+E110+E120</f>
        <v>227641930.43</v>
      </c>
      <c r="F95" s="53">
        <f aca="true" t="shared" si="28" ref="F95:P95">F97+F98+F100+F104+F106+F108+F114+F102+F110+F120</f>
        <v>227641930.43</v>
      </c>
      <c r="G95" s="53">
        <f t="shared" si="28"/>
        <v>127418165</v>
      </c>
      <c r="H95" s="53">
        <f t="shared" si="28"/>
        <v>20155700</v>
      </c>
      <c r="I95" s="53">
        <f t="shared" si="28"/>
        <v>0</v>
      </c>
      <c r="J95" s="53">
        <f t="shared" si="28"/>
        <v>45925404</v>
      </c>
      <c r="K95" s="53">
        <f t="shared" si="28"/>
        <v>11785214</v>
      </c>
      <c r="L95" s="53">
        <f t="shared" si="28"/>
        <v>6366242</v>
      </c>
      <c r="M95" s="53">
        <f t="shared" si="28"/>
        <v>500810</v>
      </c>
      <c r="N95" s="53">
        <f t="shared" si="28"/>
        <v>34140190</v>
      </c>
      <c r="O95" s="53">
        <f t="shared" si="28"/>
        <v>34140190</v>
      </c>
      <c r="P95" s="53">
        <f t="shared" si="28"/>
        <v>273567334.43</v>
      </c>
      <c r="Q95" s="170"/>
    </row>
    <row r="96" spans="1:17" s="22" customFormat="1" ht="15" customHeight="1">
      <c r="A96" s="33"/>
      <c r="B96" s="141"/>
      <c r="C96" s="23"/>
      <c r="D96" s="34" t="s">
        <v>96</v>
      </c>
      <c r="E96" s="54">
        <f>E99+E101+E105+E107+E115+E109+E103+E113</f>
        <v>206346569.43</v>
      </c>
      <c r="F96" s="54">
        <f aca="true" t="shared" si="29" ref="F96:P96">F99+F101+F105+F107+F115+F109+F103+F113</f>
        <v>206346569.43</v>
      </c>
      <c r="G96" s="54">
        <f t="shared" si="29"/>
        <v>126718703</v>
      </c>
      <c r="H96" s="54">
        <f t="shared" si="29"/>
        <v>19333136</v>
      </c>
      <c r="I96" s="54">
        <f t="shared" si="29"/>
        <v>0</v>
      </c>
      <c r="J96" s="54">
        <f t="shared" si="29"/>
        <v>2846900</v>
      </c>
      <c r="K96" s="54">
        <f t="shared" si="29"/>
        <v>0</v>
      </c>
      <c r="L96" s="54">
        <f t="shared" si="29"/>
        <v>0</v>
      </c>
      <c r="M96" s="54">
        <f t="shared" si="29"/>
        <v>0</v>
      </c>
      <c r="N96" s="54">
        <f t="shared" si="29"/>
        <v>2846900</v>
      </c>
      <c r="O96" s="54">
        <f t="shared" si="29"/>
        <v>2846900</v>
      </c>
      <c r="P96" s="54">
        <f t="shared" si="29"/>
        <v>209193469.43</v>
      </c>
      <c r="Q96" s="170"/>
    </row>
    <row r="97" spans="1:17" s="22" customFormat="1" ht="60" customHeight="1">
      <c r="A97" s="20"/>
      <c r="B97" s="42" t="s">
        <v>189</v>
      </c>
      <c r="C97" s="31" t="s">
        <v>9</v>
      </c>
      <c r="D97" s="34" t="s">
        <v>100</v>
      </c>
      <c r="E97" s="54">
        <f aca="true" t="shared" si="30" ref="E97:E119">F97+I97</f>
        <v>543867</v>
      </c>
      <c r="F97" s="54">
        <f>501690-36350+9175+52552+11300+5500</f>
        <v>543867</v>
      </c>
      <c r="G97" s="54">
        <f>324260+3570+43075+9300+4500</f>
        <v>384705</v>
      </c>
      <c r="H97" s="54">
        <v>18179</v>
      </c>
      <c r="I97" s="43"/>
      <c r="J97" s="54">
        <f aca="true" t="shared" si="31" ref="J97:J109">K97+N97</f>
        <v>447900</v>
      </c>
      <c r="K97" s="43"/>
      <c r="L97" s="43"/>
      <c r="M97" s="43"/>
      <c r="N97" s="54">
        <f>320200+13000+114700</f>
        <v>447900</v>
      </c>
      <c r="O97" s="54">
        <f>320200+13000+114700</f>
        <v>447900</v>
      </c>
      <c r="P97" s="54">
        <f aca="true" t="shared" si="32" ref="P97:P113">E97+J97</f>
        <v>991767</v>
      </c>
      <c r="Q97" s="170"/>
    </row>
    <row r="98" spans="1:17" s="22" customFormat="1" ht="30">
      <c r="A98" s="20"/>
      <c r="B98" s="42" t="s">
        <v>191</v>
      </c>
      <c r="C98" s="31" t="s">
        <v>56</v>
      </c>
      <c r="D98" s="34" t="s">
        <v>190</v>
      </c>
      <c r="E98" s="54">
        <f t="shared" si="30"/>
        <v>180390859.43</v>
      </c>
      <c r="F98" s="54">
        <f>185364829+8898601-3182667-22578004-57471+416936+263064.43+10000+150000+30000+20000+7536470+25000+57500+152300+186300+60000+20000+323035+16090+441760-22000+145000+24150+539500+93450+30100+103821+429675+791000+102420</f>
        <v>180390859.43</v>
      </c>
      <c r="G98" s="54">
        <f>111910141+7414009-15923234+264783+362600-14731+85100-24425</f>
        <v>104074243</v>
      </c>
      <c r="H98" s="54">
        <f>15447851+4471+289320+791000+13385</f>
        <v>16546027</v>
      </c>
      <c r="I98" s="43"/>
      <c r="J98" s="54">
        <f t="shared" si="31"/>
        <v>29645883</v>
      </c>
      <c r="K98" s="54">
        <v>7844182</v>
      </c>
      <c r="L98" s="54">
        <v>4083407</v>
      </c>
      <c r="M98" s="54">
        <v>177480</v>
      </c>
      <c r="N98" s="54">
        <f>12000000+4331400+40000+30000+30000+20500+279700+50000+35000+548200+5000+35850+288700+199000+290000+2846900+85407+686044</f>
        <v>21801701</v>
      </c>
      <c r="O98" s="54">
        <f>12000000+4331400+40000+30000+30000+20500+279700+50000+35000+548200+5000+288700+35850+199000+290000+2846900+85407+686044</f>
        <v>21801701</v>
      </c>
      <c r="P98" s="54">
        <f t="shared" si="32"/>
        <v>210036742.43</v>
      </c>
      <c r="Q98" s="170"/>
    </row>
    <row r="99" spans="1:17" s="22" customFormat="1" ht="15">
      <c r="A99" s="20"/>
      <c r="B99" s="39"/>
      <c r="C99" s="31"/>
      <c r="D99" s="34" t="s">
        <v>96</v>
      </c>
      <c r="E99" s="54">
        <f t="shared" si="30"/>
        <v>163481628.43</v>
      </c>
      <c r="F99" s="54">
        <f>148777515-3182667+263064.43+7536470+8841130+620115+441760-22000+103821+102420</f>
        <v>163481628.43</v>
      </c>
      <c r="G99" s="54">
        <f>95557155+7414009+429752+362600-14731+85100-24425</f>
        <v>103809460</v>
      </c>
      <c r="H99" s="54">
        <f>15388080+59771+4471+289320</f>
        <v>15741642</v>
      </c>
      <c r="I99" s="43"/>
      <c r="J99" s="54">
        <f t="shared" si="31"/>
        <v>2846900</v>
      </c>
      <c r="K99" s="54"/>
      <c r="L99" s="54"/>
      <c r="M99" s="54"/>
      <c r="N99" s="54">
        <f>2846900</f>
        <v>2846900</v>
      </c>
      <c r="O99" s="54">
        <f>2846900</f>
        <v>2846900</v>
      </c>
      <c r="P99" s="54">
        <f t="shared" si="32"/>
        <v>166328528.43</v>
      </c>
      <c r="Q99" s="170"/>
    </row>
    <row r="100" spans="1:17" s="22" customFormat="1" ht="30">
      <c r="A100" s="20"/>
      <c r="B100" s="42" t="s">
        <v>193</v>
      </c>
      <c r="C100" s="31" t="s">
        <v>57</v>
      </c>
      <c r="D100" s="34" t="s">
        <v>192</v>
      </c>
      <c r="E100" s="54">
        <f t="shared" si="30"/>
        <v>18454042</v>
      </c>
      <c r="F100" s="54">
        <f>21492078-514223-2712091+15000+4400+25000+10600+36846+55875+10068+27000+98089-94600</f>
        <v>18454042</v>
      </c>
      <c r="G100" s="54">
        <f>12880040+855030-1989840+30202+45800+80400</f>
        <v>11901632</v>
      </c>
      <c r="H100" s="54">
        <f>2655803-79600</f>
        <v>2576203</v>
      </c>
      <c r="I100" s="43"/>
      <c r="J100" s="54">
        <f t="shared" si="31"/>
        <v>3123829</v>
      </c>
      <c r="K100" s="54">
        <v>25240</v>
      </c>
      <c r="L100" s="54">
        <v>9460</v>
      </c>
      <c r="M100" s="54">
        <v>4150</v>
      </c>
      <c r="N100" s="54">
        <f>1500000+500000+879064+15000-10068+300000-85407</f>
        <v>3098589</v>
      </c>
      <c r="O100" s="54">
        <f>1500000+500000+879064+15000-10068+300000-85407</f>
        <v>3098589</v>
      </c>
      <c r="P100" s="54">
        <f t="shared" si="32"/>
        <v>21577871</v>
      </c>
      <c r="Q100" s="170"/>
    </row>
    <row r="101" spans="1:17" s="22" customFormat="1" ht="15">
      <c r="A101" s="20"/>
      <c r="B101" s="39"/>
      <c r="C101" s="31"/>
      <c r="D101" s="34" t="s">
        <v>96</v>
      </c>
      <c r="E101" s="54">
        <f t="shared" si="30"/>
        <v>17317078</v>
      </c>
      <c r="F101" s="54">
        <f>17756937-514223+15000+55875+98089-94600</f>
        <v>17317078</v>
      </c>
      <c r="G101" s="54">
        <f>10890200+855030+45800+80400</f>
        <v>11871430</v>
      </c>
      <c r="H101" s="54">
        <f>2655803-79600</f>
        <v>2576203</v>
      </c>
      <c r="I101" s="43"/>
      <c r="J101" s="54">
        <f t="shared" si="31"/>
        <v>0</v>
      </c>
      <c r="K101" s="54"/>
      <c r="L101" s="54"/>
      <c r="M101" s="54"/>
      <c r="N101" s="54"/>
      <c r="O101" s="54"/>
      <c r="P101" s="54">
        <f t="shared" si="32"/>
        <v>17317078</v>
      </c>
      <c r="Q101" s="170"/>
    </row>
    <row r="102" spans="1:17" s="22" customFormat="1" ht="45">
      <c r="A102" s="20"/>
      <c r="B102" s="31" t="s">
        <v>308</v>
      </c>
      <c r="C102" s="31" t="s">
        <v>309</v>
      </c>
      <c r="D102" s="34" t="s">
        <v>310</v>
      </c>
      <c r="E102" s="54">
        <f t="shared" si="30"/>
        <v>1583514</v>
      </c>
      <c r="F102" s="54">
        <f>2196578-72487-512653+1000+19500+5136+5370-67100+8170</f>
        <v>1583514</v>
      </c>
      <c r="G102" s="54">
        <f>1538529+67981-378621+4210+4400-55000</f>
        <v>1181499</v>
      </c>
      <c r="H102" s="54">
        <f>76813+8170</f>
        <v>84983</v>
      </c>
      <c r="I102" s="43"/>
      <c r="J102" s="54">
        <f t="shared" si="31"/>
        <v>407000</v>
      </c>
      <c r="K102" s="54">
        <v>407000</v>
      </c>
      <c r="L102" s="54">
        <v>98000</v>
      </c>
      <c r="M102" s="54">
        <v>132800</v>
      </c>
      <c r="N102" s="54">
        <f>N76</f>
        <v>0</v>
      </c>
      <c r="O102" s="54">
        <f>O76</f>
        <v>0</v>
      </c>
      <c r="P102" s="54">
        <f t="shared" si="32"/>
        <v>1990514</v>
      </c>
      <c r="Q102" s="170"/>
    </row>
    <row r="103" spans="1:17" s="22" customFormat="1" ht="15" customHeight="1">
      <c r="A103" s="20"/>
      <c r="B103" s="31"/>
      <c r="C103" s="31"/>
      <c r="D103" s="34" t="s">
        <v>96</v>
      </c>
      <c r="E103" s="54">
        <f t="shared" si="30"/>
        <v>1528428</v>
      </c>
      <c r="F103" s="54">
        <f>1653475-72487+1000+5370-67100+8170</f>
        <v>1528428</v>
      </c>
      <c r="G103" s="54">
        <f>1159908+67981+4400-55000</f>
        <v>1177289</v>
      </c>
      <c r="H103" s="54">
        <f>76813+8170</f>
        <v>84983</v>
      </c>
      <c r="I103" s="43"/>
      <c r="J103" s="54">
        <f t="shared" si="31"/>
        <v>0</v>
      </c>
      <c r="K103" s="54">
        <f>K77</f>
        <v>0</v>
      </c>
      <c r="L103" s="54">
        <f>L77</f>
        <v>0</v>
      </c>
      <c r="M103" s="54">
        <f>M77</f>
        <v>0</v>
      </c>
      <c r="N103" s="54">
        <f>N77</f>
        <v>0</v>
      </c>
      <c r="O103" s="54">
        <f>O77</f>
        <v>0</v>
      </c>
      <c r="P103" s="54">
        <f t="shared" si="32"/>
        <v>1528428</v>
      </c>
      <c r="Q103" s="170"/>
    </row>
    <row r="104" spans="1:17" s="22" customFormat="1" ht="30">
      <c r="A104" s="20"/>
      <c r="B104" s="42" t="s">
        <v>195</v>
      </c>
      <c r="C104" s="31" t="s">
        <v>58</v>
      </c>
      <c r="D104" s="34" t="s">
        <v>194</v>
      </c>
      <c r="E104" s="54">
        <f t="shared" si="30"/>
        <v>4287360</v>
      </c>
      <c r="F104" s="54">
        <f>5135524-113812-743432+5000+10000+5100+6310+12570-73200+43300</f>
        <v>4287360</v>
      </c>
      <c r="G104" s="54">
        <f>3329538+233048-545438+5172+10300-60000</f>
        <v>2972620</v>
      </c>
      <c r="H104" s="54">
        <f>339954+25360</f>
        <v>365314</v>
      </c>
      <c r="I104" s="43"/>
      <c r="J104" s="54">
        <f t="shared" si="31"/>
        <v>4353292</v>
      </c>
      <c r="K104" s="54">
        <v>3353292</v>
      </c>
      <c r="L104" s="54">
        <v>2153375</v>
      </c>
      <c r="M104" s="54">
        <v>166719</v>
      </c>
      <c r="N104" s="54">
        <v>1000000</v>
      </c>
      <c r="O104" s="54">
        <v>1000000</v>
      </c>
      <c r="P104" s="54">
        <f t="shared" si="32"/>
        <v>8640652</v>
      </c>
      <c r="Q104" s="170"/>
    </row>
    <row r="105" spans="1:17" s="22" customFormat="1" ht="15">
      <c r="A105" s="20"/>
      <c r="B105" s="39"/>
      <c r="C105" s="31"/>
      <c r="D105" s="34" t="s">
        <v>96</v>
      </c>
      <c r="E105" s="54">
        <f t="shared" si="30"/>
        <v>4085945</v>
      </c>
      <c r="F105" s="54">
        <f>4212087-113812+5000+12570-73200+43300</f>
        <v>4085945</v>
      </c>
      <c r="G105" s="54">
        <f>2784100+233048+10300-60000</f>
        <v>2967448</v>
      </c>
      <c r="H105" s="54">
        <f>339954+25360</f>
        <v>365314</v>
      </c>
      <c r="I105" s="43"/>
      <c r="J105" s="54">
        <f t="shared" si="31"/>
        <v>0</v>
      </c>
      <c r="K105" s="54"/>
      <c r="L105" s="54"/>
      <c r="M105" s="54"/>
      <c r="N105" s="54"/>
      <c r="O105" s="54"/>
      <c r="P105" s="54">
        <f t="shared" si="32"/>
        <v>4085945</v>
      </c>
      <c r="Q105" s="170"/>
    </row>
    <row r="106" spans="1:17" s="22" customFormat="1" ht="15">
      <c r="A106" s="20"/>
      <c r="B106" s="42" t="s">
        <v>197</v>
      </c>
      <c r="C106" s="31" t="s">
        <v>59</v>
      </c>
      <c r="D106" s="34" t="s">
        <v>196</v>
      </c>
      <c r="E106" s="54">
        <f t="shared" si="30"/>
        <v>9382026.94</v>
      </c>
      <c r="F106" s="54">
        <f>10647211-240883-1135554+37700+19000+12676+29890-1513.06-61610+71900+53000-49790</f>
        <v>9382026.94</v>
      </c>
      <c r="G106" s="54">
        <f>6060985+10390+24500-50500</f>
        <v>6045375</v>
      </c>
      <c r="H106" s="54">
        <f>564989-29990</f>
        <v>534999</v>
      </c>
      <c r="I106" s="43"/>
      <c r="J106" s="54">
        <f t="shared" si="31"/>
        <v>2587500</v>
      </c>
      <c r="K106" s="54">
        <v>155500</v>
      </c>
      <c r="L106" s="54">
        <v>22000</v>
      </c>
      <c r="M106" s="54">
        <v>19661</v>
      </c>
      <c r="N106" s="54">
        <f>1700000+719000+13000</f>
        <v>2432000</v>
      </c>
      <c r="O106" s="54">
        <f>1700000+719000+13000</f>
        <v>2432000</v>
      </c>
      <c r="P106" s="54">
        <f t="shared" si="32"/>
        <v>11969526.94</v>
      </c>
      <c r="Q106" s="170"/>
    </row>
    <row r="107" spans="1:17" s="22" customFormat="1" ht="15">
      <c r="A107" s="20"/>
      <c r="B107" s="39"/>
      <c r="C107" s="31"/>
      <c r="D107" s="34" t="s">
        <v>96</v>
      </c>
      <c r="E107" s="54">
        <f t="shared" si="30"/>
        <v>8225316.94</v>
      </c>
      <c r="F107" s="54">
        <f>8511523-240883+37700+29890-1513.06-61610-49790</f>
        <v>8225316.94</v>
      </c>
      <c r="G107" s="54">
        <f>6060985+24500-50500</f>
        <v>6034985</v>
      </c>
      <c r="H107" s="54">
        <f>564989-29990</f>
        <v>534999</v>
      </c>
      <c r="I107" s="43"/>
      <c r="J107" s="54">
        <f t="shared" si="31"/>
        <v>0</v>
      </c>
      <c r="K107" s="43"/>
      <c r="L107" s="43"/>
      <c r="M107" s="43"/>
      <c r="N107" s="43"/>
      <c r="O107" s="43"/>
      <c r="P107" s="54">
        <f t="shared" si="32"/>
        <v>8225316.94</v>
      </c>
      <c r="Q107" s="170"/>
    </row>
    <row r="108" spans="1:17" s="22" customFormat="1" ht="75">
      <c r="A108" s="20"/>
      <c r="B108" s="31" t="s">
        <v>204</v>
      </c>
      <c r="C108" s="31" t="s">
        <v>61</v>
      </c>
      <c r="D108" s="34" t="s">
        <v>62</v>
      </c>
      <c r="E108" s="54">
        <f t="shared" si="30"/>
        <v>654599</v>
      </c>
      <c r="F108" s="54">
        <f>701177-6802-44101+6000+1825-3500</f>
        <v>654599</v>
      </c>
      <c r="G108" s="54">
        <f>430788+37639-32613+1500</f>
        <v>437314</v>
      </c>
      <c r="H108" s="54">
        <v>18580</v>
      </c>
      <c r="I108" s="43"/>
      <c r="J108" s="54">
        <f t="shared" si="31"/>
        <v>40000</v>
      </c>
      <c r="K108" s="43"/>
      <c r="L108" s="43"/>
      <c r="M108" s="43"/>
      <c r="N108" s="54">
        <v>40000</v>
      </c>
      <c r="O108" s="54">
        <v>40000</v>
      </c>
      <c r="P108" s="54">
        <f t="shared" si="32"/>
        <v>694599</v>
      </c>
      <c r="Q108" s="170"/>
    </row>
    <row r="109" spans="1:17" s="22" customFormat="1" ht="15">
      <c r="A109" s="20"/>
      <c r="B109" s="39"/>
      <c r="C109" s="31"/>
      <c r="D109" s="34" t="s">
        <v>96</v>
      </c>
      <c r="E109" s="54">
        <f t="shared" si="30"/>
        <v>573595</v>
      </c>
      <c r="F109" s="54">
        <f>582072-6802+1825-3500</f>
        <v>573595</v>
      </c>
      <c r="G109" s="54">
        <f>398175+37639+1500</f>
        <v>437314</v>
      </c>
      <c r="H109" s="54">
        <v>18580</v>
      </c>
      <c r="I109" s="43"/>
      <c r="J109" s="54">
        <f t="shared" si="31"/>
        <v>0</v>
      </c>
      <c r="K109" s="43"/>
      <c r="L109" s="43"/>
      <c r="M109" s="43"/>
      <c r="N109" s="43"/>
      <c r="O109" s="43"/>
      <c r="P109" s="54">
        <f t="shared" si="32"/>
        <v>573595</v>
      </c>
      <c r="Q109" s="170"/>
    </row>
    <row r="110" spans="1:17" s="22" customFormat="1" ht="30">
      <c r="A110" s="20"/>
      <c r="B110" s="39">
        <v>1412210</v>
      </c>
      <c r="C110" s="31"/>
      <c r="D110" s="34" t="s">
        <v>357</v>
      </c>
      <c r="E110" s="54">
        <f>E112</f>
        <v>10347290</v>
      </c>
      <c r="F110" s="54">
        <f aca="true" t="shared" si="33" ref="F110:P111">F112</f>
        <v>10347290</v>
      </c>
      <c r="G110" s="54">
        <f t="shared" si="33"/>
        <v>0</v>
      </c>
      <c r="H110" s="54">
        <f t="shared" si="33"/>
        <v>0</v>
      </c>
      <c r="I110" s="54">
        <f t="shared" si="33"/>
        <v>0</v>
      </c>
      <c r="J110" s="54">
        <f t="shared" si="33"/>
        <v>0</v>
      </c>
      <c r="K110" s="54">
        <f t="shared" si="33"/>
        <v>0</v>
      </c>
      <c r="L110" s="54">
        <f t="shared" si="33"/>
        <v>0</v>
      </c>
      <c r="M110" s="54">
        <f t="shared" si="33"/>
        <v>0</v>
      </c>
      <c r="N110" s="54">
        <f t="shared" si="33"/>
        <v>0</v>
      </c>
      <c r="O110" s="54">
        <f t="shared" si="33"/>
        <v>0</v>
      </c>
      <c r="P110" s="54">
        <f t="shared" si="32"/>
        <v>10347290</v>
      </c>
      <c r="Q110" s="170"/>
    </row>
    <row r="111" spans="1:17" s="22" customFormat="1" ht="15">
      <c r="A111" s="20"/>
      <c r="B111" s="39"/>
      <c r="C111" s="31"/>
      <c r="D111" s="34" t="s">
        <v>96</v>
      </c>
      <c r="E111" s="54">
        <f>E113</f>
        <v>10347290</v>
      </c>
      <c r="F111" s="54">
        <f t="shared" si="33"/>
        <v>10347290</v>
      </c>
      <c r="G111" s="54">
        <f t="shared" si="33"/>
        <v>0</v>
      </c>
      <c r="H111" s="54">
        <f t="shared" si="33"/>
        <v>0</v>
      </c>
      <c r="I111" s="54">
        <f t="shared" si="33"/>
        <v>0</v>
      </c>
      <c r="J111" s="54">
        <f t="shared" si="33"/>
        <v>0</v>
      </c>
      <c r="K111" s="54">
        <f t="shared" si="33"/>
        <v>0</v>
      </c>
      <c r="L111" s="54">
        <f t="shared" si="33"/>
        <v>0</v>
      </c>
      <c r="M111" s="54">
        <f t="shared" si="33"/>
        <v>0</v>
      </c>
      <c r="N111" s="54">
        <f t="shared" si="33"/>
        <v>0</v>
      </c>
      <c r="O111" s="54">
        <f t="shared" si="33"/>
        <v>0</v>
      </c>
      <c r="P111" s="54">
        <f t="shared" si="33"/>
        <v>10347290</v>
      </c>
      <c r="Q111" s="170"/>
    </row>
    <row r="112" spans="1:17" s="22" customFormat="1" ht="45">
      <c r="A112" s="20"/>
      <c r="B112" s="38">
        <v>1412214</v>
      </c>
      <c r="C112" s="130" t="s">
        <v>358</v>
      </c>
      <c r="D112" s="29" t="s">
        <v>359</v>
      </c>
      <c r="E112" s="52">
        <f t="shared" si="30"/>
        <v>10347290</v>
      </c>
      <c r="F112" s="52">
        <f>4846847+371153+5129290</f>
        <v>10347290</v>
      </c>
      <c r="G112" s="52"/>
      <c r="H112" s="52"/>
      <c r="I112" s="53"/>
      <c r="J112" s="48">
        <f>J115+J117</f>
        <v>0</v>
      </c>
      <c r="K112" s="53"/>
      <c r="L112" s="53"/>
      <c r="M112" s="53"/>
      <c r="N112" s="53"/>
      <c r="O112" s="53"/>
      <c r="P112" s="48">
        <f t="shared" si="32"/>
        <v>10347290</v>
      </c>
      <c r="Q112" s="170"/>
    </row>
    <row r="113" spans="1:17" s="22" customFormat="1" ht="15">
      <c r="A113" s="20"/>
      <c r="B113" s="58"/>
      <c r="C113" s="59"/>
      <c r="D113" s="60" t="s">
        <v>96</v>
      </c>
      <c r="E113" s="48">
        <f t="shared" si="30"/>
        <v>10347290</v>
      </c>
      <c r="F113" s="48">
        <f>5129290+5218000</f>
        <v>10347290</v>
      </c>
      <c r="G113" s="48"/>
      <c r="H113" s="48"/>
      <c r="I113" s="53"/>
      <c r="J113" s="48"/>
      <c r="K113" s="53"/>
      <c r="L113" s="53"/>
      <c r="M113" s="53"/>
      <c r="N113" s="53"/>
      <c r="O113" s="53"/>
      <c r="P113" s="48">
        <f t="shared" si="32"/>
        <v>10347290</v>
      </c>
      <c r="Q113" s="170"/>
    </row>
    <row r="114" spans="1:17" s="22" customFormat="1" ht="15">
      <c r="A114" s="20"/>
      <c r="B114" s="42" t="s">
        <v>199</v>
      </c>
      <c r="C114" s="31" t="s">
        <v>60</v>
      </c>
      <c r="D114" s="34" t="s">
        <v>198</v>
      </c>
      <c r="E114" s="54">
        <f t="shared" si="30"/>
        <v>1998372.06</v>
      </c>
      <c r="F114" s="54">
        <f>F116+F118</f>
        <v>1998372.06</v>
      </c>
      <c r="G114" s="54">
        <f aca="true" t="shared" si="34" ref="G114:P115">G116+G118</f>
        <v>420777</v>
      </c>
      <c r="H114" s="54">
        <f t="shared" si="34"/>
        <v>11415</v>
      </c>
      <c r="I114" s="54">
        <f t="shared" si="34"/>
        <v>0</v>
      </c>
      <c r="J114" s="54">
        <f t="shared" si="34"/>
        <v>20000</v>
      </c>
      <c r="K114" s="54">
        <f t="shared" si="34"/>
        <v>0</v>
      </c>
      <c r="L114" s="54">
        <f t="shared" si="34"/>
        <v>0</v>
      </c>
      <c r="M114" s="54">
        <f t="shared" si="34"/>
        <v>0</v>
      </c>
      <c r="N114" s="54">
        <f t="shared" si="34"/>
        <v>20000</v>
      </c>
      <c r="O114" s="54">
        <f t="shared" si="34"/>
        <v>20000</v>
      </c>
      <c r="P114" s="54">
        <f t="shared" si="34"/>
        <v>2018372.06</v>
      </c>
      <c r="Q114" s="170"/>
    </row>
    <row r="115" spans="1:17" s="22" customFormat="1" ht="15">
      <c r="A115" s="20"/>
      <c r="B115" s="39"/>
      <c r="C115" s="31"/>
      <c r="D115" s="34" t="s">
        <v>96</v>
      </c>
      <c r="E115" s="54">
        <f t="shared" si="30"/>
        <v>787288.06</v>
      </c>
      <c r="F115" s="54">
        <f>F117+F119</f>
        <v>787288.06</v>
      </c>
      <c r="G115" s="54">
        <f t="shared" si="34"/>
        <v>420777</v>
      </c>
      <c r="H115" s="54">
        <f t="shared" si="34"/>
        <v>11415</v>
      </c>
      <c r="I115" s="54">
        <f t="shared" si="34"/>
        <v>0</v>
      </c>
      <c r="J115" s="54">
        <f t="shared" si="34"/>
        <v>0</v>
      </c>
      <c r="K115" s="54">
        <f t="shared" si="34"/>
        <v>0</v>
      </c>
      <c r="L115" s="54">
        <f t="shared" si="34"/>
        <v>0</v>
      </c>
      <c r="M115" s="54">
        <f t="shared" si="34"/>
        <v>0</v>
      </c>
      <c r="N115" s="54">
        <f t="shared" si="34"/>
        <v>0</v>
      </c>
      <c r="O115" s="54">
        <f t="shared" si="34"/>
        <v>0</v>
      </c>
      <c r="P115" s="54">
        <f t="shared" si="34"/>
        <v>787288.06</v>
      </c>
      <c r="Q115" s="170"/>
    </row>
    <row r="116" spans="1:17" s="67" customFormat="1" ht="30">
      <c r="A116" s="66"/>
      <c r="B116" s="130" t="s">
        <v>202</v>
      </c>
      <c r="C116" s="130" t="s">
        <v>60</v>
      </c>
      <c r="D116" s="29" t="s">
        <v>200</v>
      </c>
      <c r="E116" s="52">
        <f t="shared" si="30"/>
        <v>548765</v>
      </c>
      <c r="F116" s="52">
        <f>605063-9626-42382+1710-6000</f>
        <v>548765</v>
      </c>
      <c r="G116" s="52">
        <f>415979+34677-31279+1400</f>
        <v>420777</v>
      </c>
      <c r="H116" s="52">
        <v>11415</v>
      </c>
      <c r="I116" s="53"/>
      <c r="J116" s="48">
        <f>K116+N116</f>
        <v>20000</v>
      </c>
      <c r="K116" s="53"/>
      <c r="L116" s="53"/>
      <c r="M116" s="53"/>
      <c r="N116" s="53">
        <v>20000</v>
      </c>
      <c r="O116" s="53">
        <v>20000</v>
      </c>
      <c r="P116" s="48">
        <f>E116+J116</f>
        <v>568765</v>
      </c>
      <c r="Q116" s="170"/>
    </row>
    <row r="117" spans="1:17" s="67" customFormat="1" ht="15">
      <c r="A117" s="66"/>
      <c r="B117" s="59"/>
      <c r="C117" s="59"/>
      <c r="D117" s="60" t="s">
        <v>96</v>
      </c>
      <c r="E117" s="48">
        <f t="shared" si="30"/>
        <v>526262</v>
      </c>
      <c r="F117" s="48">
        <f>540178-9626+1710-6000</f>
        <v>526262</v>
      </c>
      <c r="G117" s="48">
        <f>384700+34677+1400</f>
        <v>420777</v>
      </c>
      <c r="H117" s="48">
        <v>11415</v>
      </c>
      <c r="I117" s="53"/>
      <c r="J117" s="48">
        <f>K117+N117</f>
        <v>0</v>
      </c>
      <c r="K117" s="53"/>
      <c r="L117" s="53"/>
      <c r="M117" s="53"/>
      <c r="N117" s="53"/>
      <c r="O117" s="53"/>
      <c r="P117" s="48">
        <f>E117+J117</f>
        <v>526262</v>
      </c>
      <c r="Q117" s="170"/>
    </row>
    <row r="118" spans="1:17" s="67" customFormat="1" ht="30">
      <c r="A118" s="66"/>
      <c r="B118" s="59" t="s">
        <v>203</v>
      </c>
      <c r="C118" s="59" t="s">
        <v>60</v>
      </c>
      <c r="D118" s="60" t="s">
        <v>201</v>
      </c>
      <c r="E118" s="48">
        <f t="shared" si="30"/>
        <v>1449607.06</v>
      </c>
      <c r="F118" s="48">
        <f>1276094+150000+23513.06</f>
        <v>1449607.06</v>
      </c>
      <c r="G118" s="48"/>
      <c r="H118" s="48"/>
      <c r="I118" s="53"/>
      <c r="J118" s="48">
        <f>K118+N118</f>
        <v>0</v>
      </c>
      <c r="K118" s="53"/>
      <c r="L118" s="53"/>
      <c r="M118" s="53"/>
      <c r="N118" s="53"/>
      <c r="O118" s="53"/>
      <c r="P118" s="48">
        <f>E118+J118</f>
        <v>1449607.06</v>
      </c>
      <c r="Q118" s="170"/>
    </row>
    <row r="119" spans="1:17" s="67" customFormat="1" ht="15">
      <c r="A119" s="66"/>
      <c r="B119" s="58"/>
      <c r="C119" s="59"/>
      <c r="D119" s="60" t="s">
        <v>96</v>
      </c>
      <c r="E119" s="48">
        <f t="shared" si="30"/>
        <v>261026.06</v>
      </c>
      <c r="F119" s="48">
        <f>237513+23513.06</f>
        <v>261026.06</v>
      </c>
      <c r="G119" s="48"/>
      <c r="H119" s="48"/>
      <c r="I119" s="53"/>
      <c r="J119" s="48">
        <f>K119+N119</f>
        <v>0</v>
      </c>
      <c r="K119" s="53"/>
      <c r="L119" s="53"/>
      <c r="M119" s="53"/>
      <c r="N119" s="53"/>
      <c r="O119" s="53"/>
      <c r="P119" s="48">
        <f>E119+J119</f>
        <v>261026.06</v>
      </c>
      <c r="Q119" s="170"/>
    </row>
    <row r="120" spans="1:17" s="124" customFormat="1" ht="15.75">
      <c r="A120" s="20"/>
      <c r="B120" s="39">
        <v>1418800</v>
      </c>
      <c r="C120" s="31" t="s">
        <v>89</v>
      </c>
      <c r="D120" s="8" t="s">
        <v>90</v>
      </c>
      <c r="E120" s="25">
        <f>F120+I120</f>
        <v>0</v>
      </c>
      <c r="F120" s="25"/>
      <c r="G120" s="25"/>
      <c r="H120" s="25"/>
      <c r="I120" s="43"/>
      <c r="J120" s="54">
        <f>K120+N120</f>
        <v>5300000</v>
      </c>
      <c r="K120" s="43"/>
      <c r="L120" s="43"/>
      <c r="M120" s="43"/>
      <c r="N120" s="54">
        <f>1500000+3800000</f>
        <v>5300000</v>
      </c>
      <c r="O120" s="54">
        <f>1500000+3800000</f>
        <v>5300000</v>
      </c>
      <c r="P120" s="54">
        <f>E120+J120</f>
        <v>5300000</v>
      </c>
      <c r="Q120" s="170"/>
    </row>
    <row r="121" spans="1:17" s="22" customFormat="1" ht="28.5">
      <c r="A121" s="33"/>
      <c r="B121" s="42" t="s">
        <v>205</v>
      </c>
      <c r="C121" s="23"/>
      <c r="D121" s="24" t="s">
        <v>455</v>
      </c>
      <c r="E121" s="43">
        <f>E122</f>
        <v>795346730.06</v>
      </c>
      <c r="F121" s="43">
        <f aca="true" t="shared" si="35" ref="F121:P121">F122</f>
        <v>795346730.06</v>
      </c>
      <c r="G121" s="43">
        <f t="shared" si="35"/>
        <v>17572764.44</v>
      </c>
      <c r="H121" s="43">
        <f t="shared" si="35"/>
        <v>728662</v>
      </c>
      <c r="I121" s="43">
        <f t="shared" si="35"/>
        <v>0</v>
      </c>
      <c r="J121" s="43">
        <f t="shared" si="35"/>
        <v>2137240.85</v>
      </c>
      <c r="K121" s="43">
        <f t="shared" si="35"/>
        <v>27800</v>
      </c>
      <c r="L121" s="43">
        <f t="shared" si="35"/>
        <v>18822</v>
      </c>
      <c r="M121" s="43">
        <f t="shared" si="35"/>
        <v>0</v>
      </c>
      <c r="N121" s="43">
        <f t="shared" si="35"/>
        <v>2109440.85</v>
      </c>
      <c r="O121" s="43">
        <f t="shared" si="35"/>
        <v>2109440.85</v>
      </c>
      <c r="P121" s="43">
        <f t="shared" si="35"/>
        <v>797483970.91</v>
      </c>
      <c r="Q121" s="170"/>
    </row>
    <row r="122" spans="1:17" s="67" customFormat="1" ht="30">
      <c r="A122" s="66"/>
      <c r="B122" s="72" t="s">
        <v>206</v>
      </c>
      <c r="C122" s="36"/>
      <c r="D122" s="37" t="s">
        <v>455</v>
      </c>
      <c r="E122" s="53">
        <f>E124+E150+E177+E181+E183+E187+E188+E193+E196+E192+E191+E125+E127+E142+E157+E178+E180+E202+E199</f>
        <v>795346730.06</v>
      </c>
      <c r="F122" s="53">
        <f aca="true" t="shared" si="36" ref="F122:P122">F124+F150+F177+F181+F183+F187+F188+F193+F196+F192+F191+F125+F127+F142+F157+F178+F180+F202+F199</f>
        <v>795346730.06</v>
      </c>
      <c r="G122" s="53">
        <f t="shared" si="36"/>
        <v>17572764.44</v>
      </c>
      <c r="H122" s="53">
        <f t="shared" si="36"/>
        <v>728662</v>
      </c>
      <c r="I122" s="53">
        <f t="shared" si="36"/>
        <v>0</v>
      </c>
      <c r="J122" s="53">
        <f t="shared" si="36"/>
        <v>2137240.85</v>
      </c>
      <c r="K122" s="53">
        <f t="shared" si="36"/>
        <v>27800</v>
      </c>
      <c r="L122" s="53">
        <f t="shared" si="36"/>
        <v>18822</v>
      </c>
      <c r="M122" s="53">
        <f t="shared" si="36"/>
        <v>0</v>
      </c>
      <c r="N122" s="53">
        <f t="shared" si="36"/>
        <v>2109440.85</v>
      </c>
      <c r="O122" s="53">
        <f t="shared" si="36"/>
        <v>2109440.85</v>
      </c>
      <c r="P122" s="53">
        <f t="shared" si="36"/>
        <v>797483970.91</v>
      </c>
      <c r="Q122" s="170"/>
    </row>
    <row r="123" spans="1:17" s="67" customFormat="1" ht="15">
      <c r="A123" s="66"/>
      <c r="B123" s="72"/>
      <c r="C123" s="36"/>
      <c r="D123" s="93" t="s">
        <v>41</v>
      </c>
      <c r="E123" s="53">
        <f>E126+E128+E143+E158+E179+E201</f>
        <v>738659340</v>
      </c>
      <c r="F123" s="53">
        <f aca="true" t="shared" si="37" ref="F123:P123">F126+F128+F143+F158+F179+F201</f>
        <v>738659340</v>
      </c>
      <c r="G123" s="53">
        <f t="shared" si="37"/>
        <v>0</v>
      </c>
      <c r="H123" s="53">
        <f t="shared" si="37"/>
        <v>0</v>
      </c>
      <c r="I123" s="53">
        <f t="shared" si="37"/>
        <v>0</v>
      </c>
      <c r="J123" s="53">
        <f t="shared" si="37"/>
        <v>1090537.85</v>
      </c>
      <c r="K123" s="53">
        <f t="shared" si="37"/>
        <v>0</v>
      </c>
      <c r="L123" s="53">
        <f t="shared" si="37"/>
        <v>0</v>
      </c>
      <c r="M123" s="53">
        <f t="shared" si="37"/>
        <v>0</v>
      </c>
      <c r="N123" s="53">
        <f t="shared" si="37"/>
        <v>1090537.85</v>
      </c>
      <c r="O123" s="53">
        <f t="shared" si="37"/>
        <v>1090537.85</v>
      </c>
      <c r="P123" s="53">
        <f t="shared" si="37"/>
        <v>739749877.85</v>
      </c>
      <c r="Q123" s="170"/>
    </row>
    <row r="124" spans="1:17" s="22" customFormat="1" ht="45" customHeight="1">
      <c r="A124" s="33"/>
      <c r="B124" s="127" t="s">
        <v>207</v>
      </c>
      <c r="C124" s="92" t="s">
        <v>9</v>
      </c>
      <c r="D124" s="93" t="s">
        <v>100</v>
      </c>
      <c r="E124" s="128">
        <f>F124+I124</f>
        <v>16380474</v>
      </c>
      <c r="F124" s="128">
        <f>15846830-1812790+360005+30000+943859+412900+307770+40000+251900</f>
        <v>16380474</v>
      </c>
      <c r="G124" s="128">
        <f>10990800-210790+749065+338500-43500+206500</f>
        <v>12030575</v>
      </c>
      <c r="H124" s="128">
        <f>369473+40000+25701</f>
        <v>435174</v>
      </c>
      <c r="I124" s="128"/>
      <c r="J124" s="128">
        <f>K124+N124</f>
        <v>342500</v>
      </c>
      <c r="K124" s="128"/>
      <c r="L124" s="128"/>
      <c r="M124" s="128"/>
      <c r="N124" s="128">
        <f>200000+142500</f>
        <v>342500</v>
      </c>
      <c r="O124" s="128">
        <f>200000+142500</f>
        <v>342500</v>
      </c>
      <c r="P124" s="128">
        <f>E124+J124</f>
        <v>16722974</v>
      </c>
      <c r="Q124" s="170"/>
    </row>
    <row r="125" spans="1:17" s="22" customFormat="1" ht="76.5" customHeight="1">
      <c r="A125" s="20"/>
      <c r="B125" s="127" t="s">
        <v>390</v>
      </c>
      <c r="C125" s="92" t="s">
        <v>391</v>
      </c>
      <c r="D125" s="93" t="s">
        <v>392</v>
      </c>
      <c r="E125" s="128">
        <f aca="true" t="shared" si="38" ref="E125:E144">F125+I125</f>
        <v>1632630</v>
      </c>
      <c r="F125" s="128">
        <f>1678900-46270</f>
        <v>1632630</v>
      </c>
      <c r="G125" s="128"/>
      <c r="H125" s="128"/>
      <c r="I125" s="128"/>
      <c r="J125" s="128"/>
      <c r="K125" s="128"/>
      <c r="L125" s="128"/>
      <c r="M125" s="128"/>
      <c r="N125" s="128"/>
      <c r="O125" s="128"/>
      <c r="P125" s="128">
        <f aca="true" t="shared" si="39" ref="P125:P141">E125+J125</f>
        <v>1632630</v>
      </c>
      <c r="Q125" s="170"/>
    </row>
    <row r="126" spans="1:17" s="22" customFormat="1" ht="27.75" customHeight="1">
      <c r="A126" s="20"/>
      <c r="B126" s="141"/>
      <c r="C126" s="92"/>
      <c r="D126" s="93" t="s">
        <v>41</v>
      </c>
      <c r="E126" s="128">
        <f t="shared" si="38"/>
        <v>1632630</v>
      </c>
      <c r="F126" s="128">
        <f>1678900-46270</f>
        <v>1632630</v>
      </c>
      <c r="G126" s="128"/>
      <c r="H126" s="128"/>
      <c r="I126" s="128"/>
      <c r="J126" s="128"/>
      <c r="K126" s="128"/>
      <c r="L126" s="128"/>
      <c r="M126" s="128"/>
      <c r="N126" s="128"/>
      <c r="O126" s="128"/>
      <c r="P126" s="128">
        <f t="shared" si="39"/>
        <v>1632630</v>
      </c>
      <c r="Q126" s="170"/>
    </row>
    <row r="127" spans="1:17" s="22" customFormat="1" ht="90">
      <c r="A127" s="20"/>
      <c r="B127" s="141">
        <v>1513010</v>
      </c>
      <c r="C127" s="92"/>
      <c r="D127" s="93" t="s">
        <v>393</v>
      </c>
      <c r="E127" s="128">
        <f aca="true" t="shared" si="40" ref="E127:P127">E129+E131+E134+E136+E138+E140</f>
        <v>478669200</v>
      </c>
      <c r="F127" s="128">
        <f t="shared" si="40"/>
        <v>478669200</v>
      </c>
      <c r="G127" s="128">
        <f t="shared" si="40"/>
        <v>0</v>
      </c>
      <c r="H127" s="128">
        <f t="shared" si="40"/>
        <v>0</v>
      </c>
      <c r="I127" s="128">
        <f t="shared" si="40"/>
        <v>0</v>
      </c>
      <c r="J127" s="128">
        <f t="shared" si="40"/>
        <v>0</v>
      </c>
      <c r="K127" s="128">
        <f t="shared" si="40"/>
        <v>0</v>
      </c>
      <c r="L127" s="128">
        <f t="shared" si="40"/>
        <v>0</v>
      </c>
      <c r="M127" s="128">
        <f t="shared" si="40"/>
        <v>0</v>
      </c>
      <c r="N127" s="128">
        <f t="shared" si="40"/>
        <v>0</v>
      </c>
      <c r="O127" s="128">
        <f t="shared" si="40"/>
        <v>0</v>
      </c>
      <c r="P127" s="128">
        <f t="shared" si="40"/>
        <v>478669200</v>
      </c>
      <c r="Q127" s="170"/>
    </row>
    <row r="128" spans="1:17" s="22" customFormat="1" ht="21.75" customHeight="1">
      <c r="A128" s="20"/>
      <c r="B128" s="141"/>
      <c r="C128" s="92"/>
      <c r="D128" s="93" t="s">
        <v>41</v>
      </c>
      <c r="E128" s="128">
        <f aca="true" t="shared" si="41" ref="E128:P128">E130+E133+E135+E137+E139+E141</f>
        <v>478669200</v>
      </c>
      <c r="F128" s="128">
        <f t="shared" si="41"/>
        <v>478669200</v>
      </c>
      <c r="G128" s="128">
        <f t="shared" si="41"/>
        <v>0</v>
      </c>
      <c r="H128" s="128">
        <f t="shared" si="41"/>
        <v>0</v>
      </c>
      <c r="I128" s="128">
        <f t="shared" si="41"/>
        <v>0</v>
      </c>
      <c r="J128" s="128">
        <f t="shared" si="41"/>
        <v>0</v>
      </c>
      <c r="K128" s="128">
        <f t="shared" si="41"/>
        <v>0</v>
      </c>
      <c r="L128" s="128">
        <f t="shared" si="41"/>
        <v>0</v>
      </c>
      <c r="M128" s="128">
        <f t="shared" si="41"/>
        <v>0</v>
      </c>
      <c r="N128" s="128">
        <f t="shared" si="41"/>
        <v>0</v>
      </c>
      <c r="O128" s="128">
        <f t="shared" si="41"/>
        <v>0</v>
      </c>
      <c r="P128" s="128">
        <f t="shared" si="41"/>
        <v>478669200</v>
      </c>
      <c r="Q128" s="170"/>
    </row>
    <row r="129" spans="1:17" s="22" customFormat="1" ht="257.25" customHeight="1">
      <c r="A129" s="20"/>
      <c r="B129" s="58">
        <v>1513011</v>
      </c>
      <c r="C129" s="59" t="s">
        <v>394</v>
      </c>
      <c r="D129" s="60" t="s">
        <v>395</v>
      </c>
      <c r="E129" s="54">
        <f>F129+I129</f>
        <v>41519200</v>
      </c>
      <c r="F129" s="54">
        <f>35619200+3000000+2900000</f>
        <v>41519200</v>
      </c>
      <c r="G129" s="54"/>
      <c r="H129" s="54"/>
      <c r="I129" s="54"/>
      <c r="J129" s="54"/>
      <c r="K129" s="54"/>
      <c r="L129" s="54"/>
      <c r="M129" s="54"/>
      <c r="N129" s="54"/>
      <c r="O129" s="54"/>
      <c r="P129" s="54">
        <f t="shared" si="39"/>
        <v>41519200</v>
      </c>
      <c r="Q129" s="170"/>
    </row>
    <row r="130" spans="1:17" s="22" customFormat="1" ht="24.75" customHeight="1">
      <c r="A130" s="20"/>
      <c r="B130" s="38"/>
      <c r="C130" s="130"/>
      <c r="D130" s="29" t="s">
        <v>41</v>
      </c>
      <c r="E130" s="128">
        <f>F130+I130</f>
        <v>41519200</v>
      </c>
      <c r="F130" s="128">
        <f>35619200+3000000+2900000</f>
        <v>41519200</v>
      </c>
      <c r="G130" s="128"/>
      <c r="H130" s="128"/>
      <c r="I130" s="128"/>
      <c r="J130" s="128"/>
      <c r="K130" s="128"/>
      <c r="L130" s="128"/>
      <c r="M130" s="128"/>
      <c r="N130" s="128"/>
      <c r="O130" s="128"/>
      <c r="P130" s="128">
        <f t="shared" si="39"/>
        <v>41519200</v>
      </c>
      <c r="Q130" s="170"/>
    </row>
    <row r="131" spans="1:17" s="22" customFormat="1" ht="213" customHeight="1">
      <c r="A131" s="20"/>
      <c r="B131" s="183">
        <v>1513012</v>
      </c>
      <c r="C131" s="185" t="s">
        <v>396</v>
      </c>
      <c r="D131" s="81" t="s">
        <v>397</v>
      </c>
      <c r="E131" s="186">
        <f>F131+I131</f>
        <v>5944100</v>
      </c>
      <c r="F131" s="186">
        <f>5469100+420000+55000</f>
        <v>5944100</v>
      </c>
      <c r="G131" s="82"/>
      <c r="H131" s="82"/>
      <c r="I131" s="82"/>
      <c r="J131" s="82"/>
      <c r="K131" s="82"/>
      <c r="L131" s="82"/>
      <c r="M131" s="82"/>
      <c r="N131" s="82"/>
      <c r="O131" s="82"/>
      <c r="P131" s="186">
        <f t="shared" si="39"/>
        <v>5944100</v>
      </c>
      <c r="Q131" s="170"/>
    </row>
    <row r="132" spans="1:17" s="22" customFormat="1" ht="300">
      <c r="A132" s="20"/>
      <c r="B132" s="184"/>
      <c r="C132" s="184"/>
      <c r="D132" s="142" t="s">
        <v>398</v>
      </c>
      <c r="E132" s="187"/>
      <c r="F132" s="187"/>
      <c r="G132" s="143"/>
      <c r="H132" s="143"/>
      <c r="I132" s="143"/>
      <c r="J132" s="143"/>
      <c r="K132" s="143"/>
      <c r="L132" s="143"/>
      <c r="M132" s="143"/>
      <c r="N132" s="143"/>
      <c r="O132" s="143"/>
      <c r="P132" s="187"/>
      <c r="Q132" s="170"/>
    </row>
    <row r="133" spans="1:17" s="22" customFormat="1" ht="15">
      <c r="A133" s="20"/>
      <c r="B133" s="58"/>
      <c r="C133" s="63"/>
      <c r="D133" s="60" t="s">
        <v>41</v>
      </c>
      <c r="E133" s="54">
        <f t="shared" si="38"/>
        <v>5944100</v>
      </c>
      <c r="F133" s="54">
        <f>5469100+420000+55000</f>
        <v>5944100</v>
      </c>
      <c r="G133" s="54"/>
      <c r="H133" s="54"/>
      <c r="I133" s="54"/>
      <c r="J133" s="54"/>
      <c r="K133" s="54"/>
      <c r="L133" s="54"/>
      <c r="M133" s="54"/>
      <c r="N133" s="54"/>
      <c r="O133" s="54"/>
      <c r="P133" s="54">
        <f t="shared" si="39"/>
        <v>5944100</v>
      </c>
      <c r="Q133" s="170"/>
    </row>
    <row r="134" spans="1:17" s="22" customFormat="1" ht="112.5" customHeight="1">
      <c r="A134" s="20"/>
      <c r="B134" s="38">
        <v>1513013</v>
      </c>
      <c r="C134" s="130" t="s">
        <v>399</v>
      </c>
      <c r="D134" s="29" t="s">
        <v>400</v>
      </c>
      <c r="E134" s="128">
        <f t="shared" si="38"/>
        <v>4613400</v>
      </c>
      <c r="F134" s="128">
        <f>4278400+250000+85000</f>
        <v>4613400</v>
      </c>
      <c r="G134" s="128"/>
      <c r="H134" s="128"/>
      <c r="I134" s="128"/>
      <c r="J134" s="128"/>
      <c r="K134" s="128"/>
      <c r="L134" s="128"/>
      <c r="M134" s="128"/>
      <c r="N134" s="128"/>
      <c r="O134" s="128"/>
      <c r="P134" s="128">
        <f t="shared" si="39"/>
        <v>4613400</v>
      </c>
      <c r="Q134" s="170"/>
    </row>
    <row r="135" spans="1:17" s="22" customFormat="1" ht="19.5" customHeight="1">
      <c r="A135" s="20"/>
      <c r="B135" s="58"/>
      <c r="C135" s="59"/>
      <c r="D135" s="60" t="s">
        <v>41</v>
      </c>
      <c r="E135" s="54">
        <f t="shared" si="38"/>
        <v>4613400</v>
      </c>
      <c r="F135" s="54">
        <f>4278400+250000+85000</f>
        <v>4613400</v>
      </c>
      <c r="G135" s="54"/>
      <c r="H135" s="54"/>
      <c r="I135" s="54"/>
      <c r="J135" s="54"/>
      <c r="K135" s="54"/>
      <c r="L135" s="54"/>
      <c r="M135" s="54"/>
      <c r="N135" s="54"/>
      <c r="O135" s="54"/>
      <c r="P135" s="54">
        <f t="shared" si="39"/>
        <v>4613400</v>
      </c>
      <c r="Q135" s="170"/>
    </row>
    <row r="136" spans="1:17" s="22" customFormat="1" ht="212.25" customHeight="1">
      <c r="A136" s="20"/>
      <c r="B136" s="38">
        <v>1513014</v>
      </c>
      <c r="C136" s="130" t="s">
        <v>401</v>
      </c>
      <c r="D136" s="29" t="s">
        <v>402</v>
      </c>
      <c r="E136" s="128">
        <f t="shared" si="38"/>
        <v>110300</v>
      </c>
      <c r="F136" s="128">
        <v>110300</v>
      </c>
      <c r="G136" s="128"/>
      <c r="H136" s="128"/>
      <c r="I136" s="128"/>
      <c r="J136" s="128"/>
      <c r="K136" s="128"/>
      <c r="L136" s="128"/>
      <c r="M136" s="128"/>
      <c r="N136" s="128"/>
      <c r="O136" s="128"/>
      <c r="P136" s="128">
        <f t="shared" si="39"/>
        <v>110300</v>
      </c>
      <c r="Q136" s="170"/>
    </row>
    <row r="137" spans="1:17" s="22" customFormat="1" ht="20.25" customHeight="1">
      <c r="A137" s="20"/>
      <c r="B137" s="58"/>
      <c r="C137" s="59"/>
      <c r="D137" s="60" t="s">
        <v>41</v>
      </c>
      <c r="E137" s="54">
        <f t="shared" si="38"/>
        <v>110300</v>
      </c>
      <c r="F137" s="54">
        <v>110300</v>
      </c>
      <c r="G137" s="54"/>
      <c r="H137" s="54"/>
      <c r="I137" s="54"/>
      <c r="J137" s="54"/>
      <c r="K137" s="54"/>
      <c r="L137" s="54"/>
      <c r="M137" s="54"/>
      <c r="N137" s="54"/>
      <c r="O137" s="54"/>
      <c r="P137" s="54">
        <f t="shared" si="39"/>
        <v>110300</v>
      </c>
      <c r="Q137" s="170"/>
    </row>
    <row r="138" spans="1:17" s="22" customFormat="1" ht="30">
      <c r="A138" s="20"/>
      <c r="B138" s="38">
        <v>1513015</v>
      </c>
      <c r="C138" s="130" t="s">
        <v>403</v>
      </c>
      <c r="D138" s="29" t="s">
        <v>404</v>
      </c>
      <c r="E138" s="128">
        <f t="shared" si="38"/>
        <v>2055200</v>
      </c>
      <c r="F138" s="128">
        <f>2195200-140000</f>
        <v>2055200</v>
      </c>
      <c r="G138" s="128"/>
      <c r="H138" s="128"/>
      <c r="I138" s="128"/>
      <c r="J138" s="128"/>
      <c r="K138" s="128"/>
      <c r="L138" s="128"/>
      <c r="M138" s="128"/>
      <c r="N138" s="128"/>
      <c r="O138" s="128"/>
      <c r="P138" s="128">
        <f t="shared" si="39"/>
        <v>2055200</v>
      </c>
      <c r="Q138" s="170"/>
    </row>
    <row r="139" spans="1:17" s="22" customFormat="1" ht="20.25" customHeight="1">
      <c r="A139" s="20"/>
      <c r="B139" s="58"/>
      <c r="C139" s="59"/>
      <c r="D139" s="60" t="s">
        <v>41</v>
      </c>
      <c r="E139" s="54">
        <f t="shared" si="38"/>
        <v>2055200</v>
      </c>
      <c r="F139" s="54">
        <f>2195200-140000</f>
        <v>2055200</v>
      </c>
      <c r="G139" s="54"/>
      <c r="H139" s="54"/>
      <c r="I139" s="54"/>
      <c r="J139" s="54"/>
      <c r="K139" s="54"/>
      <c r="L139" s="54"/>
      <c r="M139" s="54"/>
      <c r="N139" s="54"/>
      <c r="O139" s="54"/>
      <c r="P139" s="54">
        <f t="shared" si="39"/>
        <v>2055200</v>
      </c>
      <c r="Q139" s="170"/>
    </row>
    <row r="140" spans="1:17" s="22" customFormat="1" ht="45">
      <c r="A140" s="20"/>
      <c r="B140" s="38">
        <v>1513016</v>
      </c>
      <c r="C140" s="130" t="s">
        <v>405</v>
      </c>
      <c r="D140" s="29" t="s">
        <v>406</v>
      </c>
      <c r="E140" s="128">
        <f t="shared" si="38"/>
        <v>424427000</v>
      </c>
      <c r="F140" s="128">
        <f>365245700+45751300+16330000-2900000</f>
        <v>424427000</v>
      </c>
      <c r="G140" s="128"/>
      <c r="H140" s="128"/>
      <c r="I140" s="128"/>
      <c r="J140" s="128"/>
      <c r="K140" s="128"/>
      <c r="L140" s="128"/>
      <c r="M140" s="128"/>
      <c r="N140" s="128"/>
      <c r="O140" s="128"/>
      <c r="P140" s="128">
        <f t="shared" si="39"/>
        <v>424427000</v>
      </c>
      <c r="Q140" s="170"/>
    </row>
    <row r="141" spans="1:17" s="22" customFormat="1" ht="15">
      <c r="A141" s="20"/>
      <c r="B141" s="58"/>
      <c r="C141" s="59"/>
      <c r="D141" s="60" t="s">
        <v>41</v>
      </c>
      <c r="E141" s="54">
        <f t="shared" si="38"/>
        <v>424427000</v>
      </c>
      <c r="F141" s="54">
        <f>365245700+45751300+16330000-2900000</f>
        <v>424427000</v>
      </c>
      <c r="G141" s="54"/>
      <c r="H141" s="54"/>
      <c r="I141" s="54"/>
      <c r="J141" s="54"/>
      <c r="K141" s="54"/>
      <c r="L141" s="54"/>
      <c r="M141" s="54"/>
      <c r="N141" s="54"/>
      <c r="O141" s="54"/>
      <c r="P141" s="54">
        <f t="shared" si="39"/>
        <v>424427000</v>
      </c>
      <c r="Q141" s="170"/>
    </row>
    <row r="142" spans="1:17" s="22" customFormat="1" ht="47.25" customHeight="1">
      <c r="A142" s="20"/>
      <c r="B142" s="39">
        <v>1513020</v>
      </c>
      <c r="C142" s="144"/>
      <c r="D142" s="34" t="s">
        <v>407</v>
      </c>
      <c r="E142" s="54">
        <f>E144+E146+E148</f>
        <v>258971</v>
      </c>
      <c r="F142" s="54">
        <f aca="true" t="shared" si="42" ref="F142:P142">F144+F146+F148</f>
        <v>258971</v>
      </c>
      <c r="G142" s="54">
        <f t="shared" si="42"/>
        <v>0</v>
      </c>
      <c r="H142" s="54">
        <f t="shared" si="42"/>
        <v>0</v>
      </c>
      <c r="I142" s="54">
        <f t="shared" si="42"/>
        <v>0</v>
      </c>
      <c r="J142" s="54">
        <f t="shared" si="42"/>
        <v>0</v>
      </c>
      <c r="K142" s="54">
        <f t="shared" si="42"/>
        <v>0</v>
      </c>
      <c r="L142" s="54">
        <f t="shared" si="42"/>
        <v>0</v>
      </c>
      <c r="M142" s="54">
        <f t="shared" si="42"/>
        <v>0</v>
      </c>
      <c r="N142" s="54">
        <f t="shared" si="42"/>
        <v>0</v>
      </c>
      <c r="O142" s="54">
        <f t="shared" si="42"/>
        <v>0</v>
      </c>
      <c r="P142" s="54">
        <f t="shared" si="42"/>
        <v>258971</v>
      </c>
      <c r="Q142" s="170"/>
    </row>
    <row r="143" spans="1:17" s="22" customFormat="1" ht="22.5" customHeight="1">
      <c r="A143" s="20"/>
      <c r="B143" s="39"/>
      <c r="C143" s="144"/>
      <c r="D143" s="34" t="s">
        <v>41</v>
      </c>
      <c r="E143" s="54">
        <f>E145+E147+E149</f>
        <v>258971</v>
      </c>
      <c r="F143" s="54">
        <f aca="true" t="shared" si="43" ref="F143:P143">F145+F147+F149</f>
        <v>258971</v>
      </c>
      <c r="G143" s="54">
        <f t="shared" si="43"/>
        <v>0</v>
      </c>
      <c r="H143" s="54">
        <f t="shared" si="43"/>
        <v>0</v>
      </c>
      <c r="I143" s="54">
        <f t="shared" si="43"/>
        <v>0</v>
      </c>
      <c r="J143" s="54">
        <f t="shared" si="43"/>
        <v>0</v>
      </c>
      <c r="K143" s="54">
        <f t="shared" si="43"/>
        <v>0</v>
      </c>
      <c r="L143" s="54">
        <f t="shared" si="43"/>
        <v>0</v>
      </c>
      <c r="M143" s="54">
        <f t="shared" si="43"/>
        <v>0</v>
      </c>
      <c r="N143" s="54">
        <f t="shared" si="43"/>
        <v>0</v>
      </c>
      <c r="O143" s="54">
        <f t="shared" si="43"/>
        <v>0</v>
      </c>
      <c r="P143" s="54">
        <f t="shared" si="43"/>
        <v>258971</v>
      </c>
      <c r="Q143" s="170"/>
    </row>
    <row r="144" spans="1:17" s="22" customFormat="1" ht="231.75" customHeight="1">
      <c r="A144" s="20"/>
      <c r="B144" s="38">
        <v>1513021</v>
      </c>
      <c r="C144" s="130" t="s">
        <v>408</v>
      </c>
      <c r="D144" s="29" t="s">
        <v>409</v>
      </c>
      <c r="E144" s="128">
        <f t="shared" si="38"/>
        <v>30255.71</v>
      </c>
      <c r="F144" s="128">
        <f>16975+5213.3+857.93+7209.48</f>
        <v>30255.71</v>
      </c>
      <c r="G144" s="128"/>
      <c r="H144" s="128"/>
      <c r="I144" s="128"/>
      <c r="J144" s="128"/>
      <c r="K144" s="128"/>
      <c r="L144" s="128"/>
      <c r="M144" s="128"/>
      <c r="N144" s="128"/>
      <c r="O144" s="128"/>
      <c r="P144" s="128">
        <f aca="true" t="shared" si="44" ref="P144:P149">F144+J144</f>
        <v>30255.71</v>
      </c>
      <c r="Q144" s="170"/>
    </row>
    <row r="145" spans="1:17" s="22" customFormat="1" ht="25.5" customHeight="1">
      <c r="A145" s="20"/>
      <c r="B145" s="58"/>
      <c r="C145" s="59"/>
      <c r="D145" s="60" t="s">
        <v>41</v>
      </c>
      <c r="E145" s="54">
        <f>F145+I145</f>
        <v>30255.71</v>
      </c>
      <c r="F145" s="54">
        <f>16975+5213.3+857.93+7209.48</f>
        <v>30255.71</v>
      </c>
      <c r="G145" s="54"/>
      <c r="H145" s="54"/>
      <c r="I145" s="54"/>
      <c r="J145" s="54"/>
      <c r="K145" s="54"/>
      <c r="L145" s="54"/>
      <c r="M145" s="54"/>
      <c r="N145" s="54"/>
      <c r="O145" s="54"/>
      <c r="P145" s="54">
        <f t="shared" si="44"/>
        <v>30255.71</v>
      </c>
      <c r="Q145" s="170"/>
    </row>
    <row r="146" spans="1:17" s="22" customFormat="1" ht="45" customHeight="1">
      <c r="A146" s="20"/>
      <c r="B146" s="38">
        <v>1513025</v>
      </c>
      <c r="C146" s="139" t="s">
        <v>410</v>
      </c>
      <c r="D146" s="29" t="s">
        <v>411</v>
      </c>
      <c r="E146" s="128">
        <f>F146+I146</f>
        <v>8633.96</v>
      </c>
      <c r="F146" s="128">
        <f>4412+3103.26-760.38+1879.08</f>
        <v>8633.96</v>
      </c>
      <c r="G146" s="128"/>
      <c r="H146" s="128"/>
      <c r="I146" s="128"/>
      <c r="J146" s="128"/>
      <c r="K146" s="128"/>
      <c r="L146" s="128"/>
      <c r="M146" s="128"/>
      <c r="N146" s="128"/>
      <c r="O146" s="128"/>
      <c r="P146" s="128">
        <f t="shared" si="44"/>
        <v>8633.96</v>
      </c>
      <c r="Q146" s="170"/>
    </row>
    <row r="147" spans="1:17" s="22" customFormat="1" ht="25.5" customHeight="1">
      <c r="A147" s="20"/>
      <c r="B147" s="58"/>
      <c r="C147" s="64"/>
      <c r="D147" s="60" t="s">
        <v>41</v>
      </c>
      <c r="E147" s="54">
        <f>F147+I147</f>
        <v>8633.96</v>
      </c>
      <c r="F147" s="54">
        <f>4412+3103.26-760.38+1879.08</f>
        <v>8633.96</v>
      </c>
      <c r="G147" s="54"/>
      <c r="H147" s="54"/>
      <c r="I147" s="54"/>
      <c r="J147" s="54"/>
      <c r="K147" s="54"/>
      <c r="L147" s="54"/>
      <c r="M147" s="54"/>
      <c r="N147" s="54"/>
      <c r="O147" s="54"/>
      <c r="P147" s="54">
        <f t="shared" si="44"/>
        <v>8633.96</v>
      </c>
      <c r="Q147" s="170"/>
    </row>
    <row r="148" spans="1:17" s="22" customFormat="1" ht="60">
      <c r="A148" s="20"/>
      <c r="B148" s="38">
        <v>1513026</v>
      </c>
      <c r="C148" s="130" t="s">
        <v>412</v>
      </c>
      <c r="D148" s="29" t="s">
        <v>413</v>
      </c>
      <c r="E148" s="128">
        <f>F148+I148</f>
        <v>220081.33000000002</v>
      </c>
      <c r="F148" s="128">
        <f>82655+51683.44+690.45-4199+89251.44</f>
        <v>220081.33000000002</v>
      </c>
      <c r="G148" s="128"/>
      <c r="H148" s="128"/>
      <c r="I148" s="128"/>
      <c r="J148" s="128"/>
      <c r="K148" s="128"/>
      <c r="L148" s="128"/>
      <c r="M148" s="128"/>
      <c r="N148" s="128"/>
      <c r="O148" s="128"/>
      <c r="P148" s="128">
        <f t="shared" si="44"/>
        <v>220081.33000000002</v>
      </c>
      <c r="Q148" s="170"/>
    </row>
    <row r="149" spans="1:17" s="22" customFormat="1" ht="22.5" customHeight="1">
      <c r="A149" s="20"/>
      <c r="B149" s="58"/>
      <c r="C149" s="59"/>
      <c r="D149" s="60" t="s">
        <v>41</v>
      </c>
      <c r="E149" s="54">
        <f>F149+I149</f>
        <v>220081.33000000002</v>
      </c>
      <c r="F149" s="54">
        <f>82655+51683.44+690.45-4199+89251.44</f>
        <v>220081.33000000002</v>
      </c>
      <c r="G149" s="54"/>
      <c r="H149" s="54"/>
      <c r="I149" s="54"/>
      <c r="J149" s="54"/>
      <c r="K149" s="54"/>
      <c r="L149" s="54"/>
      <c r="M149" s="54"/>
      <c r="N149" s="54"/>
      <c r="O149" s="54"/>
      <c r="P149" s="54">
        <f t="shared" si="44"/>
        <v>220081.33000000002</v>
      </c>
      <c r="Q149" s="170"/>
    </row>
    <row r="150" spans="1:18" s="30" customFormat="1" ht="210">
      <c r="A150" s="40"/>
      <c r="B150" s="39">
        <v>1513030</v>
      </c>
      <c r="C150" s="75"/>
      <c r="D150" s="34" t="s">
        <v>208</v>
      </c>
      <c r="E150" s="83">
        <f>E156+E151+E152+E153+E154+E155</f>
        <v>17284412</v>
      </c>
      <c r="F150" s="83">
        <f aca="true" t="shared" si="45" ref="F150:P150">F156+F151+F152+F153+F154+F155</f>
        <v>17284412</v>
      </c>
      <c r="G150" s="83">
        <f t="shared" si="45"/>
        <v>0</v>
      </c>
      <c r="H150" s="83">
        <f t="shared" si="45"/>
        <v>0</v>
      </c>
      <c r="I150" s="83">
        <f t="shared" si="45"/>
        <v>0</v>
      </c>
      <c r="J150" s="83">
        <f t="shared" si="45"/>
        <v>0</v>
      </c>
      <c r="K150" s="83">
        <f t="shared" si="45"/>
        <v>0</v>
      </c>
      <c r="L150" s="83">
        <f t="shared" si="45"/>
        <v>0</v>
      </c>
      <c r="M150" s="83">
        <f t="shared" si="45"/>
        <v>0</v>
      </c>
      <c r="N150" s="83">
        <f t="shared" si="45"/>
        <v>0</v>
      </c>
      <c r="O150" s="83">
        <f t="shared" si="45"/>
        <v>0</v>
      </c>
      <c r="P150" s="83">
        <f t="shared" si="45"/>
        <v>17284412</v>
      </c>
      <c r="Q150" s="170"/>
      <c r="R150" s="41"/>
    </row>
    <row r="151" spans="1:17" s="100" customFormat="1" ht="263.25" customHeight="1">
      <c r="A151" s="99"/>
      <c r="B151" s="39">
        <v>1513031</v>
      </c>
      <c r="C151" s="130" t="s">
        <v>463</v>
      </c>
      <c r="D151" s="145" t="s">
        <v>477</v>
      </c>
      <c r="E151" s="48">
        <f aca="true" t="shared" si="46" ref="E151:E156">F151+I151</f>
        <v>254346</v>
      </c>
      <c r="F151" s="83">
        <f>269119+3793-18566</f>
        <v>254346</v>
      </c>
      <c r="G151" s="83"/>
      <c r="H151" s="83"/>
      <c r="I151" s="83"/>
      <c r="J151" s="83"/>
      <c r="K151" s="83"/>
      <c r="L151" s="83"/>
      <c r="M151" s="83"/>
      <c r="N151" s="83"/>
      <c r="O151" s="83"/>
      <c r="P151" s="52">
        <f aca="true" t="shared" si="47" ref="P151:P156">E151+J151</f>
        <v>254346</v>
      </c>
      <c r="Q151" s="170"/>
    </row>
    <row r="152" spans="1:17" s="100" customFormat="1" ht="101.25" customHeight="1">
      <c r="A152" s="99"/>
      <c r="B152" s="141">
        <v>1513033</v>
      </c>
      <c r="C152" s="59" t="s">
        <v>464</v>
      </c>
      <c r="D152" s="146" t="s">
        <v>478</v>
      </c>
      <c r="E152" s="52">
        <f t="shared" si="46"/>
        <v>94003</v>
      </c>
      <c r="F152" s="136">
        <f>70400+23603</f>
        <v>94003</v>
      </c>
      <c r="G152" s="136"/>
      <c r="H152" s="136"/>
      <c r="I152" s="136"/>
      <c r="J152" s="136"/>
      <c r="K152" s="136"/>
      <c r="L152" s="136"/>
      <c r="M152" s="136"/>
      <c r="N152" s="136"/>
      <c r="O152" s="136"/>
      <c r="P152" s="48">
        <f t="shared" si="47"/>
        <v>94003</v>
      </c>
      <c r="Q152" s="170"/>
    </row>
    <row r="153" spans="1:17" s="100" customFormat="1" ht="40.5" customHeight="1">
      <c r="A153" s="99"/>
      <c r="B153" s="39">
        <v>1513034</v>
      </c>
      <c r="C153" s="130" t="s">
        <v>467</v>
      </c>
      <c r="D153" s="145" t="s">
        <v>468</v>
      </c>
      <c r="E153" s="48">
        <f t="shared" si="46"/>
        <v>1439932</v>
      </c>
      <c r="F153" s="83">
        <f>1394632+45300</f>
        <v>1439932</v>
      </c>
      <c r="G153" s="83"/>
      <c r="H153" s="83"/>
      <c r="I153" s="83"/>
      <c r="J153" s="83"/>
      <c r="K153" s="83"/>
      <c r="L153" s="83"/>
      <c r="M153" s="83"/>
      <c r="N153" s="83"/>
      <c r="O153" s="83"/>
      <c r="P153" s="52">
        <f t="shared" si="47"/>
        <v>1439932</v>
      </c>
      <c r="Q153" s="170"/>
    </row>
    <row r="154" spans="1:17" s="100" customFormat="1" ht="55.5" customHeight="1">
      <c r="A154" s="99"/>
      <c r="B154" s="141">
        <v>1513035</v>
      </c>
      <c r="C154" s="59" t="s">
        <v>469</v>
      </c>
      <c r="D154" s="60" t="s">
        <v>479</v>
      </c>
      <c r="E154" s="52">
        <f t="shared" si="46"/>
        <v>4432885</v>
      </c>
      <c r="F154" s="136">
        <f>3009742+1000000+641017-832702+524828+90000</f>
        <v>4432885</v>
      </c>
      <c r="G154" s="136"/>
      <c r="H154" s="136"/>
      <c r="I154" s="136"/>
      <c r="J154" s="83"/>
      <c r="K154" s="136"/>
      <c r="L154" s="136"/>
      <c r="M154" s="136"/>
      <c r="N154" s="136"/>
      <c r="O154" s="136"/>
      <c r="P154" s="48">
        <f t="shared" si="47"/>
        <v>4432885</v>
      </c>
      <c r="Q154" s="170"/>
    </row>
    <row r="155" spans="1:17" s="100" customFormat="1" ht="55.5" customHeight="1">
      <c r="A155" s="99"/>
      <c r="B155" s="141">
        <v>1513037</v>
      </c>
      <c r="C155" s="59" t="s">
        <v>502</v>
      </c>
      <c r="D155" s="60" t="s">
        <v>503</v>
      </c>
      <c r="E155" s="52">
        <f t="shared" si="46"/>
        <v>1350000</v>
      </c>
      <c r="F155" s="136">
        <v>1350000</v>
      </c>
      <c r="G155" s="136"/>
      <c r="H155" s="136"/>
      <c r="I155" s="136"/>
      <c r="J155" s="83"/>
      <c r="K155" s="136"/>
      <c r="L155" s="136"/>
      <c r="M155" s="136"/>
      <c r="N155" s="136"/>
      <c r="O155" s="136"/>
      <c r="P155" s="48">
        <f t="shared" si="47"/>
        <v>1350000</v>
      </c>
      <c r="Q155" s="170"/>
    </row>
    <row r="156" spans="1:17" s="62" customFormat="1" ht="45">
      <c r="A156" s="61"/>
      <c r="B156" s="58">
        <v>1513038</v>
      </c>
      <c r="C156" s="59" t="s">
        <v>72</v>
      </c>
      <c r="D156" s="60" t="s">
        <v>73</v>
      </c>
      <c r="E156" s="48">
        <f t="shared" si="46"/>
        <v>9713246</v>
      </c>
      <c r="F156" s="102">
        <f>130000+9557658+25588</f>
        <v>9713246</v>
      </c>
      <c r="G156" s="53"/>
      <c r="H156" s="53"/>
      <c r="I156" s="53"/>
      <c r="J156" s="83"/>
      <c r="K156" s="53"/>
      <c r="L156" s="53"/>
      <c r="M156" s="53"/>
      <c r="N156" s="53"/>
      <c r="O156" s="53"/>
      <c r="P156" s="48">
        <f t="shared" si="47"/>
        <v>9713246</v>
      </c>
      <c r="Q156" s="170"/>
    </row>
    <row r="157" spans="1:17" s="62" customFormat="1" ht="60">
      <c r="A157" s="61"/>
      <c r="B157" s="39">
        <v>1513040</v>
      </c>
      <c r="C157" s="75"/>
      <c r="D157" s="34" t="s">
        <v>369</v>
      </c>
      <c r="E157" s="54">
        <f>E159+E161+E163+E165+E167+E169+E171+E173+E175</f>
        <v>250352239</v>
      </c>
      <c r="F157" s="54">
        <f aca="true" t="shared" si="48" ref="F157:P157">F159+F161+F163+F165+F167+F169+F171+F173+F175</f>
        <v>250352239</v>
      </c>
      <c r="G157" s="54">
        <f t="shared" si="48"/>
        <v>0</v>
      </c>
      <c r="H157" s="54">
        <f t="shared" si="48"/>
        <v>0</v>
      </c>
      <c r="I157" s="54">
        <f t="shared" si="48"/>
        <v>0</v>
      </c>
      <c r="J157" s="54">
        <f t="shared" si="48"/>
        <v>0</v>
      </c>
      <c r="K157" s="54">
        <f t="shared" si="48"/>
        <v>0</v>
      </c>
      <c r="L157" s="54">
        <f t="shared" si="48"/>
        <v>0</v>
      </c>
      <c r="M157" s="54">
        <f t="shared" si="48"/>
        <v>0</v>
      </c>
      <c r="N157" s="54">
        <f t="shared" si="48"/>
        <v>0</v>
      </c>
      <c r="O157" s="54">
        <f t="shared" si="48"/>
        <v>0</v>
      </c>
      <c r="P157" s="54">
        <f t="shared" si="48"/>
        <v>250352239</v>
      </c>
      <c r="Q157" s="170"/>
    </row>
    <row r="158" spans="1:17" s="62" customFormat="1" ht="15">
      <c r="A158" s="61"/>
      <c r="B158" s="75"/>
      <c r="C158" s="75"/>
      <c r="D158" s="34" t="s">
        <v>41</v>
      </c>
      <c r="E158" s="54">
        <f>E160+E162+E164+E166+E168+E170+E172+E174+E176</f>
        <v>250352239</v>
      </c>
      <c r="F158" s="54">
        <f aca="true" t="shared" si="49" ref="F158:P158">F160+F162+F164+F166+F168+F170+F172+F174+F176</f>
        <v>250352239</v>
      </c>
      <c r="G158" s="54">
        <f t="shared" si="49"/>
        <v>0</v>
      </c>
      <c r="H158" s="54">
        <f t="shared" si="49"/>
        <v>0</v>
      </c>
      <c r="I158" s="54">
        <f t="shared" si="49"/>
        <v>0</v>
      </c>
      <c r="J158" s="54">
        <f t="shared" si="49"/>
        <v>0</v>
      </c>
      <c r="K158" s="54">
        <f t="shared" si="49"/>
        <v>0</v>
      </c>
      <c r="L158" s="54">
        <f t="shared" si="49"/>
        <v>0</v>
      </c>
      <c r="M158" s="54">
        <f t="shared" si="49"/>
        <v>0</v>
      </c>
      <c r="N158" s="54">
        <f t="shared" si="49"/>
        <v>0</v>
      </c>
      <c r="O158" s="54">
        <f t="shared" si="49"/>
        <v>0</v>
      </c>
      <c r="P158" s="54">
        <f t="shared" si="49"/>
        <v>250352239</v>
      </c>
      <c r="Q158" s="170"/>
    </row>
    <row r="159" spans="1:17" s="62" customFormat="1" ht="30">
      <c r="A159" s="61"/>
      <c r="B159" s="38">
        <v>1513041</v>
      </c>
      <c r="C159" s="130" t="s">
        <v>370</v>
      </c>
      <c r="D159" s="29" t="s">
        <v>371</v>
      </c>
      <c r="E159" s="52">
        <f aca="true" t="shared" si="50" ref="E159:E176">F159+I159</f>
        <v>2382400</v>
      </c>
      <c r="F159" s="52">
        <f>2957400-125000-450000</f>
        <v>2382400</v>
      </c>
      <c r="G159" s="53"/>
      <c r="H159" s="53"/>
      <c r="I159" s="53"/>
      <c r="J159" s="48"/>
      <c r="K159" s="53"/>
      <c r="L159" s="53"/>
      <c r="M159" s="53"/>
      <c r="N159" s="53"/>
      <c r="O159" s="53"/>
      <c r="P159" s="48">
        <f aca="true" t="shared" si="51" ref="P159:P174">E159+J159</f>
        <v>2382400</v>
      </c>
      <c r="Q159" s="170"/>
    </row>
    <row r="160" spans="1:17" s="62" customFormat="1" ht="15">
      <c r="A160" s="61"/>
      <c r="B160" s="58"/>
      <c r="C160" s="59"/>
      <c r="D160" s="60" t="s">
        <v>41</v>
      </c>
      <c r="E160" s="48">
        <f t="shared" si="50"/>
        <v>2382400</v>
      </c>
      <c r="F160" s="48">
        <f>2957400-125000-450000</f>
        <v>2382400</v>
      </c>
      <c r="G160" s="53"/>
      <c r="H160" s="53"/>
      <c r="I160" s="53"/>
      <c r="J160" s="48"/>
      <c r="K160" s="53"/>
      <c r="L160" s="53"/>
      <c r="M160" s="53"/>
      <c r="N160" s="53"/>
      <c r="O160" s="53"/>
      <c r="P160" s="48">
        <f t="shared" si="51"/>
        <v>2382400</v>
      </c>
      <c r="Q160" s="170"/>
    </row>
    <row r="161" spans="1:17" s="62" customFormat="1" ht="30">
      <c r="A161" s="61"/>
      <c r="B161" s="58">
        <v>1513042</v>
      </c>
      <c r="C161" s="59" t="s">
        <v>372</v>
      </c>
      <c r="D161" s="60" t="s">
        <v>373</v>
      </c>
      <c r="E161" s="48">
        <f t="shared" si="50"/>
        <v>2002000</v>
      </c>
      <c r="F161" s="48">
        <f>2340000-38000-260000-40000</f>
        <v>2002000</v>
      </c>
      <c r="G161" s="53"/>
      <c r="H161" s="53"/>
      <c r="I161" s="53"/>
      <c r="J161" s="48"/>
      <c r="K161" s="53"/>
      <c r="L161" s="53"/>
      <c r="M161" s="53"/>
      <c r="N161" s="53"/>
      <c r="O161" s="53"/>
      <c r="P161" s="48">
        <f t="shared" si="51"/>
        <v>2002000</v>
      </c>
      <c r="Q161" s="170"/>
    </row>
    <row r="162" spans="1:17" s="62" customFormat="1" ht="15">
      <c r="A162" s="61"/>
      <c r="B162" s="58"/>
      <c r="C162" s="59"/>
      <c r="D162" s="60" t="s">
        <v>41</v>
      </c>
      <c r="E162" s="48">
        <f t="shared" si="50"/>
        <v>2002000</v>
      </c>
      <c r="F162" s="48">
        <f>2340000-38000-260000-40000</f>
        <v>2002000</v>
      </c>
      <c r="G162" s="53"/>
      <c r="H162" s="53"/>
      <c r="I162" s="53"/>
      <c r="J162" s="48"/>
      <c r="K162" s="53"/>
      <c r="L162" s="53"/>
      <c r="M162" s="53"/>
      <c r="N162" s="53"/>
      <c r="O162" s="53"/>
      <c r="P162" s="48">
        <f t="shared" si="51"/>
        <v>2002000</v>
      </c>
      <c r="Q162" s="170"/>
    </row>
    <row r="163" spans="1:17" s="62" customFormat="1" ht="30">
      <c r="A163" s="61"/>
      <c r="B163" s="58">
        <v>1513043</v>
      </c>
      <c r="C163" s="59" t="s">
        <v>374</v>
      </c>
      <c r="D163" s="60" t="s">
        <v>375</v>
      </c>
      <c r="E163" s="48">
        <f t="shared" si="50"/>
        <v>131914300</v>
      </c>
      <c r="F163" s="48">
        <f>132914300-1000000</f>
        <v>131914300</v>
      </c>
      <c r="G163" s="53"/>
      <c r="H163" s="53"/>
      <c r="I163" s="53"/>
      <c r="J163" s="48"/>
      <c r="K163" s="53"/>
      <c r="L163" s="53"/>
      <c r="M163" s="53"/>
      <c r="N163" s="53"/>
      <c r="O163" s="53"/>
      <c r="P163" s="48">
        <f t="shared" si="51"/>
        <v>131914300</v>
      </c>
      <c r="Q163" s="170"/>
    </row>
    <row r="164" spans="1:17" s="62" customFormat="1" ht="15">
      <c r="A164" s="61"/>
      <c r="B164" s="58"/>
      <c r="C164" s="59"/>
      <c r="D164" s="60" t="s">
        <v>41</v>
      </c>
      <c r="E164" s="48">
        <f t="shared" si="50"/>
        <v>131914300</v>
      </c>
      <c r="F164" s="48">
        <f>132914300-1000000</f>
        <v>131914300</v>
      </c>
      <c r="G164" s="53"/>
      <c r="H164" s="53"/>
      <c r="I164" s="53"/>
      <c r="J164" s="48"/>
      <c r="K164" s="53"/>
      <c r="L164" s="53"/>
      <c r="M164" s="53"/>
      <c r="N164" s="53"/>
      <c r="O164" s="53"/>
      <c r="P164" s="48">
        <f t="shared" si="51"/>
        <v>131914300</v>
      </c>
      <c r="Q164" s="170"/>
    </row>
    <row r="165" spans="1:17" s="62" customFormat="1" ht="30">
      <c r="A165" s="61"/>
      <c r="B165" s="58">
        <v>1513044</v>
      </c>
      <c r="C165" s="59" t="s">
        <v>376</v>
      </c>
      <c r="D165" s="60" t="s">
        <v>377</v>
      </c>
      <c r="E165" s="48">
        <f t="shared" si="50"/>
        <v>5906000</v>
      </c>
      <c r="F165" s="48">
        <f>4769000+965000+52000+120000</f>
        <v>5906000</v>
      </c>
      <c r="G165" s="53"/>
      <c r="H165" s="53"/>
      <c r="I165" s="53"/>
      <c r="J165" s="48"/>
      <c r="K165" s="53"/>
      <c r="L165" s="53"/>
      <c r="M165" s="53"/>
      <c r="N165" s="53"/>
      <c r="O165" s="53"/>
      <c r="P165" s="48">
        <f t="shared" si="51"/>
        <v>5906000</v>
      </c>
      <c r="Q165" s="170"/>
    </row>
    <row r="166" spans="1:17" s="62" customFormat="1" ht="15">
      <c r="A166" s="61"/>
      <c r="B166" s="58"/>
      <c r="C166" s="59"/>
      <c r="D166" s="60" t="s">
        <v>41</v>
      </c>
      <c r="E166" s="48">
        <f t="shared" si="50"/>
        <v>5906000</v>
      </c>
      <c r="F166" s="48">
        <f>4769000+965000+52000+120000</f>
        <v>5906000</v>
      </c>
      <c r="G166" s="53"/>
      <c r="H166" s="53"/>
      <c r="I166" s="53"/>
      <c r="J166" s="48"/>
      <c r="K166" s="53"/>
      <c r="L166" s="53"/>
      <c r="M166" s="53"/>
      <c r="N166" s="53"/>
      <c r="O166" s="53"/>
      <c r="P166" s="48">
        <f t="shared" si="51"/>
        <v>5906000</v>
      </c>
      <c r="Q166" s="170"/>
    </row>
    <row r="167" spans="1:17" s="62" customFormat="1" ht="30">
      <c r="A167" s="61"/>
      <c r="B167" s="58">
        <v>1513045</v>
      </c>
      <c r="C167" s="59" t="s">
        <v>378</v>
      </c>
      <c r="D167" s="60" t="s">
        <v>379</v>
      </c>
      <c r="E167" s="48">
        <f t="shared" si="50"/>
        <v>23667842</v>
      </c>
      <c r="F167" s="48">
        <f>22750500+470000+347342+100000</f>
        <v>23667842</v>
      </c>
      <c r="G167" s="53"/>
      <c r="H167" s="53"/>
      <c r="I167" s="53"/>
      <c r="J167" s="48"/>
      <c r="K167" s="53"/>
      <c r="L167" s="53"/>
      <c r="M167" s="53"/>
      <c r="N167" s="53"/>
      <c r="O167" s="53"/>
      <c r="P167" s="48">
        <f t="shared" si="51"/>
        <v>23667842</v>
      </c>
      <c r="Q167" s="170"/>
    </row>
    <row r="168" spans="1:17" s="62" customFormat="1" ht="15">
      <c r="A168" s="61"/>
      <c r="B168" s="58"/>
      <c r="C168" s="59"/>
      <c r="D168" s="60" t="s">
        <v>41</v>
      </c>
      <c r="E168" s="48">
        <f t="shared" si="50"/>
        <v>23667842</v>
      </c>
      <c r="F168" s="48">
        <f>22750500+470000+347342+100000</f>
        <v>23667842</v>
      </c>
      <c r="G168" s="53"/>
      <c r="H168" s="53"/>
      <c r="I168" s="53"/>
      <c r="J168" s="48"/>
      <c r="K168" s="53"/>
      <c r="L168" s="53"/>
      <c r="M168" s="53"/>
      <c r="N168" s="53"/>
      <c r="O168" s="53"/>
      <c r="P168" s="48">
        <f t="shared" si="51"/>
        <v>23667842</v>
      </c>
      <c r="Q168" s="170"/>
    </row>
    <row r="169" spans="1:17" s="62" customFormat="1" ht="30">
      <c r="A169" s="61"/>
      <c r="B169" s="58">
        <v>1513046</v>
      </c>
      <c r="C169" s="59" t="s">
        <v>380</v>
      </c>
      <c r="D169" s="60" t="s">
        <v>381</v>
      </c>
      <c r="E169" s="48">
        <f t="shared" si="50"/>
        <v>1144200</v>
      </c>
      <c r="F169" s="48">
        <f>2174200-870000-160000</f>
        <v>1144200</v>
      </c>
      <c r="G169" s="53"/>
      <c r="H169" s="53"/>
      <c r="I169" s="53"/>
      <c r="J169" s="48"/>
      <c r="K169" s="53"/>
      <c r="L169" s="53"/>
      <c r="M169" s="53"/>
      <c r="N169" s="53"/>
      <c r="O169" s="53"/>
      <c r="P169" s="48">
        <f t="shared" si="51"/>
        <v>1144200</v>
      </c>
      <c r="Q169" s="170"/>
    </row>
    <row r="170" spans="1:17" s="62" customFormat="1" ht="15">
      <c r="A170" s="61"/>
      <c r="B170" s="58"/>
      <c r="C170" s="59"/>
      <c r="D170" s="60" t="s">
        <v>41</v>
      </c>
      <c r="E170" s="48">
        <f t="shared" si="50"/>
        <v>1144200</v>
      </c>
      <c r="F170" s="48">
        <f>2174200-870000-160000</f>
        <v>1144200</v>
      </c>
      <c r="G170" s="53"/>
      <c r="H170" s="53"/>
      <c r="I170" s="53"/>
      <c r="J170" s="48"/>
      <c r="K170" s="53"/>
      <c r="L170" s="53"/>
      <c r="M170" s="53"/>
      <c r="N170" s="53"/>
      <c r="O170" s="53"/>
      <c r="P170" s="48">
        <f t="shared" si="51"/>
        <v>1144200</v>
      </c>
      <c r="Q170" s="170"/>
    </row>
    <row r="171" spans="1:17" s="62" customFormat="1" ht="30">
      <c r="A171" s="61"/>
      <c r="B171" s="58">
        <v>1513047</v>
      </c>
      <c r="C171" s="59" t="s">
        <v>382</v>
      </c>
      <c r="D171" s="60" t="s">
        <v>383</v>
      </c>
      <c r="E171" s="48">
        <f t="shared" si="50"/>
        <v>316200</v>
      </c>
      <c r="F171" s="48">
        <f>312200-36000+40000</f>
        <v>316200</v>
      </c>
      <c r="G171" s="53"/>
      <c r="H171" s="53"/>
      <c r="I171" s="53"/>
      <c r="J171" s="48"/>
      <c r="K171" s="53"/>
      <c r="L171" s="53"/>
      <c r="M171" s="53"/>
      <c r="N171" s="53"/>
      <c r="O171" s="53"/>
      <c r="P171" s="48">
        <f t="shared" si="51"/>
        <v>316200</v>
      </c>
      <c r="Q171" s="170"/>
    </row>
    <row r="172" spans="1:17" s="62" customFormat="1" ht="15">
      <c r="A172" s="61"/>
      <c r="B172" s="58"/>
      <c r="C172" s="59"/>
      <c r="D172" s="60" t="s">
        <v>41</v>
      </c>
      <c r="E172" s="48">
        <f t="shared" si="50"/>
        <v>316200</v>
      </c>
      <c r="F172" s="48">
        <f>312200-36000+40000</f>
        <v>316200</v>
      </c>
      <c r="G172" s="53"/>
      <c r="H172" s="53"/>
      <c r="I172" s="53"/>
      <c r="J172" s="48"/>
      <c r="K172" s="53"/>
      <c r="L172" s="53"/>
      <c r="M172" s="53"/>
      <c r="N172" s="53"/>
      <c r="O172" s="53"/>
      <c r="P172" s="48">
        <f t="shared" si="51"/>
        <v>316200</v>
      </c>
      <c r="Q172" s="170"/>
    </row>
    <row r="173" spans="1:17" s="62" customFormat="1" ht="30">
      <c r="A173" s="61"/>
      <c r="B173" s="58">
        <v>1513048</v>
      </c>
      <c r="C173" s="59" t="s">
        <v>384</v>
      </c>
      <c r="D173" s="60" t="s">
        <v>385</v>
      </c>
      <c r="E173" s="48">
        <f t="shared" si="50"/>
        <v>40981400</v>
      </c>
      <c r="F173" s="48">
        <f>41101000+147400-267000</f>
        <v>40981400</v>
      </c>
      <c r="G173" s="53"/>
      <c r="H173" s="53"/>
      <c r="I173" s="53"/>
      <c r="J173" s="48"/>
      <c r="K173" s="53"/>
      <c r="L173" s="53"/>
      <c r="M173" s="53"/>
      <c r="N173" s="53"/>
      <c r="O173" s="53"/>
      <c r="P173" s="48">
        <f t="shared" si="51"/>
        <v>40981400</v>
      </c>
      <c r="Q173" s="170"/>
    </row>
    <row r="174" spans="1:17" s="62" customFormat="1" ht="15">
      <c r="A174" s="61"/>
      <c r="B174" s="58"/>
      <c r="C174" s="59"/>
      <c r="D174" s="60" t="s">
        <v>41</v>
      </c>
      <c r="E174" s="48">
        <f t="shared" si="50"/>
        <v>40981400</v>
      </c>
      <c r="F174" s="48">
        <f>41101000+147400-267000</f>
        <v>40981400</v>
      </c>
      <c r="G174" s="53"/>
      <c r="H174" s="53"/>
      <c r="I174" s="53"/>
      <c r="J174" s="48"/>
      <c r="K174" s="53"/>
      <c r="L174" s="53"/>
      <c r="M174" s="53"/>
      <c r="N174" s="53"/>
      <c r="O174" s="53"/>
      <c r="P174" s="48">
        <f t="shared" si="51"/>
        <v>40981400</v>
      </c>
      <c r="Q174" s="170"/>
    </row>
    <row r="175" spans="1:17" s="62" customFormat="1" ht="45">
      <c r="A175" s="61"/>
      <c r="B175" s="58">
        <v>1513049</v>
      </c>
      <c r="C175" s="59" t="s">
        <v>386</v>
      </c>
      <c r="D175" s="60" t="s">
        <v>387</v>
      </c>
      <c r="E175" s="48">
        <f t="shared" si="50"/>
        <v>42037897</v>
      </c>
      <c r="F175" s="48">
        <f>43245500-806000-401603</f>
        <v>42037897</v>
      </c>
      <c r="G175" s="53"/>
      <c r="H175" s="53"/>
      <c r="I175" s="53"/>
      <c r="J175" s="48"/>
      <c r="K175" s="53"/>
      <c r="L175" s="53"/>
      <c r="M175" s="53"/>
      <c r="N175" s="53"/>
      <c r="O175" s="53"/>
      <c r="P175" s="48">
        <f aca="true" t="shared" si="52" ref="P175:P180">E175+J175</f>
        <v>42037897</v>
      </c>
      <c r="Q175" s="170"/>
    </row>
    <row r="176" spans="1:17" s="62" customFormat="1" ht="15">
      <c r="A176" s="61"/>
      <c r="B176" s="58"/>
      <c r="C176" s="59"/>
      <c r="D176" s="60" t="s">
        <v>41</v>
      </c>
      <c r="E176" s="48">
        <f t="shared" si="50"/>
        <v>42037897</v>
      </c>
      <c r="F176" s="48">
        <f>43245500-806000-401603</f>
        <v>42037897</v>
      </c>
      <c r="G176" s="53"/>
      <c r="H176" s="53"/>
      <c r="I176" s="53"/>
      <c r="J176" s="48"/>
      <c r="K176" s="53"/>
      <c r="L176" s="53"/>
      <c r="M176" s="53"/>
      <c r="N176" s="53"/>
      <c r="O176" s="53"/>
      <c r="P176" s="48">
        <f t="shared" si="52"/>
        <v>42037897</v>
      </c>
      <c r="Q176" s="170"/>
    </row>
    <row r="177" spans="1:17" s="22" customFormat="1" ht="45">
      <c r="A177" s="33"/>
      <c r="B177" s="39">
        <v>1513050</v>
      </c>
      <c r="C177" s="31" t="s">
        <v>63</v>
      </c>
      <c r="D177" s="34" t="s">
        <v>209</v>
      </c>
      <c r="E177" s="54">
        <f>F177+I177</f>
        <v>882700</v>
      </c>
      <c r="F177" s="54">
        <f>250000+382700+240900+9100</f>
        <v>882700</v>
      </c>
      <c r="G177" s="54"/>
      <c r="H177" s="54"/>
      <c r="I177" s="54"/>
      <c r="J177" s="54">
        <f>K177+N177</f>
        <v>0</v>
      </c>
      <c r="K177" s="54"/>
      <c r="L177" s="54"/>
      <c r="M177" s="54"/>
      <c r="N177" s="54"/>
      <c r="O177" s="54"/>
      <c r="P177" s="54">
        <f t="shared" si="52"/>
        <v>882700</v>
      </c>
      <c r="Q177" s="170"/>
    </row>
    <row r="178" spans="1:17" s="22" customFormat="1" ht="30">
      <c r="A178" s="20"/>
      <c r="B178" s="39">
        <v>1513080</v>
      </c>
      <c r="C178" s="31" t="s">
        <v>388</v>
      </c>
      <c r="D178" s="34" t="s">
        <v>389</v>
      </c>
      <c r="E178" s="54">
        <f>F178+I178</f>
        <v>7746300</v>
      </c>
      <c r="F178" s="54">
        <f>7229000+440000+57300+20000</f>
        <v>7746300</v>
      </c>
      <c r="G178" s="54"/>
      <c r="H178" s="54"/>
      <c r="I178" s="54"/>
      <c r="J178" s="54"/>
      <c r="K178" s="54"/>
      <c r="L178" s="54"/>
      <c r="M178" s="54"/>
      <c r="N178" s="54"/>
      <c r="O178" s="54"/>
      <c r="P178" s="54">
        <f t="shared" si="52"/>
        <v>7746300</v>
      </c>
      <c r="Q178" s="170"/>
    </row>
    <row r="179" spans="1:17" s="22" customFormat="1" ht="15">
      <c r="A179" s="20"/>
      <c r="B179" s="39"/>
      <c r="C179" s="31"/>
      <c r="D179" s="34" t="s">
        <v>41</v>
      </c>
      <c r="E179" s="54">
        <f>F179+I179</f>
        <v>7746300</v>
      </c>
      <c r="F179" s="54">
        <f>7229000+440000+57300+20000</f>
        <v>7746300</v>
      </c>
      <c r="G179" s="54"/>
      <c r="H179" s="54"/>
      <c r="I179" s="54"/>
      <c r="J179" s="54"/>
      <c r="K179" s="54"/>
      <c r="L179" s="54"/>
      <c r="M179" s="54"/>
      <c r="N179" s="54"/>
      <c r="O179" s="54"/>
      <c r="P179" s="54">
        <f t="shared" si="52"/>
        <v>7746300</v>
      </c>
      <c r="Q179" s="170"/>
    </row>
    <row r="180" spans="1:17" s="22" customFormat="1" ht="30">
      <c r="A180" s="20"/>
      <c r="B180" s="39">
        <v>1513090</v>
      </c>
      <c r="C180" s="31" t="s">
        <v>363</v>
      </c>
      <c r="D180" s="34" t="s">
        <v>364</v>
      </c>
      <c r="E180" s="54">
        <f>F180+I180</f>
        <v>181400</v>
      </c>
      <c r="F180" s="54">
        <v>181400</v>
      </c>
      <c r="G180" s="54"/>
      <c r="H180" s="54"/>
      <c r="I180" s="54"/>
      <c r="J180" s="54">
        <f>K180+N180</f>
        <v>0</v>
      </c>
      <c r="K180" s="54"/>
      <c r="L180" s="54"/>
      <c r="M180" s="54"/>
      <c r="N180" s="54"/>
      <c r="O180" s="54"/>
      <c r="P180" s="54">
        <f t="shared" si="52"/>
        <v>181400</v>
      </c>
      <c r="Q180" s="170"/>
    </row>
    <row r="181" spans="1:17" s="22" customFormat="1" ht="60">
      <c r="A181" s="20"/>
      <c r="B181" s="39">
        <v>1513100</v>
      </c>
      <c r="C181" s="75"/>
      <c r="D181" s="34" t="s">
        <v>210</v>
      </c>
      <c r="E181" s="83">
        <f>E182</f>
        <v>5921275</v>
      </c>
      <c r="F181" s="83">
        <f aca="true" t="shared" si="53" ref="F181:P181">F182</f>
        <v>5921275</v>
      </c>
      <c r="G181" s="83">
        <f t="shared" si="53"/>
        <v>4341370</v>
      </c>
      <c r="H181" s="83">
        <f t="shared" si="53"/>
        <v>163589</v>
      </c>
      <c r="I181" s="83">
        <f t="shared" si="53"/>
        <v>0</v>
      </c>
      <c r="J181" s="83">
        <f t="shared" si="53"/>
        <v>460703</v>
      </c>
      <c r="K181" s="83">
        <f t="shared" si="53"/>
        <v>27800</v>
      </c>
      <c r="L181" s="83">
        <f t="shared" si="53"/>
        <v>18822</v>
      </c>
      <c r="M181" s="83">
        <f t="shared" si="53"/>
        <v>0</v>
      </c>
      <c r="N181" s="83">
        <f t="shared" si="53"/>
        <v>432903</v>
      </c>
      <c r="O181" s="83">
        <f t="shared" si="53"/>
        <v>432903</v>
      </c>
      <c r="P181" s="83">
        <f t="shared" si="53"/>
        <v>6381978</v>
      </c>
      <c r="Q181" s="170"/>
    </row>
    <row r="182" spans="1:17" s="67" customFormat="1" ht="75">
      <c r="A182" s="66"/>
      <c r="B182" s="38">
        <v>1513104</v>
      </c>
      <c r="C182" s="130" t="s">
        <v>66</v>
      </c>
      <c r="D182" s="29" t="s">
        <v>211</v>
      </c>
      <c r="E182" s="52">
        <f>F182+I182</f>
        <v>5921275</v>
      </c>
      <c r="F182" s="147">
        <f>6697900+170500-1363300+11000+380200+13000+6000+2000-2842+3097+8000+4000-40000+31720</f>
        <v>5921275</v>
      </c>
      <c r="G182" s="52">
        <f>4614400+54100-591900+312900-2330-32800-13000</f>
        <v>4341370</v>
      </c>
      <c r="H182" s="52">
        <f>154005+2561+7023</f>
        <v>163589</v>
      </c>
      <c r="I182" s="52"/>
      <c r="J182" s="52">
        <f>K182+N182</f>
        <v>460703</v>
      </c>
      <c r="K182" s="52">
        <v>27800</v>
      </c>
      <c r="L182" s="52">
        <v>18822</v>
      </c>
      <c r="M182" s="52"/>
      <c r="N182" s="52">
        <f>297000+11000+132000-3097-4000</f>
        <v>432903</v>
      </c>
      <c r="O182" s="52">
        <f>297000+11000+132000-3097-4000</f>
        <v>432903</v>
      </c>
      <c r="P182" s="52">
        <f>E182+J182</f>
        <v>6381978</v>
      </c>
      <c r="Q182" s="170"/>
    </row>
    <row r="183" spans="1:17" s="22" customFormat="1" ht="90">
      <c r="A183" s="33"/>
      <c r="B183" s="141">
        <v>1513180</v>
      </c>
      <c r="C183" s="133"/>
      <c r="D183" s="93" t="s">
        <v>212</v>
      </c>
      <c r="E183" s="136">
        <f>E184+E185+E186</f>
        <v>1474275</v>
      </c>
      <c r="F183" s="136">
        <f aca="true" t="shared" si="54" ref="F183:P183">F184+F185+F186</f>
        <v>1474275</v>
      </c>
      <c r="G183" s="136">
        <f t="shared" si="54"/>
        <v>0</v>
      </c>
      <c r="H183" s="136">
        <f t="shared" si="54"/>
        <v>0</v>
      </c>
      <c r="I183" s="136">
        <f t="shared" si="54"/>
        <v>0</v>
      </c>
      <c r="J183" s="136">
        <f t="shared" si="54"/>
        <v>0</v>
      </c>
      <c r="K183" s="136">
        <f t="shared" si="54"/>
        <v>0</v>
      </c>
      <c r="L183" s="136">
        <f t="shared" si="54"/>
        <v>0</v>
      </c>
      <c r="M183" s="136">
        <f t="shared" si="54"/>
        <v>0</v>
      </c>
      <c r="N183" s="136">
        <f t="shared" si="54"/>
        <v>0</v>
      </c>
      <c r="O183" s="136">
        <f t="shared" si="54"/>
        <v>0</v>
      </c>
      <c r="P183" s="136">
        <f t="shared" si="54"/>
        <v>1474275</v>
      </c>
      <c r="Q183" s="170"/>
    </row>
    <row r="184" spans="1:17" s="67" customFormat="1" ht="90">
      <c r="A184" s="66"/>
      <c r="B184" s="58">
        <v>1513181</v>
      </c>
      <c r="C184" s="59" t="s">
        <v>67</v>
      </c>
      <c r="D184" s="60" t="s">
        <v>213</v>
      </c>
      <c r="E184" s="48">
        <f>F184+I184</f>
        <v>1307200</v>
      </c>
      <c r="F184" s="48">
        <f>1397200-90000</f>
        <v>1307200</v>
      </c>
      <c r="G184" s="48"/>
      <c r="H184" s="48"/>
      <c r="I184" s="48"/>
      <c r="J184" s="48">
        <f>K184+N184</f>
        <v>0</v>
      </c>
      <c r="K184" s="48"/>
      <c r="L184" s="48"/>
      <c r="M184" s="48"/>
      <c r="N184" s="48"/>
      <c r="O184" s="48"/>
      <c r="P184" s="48">
        <f>E184+J184</f>
        <v>1307200</v>
      </c>
      <c r="Q184" s="170"/>
    </row>
    <row r="185" spans="1:17" s="67" customFormat="1" ht="75">
      <c r="A185" s="66"/>
      <c r="B185" s="58">
        <v>1513182</v>
      </c>
      <c r="C185" s="59" t="s">
        <v>365</v>
      </c>
      <c r="D185" s="60" t="s">
        <v>366</v>
      </c>
      <c r="E185" s="48">
        <f>F185+I185</f>
        <v>162275</v>
      </c>
      <c r="F185" s="48">
        <v>162275</v>
      </c>
      <c r="G185" s="48"/>
      <c r="H185" s="48"/>
      <c r="I185" s="48"/>
      <c r="J185" s="48"/>
      <c r="K185" s="48"/>
      <c r="L185" s="48"/>
      <c r="M185" s="48"/>
      <c r="N185" s="48"/>
      <c r="O185" s="48"/>
      <c r="P185" s="48">
        <f>E185+J185</f>
        <v>162275</v>
      </c>
      <c r="Q185" s="170"/>
    </row>
    <row r="186" spans="1:17" s="67" customFormat="1" ht="30">
      <c r="A186" s="66"/>
      <c r="B186" s="58">
        <v>1513183</v>
      </c>
      <c r="C186" s="59" t="s">
        <v>367</v>
      </c>
      <c r="D186" s="60" t="s">
        <v>368</v>
      </c>
      <c r="E186" s="48">
        <f>F186+I186</f>
        <v>4800</v>
      </c>
      <c r="F186" s="48">
        <v>4800</v>
      </c>
      <c r="G186" s="48"/>
      <c r="H186" s="48"/>
      <c r="I186" s="48"/>
      <c r="J186" s="48"/>
      <c r="K186" s="48"/>
      <c r="L186" s="48"/>
      <c r="M186" s="48"/>
      <c r="N186" s="48"/>
      <c r="O186" s="48"/>
      <c r="P186" s="48">
        <f>E186+J186</f>
        <v>4800</v>
      </c>
      <c r="Q186" s="170"/>
    </row>
    <row r="187" spans="1:17" s="22" customFormat="1" ht="90">
      <c r="A187" s="33"/>
      <c r="B187" s="39">
        <v>1513190</v>
      </c>
      <c r="C187" s="31" t="s">
        <v>68</v>
      </c>
      <c r="D187" s="34" t="s">
        <v>214</v>
      </c>
      <c r="E187" s="54">
        <f>F187+I187</f>
        <v>1948082</v>
      </c>
      <c r="F187" s="54">
        <f>2446698+35741-372653-2740-158964</f>
        <v>1948082</v>
      </c>
      <c r="G187" s="54"/>
      <c r="H187" s="54"/>
      <c r="I187" s="54"/>
      <c r="J187" s="54">
        <f>K187+N187</f>
        <v>0</v>
      </c>
      <c r="K187" s="54"/>
      <c r="L187" s="54"/>
      <c r="M187" s="54"/>
      <c r="N187" s="54"/>
      <c r="O187" s="54"/>
      <c r="P187" s="54">
        <f>E187+J187</f>
        <v>1948082</v>
      </c>
      <c r="Q187" s="170"/>
    </row>
    <row r="188" spans="1:17" s="22" customFormat="1" ht="21.75" customHeight="1">
      <c r="A188" s="20"/>
      <c r="B188" s="39">
        <v>1513200</v>
      </c>
      <c r="C188" s="75"/>
      <c r="D188" s="34" t="s">
        <v>215</v>
      </c>
      <c r="E188" s="83">
        <f>E189+E190</f>
        <v>2392341</v>
      </c>
      <c r="F188" s="83">
        <f aca="true" t="shared" si="55" ref="F188:P188">F189+F190</f>
        <v>2392341</v>
      </c>
      <c r="G188" s="83">
        <f t="shared" si="55"/>
        <v>0</v>
      </c>
      <c r="H188" s="83">
        <f t="shared" si="55"/>
        <v>0</v>
      </c>
      <c r="I188" s="83">
        <f t="shared" si="55"/>
        <v>0</v>
      </c>
      <c r="J188" s="83">
        <f t="shared" si="55"/>
        <v>0</v>
      </c>
      <c r="K188" s="83">
        <f t="shared" si="55"/>
        <v>0</v>
      </c>
      <c r="L188" s="83">
        <f t="shared" si="55"/>
        <v>0</v>
      </c>
      <c r="M188" s="83">
        <f t="shared" si="55"/>
        <v>0</v>
      </c>
      <c r="N188" s="83">
        <f t="shared" si="55"/>
        <v>0</v>
      </c>
      <c r="O188" s="83">
        <f t="shared" si="55"/>
        <v>0</v>
      </c>
      <c r="P188" s="83">
        <f t="shared" si="55"/>
        <v>2392341</v>
      </c>
      <c r="Q188" s="170"/>
    </row>
    <row r="189" spans="1:17" s="67" customFormat="1" ht="30">
      <c r="A189" s="66"/>
      <c r="B189" s="38">
        <v>1513201</v>
      </c>
      <c r="C189" s="130" t="s">
        <v>64</v>
      </c>
      <c r="D189" s="29" t="s">
        <v>65</v>
      </c>
      <c r="E189" s="52">
        <f>F189+I189</f>
        <v>1593441</v>
      </c>
      <c r="F189" s="52">
        <f>902586+88819-4601+300000+199600+54755+132000-72696-7022</f>
        <v>1593441</v>
      </c>
      <c r="G189" s="52"/>
      <c r="H189" s="52"/>
      <c r="I189" s="52"/>
      <c r="J189" s="52">
        <f>K189+N189</f>
        <v>0</v>
      </c>
      <c r="K189" s="52"/>
      <c r="L189" s="52"/>
      <c r="M189" s="52"/>
      <c r="N189" s="52"/>
      <c r="O189" s="52"/>
      <c r="P189" s="52">
        <f>E189+J189</f>
        <v>1593441</v>
      </c>
      <c r="Q189" s="170"/>
    </row>
    <row r="190" spans="1:17" s="22" customFormat="1" ht="60">
      <c r="A190" s="33"/>
      <c r="B190" s="38">
        <v>1513202</v>
      </c>
      <c r="C190" s="92" t="s">
        <v>69</v>
      </c>
      <c r="D190" s="60" t="s">
        <v>216</v>
      </c>
      <c r="E190" s="48">
        <f>F190+I190</f>
        <v>798900</v>
      </c>
      <c r="F190" s="48">
        <v>798900</v>
      </c>
      <c r="G190" s="48"/>
      <c r="H190" s="48"/>
      <c r="I190" s="48"/>
      <c r="J190" s="48">
        <f>K190+N190</f>
        <v>0</v>
      </c>
      <c r="K190" s="48"/>
      <c r="L190" s="48"/>
      <c r="M190" s="48"/>
      <c r="N190" s="48"/>
      <c r="O190" s="48"/>
      <c r="P190" s="48">
        <f>E190+J190</f>
        <v>798900</v>
      </c>
      <c r="Q190" s="170"/>
    </row>
    <row r="191" spans="1:17" s="22" customFormat="1" ht="45">
      <c r="A191" s="20"/>
      <c r="B191" s="39">
        <v>1513220</v>
      </c>
      <c r="C191" s="31" t="s">
        <v>353</v>
      </c>
      <c r="D191" s="34" t="s">
        <v>354</v>
      </c>
      <c r="E191" s="54">
        <f>F191+I191</f>
        <v>114457</v>
      </c>
      <c r="F191" s="54">
        <f>54417+57300+30000-30000+2740</f>
        <v>114457</v>
      </c>
      <c r="G191" s="54"/>
      <c r="H191" s="54"/>
      <c r="I191" s="54"/>
      <c r="J191" s="54"/>
      <c r="K191" s="54"/>
      <c r="L191" s="54"/>
      <c r="M191" s="54"/>
      <c r="N191" s="54"/>
      <c r="O191" s="54"/>
      <c r="P191" s="52">
        <f>E191+J191</f>
        <v>114457</v>
      </c>
      <c r="Q191" s="170"/>
    </row>
    <row r="192" spans="1:17" s="22" customFormat="1" ht="30">
      <c r="A192" s="20"/>
      <c r="B192" s="92" t="s">
        <v>483</v>
      </c>
      <c r="C192" s="92" t="s">
        <v>334</v>
      </c>
      <c r="D192" s="93" t="s">
        <v>346</v>
      </c>
      <c r="E192" s="48">
        <f>F192+H192</f>
        <v>369055.10000000003</v>
      </c>
      <c r="F192" s="83">
        <f>160429-16831+231305.07-5847.97</f>
        <v>369055.10000000003</v>
      </c>
      <c r="G192" s="83">
        <f>117703+189509.86-4793.42</f>
        <v>302419.44</v>
      </c>
      <c r="H192" s="83"/>
      <c r="I192" s="83"/>
      <c r="J192" s="83">
        <f>K192+N192</f>
        <v>0</v>
      </c>
      <c r="K192" s="83"/>
      <c r="L192" s="83"/>
      <c r="M192" s="83"/>
      <c r="N192" s="83"/>
      <c r="O192" s="83"/>
      <c r="P192" s="83">
        <f>J192+E192</f>
        <v>369055.10000000003</v>
      </c>
      <c r="Q192" s="170"/>
    </row>
    <row r="193" spans="1:17" s="22" customFormat="1" ht="22.5" customHeight="1">
      <c r="A193" s="20"/>
      <c r="B193" s="39">
        <v>1513300</v>
      </c>
      <c r="C193" s="31" t="s">
        <v>70</v>
      </c>
      <c r="D193" s="34" t="s">
        <v>71</v>
      </c>
      <c r="E193" s="54">
        <f>E194+E195</f>
        <v>1481942</v>
      </c>
      <c r="F193" s="54">
        <f aca="true" t="shared" si="56" ref="F193:P193">F194+F195</f>
        <v>1481942</v>
      </c>
      <c r="G193" s="54">
        <f t="shared" si="56"/>
        <v>898400</v>
      </c>
      <c r="H193" s="54">
        <f t="shared" si="56"/>
        <v>129899</v>
      </c>
      <c r="I193" s="54">
        <f t="shared" si="56"/>
        <v>0</v>
      </c>
      <c r="J193" s="54">
        <f t="shared" si="56"/>
        <v>243500</v>
      </c>
      <c r="K193" s="54">
        <f t="shared" si="56"/>
        <v>0</v>
      </c>
      <c r="L193" s="54">
        <f t="shared" si="56"/>
        <v>0</v>
      </c>
      <c r="M193" s="54">
        <f t="shared" si="56"/>
        <v>0</v>
      </c>
      <c r="N193" s="54">
        <f t="shared" si="56"/>
        <v>243500</v>
      </c>
      <c r="O193" s="54">
        <f t="shared" si="56"/>
        <v>243500</v>
      </c>
      <c r="P193" s="54">
        <f t="shared" si="56"/>
        <v>1725442</v>
      </c>
      <c r="Q193" s="170"/>
    </row>
    <row r="194" spans="1:17" s="22" customFormat="1" ht="30">
      <c r="A194" s="20"/>
      <c r="B194" s="130" t="s">
        <v>217</v>
      </c>
      <c r="C194" s="130" t="s">
        <v>70</v>
      </c>
      <c r="D194" s="29" t="s">
        <v>355</v>
      </c>
      <c r="E194" s="128">
        <f>F194+I194</f>
        <v>1284100</v>
      </c>
      <c r="F194" s="128">
        <f>1424500-209500+19000+33000+7000+195000+5000-195000+5100</f>
        <v>1284100</v>
      </c>
      <c r="G194" s="128">
        <f>826600-77400+145000-145000+4200</f>
        <v>753400</v>
      </c>
      <c r="H194" s="128">
        <v>127230</v>
      </c>
      <c r="I194" s="136"/>
      <c r="J194" s="136">
        <f>K194+N194</f>
        <v>200000</v>
      </c>
      <c r="K194" s="136"/>
      <c r="L194" s="136"/>
      <c r="M194" s="136"/>
      <c r="N194" s="128">
        <f>200000+43500-43500</f>
        <v>200000</v>
      </c>
      <c r="O194" s="128">
        <f>200000+43500-43500</f>
        <v>200000</v>
      </c>
      <c r="P194" s="136">
        <f>E194+N194</f>
        <v>1484100</v>
      </c>
      <c r="Q194" s="170"/>
    </row>
    <row r="195" spans="1:17" s="22" customFormat="1" ht="75">
      <c r="A195" s="20"/>
      <c r="B195" s="59" t="s">
        <v>454</v>
      </c>
      <c r="C195" s="59" t="s">
        <v>70</v>
      </c>
      <c r="D195" s="60" t="s">
        <v>485</v>
      </c>
      <c r="E195" s="54">
        <f>F195+I195</f>
        <v>197842</v>
      </c>
      <c r="F195" s="54">
        <f>195000+2842</f>
        <v>197842</v>
      </c>
      <c r="G195" s="54">
        <v>145000</v>
      </c>
      <c r="H195" s="54">
        <f>2114+555</f>
        <v>2669</v>
      </c>
      <c r="I195" s="83"/>
      <c r="J195" s="83">
        <f>K195+N195</f>
        <v>43500</v>
      </c>
      <c r="K195" s="83"/>
      <c r="L195" s="83"/>
      <c r="M195" s="83"/>
      <c r="N195" s="54">
        <v>43500</v>
      </c>
      <c r="O195" s="54">
        <v>43500</v>
      </c>
      <c r="P195" s="83">
        <f>E195+N195</f>
        <v>241342</v>
      </c>
      <c r="Q195" s="170"/>
    </row>
    <row r="196" spans="1:17" s="22" customFormat="1" ht="30">
      <c r="A196" s="20"/>
      <c r="B196" s="31" t="s">
        <v>219</v>
      </c>
      <c r="C196" s="31" t="s">
        <v>13</v>
      </c>
      <c r="D196" s="34" t="s">
        <v>14</v>
      </c>
      <c r="E196" s="54">
        <f>E197+E198</f>
        <v>6811520.96</v>
      </c>
      <c r="F196" s="54">
        <f>F197+F198</f>
        <v>6811520.96</v>
      </c>
      <c r="G196" s="54">
        <f aca="true" t="shared" si="57" ref="G196:P196">G197+G198</f>
        <v>0</v>
      </c>
      <c r="H196" s="54">
        <f t="shared" si="57"/>
        <v>0</v>
      </c>
      <c r="I196" s="54">
        <f t="shared" si="57"/>
        <v>0</v>
      </c>
      <c r="J196" s="54">
        <f t="shared" si="57"/>
        <v>0</v>
      </c>
      <c r="K196" s="54">
        <f t="shared" si="57"/>
        <v>0</v>
      </c>
      <c r="L196" s="54">
        <f t="shared" si="57"/>
        <v>0</v>
      </c>
      <c r="M196" s="54">
        <f t="shared" si="57"/>
        <v>0</v>
      </c>
      <c r="N196" s="54">
        <f t="shared" si="57"/>
        <v>0</v>
      </c>
      <c r="O196" s="54">
        <f t="shared" si="57"/>
        <v>0</v>
      </c>
      <c r="P196" s="54">
        <f t="shared" si="57"/>
        <v>6811520.96</v>
      </c>
      <c r="Q196" s="170"/>
    </row>
    <row r="197" spans="1:17" s="67" customFormat="1" ht="45">
      <c r="A197" s="66"/>
      <c r="B197" s="130" t="s">
        <v>218</v>
      </c>
      <c r="C197" s="130" t="s">
        <v>13</v>
      </c>
      <c r="D197" s="29" t="s">
        <v>348</v>
      </c>
      <c r="E197" s="52">
        <f>F197+I197</f>
        <v>6407220.96</v>
      </c>
      <c r="F197" s="147">
        <f>1730323+45128+130000+224000+90870+18000+360000+108700+51390+68890-4499+59000+531692+44646+32027+8680+27216+19000+30000+121934+5000+426400.96+69840+1209360+14896+23110+372653+375000+55000+158964</f>
        <v>6407220.96</v>
      </c>
      <c r="G197" s="52"/>
      <c r="H197" s="52"/>
      <c r="I197" s="52"/>
      <c r="J197" s="52">
        <f>K197+N197</f>
        <v>0</v>
      </c>
      <c r="K197" s="52"/>
      <c r="L197" s="52"/>
      <c r="M197" s="52"/>
      <c r="N197" s="52"/>
      <c r="O197" s="52"/>
      <c r="P197" s="52">
        <f>E197+J197</f>
        <v>6407220.96</v>
      </c>
      <c r="Q197" s="170"/>
    </row>
    <row r="198" spans="1:17" s="67" customFormat="1" ht="40.5" customHeight="1">
      <c r="A198" s="66"/>
      <c r="B198" s="130" t="s">
        <v>429</v>
      </c>
      <c r="C198" s="130" t="s">
        <v>13</v>
      </c>
      <c r="D198" s="29" t="s">
        <v>428</v>
      </c>
      <c r="E198" s="52">
        <f>F198+I198</f>
        <v>404300</v>
      </c>
      <c r="F198" s="147">
        <f>330300+58000+16000</f>
        <v>404300</v>
      </c>
      <c r="G198" s="52"/>
      <c r="H198" s="52"/>
      <c r="I198" s="52"/>
      <c r="J198" s="52"/>
      <c r="K198" s="52"/>
      <c r="L198" s="52"/>
      <c r="M198" s="52"/>
      <c r="N198" s="52"/>
      <c r="O198" s="52"/>
      <c r="P198" s="52">
        <f>E198+J198</f>
        <v>404300</v>
      </c>
      <c r="Q198" s="170"/>
    </row>
    <row r="199" spans="1:17" s="22" customFormat="1" ht="35.25" customHeight="1">
      <c r="A199" s="20"/>
      <c r="B199" s="166" t="s">
        <v>512</v>
      </c>
      <c r="C199" s="166"/>
      <c r="D199" s="167" t="s">
        <v>511</v>
      </c>
      <c r="E199" s="25">
        <f>E200</f>
        <v>0</v>
      </c>
      <c r="F199" s="25">
        <f aca="true" t="shared" si="58" ref="F199:P199">F200</f>
        <v>0</v>
      </c>
      <c r="G199" s="25">
        <f t="shared" si="58"/>
        <v>0</v>
      </c>
      <c r="H199" s="25">
        <f t="shared" si="58"/>
        <v>0</v>
      </c>
      <c r="I199" s="25">
        <f t="shared" si="58"/>
        <v>0</v>
      </c>
      <c r="J199" s="25">
        <f t="shared" si="58"/>
        <v>1090537.85</v>
      </c>
      <c r="K199" s="25">
        <f t="shared" si="58"/>
        <v>0</v>
      </c>
      <c r="L199" s="25">
        <f t="shared" si="58"/>
        <v>0</v>
      </c>
      <c r="M199" s="25">
        <f t="shared" si="58"/>
        <v>0</v>
      </c>
      <c r="N199" s="25">
        <f t="shared" si="58"/>
        <v>1090537.85</v>
      </c>
      <c r="O199" s="25">
        <f t="shared" si="58"/>
        <v>1090537.85</v>
      </c>
      <c r="P199" s="25">
        <f t="shared" si="58"/>
        <v>1090537.85</v>
      </c>
      <c r="Q199" s="170"/>
    </row>
    <row r="200" spans="1:17" s="22" customFormat="1" ht="30.75" customHeight="1">
      <c r="A200" s="20"/>
      <c r="B200" s="166" t="s">
        <v>501</v>
      </c>
      <c r="C200" s="166" t="s">
        <v>496</v>
      </c>
      <c r="D200" s="60" t="s">
        <v>497</v>
      </c>
      <c r="E200" s="48">
        <f>F200+I200</f>
        <v>0</v>
      </c>
      <c r="F200" s="48"/>
      <c r="G200" s="48"/>
      <c r="H200" s="48"/>
      <c r="I200" s="48"/>
      <c r="J200" s="48">
        <f>K200+N200</f>
        <v>1090537.85</v>
      </c>
      <c r="K200" s="48"/>
      <c r="L200" s="48"/>
      <c r="M200" s="48"/>
      <c r="N200" s="48">
        <v>1090537.85</v>
      </c>
      <c r="O200" s="48">
        <v>1090537.85</v>
      </c>
      <c r="P200" s="48">
        <f>E200+J200</f>
        <v>1090537.85</v>
      </c>
      <c r="Q200" s="170"/>
    </row>
    <row r="201" spans="1:17" s="67" customFormat="1" ht="17.25" customHeight="1">
      <c r="A201" s="66"/>
      <c r="B201" s="59"/>
      <c r="C201" s="59"/>
      <c r="D201" s="60" t="s">
        <v>41</v>
      </c>
      <c r="E201" s="48"/>
      <c r="F201" s="48"/>
      <c r="G201" s="48"/>
      <c r="H201" s="48"/>
      <c r="I201" s="48"/>
      <c r="J201" s="48">
        <f>K201+N201</f>
        <v>1090537.85</v>
      </c>
      <c r="K201" s="48"/>
      <c r="L201" s="48"/>
      <c r="M201" s="48"/>
      <c r="N201" s="48">
        <v>1090537.85</v>
      </c>
      <c r="O201" s="48">
        <v>1090537.85</v>
      </c>
      <c r="P201" s="48">
        <f>E201+J201</f>
        <v>1090537.85</v>
      </c>
      <c r="Q201" s="170"/>
    </row>
    <row r="202" spans="1:17" s="22" customFormat="1" ht="25.5" customHeight="1">
      <c r="A202" s="20"/>
      <c r="B202" s="141">
        <v>1518800</v>
      </c>
      <c r="C202" s="92" t="s">
        <v>89</v>
      </c>
      <c r="D202" s="148" t="s">
        <v>90</v>
      </c>
      <c r="E202" s="128">
        <f aca="true" t="shared" si="59" ref="E202:O202">E203</f>
        <v>1445456</v>
      </c>
      <c r="F202" s="128">
        <f t="shared" si="59"/>
        <v>1445456</v>
      </c>
      <c r="G202" s="128">
        <f t="shared" si="59"/>
        <v>0</v>
      </c>
      <c r="H202" s="128">
        <f t="shared" si="59"/>
        <v>0</v>
      </c>
      <c r="I202" s="128">
        <f t="shared" si="59"/>
        <v>0</v>
      </c>
      <c r="J202" s="128">
        <f t="shared" si="59"/>
        <v>0</v>
      </c>
      <c r="K202" s="128">
        <f t="shared" si="59"/>
        <v>0</v>
      </c>
      <c r="L202" s="128">
        <f t="shared" si="59"/>
        <v>0</v>
      </c>
      <c r="M202" s="128">
        <f t="shared" si="59"/>
        <v>0</v>
      </c>
      <c r="N202" s="128">
        <f t="shared" si="59"/>
        <v>0</v>
      </c>
      <c r="O202" s="128">
        <f t="shared" si="59"/>
        <v>0</v>
      </c>
      <c r="P202" s="136">
        <f>J202+E202</f>
        <v>1445456</v>
      </c>
      <c r="Q202" s="170"/>
    </row>
    <row r="203" spans="1:17" s="22" customFormat="1" ht="69.75" customHeight="1">
      <c r="A203" s="33"/>
      <c r="B203" s="59" t="s">
        <v>470</v>
      </c>
      <c r="C203" s="59" t="s">
        <v>89</v>
      </c>
      <c r="D203" s="84" t="s">
        <v>480</v>
      </c>
      <c r="E203" s="48">
        <f>F203+H203</f>
        <v>1445456</v>
      </c>
      <c r="F203" s="83">
        <f>2160656-715200</f>
        <v>1445456</v>
      </c>
      <c r="G203" s="83"/>
      <c r="H203" s="83"/>
      <c r="I203" s="83"/>
      <c r="J203" s="83"/>
      <c r="K203" s="83"/>
      <c r="L203" s="83"/>
      <c r="M203" s="83"/>
      <c r="N203" s="83"/>
      <c r="O203" s="83"/>
      <c r="P203" s="149">
        <f>J203+E203</f>
        <v>1445456</v>
      </c>
      <c r="Q203" s="170"/>
    </row>
    <row r="204" spans="1:17" s="22" customFormat="1" ht="28.5">
      <c r="A204" s="20"/>
      <c r="B204" s="92" t="s">
        <v>220</v>
      </c>
      <c r="C204" s="23"/>
      <c r="D204" s="24" t="s">
        <v>222</v>
      </c>
      <c r="E204" s="43">
        <f>E205</f>
        <v>1139136</v>
      </c>
      <c r="F204" s="43">
        <f aca="true" t="shared" si="60" ref="F204:P204">F205</f>
        <v>1139136</v>
      </c>
      <c r="G204" s="43">
        <f t="shared" si="60"/>
        <v>809747</v>
      </c>
      <c r="H204" s="43">
        <f t="shared" si="60"/>
        <v>32719</v>
      </c>
      <c r="I204" s="43">
        <f t="shared" si="60"/>
        <v>0</v>
      </c>
      <c r="J204" s="43">
        <f t="shared" si="60"/>
        <v>0</v>
      </c>
      <c r="K204" s="43">
        <f t="shared" si="60"/>
        <v>0</v>
      </c>
      <c r="L204" s="43">
        <f t="shared" si="60"/>
        <v>0</v>
      </c>
      <c r="M204" s="43">
        <f t="shared" si="60"/>
        <v>0</v>
      </c>
      <c r="N204" s="43">
        <f t="shared" si="60"/>
        <v>0</v>
      </c>
      <c r="O204" s="43">
        <f t="shared" si="60"/>
        <v>0</v>
      </c>
      <c r="P204" s="43">
        <f t="shared" si="60"/>
        <v>1139136</v>
      </c>
      <c r="Q204" s="170"/>
    </row>
    <row r="205" spans="1:17" s="67" customFormat="1" ht="30">
      <c r="A205" s="66"/>
      <c r="B205" s="59" t="s">
        <v>221</v>
      </c>
      <c r="C205" s="36"/>
      <c r="D205" s="37" t="s">
        <v>222</v>
      </c>
      <c r="E205" s="53">
        <f>E206+E207</f>
        <v>1139136</v>
      </c>
      <c r="F205" s="53">
        <f aca="true" t="shared" si="61" ref="F205:P205">F206+F207</f>
        <v>1139136</v>
      </c>
      <c r="G205" s="53">
        <f t="shared" si="61"/>
        <v>809747</v>
      </c>
      <c r="H205" s="53">
        <f t="shared" si="61"/>
        <v>32719</v>
      </c>
      <c r="I205" s="53">
        <f t="shared" si="61"/>
        <v>0</v>
      </c>
      <c r="J205" s="53">
        <f t="shared" si="61"/>
        <v>0</v>
      </c>
      <c r="K205" s="53">
        <f t="shared" si="61"/>
        <v>0</v>
      </c>
      <c r="L205" s="53">
        <f t="shared" si="61"/>
        <v>0</v>
      </c>
      <c r="M205" s="53">
        <f t="shared" si="61"/>
        <v>0</v>
      </c>
      <c r="N205" s="53">
        <f t="shared" si="61"/>
        <v>0</v>
      </c>
      <c r="O205" s="53">
        <f t="shared" si="61"/>
        <v>0</v>
      </c>
      <c r="P205" s="53">
        <f t="shared" si="61"/>
        <v>1139136</v>
      </c>
      <c r="Q205" s="170"/>
    </row>
    <row r="206" spans="1:17" s="22" customFormat="1" ht="45">
      <c r="A206" s="33"/>
      <c r="B206" s="127" t="s">
        <v>223</v>
      </c>
      <c r="C206" s="92" t="s">
        <v>9</v>
      </c>
      <c r="D206" s="93" t="s">
        <v>100</v>
      </c>
      <c r="E206" s="128">
        <f>F206+I206</f>
        <v>1089136</v>
      </c>
      <c r="F206" s="128">
        <f>1121770-144320+40086+18000+31200+6000+16400</f>
        <v>1089136</v>
      </c>
      <c r="G206" s="128">
        <f>782730-32840+32857+25600+13400-12000</f>
        <v>809747</v>
      </c>
      <c r="H206" s="128">
        <v>32719</v>
      </c>
      <c r="I206" s="128"/>
      <c r="J206" s="128">
        <f>K206+N206</f>
        <v>0</v>
      </c>
      <c r="K206" s="128"/>
      <c r="L206" s="128"/>
      <c r="M206" s="128"/>
      <c r="N206" s="128">
        <f>18000-18000</f>
        <v>0</v>
      </c>
      <c r="O206" s="128">
        <f>18000-18000</f>
        <v>0</v>
      </c>
      <c r="P206" s="128">
        <f>E206+J206</f>
        <v>1089136</v>
      </c>
      <c r="Q206" s="170"/>
    </row>
    <row r="207" spans="1:17" s="22" customFormat="1" ht="30">
      <c r="A207" s="20"/>
      <c r="B207" s="127" t="s">
        <v>228</v>
      </c>
      <c r="C207" s="92"/>
      <c r="D207" s="93" t="s">
        <v>227</v>
      </c>
      <c r="E207" s="128">
        <f>E208</f>
        <v>50000</v>
      </c>
      <c r="F207" s="128">
        <f aca="true" t="shared" si="62" ref="F207:P207">F208</f>
        <v>50000</v>
      </c>
      <c r="G207" s="128">
        <f t="shared" si="62"/>
        <v>0</v>
      </c>
      <c r="H207" s="128">
        <f t="shared" si="62"/>
        <v>0</v>
      </c>
      <c r="I207" s="128">
        <f t="shared" si="62"/>
        <v>0</v>
      </c>
      <c r="J207" s="128">
        <f t="shared" si="62"/>
        <v>0</v>
      </c>
      <c r="K207" s="128">
        <f t="shared" si="62"/>
        <v>0</v>
      </c>
      <c r="L207" s="128">
        <f t="shared" si="62"/>
        <v>0</v>
      </c>
      <c r="M207" s="128">
        <f t="shared" si="62"/>
        <v>0</v>
      </c>
      <c r="N207" s="128">
        <f t="shared" si="62"/>
        <v>0</v>
      </c>
      <c r="O207" s="128">
        <f t="shared" si="62"/>
        <v>0</v>
      </c>
      <c r="P207" s="128">
        <f t="shared" si="62"/>
        <v>50000</v>
      </c>
      <c r="Q207" s="170"/>
    </row>
    <row r="208" spans="1:17" s="67" customFormat="1" ht="30">
      <c r="A208" s="66"/>
      <c r="B208" s="72" t="s">
        <v>225</v>
      </c>
      <c r="C208" s="59" t="s">
        <v>74</v>
      </c>
      <c r="D208" s="60" t="s">
        <v>224</v>
      </c>
      <c r="E208" s="48">
        <f>F208+I208</f>
        <v>50000</v>
      </c>
      <c r="F208" s="48">
        <v>50000</v>
      </c>
      <c r="G208" s="53"/>
      <c r="H208" s="53"/>
      <c r="I208" s="53"/>
      <c r="J208" s="48">
        <f>K208+N208</f>
        <v>0</v>
      </c>
      <c r="K208" s="53"/>
      <c r="L208" s="53"/>
      <c r="M208" s="53"/>
      <c r="N208" s="53"/>
      <c r="O208" s="53"/>
      <c r="P208" s="48">
        <f>E208+J208</f>
        <v>50000</v>
      </c>
      <c r="Q208" s="170"/>
    </row>
    <row r="209" spans="1:17" s="22" customFormat="1" ht="28.5">
      <c r="A209" s="33"/>
      <c r="B209" s="42" t="s">
        <v>229</v>
      </c>
      <c r="C209" s="23"/>
      <c r="D209" s="24" t="s">
        <v>226</v>
      </c>
      <c r="E209" s="43">
        <f>E210</f>
        <v>30015998</v>
      </c>
      <c r="F209" s="43">
        <f aca="true" t="shared" si="63" ref="F209:P209">F210</f>
        <v>30015998</v>
      </c>
      <c r="G209" s="43">
        <f t="shared" si="63"/>
        <v>21014135</v>
      </c>
      <c r="H209" s="43">
        <f t="shared" si="63"/>
        <v>1776764</v>
      </c>
      <c r="I209" s="43">
        <f t="shared" si="63"/>
        <v>0</v>
      </c>
      <c r="J209" s="43">
        <f t="shared" si="63"/>
        <v>2489920</v>
      </c>
      <c r="K209" s="43">
        <f t="shared" si="63"/>
        <v>1320320</v>
      </c>
      <c r="L209" s="43">
        <f t="shared" si="63"/>
        <v>953732</v>
      </c>
      <c r="M209" s="43">
        <f t="shared" si="63"/>
        <v>0</v>
      </c>
      <c r="N209" s="43">
        <f t="shared" si="63"/>
        <v>1169600</v>
      </c>
      <c r="O209" s="43">
        <f t="shared" si="63"/>
        <v>1165000</v>
      </c>
      <c r="P209" s="43">
        <f t="shared" si="63"/>
        <v>32505918</v>
      </c>
      <c r="Q209" s="170"/>
    </row>
    <row r="210" spans="1:17" s="67" customFormat="1" ht="30">
      <c r="A210" s="66"/>
      <c r="B210" s="72" t="s">
        <v>230</v>
      </c>
      <c r="C210" s="36"/>
      <c r="D210" s="37" t="s">
        <v>226</v>
      </c>
      <c r="E210" s="53">
        <f aca="true" t="shared" si="64" ref="E210:P210">E211+E212+E213+E214+E215</f>
        <v>30015998</v>
      </c>
      <c r="F210" s="53">
        <f t="shared" si="64"/>
        <v>30015998</v>
      </c>
      <c r="G210" s="53">
        <f t="shared" si="64"/>
        <v>21014135</v>
      </c>
      <c r="H210" s="53">
        <f t="shared" si="64"/>
        <v>1776764</v>
      </c>
      <c r="I210" s="53">
        <f t="shared" si="64"/>
        <v>0</v>
      </c>
      <c r="J210" s="53">
        <f t="shared" si="64"/>
        <v>2489920</v>
      </c>
      <c r="K210" s="53">
        <f t="shared" si="64"/>
        <v>1320320</v>
      </c>
      <c r="L210" s="53">
        <f t="shared" si="64"/>
        <v>953732</v>
      </c>
      <c r="M210" s="53">
        <f t="shared" si="64"/>
        <v>0</v>
      </c>
      <c r="N210" s="53">
        <f t="shared" si="64"/>
        <v>1169600</v>
      </c>
      <c r="O210" s="53">
        <f t="shared" si="64"/>
        <v>1165000</v>
      </c>
      <c r="P210" s="53">
        <f t="shared" si="64"/>
        <v>32505918</v>
      </c>
      <c r="Q210" s="170"/>
    </row>
    <row r="211" spans="1:17" s="22" customFormat="1" ht="45">
      <c r="A211" s="33"/>
      <c r="B211" s="127" t="s">
        <v>231</v>
      </c>
      <c r="C211" s="92" t="s">
        <v>9</v>
      </c>
      <c r="D211" s="93" t="s">
        <v>100</v>
      </c>
      <c r="E211" s="128">
        <f>F211+I211</f>
        <v>507981</v>
      </c>
      <c r="F211" s="128">
        <f>514810-66130+41301+11300+6700</f>
        <v>507981</v>
      </c>
      <c r="G211" s="128">
        <f>324590-16160+33853+9300+5500</f>
        <v>357083</v>
      </c>
      <c r="H211" s="128">
        <v>13469</v>
      </c>
      <c r="I211" s="128"/>
      <c r="J211" s="128">
        <f>K211+N211</f>
        <v>20000</v>
      </c>
      <c r="K211" s="128"/>
      <c r="L211" s="128"/>
      <c r="M211" s="128"/>
      <c r="N211" s="128">
        <v>20000</v>
      </c>
      <c r="O211" s="128">
        <v>20000</v>
      </c>
      <c r="P211" s="128">
        <f>E211+J211</f>
        <v>527981</v>
      </c>
      <c r="Q211" s="170"/>
    </row>
    <row r="212" spans="1:17" s="22" customFormat="1" ht="30">
      <c r="A212" s="20"/>
      <c r="B212" s="127" t="s">
        <v>233</v>
      </c>
      <c r="C212" s="92" t="s">
        <v>75</v>
      </c>
      <c r="D212" s="93" t="s">
        <v>232</v>
      </c>
      <c r="E212" s="128">
        <f>F212+I212</f>
        <v>1240000</v>
      </c>
      <c r="F212" s="132">
        <f>1000000+30000+45000+70000+95000</f>
        <v>1240000</v>
      </c>
      <c r="G212" s="132"/>
      <c r="H212" s="132"/>
      <c r="I212" s="132"/>
      <c r="J212" s="128">
        <f>K212+N212</f>
        <v>0</v>
      </c>
      <c r="K212" s="43"/>
      <c r="L212" s="43"/>
      <c r="M212" s="43"/>
      <c r="N212" s="43"/>
      <c r="O212" s="43"/>
      <c r="P212" s="54">
        <f>E212+J212</f>
        <v>1240000</v>
      </c>
      <c r="Q212" s="170"/>
    </row>
    <row r="213" spans="1:17" s="22" customFormat="1" ht="15">
      <c r="A213" s="20"/>
      <c r="B213" s="42" t="s">
        <v>235</v>
      </c>
      <c r="C213" s="31" t="s">
        <v>76</v>
      </c>
      <c r="D213" s="34" t="s">
        <v>234</v>
      </c>
      <c r="E213" s="54">
        <f>F213+I213</f>
        <v>10529452</v>
      </c>
      <c r="F213" s="74">
        <f>10519452+10000</f>
        <v>10529452</v>
      </c>
      <c r="G213" s="74">
        <f>7153760-76280+13952-32880</f>
        <v>7058552</v>
      </c>
      <c r="H213" s="74">
        <v>1039633</v>
      </c>
      <c r="I213" s="74"/>
      <c r="J213" s="54">
        <f>K213+N213</f>
        <v>705500</v>
      </c>
      <c r="K213" s="54">
        <v>21000</v>
      </c>
      <c r="L213" s="54">
        <v>5000</v>
      </c>
      <c r="M213" s="43"/>
      <c r="N213" s="74">
        <f>534500+95000+8500+20000+20000+10000-8500+5000</f>
        <v>684500</v>
      </c>
      <c r="O213" s="74">
        <f>534500+95000+8500+20000+20000+10000-8500+5000</f>
        <v>684500</v>
      </c>
      <c r="P213" s="54">
        <f>E213+J213</f>
        <v>11234952</v>
      </c>
      <c r="Q213" s="170"/>
    </row>
    <row r="214" spans="1:17" s="22" customFormat="1" ht="15">
      <c r="A214" s="20"/>
      <c r="B214" s="42" t="s">
        <v>237</v>
      </c>
      <c r="C214" s="31" t="s">
        <v>77</v>
      </c>
      <c r="D214" s="34" t="s">
        <v>236</v>
      </c>
      <c r="E214" s="54">
        <f>F214+I214</f>
        <v>16979240</v>
      </c>
      <c r="F214" s="74">
        <f>18381740-1481664+16000+3000+33000+18000-20000+14164+5000+10000</f>
        <v>16979240</v>
      </c>
      <c r="G214" s="74">
        <f>12769020+299020+11610-13490</f>
        <v>13066160</v>
      </c>
      <c r="H214" s="74">
        <v>702306</v>
      </c>
      <c r="I214" s="74"/>
      <c r="J214" s="54">
        <f>K214+N214</f>
        <v>1741420</v>
      </c>
      <c r="K214" s="54">
        <v>1299320</v>
      </c>
      <c r="L214" s="54">
        <v>948732</v>
      </c>
      <c r="M214" s="54"/>
      <c r="N214" s="74">
        <f>440100-18000+20000</f>
        <v>442100</v>
      </c>
      <c r="O214" s="74">
        <f>435500-18000+20000</f>
        <v>437500</v>
      </c>
      <c r="P214" s="54">
        <f>E214+J214</f>
        <v>18720660</v>
      </c>
      <c r="Q214" s="170"/>
    </row>
    <row r="215" spans="1:17" s="22" customFormat="1" ht="15">
      <c r="A215" s="20"/>
      <c r="B215" s="42" t="s">
        <v>238</v>
      </c>
      <c r="C215" s="31" t="s">
        <v>23</v>
      </c>
      <c r="D215" s="34" t="s">
        <v>116</v>
      </c>
      <c r="E215" s="54">
        <f>E216</f>
        <v>759325</v>
      </c>
      <c r="F215" s="54">
        <f aca="true" t="shared" si="65" ref="F215:P215">F216</f>
        <v>759325</v>
      </c>
      <c r="G215" s="54">
        <f t="shared" si="65"/>
        <v>532340</v>
      </c>
      <c r="H215" s="54">
        <f t="shared" si="65"/>
        <v>21356</v>
      </c>
      <c r="I215" s="54">
        <f t="shared" si="65"/>
        <v>0</v>
      </c>
      <c r="J215" s="54">
        <f t="shared" si="65"/>
        <v>23000</v>
      </c>
      <c r="K215" s="54">
        <f t="shared" si="65"/>
        <v>0</v>
      </c>
      <c r="L215" s="54">
        <f t="shared" si="65"/>
        <v>0</v>
      </c>
      <c r="M215" s="54">
        <f t="shared" si="65"/>
        <v>0</v>
      </c>
      <c r="N215" s="54">
        <f t="shared" si="65"/>
        <v>23000</v>
      </c>
      <c r="O215" s="54">
        <f t="shared" si="65"/>
        <v>23000</v>
      </c>
      <c r="P215" s="54">
        <f t="shared" si="65"/>
        <v>782325</v>
      </c>
      <c r="Q215" s="170"/>
    </row>
    <row r="216" spans="1:17" s="22" customFormat="1" ht="45">
      <c r="A216" s="20"/>
      <c r="B216" s="130" t="s">
        <v>305</v>
      </c>
      <c r="C216" s="130" t="s">
        <v>23</v>
      </c>
      <c r="D216" s="29" t="s">
        <v>239</v>
      </c>
      <c r="E216" s="128">
        <f>F216+I216</f>
        <v>759325</v>
      </c>
      <c r="F216" s="132">
        <f>967780-215588+7000+133</f>
        <v>759325</v>
      </c>
      <c r="G216" s="132">
        <f>631635-102675+109+3271</f>
        <v>532340</v>
      </c>
      <c r="H216" s="132">
        <v>21356</v>
      </c>
      <c r="I216" s="132"/>
      <c r="J216" s="128">
        <f>K216+N216</f>
        <v>23000</v>
      </c>
      <c r="K216" s="43"/>
      <c r="L216" s="43"/>
      <c r="M216" s="43"/>
      <c r="N216" s="74">
        <f>30000-7000</f>
        <v>23000</v>
      </c>
      <c r="O216" s="74">
        <f>30000-7000</f>
        <v>23000</v>
      </c>
      <c r="P216" s="54">
        <f>E216+J216</f>
        <v>782325</v>
      </c>
      <c r="Q216" s="170"/>
    </row>
    <row r="217" spans="1:17" s="22" customFormat="1" ht="28.5">
      <c r="A217" s="20"/>
      <c r="B217" s="42" t="s">
        <v>241</v>
      </c>
      <c r="C217" s="23"/>
      <c r="D217" s="24" t="s">
        <v>240</v>
      </c>
      <c r="E217" s="43">
        <f>E218</f>
        <v>47626551.059999995</v>
      </c>
      <c r="F217" s="43">
        <f aca="true" t="shared" si="66" ref="F217:P217">F218</f>
        <v>21347932.59</v>
      </c>
      <c r="G217" s="43">
        <f t="shared" si="66"/>
        <v>2817328.42</v>
      </c>
      <c r="H217" s="43">
        <f t="shared" si="66"/>
        <v>10298175</v>
      </c>
      <c r="I217" s="43">
        <f t="shared" si="66"/>
        <v>26278618.47</v>
      </c>
      <c r="J217" s="43">
        <f t="shared" si="66"/>
        <v>135584664.69</v>
      </c>
      <c r="K217" s="43">
        <f t="shared" si="66"/>
        <v>1191544</v>
      </c>
      <c r="L217" s="43">
        <f t="shared" si="66"/>
        <v>0</v>
      </c>
      <c r="M217" s="43">
        <f t="shared" si="66"/>
        <v>0</v>
      </c>
      <c r="N217" s="43">
        <f t="shared" si="66"/>
        <v>134393120.69</v>
      </c>
      <c r="O217" s="43">
        <f t="shared" si="66"/>
        <v>129499653.37</v>
      </c>
      <c r="P217" s="43">
        <f t="shared" si="66"/>
        <v>183211215.75</v>
      </c>
      <c r="Q217" s="170"/>
    </row>
    <row r="218" spans="1:17" s="67" customFormat="1" ht="30">
      <c r="A218" s="66"/>
      <c r="B218" s="72" t="s">
        <v>242</v>
      </c>
      <c r="C218" s="36"/>
      <c r="D218" s="37" t="s">
        <v>240</v>
      </c>
      <c r="E218" s="53">
        <f aca="true" t="shared" si="67" ref="E218:P218">E220+E223+E226+E228+E235+E236+E243+E246+E238+E237+E241+E233+E222+E234+E244+E245+E230+E221+E231+E232</f>
        <v>47626551.059999995</v>
      </c>
      <c r="F218" s="53">
        <f t="shared" si="67"/>
        <v>21347932.59</v>
      </c>
      <c r="G218" s="53">
        <f t="shared" si="67"/>
        <v>2817328.42</v>
      </c>
      <c r="H218" s="53">
        <f t="shared" si="67"/>
        <v>10298175</v>
      </c>
      <c r="I218" s="53">
        <f t="shared" si="67"/>
        <v>26278618.47</v>
      </c>
      <c r="J218" s="53">
        <f t="shared" si="67"/>
        <v>135584664.69</v>
      </c>
      <c r="K218" s="53">
        <f t="shared" si="67"/>
        <v>1191544</v>
      </c>
      <c r="L218" s="53">
        <f t="shared" si="67"/>
        <v>0</v>
      </c>
      <c r="M218" s="53">
        <f t="shared" si="67"/>
        <v>0</v>
      </c>
      <c r="N218" s="53">
        <f t="shared" si="67"/>
        <v>134393120.69</v>
      </c>
      <c r="O218" s="53">
        <f t="shared" si="67"/>
        <v>129499653.37</v>
      </c>
      <c r="P218" s="53">
        <f t="shared" si="67"/>
        <v>183211215.75</v>
      </c>
      <c r="Q218" s="170"/>
    </row>
    <row r="219" spans="1:17" s="67" customFormat="1" ht="15">
      <c r="A219" s="66"/>
      <c r="B219" s="72"/>
      <c r="C219" s="36"/>
      <c r="D219" s="60" t="s">
        <v>41</v>
      </c>
      <c r="E219" s="53">
        <f>E229</f>
        <v>0</v>
      </c>
      <c r="F219" s="53">
        <f aca="true" t="shared" si="68" ref="F219:P219">F229</f>
        <v>0</v>
      </c>
      <c r="G219" s="53">
        <f t="shared" si="68"/>
        <v>0</v>
      </c>
      <c r="H219" s="53">
        <f t="shared" si="68"/>
        <v>0</v>
      </c>
      <c r="I219" s="53">
        <f t="shared" si="68"/>
        <v>0</v>
      </c>
      <c r="J219" s="53">
        <f t="shared" si="68"/>
        <v>1647900</v>
      </c>
      <c r="K219" s="53">
        <f t="shared" si="68"/>
        <v>0</v>
      </c>
      <c r="L219" s="53">
        <f t="shared" si="68"/>
        <v>0</v>
      </c>
      <c r="M219" s="53">
        <f t="shared" si="68"/>
        <v>0</v>
      </c>
      <c r="N219" s="53">
        <f t="shared" si="68"/>
        <v>1647900</v>
      </c>
      <c r="O219" s="53">
        <f t="shared" si="68"/>
        <v>1647900</v>
      </c>
      <c r="P219" s="53">
        <f t="shared" si="68"/>
        <v>1647900</v>
      </c>
      <c r="Q219" s="170"/>
    </row>
    <row r="220" spans="1:17" s="22" customFormat="1" ht="45">
      <c r="A220" s="33"/>
      <c r="B220" s="127" t="s">
        <v>243</v>
      </c>
      <c r="C220" s="92" t="s">
        <v>9</v>
      </c>
      <c r="D220" s="93" t="s">
        <v>100</v>
      </c>
      <c r="E220" s="128">
        <f>F220+I220</f>
        <v>3856689</v>
      </c>
      <c r="F220" s="128">
        <f>3961890-402720+2500+9255+89813+8189-158571+99700+49608+135225+51900+9900</f>
        <v>3856689</v>
      </c>
      <c r="G220" s="128">
        <f>2675410-22930+59940-129976+81700+105791+42600</f>
        <v>2812535</v>
      </c>
      <c r="H220" s="128">
        <v>118075</v>
      </c>
      <c r="I220" s="128"/>
      <c r="J220" s="128">
        <f>K220+N220</f>
        <v>48000</v>
      </c>
      <c r="K220" s="128"/>
      <c r="L220" s="128"/>
      <c r="M220" s="128"/>
      <c r="N220" s="128">
        <f>30000+18000</f>
        <v>48000</v>
      </c>
      <c r="O220" s="128">
        <f>30000+18000</f>
        <v>48000</v>
      </c>
      <c r="P220" s="128">
        <f>E220+J220</f>
        <v>3904689</v>
      </c>
      <c r="Q220" s="170"/>
    </row>
    <row r="221" spans="1:17" s="22" customFormat="1" ht="30">
      <c r="A221" s="20"/>
      <c r="B221" s="92" t="s">
        <v>439</v>
      </c>
      <c r="C221" s="92" t="s">
        <v>334</v>
      </c>
      <c r="D221" s="93" t="s">
        <v>346</v>
      </c>
      <c r="E221" s="128">
        <f>F221+I221</f>
        <v>217891.96999999997</v>
      </c>
      <c r="F221" s="128">
        <f>350000+5847.97-92800-45156</f>
        <v>217891.96999999997</v>
      </c>
      <c r="G221" s="128">
        <f>4793.42</f>
        <v>4793.42</v>
      </c>
      <c r="H221" s="128"/>
      <c r="I221" s="128"/>
      <c r="J221" s="128"/>
      <c r="K221" s="128"/>
      <c r="L221" s="128"/>
      <c r="M221" s="128"/>
      <c r="N221" s="128"/>
      <c r="O221" s="128"/>
      <c r="P221" s="128">
        <f>E221+J221</f>
        <v>217891.96999999997</v>
      </c>
      <c r="Q221" s="170"/>
    </row>
    <row r="222" spans="1:17" s="22" customFormat="1" ht="45">
      <c r="A222" s="20"/>
      <c r="B222" s="127" t="s">
        <v>349</v>
      </c>
      <c r="C222" s="92" t="s">
        <v>350</v>
      </c>
      <c r="D222" s="93" t="s">
        <v>351</v>
      </c>
      <c r="E222" s="128">
        <f>F222+I222</f>
        <v>1630002</v>
      </c>
      <c r="F222" s="128">
        <f>180000+1500000+14880-14880-49998</f>
        <v>1630002</v>
      </c>
      <c r="G222" s="128"/>
      <c r="H222" s="128"/>
      <c r="I222" s="128"/>
      <c r="J222" s="128">
        <f>K222+N222</f>
        <v>0</v>
      </c>
      <c r="K222" s="128"/>
      <c r="L222" s="128"/>
      <c r="M222" s="128"/>
      <c r="N222" s="128"/>
      <c r="O222" s="128"/>
      <c r="P222" s="128">
        <f>E222+J222</f>
        <v>1630002</v>
      </c>
      <c r="Q222" s="170"/>
    </row>
    <row r="223" spans="1:17" s="22" customFormat="1" ht="30">
      <c r="A223" s="20"/>
      <c r="B223" s="127" t="s">
        <v>245</v>
      </c>
      <c r="C223" s="92"/>
      <c r="D223" s="93" t="s">
        <v>244</v>
      </c>
      <c r="E223" s="128">
        <f>E224+E225</f>
        <v>585000</v>
      </c>
      <c r="F223" s="128">
        <f aca="true" t="shared" si="69" ref="F223:P223">F224+F225</f>
        <v>585000</v>
      </c>
      <c r="G223" s="128">
        <f t="shared" si="69"/>
        <v>0</v>
      </c>
      <c r="H223" s="128">
        <f t="shared" si="69"/>
        <v>0</v>
      </c>
      <c r="I223" s="128">
        <f t="shared" si="69"/>
        <v>0</v>
      </c>
      <c r="J223" s="128">
        <f t="shared" si="69"/>
        <v>70715444.14</v>
      </c>
      <c r="K223" s="128">
        <f t="shared" si="69"/>
        <v>0</v>
      </c>
      <c r="L223" s="128">
        <f t="shared" si="69"/>
        <v>0</v>
      </c>
      <c r="M223" s="128">
        <f t="shared" si="69"/>
        <v>0</v>
      </c>
      <c r="N223" s="128">
        <f t="shared" si="69"/>
        <v>70715444.14</v>
      </c>
      <c r="O223" s="128">
        <f t="shared" si="69"/>
        <v>70715444.14</v>
      </c>
      <c r="P223" s="128">
        <f t="shared" si="69"/>
        <v>71300444.14</v>
      </c>
      <c r="Q223" s="170"/>
    </row>
    <row r="224" spans="1:17" s="67" customFormat="1" ht="15">
      <c r="A224" s="66"/>
      <c r="B224" s="72" t="s">
        <v>247</v>
      </c>
      <c r="C224" s="59" t="s">
        <v>78</v>
      </c>
      <c r="D224" s="60" t="s">
        <v>246</v>
      </c>
      <c r="E224" s="48">
        <f>F224+I224</f>
        <v>585000</v>
      </c>
      <c r="F224" s="48">
        <f>195000+195000+195000</f>
        <v>585000</v>
      </c>
      <c r="G224" s="53"/>
      <c r="H224" s="53"/>
      <c r="I224" s="53"/>
      <c r="J224" s="48">
        <f>K224+N224</f>
        <v>63715444.14</v>
      </c>
      <c r="K224" s="53"/>
      <c r="L224" s="53"/>
      <c r="M224" s="53"/>
      <c r="N224" s="102">
        <f>30000000+6285.14-100000+8250000-1000000+11000000+3000000+81197+34241+43208+1500000+1902000+170702+146800+2000000+80000+2000000+201011+3000000-100000+1500000</f>
        <v>63715444.14</v>
      </c>
      <c r="O224" s="102">
        <f>30000000+6285.14-100000+8250000-1000000+11000000+3000000+81197+34241+43208+1500000+1902000+170702+146800+2000000+80000+2000000+201011+3000000-100000+1500000</f>
        <v>63715444.14</v>
      </c>
      <c r="P224" s="48">
        <f>E224+J224</f>
        <v>64300444.14</v>
      </c>
      <c r="Q224" s="170"/>
    </row>
    <row r="225" spans="1:17" s="67" customFormat="1" ht="45">
      <c r="A225" s="66"/>
      <c r="B225" s="72" t="s">
        <v>249</v>
      </c>
      <c r="C225" s="59" t="s">
        <v>79</v>
      </c>
      <c r="D225" s="60" t="s">
        <v>248</v>
      </c>
      <c r="E225" s="48">
        <f>F225+I225</f>
        <v>0</v>
      </c>
      <c r="F225" s="53"/>
      <c r="G225" s="53"/>
      <c r="H225" s="53"/>
      <c r="I225" s="53"/>
      <c r="J225" s="48">
        <f>K225+N225</f>
        <v>7000000</v>
      </c>
      <c r="K225" s="48"/>
      <c r="L225" s="48"/>
      <c r="M225" s="48"/>
      <c r="N225" s="48">
        <f>2000000+1000000+3000000+1000000</f>
        <v>7000000</v>
      </c>
      <c r="O225" s="48">
        <f>2000000+1000000+3000000+1000000</f>
        <v>7000000</v>
      </c>
      <c r="P225" s="48">
        <f>E225+J225</f>
        <v>7000000</v>
      </c>
      <c r="Q225" s="170"/>
    </row>
    <row r="226" spans="1:17" s="22" customFormat="1" ht="30">
      <c r="A226" s="33"/>
      <c r="B226" s="42" t="s">
        <v>252</v>
      </c>
      <c r="C226" s="31"/>
      <c r="D226" s="34" t="s">
        <v>251</v>
      </c>
      <c r="E226" s="54">
        <f>E227</f>
        <v>6139563</v>
      </c>
      <c r="F226" s="54">
        <f aca="true" t="shared" si="70" ref="F226:P226">F227</f>
        <v>0</v>
      </c>
      <c r="G226" s="54">
        <f t="shared" si="70"/>
        <v>0</v>
      </c>
      <c r="H226" s="54">
        <f t="shared" si="70"/>
        <v>0</v>
      </c>
      <c r="I226" s="54">
        <f t="shared" si="70"/>
        <v>6139563</v>
      </c>
      <c r="J226" s="54">
        <f t="shared" si="70"/>
        <v>4642909</v>
      </c>
      <c r="K226" s="54">
        <f t="shared" si="70"/>
        <v>0</v>
      </c>
      <c r="L226" s="54">
        <f t="shared" si="70"/>
        <v>0</v>
      </c>
      <c r="M226" s="54">
        <f t="shared" si="70"/>
        <v>0</v>
      </c>
      <c r="N226" s="54">
        <f t="shared" si="70"/>
        <v>4642909</v>
      </c>
      <c r="O226" s="54">
        <f t="shared" si="70"/>
        <v>4642909</v>
      </c>
      <c r="P226" s="54">
        <f t="shared" si="70"/>
        <v>10782472</v>
      </c>
      <c r="Q226" s="170"/>
    </row>
    <row r="227" spans="1:17" s="67" customFormat="1" ht="45">
      <c r="A227" s="66"/>
      <c r="B227" s="129" t="s">
        <v>253</v>
      </c>
      <c r="C227" s="130" t="s">
        <v>80</v>
      </c>
      <c r="D227" s="29" t="s">
        <v>250</v>
      </c>
      <c r="E227" s="52">
        <f aca="true" t="shared" si="71" ref="E227:E243">F227+I227</f>
        <v>6139563</v>
      </c>
      <c r="F227" s="52"/>
      <c r="G227" s="53"/>
      <c r="H227" s="53"/>
      <c r="I227" s="48">
        <f>1825100+120003+350000+150000+2729000+1057608-20000-72148</f>
        <v>6139563</v>
      </c>
      <c r="J227" s="48">
        <f aca="true" t="shared" si="72" ref="J227:J236">K227+N227</f>
        <v>4642909</v>
      </c>
      <c r="K227" s="53"/>
      <c r="L227" s="53"/>
      <c r="M227" s="53"/>
      <c r="N227" s="48">
        <f>1499312+1630100+300790+664532+174600+200666+172909</f>
        <v>4642909</v>
      </c>
      <c r="O227" s="48">
        <f>1499312+1630100+300790+664532+174600+200666+172909</f>
        <v>4642909</v>
      </c>
      <c r="P227" s="48">
        <f aca="true" t="shared" si="73" ref="P227:P237">E227+J227</f>
        <v>10782472</v>
      </c>
      <c r="Q227" s="170"/>
    </row>
    <row r="228" spans="1:17" s="22" customFormat="1" ht="21.75" customHeight="1">
      <c r="A228" s="33"/>
      <c r="B228" s="42" t="s">
        <v>254</v>
      </c>
      <c r="C228" s="31" t="s">
        <v>21</v>
      </c>
      <c r="D228" s="34" t="s">
        <v>136</v>
      </c>
      <c r="E228" s="54">
        <f t="shared" si="71"/>
        <v>30357055.8</v>
      </c>
      <c r="F228" s="54">
        <f>9272300+200000-224000+3000000-9255-365036-1747.2-663250-130000-392229-483368.8+200000-282375+26000-11719-184201.18-419848-121017+20000+30000-141277-6200-125209.4+17600-354993.77-5697-154854-5000-49608-193340-6000+48700-70500+2500-23110+2600000-27000-30000-21976.03+401800-200000</f>
        <v>11116088.620000001</v>
      </c>
      <c r="G228" s="54"/>
      <c r="H228" s="54">
        <f>4106300+3000000+2600000+401800</f>
        <v>10108100</v>
      </c>
      <c r="I228" s="54">
        <f>15895612+1700000-350000+130000+128000+250000+184201.18-30000+49955+200000+15407+100000+100000+20000+27000+200000+131644+197000+20000+272148</f>
        <v>19240967.18</v>
      </c>
      <c r="J228" s="54">
        <f t="shared" si="72"/>
        <v>21774890.23</v>
      </c>
      <c r="K228" s="54"/>
      <c r="L228" s="54"/>
      <c r="M228" s="54"/>
      <c r="N228" s="117">
        <f>16250000+6500000-731714+1747.2-461123-287161-248820+25000-234505+11719-245322-20000+121017-55500+6200+200000-238002+5697-146800-49000-115000+755000-317234-206011-231972-20000-41000-30000+30000-41000-22323.97+76098-108000+1647900-5000</f>
        <v>21774890.23</v>
      </c>
      <c r="O228" s="117">
        <f>16250000+6500000-731714+1747.2-461123-287161-248820+25000-234505+11719-245322-20000+121017-55500+6200+200000-238002+5697-146800-49000-115000+755000-317234-206011-231972-20000-41000-30000+30000-41000-22323.97+76098-108000+1647900-5000</f>
        <v>21774890.23</v>
      </c>
      <c r="P228" s="54">
        <f t="shared" si="73"/>
        <v>52131946.03</v>
      </c>
      <c r="Q228" s="170"/>
    </row>
    <row r="229" spans="1:17" s="22" customFormat="1" ht="19.5" customHeight="1">
      <c r="A229" s="33"/>
      <c r="B229" s="42"/>
      <c r="C229" s="31"/>
      <c r="D229" s="34" t="s">
        <v>41</v>
      </c>
      <c r="E229" s="54">
        <f>F229+I229</f>
        <v>0</v>
      </c>
      <c r="F229" s="54"/>
      <c r="G229" s="54"/>
      <c r="H229" s="54"/>
      <c r="I229" s="54"/>
      <c r="J229" s="54">
        <f>K229+N229</f>
        <v>1647900</v>
      </c>
      <c r="K229" s="54"/>
      <c r="L229" s="54"/>
      <c r="M229" s="54"/>
      <c r="N229" s="117">
        <f>1647900</f>
        <v>1647900</v>
      </c>
      <c r="O229" s="117">
        <f>1647900</f>
        <v>1647900</v>
      </c>
      <c r="P229" s="54">
        <f t="shared" si="73"/>
        <v>1647900</v>
      </c>
      <c r="Q229" s="170"/>
    </row>
    <row r="230" spans="1:17" s="22" customFormat="1" ht="45">
      <c r="A230" s="20"/>
      <c r="B230" s="42" t="s">
        <v>425</v>
      </c>
      <c r="C230" s="31" t="s">
        <v>426</v>
      </c>
      <c r="D230" s="34" t="s">
        <v>427</v>
      </c>
      <c r="E230" s="54">
        <f t="shared" si="71"/>
        <v>0</v>
      </c>
      <c r="F230" s="54"/>
      <c r="G230" s="54"/>
      <c r="H230" s="54"/>
      <c r="I230" s="54"/>
      <c r="J230" s="54">
        <f t="shared" si="72"/>
        <v>845938</v>
      </c>
      <c r="K230" s="54"/>
      <c r="L230" s="54"/>
      <c r="M230" s="54"/>
      <c r="N230" s="54">
        <v>845938</v>
      </c>
      <c r="O230" s="54">
        <v>845938</v>
      </c>
      <c r="P230" s="54">
        <f t="shared" si="73"/>
        <v>845938</v>
      </c>
      <c r="Q230" s="170"/>
    </row>
    <row r="231" spans="1:17" s="22" customFormat="1" ht="75">
      <c r="A231" s="20"/>
      <c r="B231" s="42" t="s">
        <v>446</v>
      </c>
      <c r="C231" s="31" t="s">
        <v>447</v>
      </c>
      <c r="D231" s="34" t="s">
        <v>448</v>
      </c>
      <c r="E231" s="54">
        <f t="shared" si="71"/>
        <v>343718.29</v>
      </c>
      <c r="F231" s="54"/>
      <c r="G231" s="54"/>
      <c r="H231" s="54"/>
      <c r="I231" s="54">
        <f>100000+121332+30000+45386.29+47000</f>
        <v>343718.29</v>
      </c>
      <c r="J231" s="54">
        <f t="shared" si="72"/>
        <v>0</v>
      </c>
      <c r="K231" s="54"/>
      <c r="L231" s="54"/>
      <c r="M231" s="54"/>
      <c r="N231" s="54"/>
      <c r="O231" s="54"/>
      <c r="P231" s="54">
        <f t="shared" si="73"/>
        <v>343718.29</v>
      </c>
      <c r="Q231" s="170"/>
    </row>
    <row r="232" spans="1:17" s="22" customFormat="1" ht="30">
      <c r="A232" s="20"/>
      <c r="B232" s="42" t="s">
        <v>484</v>
      </c>
      <c r="C232" s="31" t="s">
        <v>85</v>
      </c>
      <c r="D232" s="34" t="s">
        <v>270</v>
      </c>
      <c r="E232" s="54">
        <f t="shared" si="71"/>
        <v>0</v>
      </c>
      <c r="F232" s="54"/>
      <c r="G232" s="54"/>
      <c r="H232" s="54"/>
      <c r="I232" s="54"/>
      <c r="J232" s="54">
        <f t="shared" si="72"/>
        <v>2059156</v>
      </c>
      <c r="K232" s="54"/>
      <c r="L232" s="54"/>
      <c r="M232" s="54"/>
      <c r="N232" s="54">
        <f>500000+1473000+41000+2300000-2300000+45156</f>
        <v>2059156</v>
      </c>
      <c r="O232" s="54">
        <f>500000+1473000+41000+2300000-2300000+45156</f>
        <v>2059156</v>
      </c>
      <c r="P232" s="54">
        <f t="shared" si="73"/>
        <v>2059156</v>
      </c>
      <c r="Q232" s="170"/>
    </row>
    <row r="233" spans="1:17" s="67" customFormat="1" ht="30">
      <c r="A233" s="66"/>
      <c r="B233" s="127" t="s">
        <v>337</v>
      </c>
      <c r="C233" s="92" t="s">
        <v>316</v>
      </c>
      <c r="D233" s="93" t="s">
        <v>317</v>
      </c>
      <c r="E233" s="48">
        <f>F233+I233</f>
        <v>499370</v>
      </c>
      <c r="F233" s="48"/>
      <c r="G233" s="48"/>
      <c r="H233" s="48"/>
      <c r="I233" s="48">
        <f>465000+34370</f>
        <v>499370</v>
      </c>
      <c r="J233" s="48"/>
      <c r="K233" s="48"/>
      <c r="L233" s="48"/>
      <c r="M233" s="48"/>
      <c r="N233" s="48"/>
      <c r="O233" s="48"/>
      <c r="P233" s="54">
        <f t="shared" si="73"/>
        <v>499370</v>
      </c>
      <c r="Q233" s="170"/>
    </row>
    <row r="234" spans="1:17" s="67" customFormat="1" ht="24.75" customHeight="1">
      <c r="A234" s="66"/>
      <c r="B234" s="42" t="s">
        <v>352</v>
      </c>
      <c r="C234" s="31" t="s">
        <v>81</v>
      </c>
      <c r="D234" s="34" t="s">
        <v>255</v>
      </c>
      <c r="E234" s="54">
        <f t="shared" si="71"/>
        <v>229998</v>
      </c>
      <c r="F234" s="54">
        <f>180000+1500000-1500000-14880+14880+49998</f>
        <v>229998</v>
      </c>
      <c r="G234" s="52"/>
      <c r="H234" s="52"/>
      <c r="I234" s="128">
        <f>10851+26971+7564.29-45386.29</f>
        <v>0</v>
      </c>
      <c r="J234" s="48"/>
      <c r="K234" s="48"/>
      <c r="L234" s="48"/>
      <c r="M234" s="48"/>
      <c r="N234" s="48"/>
      <c r="O234" s="48"/>
      <c r="P234" s="54">
        <f t="shared" si="73"/>
        <v>229998</v>
      </c>
      <c r="Q234" s="170"/>
    </row>
    <row r="235" spans="1:17" s="22" customFormat="1" ht="24.75" customHeight="1">
      <c r="A235" s="33"/>
      <c r="B235" s="42" t="s">
        <v>257</v>
      </c>
      <c r="C235" s="31" t="s">
        <v>82</v>
      </c>
      <c r="D235" s="34" t="s">
        <v>256</v>
      </c>
      <c r="E235" s="54">
        <f t="shared" si="71"/>
        <v>1090000</v>
      </c>
      <c r="F235" s="54">
        <f>530000+500000-30000-25000+60000</f>
        <v>1035000</v>
      </c>
      <c r="G235" s="43"/>
      <c r="H235" s="43"/>
      <c r="I235" s="54">
        <f>30000+25000</f>
        <v>55000</v>
      </c>
      <c r="J235" s="54">
        <f t="shared" si="72"/>
        <v>0</v>
      </c>
      <c r="K235" s="43"/>
      <c r="L235" s="43"/>
      <c r="M235" s="43"/>
      <c r="N235" s="43"/>
      <c r="O235" s="43"/>
      <c r="P235" s="54">
        <f t="shared" si="73"/>
        <v>1090000</v>
      </c>
      <c r="Q235" s="170"/>
    </row>
    <row r="236" spans="1:17" s="22" customFormat="1" ht="34.5" customHeight="1">
      <c r="A236" s="20"/>
      <c r="B236" s="42" t="s">
        <v>258</v>
      </c>
      <c r="C236" s="31" t="s">
        <v>34</v>
      </c>
      <c r="D236" s="34" t="s">
        <v>141</v>
      </c>
      <c r="E236" s="54">
        <f t="shared" si="71"/>
        <v>0</v>
      </c>
      <c r="F236" s="43"/>
      <c r="G236" s="43"/>
      <c r="H236" s="43"/>
      <c r="I236" s="43"/>
      <c r="J236" s="54">
        <f t="shared" si="72"/>
        <v>28662816</v>
      </c>
      <c r="K236" s="43"/>
      <c r="L236" s="43"/>
      <c r="M236" s="43"/>
      <c r="N236" s="54">
        <f>12363400+2550000+4260750+319200+14159+292000+4969900+1470000+1907607+470000+45800</f>
        <v>28662816</v>
      </c>
      <c r="O236" s="54">
        <f>12363400+2550000+4260750+319200+14159+292000+4969900+1470000+1907607+470000+45800</f>
        <v>28662816</v>
      </c>
      <c r="P236" s="54">
        <f t="shared" si="73"/>
        <v>28662816</v>
      </c>
      <c r="Q236" s="170"/>
    </row>
    <row r="237" spans="1:17" s="22" customFormat="1" ht="24.75" customHeight="1">
      <c r="A237" s="20"/>
      <c r="B237" s="150" t="s">
        <v>318</v>
      </c>
      <c r="C237" s="31" t="s">
        <v>319</v>
      </c>
      <c r="D237" s="34" t="s">
        <v>55</v>
      </c>
      <c r="E237" s="54">
        <f t="shared" si="71"/>
        <v>158800</v>
      </c>
      <c r="F237" s="54">
        <f>410000-251200</f>
        <v>158800</v>
      </c>
      <c r="G237" s="54"/>
      <c r="H237" s="54"/>
      <c r="I237" s="54"/>
      <c r="J237" s="54"/>
      <c r="K237" s="54"/>
      <c r="L237" s="54"/>
      <c r="M237" s="54"/>
      <c r="N237" s="54"/>
      <c r="O237" s="54"/>
      <c r="P237" s="54">
        <f t="shared" si="73"/>
        <v>158800</v>
      </c>
      <c r="Q237" s="170"/>
    </row>
    <row r="238" spans="1:17" s="22" customFormat="1" ht="24.75" customHeight="1">
      <c r="A238" s="20"/>
      <c r="B238" s="32" t="s">
        <v>262</v>
      </c>
      <c r="C238" s="31" t="s">
        <v>42</v>
      </c>
      <c r="D238" s="34" t="s">
        <v>19</v>
      </c>
      <c r="E238" s="54">
        <f>E239+E240</f>
        <v>1838963</v>
      </c>
      <c r="F238" s="54">
        <f aca="true" t="shared" si="74" ref="F238:P238">F239+F240</f>
        <v>1838963</v>
      </c>
      <c r="G238" s="54">
        <f t="shared" si="74"/>
        <v>0</v>
      </c>
      <c r="H238" s="54">
        <f t="shared" si="74"/>
        <v>72000</v>
      </c>
      <c r="I238" s="54">
        <f t="shared" si="74"/>
        <v>0</v>
      </c>
      <c r="J238" s="54">
        <f t="shared" si="74"/>
        <v>0</v>
      </c>
      <c r="K238" s="54">
        <f t="shared" si="74"/>
        <v>0</v>
      </c>
      <c r="L238" s="54">
        <f t="shared" si="74"/>
        <v>0</v>
      </c>
      <c r="M238" s="54">
        <f t="shared" si="74"/>
        <v>0</v>
      </c>
      <c r="N238" s="54">
        <f t="shared" si="74"/>
        <v>0</v>
      </c>
      <c r="O238" s="54">
        <f t="shared" si="74"/>
        <v>0</v>
      </c>
      <c r="P238" s="54">
        <f t="shared" si="74"/>
        <v>1838963</v>
      </c>
      <c r="Q238" s="170"/>
    </row>
    <row r="239" spans="1:17" s="22" customFormat="1" ht="87" customHeight="1">
      <c r="A239" s="20"/>
      <c r="B239" s="130" t="s">
        <v>263</v>
      </c>
      <c r="C239" s="130" t="s">
        <v>42</v>
      </c>
      <c r="D239" s="151" t="s">
        <v>336</v>
      </c>
      <c r="E239" s="52">
        <f>F239+I239</f>
        <v>258120</v>
      </c>
      <c r="F239" s="52">
        <v>258120</v>
      </c>
      <c r="G239" s="53"/>
      <c r="H239" s="53"/>
      <c r="I239" s="53"/>
      <c r="J239" s="48"/>
      <c r="K239" s="53"/>
      <c r="L239" s="53"/>
      <c r="M239" s="53"/>
      <c r="N239" s="53"/>
      <c r="O239" s="53"/>
      <c r="P239" s="128">
        <f>E239+J239</f>
        <v>258120</v>
      </c>
      <c r="Q239" s="170"/>
    </row>
    <row r="240" spans="1:17" s="22" customFormat="1" ht="60">
      <c r="A240" s="20"/>
      <c r="B240" s="59" t="s">
        <v>264</v>
      </c>
      <c r="C240" s="59" t="s">
        <v>42</v>
      </c>
      <c r="D240" s="68" t="s">
        <v>335</v>
      </c>
      <c r="E240" s="48">
        <f>F240+I240</f>
        <v>1580843</v>
      </c>
      <c r="F240" s="48">
        <f>1429000+1920+67223+82700</f>
        <v>1580843</v>
      </c>
      <c r="G240" s="53"/>
      <c r="H240" s="128">
        <v>72000</v>
      </c>
      <c r="I240" s="53"/>
      <c r="J240" s="48"/>
      <c r="K240" s="53"/>
      <c r="L240" s="53"/>
      <c r="M240" s="53"/>
      <c r="N240" s="53"/>
      <c r="O240" s="53"/>
      <c r="P240" s="128">
        <f>E240+J240</f>
        <v>1580843</v>
      </c>
      <c r="Q240" s="170"/>
    </row>
    <row r="241" spans="1:17" s="22" customFormat="1" ht="15">
      <c r="A241" s="20"/>
      <c r="B241" s="141">
        <v>4118800</v>
      </c>
      <c r="C241" s="92" t="s">
        <v>89</v>
      </c>
      <c r="D241" s="148" t="s">
        <v>90</v>
      </c>
      <c r="E241" s="128">
        <f>E242</f>
        <v>679500</v>
      </c>
      <c r="F241" s="128">
        <f aca="true" t="shared" si="75" ref="F241:P241">F242</f>
        <v>679500</v>
      </c>
      <c r="G241" s="128">
        <f t="shared" si="75"/>
        <v>0</v>
      </c>
      <c r="H241" s="128">
        <f t="shared" si="75"/>
        <v>0</v>
      </c>
      <c r="I241" s="128">
        <f t="shared" si="75"/>
        <v>0</v>
      </c>
      <c r="J241" s="128">
        <f t="shared" si="75"/>
        <v>750500</v>
      </c>
      <c r="K241" s="128">
        <f t="shared" si="75"/>
        <v>0</v>
      </c>
      <c r="L241" s="128">
        <f t="shared" si="75"/>
        <v>0</v>
      </c>
      <c r="M241" s="128">
        <f t="shared" si="75"/>
        <v>0</v>
      </c>
      <c r="N241" s="128">
        <f t="shared" si="75"/>
        <v>750500</v>
      </c>
      <c r="O241" s="128">
        <f t="shared" si="75"/>
        <v>750500</v>
      </c>
      <c r="P241" s="128">
        <f t="shared" si="75"/>
        <v>1430000</v>
      </c>
      <c r="Q241" s="170"/>
    </row>
    <row r="242" spans="1:17" s="22" customFormat="1" ht="114.75" customHeight="1">
      <c r="A242" s="20"/>
      <c r="B242" s="59" t="s">
        <v>320</v>
      </c>
      <c r="C242" s="59" t="s">
        <v>89</v>
      </c>
      <c r="D242" s="84" t="s">
        <v>301</v>
      </c>
      <c r="E242" s="101">
        <f>F242+I242</f>
        <v>679500</v>
      </c>
      <c r="F242" s="54">
        <f>229500+450000</f>
        <v>679500</v>
      </c>
      <c r="G242" s="43"/>
      <c r="H242" s="43"/>
      <c r="I242" s="43"/>
      <c r="J242" s="54">
        <f>K242+N242</f>
        <v>750500</v>
      </c>
      <c r="K242" s="43"/>
      <c r="L242" s="43"/>
      <c r="M242" s="43"/>
      <c r="N242" s="54">
        <v>750500</v>
      </c>
      <c r="O242" s="54">
        <v>750500</v>
      </c>
      <c r="P242" s="54">
        <f>E242+J242</f>
        <v>1430000</v>
      </c>
      <c r="Q242" s="170"/>
    </row>
    <row r="243" spans="1:17" s="22" customFormat="1" ht="30">
      <c r="A243" s="20"/>
      <c r="B243" s="42" t="s">
        <v>259</v>
      </c>
      <c r="C243" s="31" t="s">
        <v>83</v>
      </c>
      <c r="D243" s="34" t="s">
        <v>84</v>
      </c>
      <c r="E243" s="54">
        <f t="shared" si="71"/>
        <v>0</v>
      </c>
      <c r="F243" s="54">
        <f>220000-220000</f>
        <v>0</v>
      </c>
      <c r="G243" s="54"/>
      <c r="H243" s="54"/>
      <c r="I243" s="54"/>
      <c r="J243" s="54">
        <f>K243+N243</f>
        <v>5346082</v>
      </c>
      <c r="K243" s="54">
        <f>350000+120000+145344</f>
        <v>615344</v>
      </c>
      <c r="L243" s="54"/>
      <c r="M243" s="54"/>
      <c r="N243" s="54">
        <f>54000+1184200+3492538</f>
        <v>4730738</v>
      </c>
      <c r="O243" s="54">
        <f>868800-868800</f>
        <v>0</v>
      </c>
      <c r="P243" s="54">
        <f>E243+J243</f>
        <v>5346082</v>
      </c>
      <c r="Q243" s="170"/>
    </row>
    <row r="244" spans="1:17" s="22" customFormat="1" ht="20.25" customHeight="1">
      <c r="A244" s="20"/>
      <c r="B244" s="42" t="s">
        <v>414</v>
      </c>
      <c r="C244" s="31" t="s">
        <v>415</v>
      </c>
      <c r="D244" s="34" t="s">
        <v>416</v>
      </c>
      <c r="E244" s="54"/>
      <c r="F244" s="54"/>
      <c r="G244" s="54"/>
      <c r="H244" s="54"/>
      <c r="I244" s="54"/>
      <c r="J244" s="54">
        <f>K244+N244</f>
        <v>250000</v>
      </c>
      <c r="K244" s="54">
        <v>250000</v>
      </c>
      <c r="L244" s="54"/>
      <c r="M244" s="54"/>
      <c r="N244" s="54"/>
      <c r="O244" s="54"/>
      <c r="P244" s="54">
        <f>E244+J244</f>
        <v>250000</v>
      </c>
      <c r="Q244" s="170"/>
    </row>
    <row r="245" spans="1:17" s="22" customFormat="1" ht="20.25" customHeight="1">
      <c r="A245" s="20"/>
      <c r="B245" s="42" t="s">
        <v>419</v>
      </c>
      <c r="C245" s="31" t="s">
        <v>420</v>
      </c>
      <c r="D245" s="34" t="s">
        <v>55</v>
      </c>
      <c r="E245" s="54"/>
      <c r="F245" s="54"/>
      <c r="G245" s="54"/>
      <c r="H245" s="54"/>
      <c r="I245" s="54"/>
      <c r="J245" s="54">
        <f>K245+N245</f>
        <v>251200</v>
      </c>
      <c r="K245" s="54">
        <v>251200</v>
      </c>
      <c r="L245" s="54"/>
      <c r="M245" s="54"/>
      <c r="N245" s="54"/>
      <c r="O245" s="54"/>
      <c r="P245" s="54">
        <f>E245+J245</f>
        <v>251200</v>
      </c>
      <c r="Q245" s="170"/>
    </row>
    <row r="246" spans="1:17" s="22" customFormat="1" ht="60">
      <c r="A246" s="20"/>
      <c r="B246" s="42" t="s">
        <v>260</v>
      </c>
      <c r="C246" s="31" t="s">
        <v>39</v>
      </c>
      <c r="D246" s="34" t="s">
        <v>40</v>
      </c>
      <c r="E246" s="54">
        <f>E247</f>
        <v>0</v>
      </c>
      <c r="F246" s="54">
        <f aca="true" t="shared" si="76" ref="F246:P246">F247</f>
        <v>0</v>
      </c>
      <c r="G246" s="54">
        <f t="shared" si="76"/>
        <v>0</v>
      </c>
      <c r="H246" s="54">
        <f t="shared" si="76"/>
        <v>0</v>
      </c>
      <c r="I246" s="54">
        <f t="shared" si="76"/>
        <v>0</v>
      </c>
      <c r="J246" s="54">
        <f t="shared" si="76"/>
        <v>237729.32</v>
      </c>
      <c r="K246" s="54">
        <f t="shared" si="76"/>
        <v>75000</v>
      </c>
      <c r="L246" s="54">
        <f t="shared" si="76"/>
        <v>0</v>
      </c>
      <c r="M246" s="54">
        <f t="shared" si="76"/>
        <v>0</v>
      </c>
      <c r="N246" s="54">
        <f t="shared" si="76"/>
        <v>162729.32</v>
      </c>
      <c r="O246" s="54">
        <f t="shared" si="76"/>
        <v>0</v>
      </c>
      <c r="P246" s="54">
        <f t="shared" si="76"/>
        <v>237729.32</v>
      </c>
      <c r="Q246" s="170"/>
    </row>
    <row r="247" spans="1:17" s="22" customFormat="1" ht="60">
      <c r="A247" s="20"/>
      <c r="B247" s="137" t="s">
        <v>261</v>
      </c>
      <c r="C247" s="130" t="s">
        <v>39</v>
      </c>
      <c r="D247" s="29" t="s">
        <v>40</v>
      </c>
      <c r="E247" s="128">
        <f>F247+I247</f>
        <v>0</v>
      </c>
      <c r="F247" s="128"/>
      <c r="G247" s="128"/>
      <c r="H247" s="128"/>
      <c r="I247" s="128"/>
      <c r="J247" s="128">
        <f>K247+N247</f>
        <v>237729.32</v>
      </c>
      <c r="K247" s="128">
        <f>75000</f>
        <v>75000</v>
      </c>
      <c r="L247" s="128"/>
      <c r="M247" s="128"/>
      <c r="N247" s="128">
        <v>162729.32</v>
      </c>
      <c r="O247" s="43"/>
      <c r="P247" s="54">
        <f>E247+J247</f>
        <v>237729.32</v>
      </c>
      <c r="Q247" s="170"/>
    </row>
    <row r="248" spans="1:17" s="22" customFormat="1" ht="28.5">
      <c r="A248" s="20"/>
      <c r="B248" s="42" t="s">
        <v>269</v>
      </c>
      <c r="C248" s="23"/>
      <c r="D248" s="24" t="s">
        <v>266</v>
      </c>
      <c r="E248" s="43">
        <f>E249</f>
        <v>960235.27</v>
      </c>
      <c r="F248" s="43">
        <f aca="true" t="shared" si="77" ref="F248:P248">F249</f>
        <v>960235.27</v>
      </c>
      <c r="G248" s="43">
        <f t="shared" si="77"/>
        <v>556838.78</v>
      </c>
      <c r="H248" s="43">
        <f t="shared" si="77"/>
        <v>75456.83</v>
      </c>
      <c r="I248" s="43">
        <f t="shared" si="77"/>
        <v>0</v>
      </c>
      <c r="J248" s="43">
        <f t="shared" si="77"/>
        <v>0</v>
      </c>
      <c r="K248" s="43">
        <f t="shared" si="77"/>
        <v>0</v>
      </c>
      <c r="L248" s="43">
        <f t="shared" si="77"/>
        <v>0</v>
      </c>
      <c r="M248" s="43">
        <f t="shared" si="77"/>
        <v>0</v>
      </c>
      <c r="N248" s="43">
        <f t="shared" si="77"/>
        <v>0</v>
      </c>
      <c r="O248" s="43">
        <f t="shared" si="77"/>
        <v>0</v>
      </c>
      <c r="P248" s="43">
        <f t="shared" si="77"/>
        <v>960235.27</v>
      </c>
      <c r="Q248" s="170"/>
    </row>
    <row r="249" spans="1:17" s="67" customFormat="1" ht="30">
      <c r="A249" s="66"/>
      <c r="B249" s="72" t="s">
        <v>268</v>
      </c>
      <c r="C249" s="36"/>
      <c r="D249" s="37" t="s">
        <v>266</v>
      </c>
      <c r="E249" s="53">
        <f>E250+E251+E252</f>
        <v>960235.27</v>
      </c>
      <c r="F249" s="53">
        <f aca="true" t="shared" si="78" ref="F249:P249">F250+F251+F252</f>
        <v>960235.27</v>
      </c>
      <c r="G249" s="53">
        <f t="shared" si="78"/>
        <v>556838.78</v>
      </c>
      <c r="H249" s="53">
        <f t="shared" si="78"/>
        <v>75456.83</v>
      </c>
      <c r="I249" s="53">
        <f t="shared" si="78"/>
        <v>0</v>
      </c>
      <c r="J249" s="53">
        <f t="shared" si="78"/>
        <v>0</v>
      </c>
      <c r="K249" s="53">
        <f t="shared" si="78"/>
        <v>0</v>
      </c>
      <c r="L249" s="53">
        <f t="shared" si="78"/>
        <v>0</v>
      </c>
      <c r="M249" s="53">
        <f t="shared" si="78"/>
        <v>0</v>
      </c>
      <c r="N249" s="53">
        <f t="shared" si="78"/>
        <v>0</v>
      </c>
      <c r="O249" s="53">
        <f t="shared" si="78"/>
        <v>0</v>
      </c>
      <c r="P249" s="53">
        <f t="shared" si="78"/>
        <v>960235.27</v>
      </c>
      <c r="Q249" s="170"/>
    </row>
    <row r="250" spans="1:17" s="22" customFormat="1" ht="45">
      <c r="A250" s="33"/>
      <c r="B250" s="127" t="s">
        <v>267</v>
      </c>
      <c r="C250" s="92" t="s">
        <v>9</v>
      </c>
      <c r="D250" s="93" t="s">
        <v>100</v>
      </c>
      <c r="E250" s="128">
        <f>F250+I250</f>
        <v>838146</v>
      </c>
      <c r="F250" s="128">
        <f>2737690-357480-1385520-156544</f>
        <v>838146</v>
      </c>
      <c r="G250" s="128">
        <f>1763030-86370-1008396-111425.22</f>
        <v>556838.78</v>
      </c>
      <c r="H250" s="128">
        <f>154189-67664-11068.17</f>
        <v>75456.83</v>
      </c>
      <c r="I250" s="128"/>
      <c r="J250" s="128">
        <f>K250+N250</f>
        <v>0</v>
      </c>
      <c r="K250" s="128"/>
      <c r="L250" s="128"/>
      <c r="M250" s="128"/>
      <c r="N250" s="128">
        <f>20000-20000</f>
        <v>0</v>
      </c>
      <c r="O250" s="128">
        <f>20000-20000</f>
        <v>0</v>
      </c>
      <c r="P250" s="128">
        <f>E250+J250</f>
        <v>838146</v>
      </c>
      <c r="Q250" s="170"/>
    </row>
    <row r="251" spans="1:17" s="22" customFormat="1" ht="27" customHeight="1">
      <c r="A251" s="20"/>
      <c r="B251" s="127" t="s">
        <v>271</v>
      </c>
      <c r="C251" s="92" t="s">
        <v>81</v>
      </c>
      <c r="D251" s="93" t="s">
        <v>255</v>
      </c>
      <c r="E251" s="128">
        <f>F251+I251</f>
        <v>9300</v>
      </c>
      <c r="F251" s="128">
        <f>10500-1200</f>
        <v>9300</v>
      </c>
      <c r="G251" s="43"/>
      <c r="H251" s="43"/>
      <c r="I251" s="43"/>
      <c r="J251" s="54">
        <f>K251+N251</f>
        <v>0</v>
      </c>
      <c r="K251" s="43"/>
      <c r="L251" s="43"/>
      <c r="M251" s="43"/>
      <c r="N251" s="43"/>
      <c r="O251" s="43"/>
      <c r="P251" s="54">
        <f>E251+J251</f>
        <v>9300</v>
      </c>
      <c r="Q251" s="170"/>
    </row>
    <row r="252" spans="1:17" s="22" customFormat="1" ht="27" customHeight="1">
      <c r="A252" s="20"/>
      <c r="B252" s="32" t="s">
        <v>272</v>
      </c>
      <c r="C252" s="31" t="s">
        <v>42</v>
      </c>
      <c r="D252" s="34" t="s">
        <v>19</v>
      </c>
      <c r="E252" s="83">
        <f>E253</f>
        <v>112789.26999999999</v>
      </c>
      <c r="F252" s="83">
        <f aca="true" t="shared" si="79" ref="F252:P252">F253</f>
        <v>112789.26999999999</v>
      </c>
      <c r="G252" s="83">
        <f t="shared" si="79"/>
        <v>0</v>
      </c>
      <c r="H252" s="83">
        <f t="shared" si="79"/>
        <v>0</v>
      </c>
      <c r="I252" s="83">
        <f t="shared" si="79"/>
        <v>0</v>
      </c>
      <c r="J252" s="83">
        <f t="shared" si="79"/>
        <v>0</v>
      </c>
      <c r="K252" s="83">
        <f t="shared" si="79"/>
        <v>0</v>
      </c>
      <c r="L252" s="83">
        <f t="shared" si="79"/>
        <v>0</v>
      </c>
      <c r="M252" s="83">
        <f t="shared" si="79"/>
        <v>0</v>
      </c>
      <c r="N252" s="43"/>
      <c r="O252" s="83">
        <f t="shared" si="79"/>
        <v>0</v>
      </c>
      <c r="P252" s="83">
        <f t="shared" si="79"/>
        <v>112789.26999999999</v>
      </c>
      <c r="Q252" s="170"/>
    </row>
    <row r="253" spans="1:17" s="22" customFormat="1" ht="90">
      <c r="A253" s="20"/>
      <c r="B253" s="130" t="s">
        <v>273</v>
      </c>
      <c r="C253" s="130" t="s">
        <v>42</v>
      </c>
      <c r="D253" s="29" t="s">
        <v>475</v>
      </c>
      <c r="E253" s="128">
        <f>F253+I253</f>
        <v>112789.26999999999</v>
      </c>
      <c r="F253" s="128">
        <f>360000-247210.73</f>
        <v>112789.26999999999</v>
      </c>
      <c r="G253" s="128"/>
      <c r="H253" s="128"/>
      <c r="I253" s="43"/>
      <c r="J253" s="54">
        <f>K253+N253</f>
        <v>0</v>
      </c>
      <c r="K253" s="43"/>
      <c r="L253" s="43"/>
      <c r="M253" s="43"/>
      <c r="N253" s="43"/>
      <c r="O253" s="43"/>
      <c r="P253" s="54">
        <f>E253+J253</f>
        <v>112789.26999999999</v>
      </c>
      <c r="Q253" s="170"/>
    </row>
    <row r="254" spans="1:17" s="22" customFormat="1" ht="28.5">
      <c r="A254" s="20"/>
      <c r="B254" s="42" t="s">
        <v>269</v>
      </c>
      <c r="C254" s="23"/>
      <c r="D254" s="24" t="s">
        <v>456</v>
      </c>
      <c r="E254" s="43">
        <f>E255</f>
        <v>3010979.95</v>
      </c>
      <c r="F254" s="43">
        <f aca="true" t="shared" si="80" ref="F254:P254">F255</f>
        <v>3010979.95</v>
      </c>
      <c r="G254" s="43">
        <f t="shared" si="80"/>
        <v>1867198.93</v>
      </c>
      <c r="H254" s="43">
        <f t="shared" si="80"/>
        <v>109253</v>
      </c>
      <c r="I254" s="43">
        <f t="shared" si="80"/>
        <v>0</v>
      </c>
      <c r="J254" s="43">
        <f t="shared" si="80"/>
        <v>264300</v>
      </c>
      <c r="K254" s="43">
        <f t="shared" si="80"/>
        <v>0</v>
      </c>
      <c r="L254" s="43">
        <f t="shared" si="80"/>
        <v>0</v>
      </c>
      <c r="M254" s="43">
        <f t="shared" si="80"/>
        <v>0</v>
      </c>
      <c r="N254" s="43">
        <f t="shared" si="80"/>
        <v>264300</v>
      </c>
      <c r="O254" s="43">
        <f t="shared" si="80"/>
        <v>264300</v>
      </c>
      <c r="P254" s="43">
        <f t="shared" si="80"/>
        <v>3275279.95</v>
      </c>
      <c r="Q254" s="170"/>
    </row>
    <row r="255" spans="1:17" s="22" customFormat="1" ht="30">
      <c r="A255" s="20"/>
      <c r="B255" s="72" t="s">
        <v>268</v>
      </c>
      <c r="C255" s="36"/>
      <c r="D255" s="60" t="s">
        <v>456</v>
      </c>
      <c r="E255" s="53">
        <f>E256+E258+E257</f>
        <v>3010979.95</v>
      </c>
      <c r="F255" s="53">
        <f aca="true" t="shared" si="81" ref="F255:P255">F256+F258+F257</f>
        <v>3010979.95</v>
      </c>
      <c r="G255" s="53">
        <f t="shared" si="81"/>
        <v>1867198.93</v>
      </c>
      <c r="H255" s="53">
        <f t="shared" si="81"/>
        <v>109253</v>
      </c>
      <c r="I255" s="53">
        <f t="shared" si="81"/>
        <v>0</v>
      </c>
      <c r="J255" s="53">
        <f t="shared" si="81"/>
        <v>264300</v>
      </c>
      <c r="K255" s="53">
        <f t="shared" si="81"/>
        <v>0</v>
      </c>
      <c r="L255" s="53">
        <f t="shared" si="81"/>
        <v>0</v>
      </c>
      <c r="M255" s="53">
        <f t="shared" si="81"/>
        <v>0</v>
      </c>
      <c r="N255" s="53">
        <f t="shared" si="81"/>
        <v>264300</v>
      </c>
      <c r="O255" s="53">
        <f t="shared" si="81"/>
        <v>264300</v>
      </c>
      <c r="P255" s="53">
        <f t="shared" si="81"/>
        <v>3275279.95</v>
      </c>
      <c r="Q255" s="170"/>
    </row>
    <row r="256" spans="1:17" s="22" customFormat="1" ht="15">
      <c r="A256" s="20"/>
      <c r="B256" s="127" t="s">
        <v>267</v>
      </c>
      <c r="C256" s="92" t="s">
        <v>9</v>
      </c>
      <c r="D256" s="93" t="s">
        <v>457</v>
      </c>
      <c r="E256" s="128">
        <f>F256+I256</f>
        <v>2704769.22</v>
      </c>
      <c r="F256" s="128">
        <f>2416448+21930-95019.78+12611+8083+77250+99500+58500+72367+33100</f>
        <v>2704769.22</v>
      </c>
      <c r="G256" s="128">
        <f>1792184-77885.07+78000+48000+26900</f>
        <v>1867198.93</v>
      </c>
      <c r="H256" s="128">
        <v>109253</v>
      </c>
      <c r="I256" s="128"/>
      <c r="J256" s="128">
        <f>K256+N256</f>
        <v>164300</v>
      </c>
      <c r="K256" s="128"/>
      <c r="L256" s="128"/>
      <c r="M256" s="128"/>
      <c r="N256" s="128">
        <f>240000+100000-18000-8083-77250-72367</f>
        <v>164300</v>
      </c>
      <c r="O256" s="128">
        <f>240000+100000-18000-8083-77250-72367</f>
        <v>164300</v>
      </c>
      <c r="P256" s="128">
        <f>E256+J256</f>
        <v>2869069.22</v>
      </c>
      <c r="Q256" s="170"/>
    </row>
    <row r="257" spans="1:17" s="22" customFormat="1" ht="15">
      <c r="A257" s="20"/>
      <c r="B257" s="127" t="s">
        <v>271</v>
      </c>
      <c r="C257" s="92" t="s">
        <v>81</v>
      </c>
      <c r="D257" s="93" t="s">
        <v>458</v>
      </c>
      <c r="E257" s="128">
        <f>F257+I257</f>
        <v>18000</v>
      </c>
      <c r="F257" s="128">
        <f>1200+16800</f>
        <v>18000</v>
      </c>
      <c r="G257" s="128"/>
      <c r="H257" s="128"/>
      <c r="I257" s="43"/>
      <c r="J257" s="54">
        <f>K257+N257</f>
        <v>100000</v>
      </c>
      <c r="K257" s="43"/>
      <c r="L257" s="43"/>
      <c r="M257" s="43"/>
      <c r="N257" s="54">
        <f>141000-41000</f>
        <v>100000</v>
      </c>
      <c r="O257" s="54">
        <f>141000-41000</f>
        <v>100000</v>
      </c>
      <c r="P257" s="54">
        <f>E257+J257</f>
        <v>118000</v>
      </c>
      <c r="Q257" s="170"/>
    </row>
    <row r="258" spans="1:17" s="22" customFormat="1" ht="15">
      <c r="A258" s="20"/>
      <c r="B258" s="32" t="s">
        <v>272</v>
      </c>
      <c r="C258" s="31" t="s">
        <v>42</v>
      </c>
      <c r="D258" s="34" t="s">
        <v>19</v>
      </c>
      <c r="E258" s="54">
        <f>E259</f>
        <v>288210.73</v>
      </c>
      <c r="F258" s="54">
        <f aca="true" t="shared" si="82" ref="F258:P258">F259</f>
        <v>288210.73</v>
      </c>
      <c r="G258" s="54">
        <f t="shared" si="82"/>
        <v>0</v>
      </c>
      <c r="H258" s="54">
        <f t="shared" si="82"/>
        <v>0</v>
      </c>
      <c r="I258" s="54">
        <f t="shared" si="82"/>
        <v>0</v>
      </c>
      <c r="J258" s="54">
        <f t="shared" si="82"/>
        <v>0</v>
      </c>
      <c r="K258" s="54">
        <f t="shared" si="82"/>
        <v>0</v>
      </c>
      <c r="L258" s="54">
        <f t="shared" si="82"/>
        <v>0</v>
      </c>
      <c r="M258" s="54">
        <f t="shared" si="82"/>
        <v>0</v>
      </c>
      <c r="N258" s="54">
        <f t="shared" si="82"/>
        <v>0</v>
      </c>
      <c r="O258" s="54">
        <f t="shared" si="82"/>
        <v>0</v>
      </c>
      <c r="P258" s="54">
        <f t="shared" si="82"/>
        <v>288210.73</v>
      </c>
      <c r="Q258" s="170"/>
    </row>
    <row r="259" spans="1:17" s="67" customFormat="1" ht="90">
      <c r="A259" s="66"/>
      <c r="B259" s="130" t="s">
        <v>273</v>
      </c>
      <c r="C259" s="130" t="s">
        <v>42</v>
      </c>
      <c r="D259" s="29" t="s">
        <v>475</v>
      </c>
      <c r="E259" s="52">
        <f>F259+I259</f>
        <v>288210.73</v>
      </c>
      <c r="F259" s="52">
        <f>247210.73+41000</f>
        <v>288210.73</v>
      </c>
      <c r="G259" s="52"/>
      <c r="H259" s="52"/>
      <c r="I259" s="53"/>
      <c r="J259" s="48"/>
      <c r="K259" s="53"/>
      <c r="L259" s="53"/>
      <c r="M259" s="53"/>
      <c r="N259" s="53"/>
      <c r="O259" s="53"/>
      <c r="P259" s="48">
        <f>E259+J259</f>
        <v>288210.73</v>
      </c>
      <c r="Q259" s="170"/>
    </row>
    <row r="260" spans="1:17" s="67" customFormat="1" ht="42.75">
      <c r="A260" s="66"/>
      <c r="B260" s="39">
        <v>4600000</v>
      </c>
      <c r="C260" s="23"/>
      <c r="D260" s="24" t="s">
        <v>486</v>
      </c>
      <c r="E260" s="43">
        <f>E261</f>
        <v>784033</v>
      </c>
      <c r="F260" s="43">
        <f aca="true" t="shared" si="83" ref="F260:P261">F261</f>
        <v>784033</v>
      </c>
      <c r="G260" s="43">
        <f t="shared" si="83"/>
        <v>486832</v>
      </c>
      <c r="H260" s="43">
        <f t="shared" si="83"/>
        <v>34232</v>
      </c>
      <c r="I260" s="43">
        <f t="shared" si="83"/>
        <v>0</v>
      </c>
      <c r="J260" s="43">
        <f t="shared" si="83"/>
        <v>177897</v>
      </c>
      <c r="K260" s="43">
        <f t="shared" si="83"/>
        <v>0</v>
      </c>
      <c r="L260" s="43">
        <f t="shared" si="83"/>
        <v>0</v>
      </c>
      <c r="M260" s="43">
        <f t="shared" si="83"/>
        <v>0</v>
      </c>
      <c r="N260" s="43">
        <f t="shared" si="83"/>
        <v>177897</v>
      </c>
      <c r="O260" s="43">
        <f t="shared" si="83"/>
        <v>177897</v>
      </c>
      <c r="P260" s="43">
        <f t="shared" si="83"/>
        <v>961930</v>
      </c>
      <c r="Q260" s="170"/>
    </row>
    <row r="261" spans="1:17" s="67" customFormat="1" ht="45">
      <c r="A261" s="66"/>
      <c r="B261" s="58">
        <v>4610000</v>
      </c>
      <c r="C261" s="36"/>
      <c r="D261" s="60" t="s">
        <v>356</v>
      </c>
      <c r="E261" s="48">
        <f>E262</f>
        <v>784033</v>
      </c>
      <c r="F261" s="48">
        <f t="shared" si="83"/>
        <v>784033</v>
      </c>
      <c r="G261" s="48">
        <f t="shared" si="83"/>
        <v>486832</v>
      </c>
      <c r="H261" s="48">
        <f t="shared" si="83"/>
        <v>34232</v>
      </c>
      <c r="I261" s="48">
        <f t="shared" si="83"/>
        <v>0</v>
      </c>
      <c r="J261" s="48">
        <f t="shared" si="83"/>
        <v>177897</v>
      </c>
      <c r="K261" s="48">
        <f t="shared" si="83"/>
        <v>0</v>
      </c>
      <c r="L261" s="48">
        <f t="shared" si="83"/>
        <v>0</v>
      </c>
      <c r="M261" s="48">
        <f t="shared" si="83"/>
        <v>0</v>
      </c>
      <c r="N261" s="48">
        <f t="shared" si="83"/>
        <v>177897</v>
      </c>
      <c r="O261" s="48">
        <f t="shared" si="83"/>
        <v>177897</v>
      </c>
      <c r="P261" s="48">
        <f>J261+E261</f>
        <v>961930</v>
      </c>
      <c r="Q261" s="170"/>
    </row>
    <row r="262" spans="1:17" s="67" customFormat="1" ht="45">
      <c r="A262" s="66"/>
      <c r="B262" s="42" t="s">
        <v>481</v>
      </c>
      <c r="C262" s="31" t="s">
        <v>9</v>
      </c>
      <c r="D262" s="34" t="s">
        <v>100</v>
      </c>
      <c r="E262" s="52">
        <f>F262+I262</f>
        <v>784033</v>
      </c>
      <c r="F262" s="52">
        <f>710680-62060+66138+38872+25600+4803</f>
        <v>784033</v>
      </c>
      <c r="G262" s="52">
        <f>433970+31862+21000</f>
        <v>486832</v>
      </c>
      <c r="H262" s="52">
        <v>34232</v>
      </c>
      <c r="I262" s="52"/>
      <c r="J262" s="52">
        <f>K262+N262</f>
        <v>177897</v>
      </c>
      <c r="K262" s="52"/>
      <c r="L262" s="52"/>
      <c r="M262" s="52"/>
      <c r="N262" s="52">
        <f>134100+48600-4803</f>
        <v>177897</v>
      </c>
      <c r="O262" s="52">
        <f>134100+48600-4803</f>
        <v>177897</v>
      </c>
      <c r="P262" s="52">
        <f>J262+E262</f>
        <v>961930</v>
      </c>
      <c r="Q262" s="170"/>
    </row>
    <row r="263" spans="1:17" s="22" customFormat="1" ht="42.75">
      <c r="A263" s="20"/>
      <c r="B263" s="127" t="s">
        <v>275</v>
      </c>
      <c r="C263" s="23"/>
      <c r="D263" s="24" t="s">
        <v>274</v>
      </c>
      <c r="E263" s="43">
        <f>E264</f>
        <v>61517774</v>
      </c>
      <c r="F263" s="43">
        <f aca="true" t="shared" si="84" ref="F263:P263">F264</f>
        <v>61317774</v>
      </c>
      <c r="G263" s="43">
        <f t="shared" si="84"/>
        <v>0</v>
      </c>
      <c r="H263" s="43">
        <f t="shared" si="84"/>
        <v>0</v>
      </c>
      <c r="I263" s="43">
        <f t="shared" si="84"/>
        <v>200000</v>
      </c>
      <c r="J263" s="43">
        <f t="shared" si="84"/>
        <v>255214064.18</v>
      </c>
      <c r="K263" s="43">
        <f t="shared" si="84"/>
        <v>2316191.53</v>
      </c>
      <c r="L263" s="43">
        <f t="shared" si="84"/>
        <v>1480170</v>
      </c>
      <c r="M263" s="43">
        <f t="shared" si="84"/>
        <v>56796</v>
      </c>
      <c r="N263" s="43">
        <f t="shared" si="84"/>
        <v>252897872.65</v>
      </c>
      <c r="O263" s="43">
        <f t="shared" si="84"/>
        <v>249129382.94</v>
      </c>
      <c r="P263" s="43">
        <f t="shared" si="84"/>
        <v>316731838.17999995</v>
      </c>
      <c r="Q263" s="170"/>
    </row>
    <row r="264" spans="1:17" s="67" customFormat="1" ht="45">
      <c r="A264" s="66"/>
      <c r="B264" s="72" t="s">
        <v>276</v>
      </c>
      <c r="C264" s="36"/>
      <c r="D264" s="37" t="s">
        <v>274</v>
      </c>
      <c r="E264" s="53">
        <f>E265+E266+E267+E268+E277+E281+E279+E276+E283+E273+E282+E275+E271+E284+E274+E270</f>
        <v>61517774</v>
      </c>
      <c r="F264" s="53">
        <f aca="true" t="shared" si="85" ref="F264:P264">F265+F266+F267+F268+F277+F281+F279+F276+F283+F273+F282+F275+F271+F284+F274+F270</f>
        <v>61317774</v>
      </c>
      <c r="G264" s="53">
        <f t="shared" si="85"/>
        <v>0</v>
      </c>
      <c r="H264" s="53">
        <f t="shared" si="85"/>
        <v>0</v>
      </c>
      <c r="I264" s="53">
        <f t="shared" si="85"/>
        <v>200000</v>
      </c>
      <c r="J264" s="53">
        <f t="shared" si="85"/>
        <v>255214064.18</v>
      </c>
      <c r="K264" s="53">
        <f t="shared" si="85"/>
        <v>2316191.53</v>
      </c>
      <c r="L264" s="53">
        <f t="shared" si="85"/>
        <v>1480170</v>
      </c>
      <c r="M264" s="53">
        <f t="shared" si="85"/>
        <v>56796</v>
      </c>
      <c r="N264" s="53">
        <f t="shared" si="85"/>
        <v>252897872.65</v>
      </c>
      <c r="O264" s="53">
        <f t="shared" si="85"/>
        <v>249129382.94</v>
      </c>
      <c r="P264" s="53">
        <f t="shared" si="85"/>
        <v>316731838.17999995</v>
      </c>
      <c r="Q264" s="170"/>
    </row>
    <row r="265" spans="1:17" s="22" customFormat="1" ht="45">
      <c r="A265" s="33"/>
      <c r="B265" s="127" t="s">
        <v>277</v>
      </c>
      <c r="C265" s="92" t="s">
        <v>9</v>
      </c>
      <c r="D265" s="93" t="s">
        <v>100</v>
      </c>
      <c r="E265" s="128">
        <f>F265+I265</f>
        <v>0</v>
      </c>
      <c r="F265" s="128"/>
      <c r="G265" s="128"/>
      <c r="H265" s="128"/>
      <c r="I265" s="128"/>
      <c r="J265" s="128">
        <f>K265+N265</f>
        <v>2380664</v>
      </c>
      <c r="K265" s="128">
        <v>2280164</v>
      </c>
      <c r="L265" s="128">
        <f>1413770+42000+24400</f>
        <v>1480170</v>
      </c>
      <c r="M265" s="128">
        <f>50946+5850</f>
        <v>56796</v>
      </c>
      <c r="N265" s="128">
        <v>100500</v>
      </c>
      <c r="O265" s="128"/>
      <c r="P265" s="128">
        <f aca="true" t="shared" si="86" ref="P265:P276">E265+J265</f>
        <v>2380664</v>
      </c>
      <c r="Q265" s="170"/>
    </row>
    <row r="266" spans="1:17" s="22" customFormat="1" ht="30">
      <c r="A266" s="20"/>
      <c r="B266" s="127" t="s">
        <v>278</v>
      </c>
      <c r="C266" s="92" t="s">
        <v>56</v>
      </c>
      <c r="D266" s="93" t="s">
        <v>190</v>
      </c>
      <c r="E266" s="128"/>
      <c r="F266" s="128"/>
      <c r="G266" s="128"/>
      <c r="H266" s="128"/>
      <c r="I266" s="128"/>
      <c r="J266" s="128">
        <f>K266+N266</f>
        <v>1724000</v>
      </c>
      <c r="K266" s="128"/>
      <c r="L266" s="128"/>
      <c r="M266" s="128"/>
      <c r="N266" s="128">
        <v>1724000</v>
      </c>
      <c r="O266" s="128">
        <v>1724000</v>
      </c>
      <c r="P266" s="128">
        <f t="shared" si="86"/>
        <v>1724000</v>
      </c>
      <c r="Q266" s="170"/>
    </row>
    <row r="267" spans="1:17" s="22" customFormat="1" ht="25.5" customHeight="1">
      <c r="A267" s="20"/>
      <c r="B267" s="127" t="s">
        <v>279</v>
      </c>
      <c r="C267" s="92" t="s">
        <v>21</v>
      </c>
      <c r="D267" s="93" t="s">
        <v>22</v>
      </c>
      <c r="E267" s="128">
        <f>F267+I267</f>
        <v>61009848</v>
      </c>
      <c r="F267" s="128">
        <f>30000000+30000000+300000+709848</f>
        <v>61009848</v>
      </c>
      <c r="G267" s="43"/>
      <c r="H267" s="43"/>
      <c r="I267" s="43"/>
      <c r="J267" s="54">
        <f>K267+N267</f>
        <v>84217200</v>
      </c>
      <c r="K267" s="43"/>
      <c r="L267" s="43"/>
      <c r="M267" s="43"/>
      <c r="N267" s="54">
        <f>35000000+16252200+20000000+2000000+2000000+2000000+500000+4465000+2000000</f>
        <v>84217200</v>
      </c>
      <c r="O267" s="54">
        <f>35000000+16252200+20000000+2000000+2000000+2000000+500000+4465000+2000000</f>
        <v>84217200</v>
      </c>
      <c r="P267" s="54">
        <f t="shared" si="86"/>
        <v>145227048</v>
      </c>
      <c r="Q267" s="170"/>
    </row>
    <row r="268" spans="1:17" s="22" customFormat="1" ht="30">
      <c r="A268" s="20"/>
      <c r="B268" s="42" t="s">
        <v>280</v>
      </c>
      <c r="C268" s="31" t="s">
        <v>85</v>
      </c>
      <c r="D268" s="34" t="s">
        <v>270</v>
      </c>
      <c r="E268" s="54">
        <f>F268+I268</f>
        <v>0</v>
      </c>
      <c r="F268" s="43"/>
      <c r="G268" s="43"/>
      <c r="H268" s="43"/>
      <c r="I268" s="43"/>
      <c r="J268" s="54">
        <f>K268+N268</f>
        <v>144619382.94</v>
      </c>
      <c r="K268" s="54"/>
      <c r="L268" s="54"/>
      <c r="M268" s="54"/>
      <c r="N268" s="54">
        <f>76917041.94+15082000+19829065.59+2000000+472250+8122934.41+7365000+185923+9210370+1480000+50000+87000-200000+43500+300000+120000+115000+150000+223234+50000+231972+255000+2936000+220000-61000-100000+161000+7126777-70000+2194800-65000-1396700+1396700-40901+40901+300000-131644-4465000-1322041-2194800-2000000</f>
        <v>144619382.94</v>
      </c>
      <c r="O268" s="54">
        <f>76917041.94+15082000+19829065.59+2000000+472250+8122934.41+7365000+185923+9210370+1480000+50000+87000-200000+43500+300000+120000+115000+150000+223234+50000+231972+2936000+255000+220000-61000-100000+161000+7126777-70000+2194800-65000-1396700+1396700-40901+40901+300000-131644-4465000-1322041-2194800-2000000</f>
        <v>144619382.94</v>
      </c>
      <c r="P268" s="54">
        <f t="shared" si="86"/>
        <v>144619382.94</v>
      </c>
      <c r="Q268" s="170"/>
    </row>
    <row r="269" spans="1:17" s="22" customFormat="1" ht="30">
      <c r="A269" s="20"/>
      <c r="B269" s="42" t="s">
        <v>513</v>
      </c>
      <c r="C269" s="31"/>
      <c r="D269" s="34" t="s">
        <v>511</v>
      </c>
      <c r="E269" s="54">
        <f>E270</f>
        <v>0</v>
      </c>
      <c r="F269" s="54">
        <f aca="true" t="shared" si="87" ref="F269:P269">F270</f>
        <v>0</v>
      </c>
      <c r="G269" s="54">
        <f t="shared" si="87"/>
        <v>0</v>
      </c>
      <c r="H269" s="54">
        <f t="shared" si="87"/>
        <v>0</v>
      </c>
      <c r="I269" s="54">
        <f t="shared" si="87"/>
        <v>0</v>
      </c>
      <c r="J269" s="54">
        <f t="shared" si="87"/>
        <v>500000</v>
      </c>
      <c r="K269" s="54">
        <f t="shared" si="87"/>
        <v>0</v>
      </c>
      <c r="L269" s="54">
        <f t="shared" si="87"/>
        <v>0</v>
      </c>
      <c r="M269" s="54">
        <f t="shared" si="87"/>
        <v>0</v>
      </c>
      <c r="N269" s="54">
        <f t="shared" si="87"/>
        <v>500000</v>
      </c>
      <c r="O269" s="54">
        <f t="shared" si="87"/>
        <v>500000</v>
      </c>
      <c r="P269" s="54">
        <f t="shared" si="87"/>
        <v>500000</v>
      </c>
      <c r="Q269" s="170"/>
    </row>
    <row r="270" spans="1:17" s="67" customFormat="1" ht="36" customHeight="1">
      <c r="A270" s="66"/>
      <c r="B270" s="127" t="s">
        <v>495</v>
      </c>
      <c r="C270" s="92" t="s">
        <v>496</v>
      </c>
      <c r="D270" s="60" t="s">
        <v>497</v>
      </c>
      <c r="E270" s="48">
        <f>F270+I270</f>
        <v>0</v>
      </c>
      <c r="F270" s="53"/>
      <c r="G270" s="53"/>
      <c r="H270" s="53"/>
      <c r="I270" s="53"/>
      <c r="J270" s="48">
        <f>K270+N270</f>
        <v>500000</v>
      </c>
      <c r="K270" s="48"/>
      <c r="L270" s="48"/>
      <c r="M270" s="48"/>
      <c r="N270" s="48">
        <v>500000</v>
      </c>
      <c r="O270" s="48">
        <v>500000</v>
      </c>
      <c r="P270" s="48">
        <f>E270+J270</f>
        <v>500000</v>
      </c>
      <c r="Q270" s="170"/>
    </row>
    <row r="271" spans="1:17" s="22" customFormat="1" ht="24.75" customHeight="1">
      <c r="A271" s="20"/>
      <c r="B271" s="42" t="s">
        <v>471</v>
      </c>
      <c r="C271" s="31"/>
      <c r="D271" s="34" t="s">
        <v>472</v>
      </c>
      <c r="E271" s="54">
        <f>E272</f>
        <v>0</v>
      </c>
      <c r="F271" s="54">
        <f aca="true" t="shared" si="88" ref="F271:P271">F272</f>
        <v>0</v>
      </c>
      <c r="G271" s="54">
        <f t="shared" si="88"/>
        <v>0</v>
      </c>
      <c r="H271" s="54">
        <f t="shared" si="88"/>
        <v>0</v>
      </c>
      <c r="I271" s="54">
        <f t="shared" si="88"/>
        <v>0</v>
      </c>
      <c r="J271" s="54">
        <f>J272</f>
        <v>270000</v>
      </c>
      <c r="K271" s="54">
        <f t="shared" si="88"/>
        <v>0</v>
      </c>
      <c r="L271" s="54">
        <f t="shared" si="88"/>
        <v>0</v>
      </c>
      <c r="M271" s="54">
        <f t="shared" si="88"/>
        <v>0</v>
      </c>
      <c r="N271" s="54">
        <f t="shared" si="88"/>
        <v>270000</v>
      </c>
      <c r="O271" s="54">
        <f t="shared" si="88"/>
        <v>270000</v>
      </c>
      <c r="P271" s="54">
        <f t="shared" si="88"/>
        <v>270000</v>
      </c>
      <c r="Q271" s="170"/>
    </row>
    <row r="272" spans="1:17" s="67" customFormat="1" ht="34.5" customHeight="1">
      <c r="A272" s="66"/>
      <c r="B272" s="129" t="s">
        <v>473</v>
      </c>
      <c r="C272" s="130" t="s">
        <v>465</v>
      </c>
      <c r="D272" s="29" t="s">
        <v>476</v>
      </c>
      <c r="E272" s="52">
        <f>F272+I272</f>
        <v>0</v>
      </c>
      <c r="F272" s="53"/>
      <c r="G272" s="53"/>
      <c r="H272" s="53"/>
      <c r="I272" s="53"/>
      <c r="J272" s="48">
        <f>K272+N272</f>
        <v>270000</v>
      </c>
      <c r="K272" s="48"/>
      <c r="L272" s="48"/>
      <c r="M272" s="48"/>
      <c r="N272" s="48">
        <f>200000+70000</f>
        <v>270000</v>
      </c>
      <c r="O272" s="48">
        <f>200000+70000</f>
        <v>270000</v>
      </c>
      <c r="P272" s="48">
        <f>E272+J272</f>
        <v>270000</v>
      </c>
      <c r="Q272" s="170"/>
    </row>
    <row r="273" spans="1:17" s="22" customFormat="1" ht="27" customHeight="1">
      <c r="A273" s="20"/>
      <c r="B273" s="42" t="s">
        <v>442</v>
      </c>
      <c r="C273" s="31" t="s">
        <v>316</v>
      </c>
      <c r="D273" s="34" t="s">
        <v>317</v>
      </c>
      <c r="E273" s="54">
        <f>F273+I273</f>
        <v>200000</v>
      </c>
      <c r="F273" s="54"/>
      <c r="G273" s="43"/>
      <c r="H273" s="43"/>
      <c r="I273" s="54">
        <v>200000</v>
      </c>
      <c r="J273" s="52">
        <f>K273+N273</f>
        <v>0</v>
      </c>
      <c r="K273" s="128"/>
      <c r="L273" s="128"/>
      <c r="M273" s="128"/>
      <c r="N273" s="128"/>
      <c r="O273" s="128"/>
      <c r="P273" s="128">
        <f t="shared" si="86"/>
        <v>200000</v>
      </c>
      <c r="Q273" s="170"/>
    </row>
    <row r="274" spans="1:17" s="22" customFormat="1" ht="27" customHeight="1">
      <c r="A274" s="20"/>
      <c r="B274" s="127" t="s">
        <v>488</v>
      </c>
      <c r="C274" s="92" t="s">
        <v>489</v>
      </c>
      <c r="D274" s="93" t="s">
        <v>490</v>
      </c>
      <c r="E274" s="128">
        <f>F274+I274</f>
        <v>0</v>
      </c>
      <c r="F274" s="128"/>
      <c r="G274" s="43"/>
      <c r="H274" s="43"/>
      <c r="I274" s="54"/>
      <c r="J274" s="52">
        <f>K274+N274</f>
        <v>63447.59</v>
      </c>
      <c r="K274" s="128"/>
      <c r="L274" s="128"/>
      <c r="M274" s="128"/>
      <c r="N274" s="128">
        <v>63447.59</v>
      </c>
      <c r="O274" s="128"/>
      <c r="P274" s="128">
        <f t="shared" si="86"/>
        <v>63447.59</v>
      </c>
      <c r="Q274" s="170"/>
    </row>
    <row r="275" spans="1:17" s="22" customFormat="1" ht="24.75" customHeight="1">
      <c r="A275" s="20"/>
      <c r="B275" s="127" t="s">
        <v>451</v>
      </c>
      <c r="C275" s="92" t="s">
        <v>81</v>
      </c>
      <c r="D275" s="93" t="s">
        <v>255</v>
      </c>
      <c r="E275" s="128">
        <f>F275+I275</f>
        <v>35000</v>
      </c>
      <c r="F275" s="128">
        <v>35000</v>
      </c>
      <c r="G275" s="43"/>
      <c r="H275" s="43"/>
      <c r="I275" s="53"/>
      <c r="J275" s="48">
        <f>K275+N275</f>
        <v>0</v>
      </c>
      <c r="K275" s="54"/>
      <c r="L275" s="54"/>
      <c r="M275" s="54"/>
      <c r="N275" s="54"/>
      <c r="O275" s="54"/>
      <c r="P275" s="54">
        <f>E275+J275</f>
        <v>35000</v>
      </c>
      <c r="Q275" s="170"/>
    </row>
    <row r="276" spans="1:17" s="22" customFormat="1" ht="30">
      <c r="A276" s="20"/>
      <c r="B276" s="32" t="s">
        <v>424</v>
      </c>
      <c r="C276" s="31" t="s">
        <v>34</v>
      </c>
      <c r="D276" s="34" t="s">
        <v>141</v>
      </c>
      <c r="E276" s="54"/>
      <c r="F276" s="43"/>
      <c r="G276" s="43"/>
      <c r="H276" s="43"/>
      <c r="I276" s="43"/>
      <c r="J276" s="54">
        <f>K276+N276</f>
        <v>17798800</v>
      </c>
      <c r="K276" s="54"/>
      <c r="L276" s="54"/>
      <c r="M276" s="54"/>
      <c r="N276" s="54">
        <f>6750000+5250000+5798800</f>
        <v>17798800</v>
      </c>
      <c r="O276" s="54">
        <f>6750000+5250000+5798800</f>
        <v>17798800</v>
      </c>
      <c r="P276" s="54">
        <f t="shared" si="86"/>
        <v>17798800</v>
      </c>
      <c r="Q276" s="170"/>
    </row>
    <row r="277" spans="1:17" s="22" customFormat="1" ht="45">
      <c r="A277" s="20"/>
      <c r="B277" s="31" t="s">
        <v>306</v>
      </c>
      <c r="C277" s="31"/>
      <c r="D277" s="34" t="s">
        <v>283</v>
      </c>
      <c r="E277" s="54">
        <f>E278</f>
        <v>84905</v>
      </c>
      <c r="F277" s="54">
        <f aca="true" t="shared" si="89" ref="F277:P277">F278</f>
        <v>84905</v>
      </c>
      <c r="G277" s="54">
        <f t="shared" si="89"/>
        <v>0</v>
      </c>
      <c r="H277" s="54">
        <f t="shared" si="89"/>
        <v>0</v>
      </c>
      <c r="I277" s="54">
        <f t="shared" si="89"/>
        <v>0</v>
      </c>
      <c r="J277" s="54">
        <f t="shared" si="89"/>
        <v>36027.53</v>
      </c>
      <c r="K277" s="54">
        <f t="shared" si="89"/>
        <v>36027.53</v>
      </c>
      <c r="L277" s="54">
        <f t="shared" si="89"/>
        <v>0</v>
      </c>
      <c r="M277" s="54">
        <f t="shared" si="89"/>
        <v>0</v>
      </c>
      <c r="N277" s="54">
        <f t="shared" si="89"/>
        <v>0</v>
      </c>
      <c r="O277" s="54">
        <f t="shared" si="89"/>
        <v>0</v>
      </c>
      <c r="P277" s="54">
        <f t="shared" si="89"/>
        <v>120932.53</v>
      </c>
      <c r="Q277" s="170"/>
    </row>
    <row r="278" spans="1:17" s="22" customFormat="1" ht="75">
      <c r="A278" s="20"/>
      <c r="B278" s="129" t="s">
        <v>282</v>
      </c>
      <c r="C278" s="139" t="s">
        <v>86</v>
      </c>
      <c r="D278" s="29" t="s">
        <v>281</v>
      </c>
      <c r="E278" s="52">
        <f>F278+I278</f>
        <v>84905</v>
      </c>
      <c r="F278" s="52">
        <v>84905</v>
      </c>
      <c r="G278" s="52"/>
      <c r="H278" s="52"/>
      <c r="I278" s="52"/>
      <c r="J278" s="52">
        <f>K278+N278</f>
        <v>36027.53</v>
      </c>
      <c r="K278" s="52">
        <f>30069+10915.53-4957</f>
        <v>36027.53</v>
      </c>
      <c r="L278" s="53"/>
      <c r="M278" s="53"/>
      <c r="N278" s="53"/>
      <c r="O278" s="53"/>
      <c r="P278" s="48">
        <f>E278+J278</f>
        <v>120932.53</v>
      </c>
      <c r="Q278" s="170"/>
    </row>
    <row r="279" spans="1:17" s="22" customFormat="1" ht="22.5" customHeight="1">
      <c r="A279" s="20"/>
      <c r="B279" s="32" t="s">
        <v>338</v>
      </c>
      <c r="C279" s="31" t="s">
        <v>42</v>
      </c>
      <c r="D279" s="34" t="s">
        <v>19</v>
      </c>
      <c r="E279" s="52">
        <f>E280</f>
        <v>188021</v>
      </c>
      <c r="F279" s="52">
        <f aca="true" t="shared" si="90" ref="F279:P279">F280</f>
        <v>188021</v>
      </c>
      <c r="G279" s="52">
        <f t="shared" si="90"/>
        <v>0</v>
      </c>
      <c r="H279" s="52">
        <f t="shared" si="90"/>
        <v>0</v>
      </c>
      <c r="I279" s="52">
        <f t="shared" si="90"/>
        <v>0</v>
      </c>
      <c r="J279" s="52">
        <f t="shared" si="90"/>
        <v>0</v>
      </c>
      <c r="K279" s="52">
        <f t="shared" si="90"/>
        <v>0</v>
      </c>
      <c r="L279" s="52">
        <f t="shared" si="90"/>
        <v>0</v>
      </c>
      <c r="M279" s="52">
        <f t="shared" si="90"/>
        <v>0</v>
      </c>
      <c r="N279" s="52">
        <f t="shared" si="90"/>
        <v>0</v>
      </c>
      <c r="O279" s="52">
        <f t="shared" si="90"/>
        <v>0</v>
      </c>
      <c r="P279" s="52">
        <f t="shared" si="90"/>
        <v>188021</v>
      </c>
      <c r="Q279" s="170"/>
    </row>
    <row r="280" spans="1:17" s="22" customFormat="1" ht="51.75" customHeight="1">
      <c r="A280" s="20"/>
      <c r="B280" s="130" t="s">
        <v>339</v>
      </c>
      <c r="C280" s="130" t="s">
        <v>42</v>
      </c>
      <c r="D280" s="29" t="s">
        <v>453</v>
      </c>
      <c r="E280" s="52">
        <f>F280+I280</f>
        <v>188021</v>
      </c>
      <c r="F280" s="52">
        <v>188021</v>
      </c>
      <c r="G280" s="52"/>
      <c r="H280" s="52"/>
      <c r="I280" s="52"/>
      <c r="J280" s="52"/>
      <c r="K280" s="52"/>
      <c r="L280" s="53"/>
      <c r="M280" s="53"/>
      <c r="N280" s="53"/>
      <c r="O280" s="53"/>
      <c r="P280" s="48">
        <f>J280+E280</f>
        <v>188021</v>
      </c>
      <c r="Q280" s="170"/>
    </row>
    <row r="281" spans="1:17" s="22" customFormat="1" ht="30">
      <c r="A281" s="20"/>
      <c r="B281" s="42" t="s">
        <v>321</v>
      </c>
      <c r="C281" s="31" t="s">
        <v>83</v>
      </c>
      <c r="D281" s="34" t="s">
        <v>84</v>
      </c>
      <c r="E281" s="54"/>
      <c r="F281" s="54"/>
      <c r="G281" s="54"/>
      <c r="H281" s="54"/>
      <c r="I281" s="54"/>
      <c r="J281" s="54">
        <f>K281+N281</f>
        <v>606000</v>
      </c>
      <c r="K281" s="54"/>
      <c r="L281" s="43"/>
      <c r="M281" s="43"/>
      <c r="N281" s="54">
        <f>126000+480000</f>
        <v>606000</v>
      </c>
      <c r="O281" s="43"/>
      <c r="P281" s="54">
        <f>E281+J281</f>
        <v>606000</v>
      </c>
      <c r="Q281" s="170"/>
    </row>
    <row r="282" spans="1:17" s="22" customFormat="1" ht="45">
      <c r="A282" s="20"/>
      <c r="B282" s="42" t="s">
        <v>445</v>
      </c>
      <c r="C282" s="31" t="s">
        <v>444</v>
      </c>
      <c r="D282" s="34" t="s">
        <v>443</v>
      </c>
      <c r="E282" s="54"/>
      <c r="F282" s="54"/>
      <c r="G282" s="54"/>
      <c r="H282" s="54"/>
      <c r="I282" s="54"/>
      <c r="J282" s="54">
        <f>K282+N282</f>
        <v>1340330</v>
      </c>
      <c r="K282" s="54"/>
      <c r="L282" s="43"/>
      <c r="M282" s="43"/>
      <c r="N282" s="54">
        <v>1340330</v>
      </c>
      <c r="O282" s="43"/>
      <c r="P282" s="54">
        <f>E282+J282</f>
        <v>1340330</v>
      </c>
      <c r="Q282" s="170"/>
    </row>
    <row r="283" spans="1:17" s="22" customFormat="1" ht="27" customHeight="1">
      <c r="A283" s="20"/>
      <c r="B283" s="42" t="s">
        <v>440</v>
      </c>
      <c r="C283" s="31" t="s">
        <v>420</v>
      </c>
      <c r="D283" s="34" t="s">
        <v>55</v>
      </c>
      <c r="E283" s="54"/>
      <c r="F283" s="54"/>
      <c r="G283" s="54"/>
      <c r="H283" s="54"/>
      <c r="I283" s="54"/>
      <c r="J283" s="54">
        <f>K283+N283</f>
        <v>400000</v>
      </c>
      <c r="K283" s="54"/>
      <c r="L283" s="43"/>
      <c r="M283" s="43"/>
      <c r="N283" s="54">
        <v>400000</v>
      </c>
      <c r="O283" s="43"/>
      <c r="P283" s="54">
        <f>E283+J283</f>
        <v>400000</v>
      </c>
      <c r="Q283" s="170"/>
    </row>
    <row r="284" spans="1:17" s="22" customFormat="1" ht="66.75" customHeight="1">
      <c r="A284" s="20"/>
      <c r="B284" s="32" t="s">
        <v>487</v>
      </c>
      <c r="C284" s="31" t="s">
        <v>39</v>
      </c>
      <c r="D284" s="34" t="s">
        <v>40</v>
      </c>
      <c r="E284" s="54">
        <f>F284+I284</f>
        <v>0</v>
      </c>
      <c r="F284" s="43"/>
      <c r="G284" s="43"/>
      <c r="H284" s="43"/>
      <c r="I284" s="43"/>
      <c r="J284" s="54">
        <f>K284+N284</f>
        <v>1258212.12</v>
      </c>
      <c r="K284" s="54"/>
      <c r="L284" s="43"/>
      <c r="M284" s="43"/>
      <c r="N284" s="54">
        <v>1258212.12</v>
      </c>
      <c r="O284" s="43"/>
      <c r="P284" s="54">
        <f>E284+J284</f>
        <v>1258212.12</v>
      </c>
      <c r="Q284" s="170"/>
    </row>
    <row r="285" spans="1:17" s="22" customFormat="1" ht="35.25" customHeight="1">
      <c r="A285" s="20"/>
      <c r="B285" s="39">
        <v>4800000</v>
      </c>
      <c r="C285" s="23"/>
      <c r="D285" s="24" t="s">
        <v>284</v>
      </c>
      <c r="E285" s="43">
        <f>E286</f>
        <v>2750433.27</v>
      </c>
      <c r="F285" s="43">
        <f aca="true" t="shared" si="91" ref="F285:P285">F286</f>
        <v>2750433.27</v>
      </c>
      <c r="G285" s="43">
        <f t="shared" si="91"/>
        <v>2079972.59</v>
      </c>
      <c r="H285" s="43">
        <f t="shared" si="91"/>
        <v>84319</v>
      </c>
      <c r="I285" s="43">
        <f t="shared" si="91"/>
        <v>0</v>
      </c>
      <c r="J285" s="43">
        <f t="shared" si="91"/>
        <v>278600</v>
      </c>
      <c r="K285" s="43">
        <f t="shared" si="91"/>
        <v>108255</v>
      </c>
      <c r="L285" s="43">
        <f t="shared" si="91"/>
        <v>0</v>
      </c>
      <c r="M285" s="43">
        <f t="shared" si="91"/>
        <v>0</v>
      </c>
      <c r="N285" s="43">
        <f t="shared" si="91"/>
        <v>170345</v>
      </c>
      <c r="O285" s="43">
        <f t="shared" si="91"/>
        <v>37000</v>
      </c>
      <c r="P285" s="43">
        <f t="shared" si="91"/>
        <v>3029033.27</v>
      </c>
      <c r="Q285" s="170"/>
    </row>
    <row r="286" spans="1:17" s="67" customFormat="1" ht="45">
      <c r="A286" s="66"/>
      <c r="B286" s="58">
        <v>4810000</v>
      </c>
      <c r="C286" s="36"/>
      <c r="D286" s="37" t="s">
        <v>284</v>
      </c>
      <c r="E286" s="53">
        <f>E287+E288+E292+E289</f>
        <v>2750433.27</v>
      </c>
      <c r="F286" s="53">
        <f aca="true" t="shared" si="92" ref="F286:P286">F287+F288+F292+F289</f>
        <v>2750433.27</v>
      </c>
      <c r="G286" s="53">
        <f t="shared" si="92"/>
        <v>2079972.59</v>
      </c>
      <c r="H286" s="53">
        <f t="shared" si="92"/>
        <v>84319</v>
      </c>
      <c r="I286" s="53">
        <f t="shared" si="92"/>
        <v>0</v>
      </c>
      <c r="J286" s="53">
        <f t="shared" si="92"/>
        <v>278600</v>
      </c>
      <c r="K286" s="53">
        <f t="shared" si="92"/>
        <v>108255</v>
      </c>
      <c r="L286" s="53">
        <f t="shared" si="92"/>
        <v>0</v>
      </c>
      <c r="M286" s="53">
        <f t="shared" si="92"/>
        <v>0</v>
      </c>
      <c r="N286" s="53">
        <f t="shared" si="92"/>
        <v>170345</v>
      </c>
      <c r="O286" s="53">
        <f t="shared" si="92"/>
        <v>37000</v>
      </c>
      <c r="P286" s="53">
        <f t="shared" si="92"/>
        <v>3029033.27</v>
      </c>
      <c r="Q286" s="170"/>
    </row>
    <row r="287" spans="1:17" s="22" customFormat="1" ht="45">
      <c r="A287" s="33"/>
      <c r="B287" s="127" t="s">
        <v>285</v>
      </c>
      <c r="C287" s="92" t="s">
        <v>9</v>
      </c>
      <c r="D287" s="93" t="s">
        <v>100</v>
      </c>
      <c r="E287" s="128">
        <f>F287+I287</f>
        <v>2716583.27</v>
      </c>
      <c r="F287" s="128">
        <f>4520200-427090-2252198+189281.27+529846+156544</f>
        <v>2716583.27</v>
      </c>
      <c r="G287" s="128">
        <f>2986650-1650946+26500+155148.59+434305+128315</f>
        <v>2079972.59</v>
      </c>
      <c r="H287" s="128">
        <f>167498-83179</f>
        <v>84319</v>
      </c>
      <c r="I287" s="128"/>
      <c r="J287" s="128">
        <f>K287+N287</f>
        <v>30000</v>
      </c>
      <c r="K287" s="128"/>
      <c r="L287" s="128"/>
      <c r="M287" s="128"/>
      <c r="N287" s="128">
        <f>250000-220000</f>
        <v>30000</v>
      </c>
      <c r="O287" s="128">
        <f>250000-220000</f>
        <v>30000</v>
      </c>
      <c r="P287" s="128">
        <f>E287+J287</f>
        <v>2746583.27</v>
      </c>
      <c r="Q287" s="170"/>
    </row>
    <row r="288" spans="1:17" s="22" customFormat="1" ht="21.75" customHeight="1">
      <c r="A288" s="20"/>
      <c r="B288" s="127" t="s">
        <v>286</v>
      </c>
      <c r="C288" s="92" t="s">
        <v>81</v>
      </c>
      <c r="D288" s="93" t="s">
        <v>255</v>
      </c>
      <c r="E288" s="128">
        <f>F288+I288</f>
        <v>0</v>
      </c>
      <c r="F288" s="43"/>
      <c r="G288" s="43"/>
      <c r="H288" s="43"/>
      <c r="I288" s="43"/>
      <c r="J288" s="54">
        <f>K288+N288</f>
        <v>7000</v>
      </c>
      <c r="K288" s="54"/>
      <c r="L288" s="54"/>
      <c r="M288" s="54"/>
      <c r="N288" s="54">
        <f>148000-141000</f>
        <v>7000</v>
      </c>
      <c r="O288" s="54">
        <f>148000-141000</f>
        <v>7000</v>
      </c>
      <c r="P288" s="54">
        <f>E288+J288</f>
        <v>7000</v>
      </c>
      <c r="Q288" s="170"/>
    </row>
    <row r="289" spans="1:17" s="22" customFormat="1" ht="27.75" customHeight="1">
      <c r="A289" s="20"/>
      <c r="B289" s="130" t="s">
        <v>294</v>
      </c>
      <c r="C289" s="92" t="s">
        <v>42</v>
      </c>
      <c r="D289" s="93" t="s">
        <v>19</v>
      </c>
      <c r="E289" s="128">
        <f>E290+E291</f>
        <v>33850</v>
      </c>
      <c r="F289" s="128">
        <f aca="true" t="shared" si="93" ref="F289:P289">F290+F291</f>
        <v>33850</v>
      </c>
      <c r="G289" s="128">
        <f t="shared" si="93"/>
        <v>0</v>
      </c>
      <c r="H289" s="128">
        <f t="shared" si="93"/>
        <v>0</v>
      </c>
      <c r="I289" s="128">
        <f t="shared" si="93"/>
        <v>0</v>
      </c>
      <c r="J289" s="128">
        <f>K289+N289</f>
        <v>0</v>
      </c>
      <c r="K289" s="128">
        <f t="shared" si="93"/>
        <v>0</v>
      </c>
      <c r="L289" s="128">
        <f t="shared" si="93"/>
        <v>0</v>
      </c>
      <c r="M289" s="128">
        <f t="shared" si="93"/>
        <v>0</v>
      </c>
      <c r="N289" s="128">
        <f t="shared" si="93"/>
        <v>0</v>
      </c>
      <c r="O289" s="128">
        <f t="shared" si="93"/>
        <v>0</v>
      </c>
      <c r="P289" s="128">
        <f t="shared" si="93"/>
        <v>33850</v>
      </c>
      <c r="Q289" s="170"/>
    </row>
    <row r="290" spans="1:17" s="67" customFormat="1" ht="60">
      <c r="A290" s="66"/>
      <c r="B290" s="59" t="s">
        <v>295</v>
      </c>
      <c r="C290" s="59" t="s">
        <v>42</v>
      </c>
      <c r="D290" s="68" t="s">
        <v>265</v>
      </c>
      <c r="E290" s="48">
        <f>F290+I290</f>
        <v>18750</v>
      </c>
      <c r="F290" s="48">
        <f>170000-151250</f>
        <v>18750</v>
      </c>
      <c r="G290" s="53"/>
      <c r="H290" s="53"/>
      <c r="I290" s="53"/>
      <c r="J290" s="128">
        <f>K290+N290</f>
        <v>0</v>
      </c>
      <c r="K290" s="53"/>
      <c r="L290" s="53"/>
      <c r="M290" s="53"/>
      <c r="N290" s="53"/>
      <c r="O290" s="53"/>
      <c r="P290" s="48">
        <f>E290+J290</f>
        <v>18750</v>
      </c>
      <c r="Q290" s="170"/>
    </row>
    <row r="291" spans="1:17" s="67" customFormat="1" ht="45">
      <c r="A291" s="66"/>
      <c r="B291" s="59" t="s">
        <v>435</v>
      </c>
      <c r="C291" s="59" t="s">
        <v>42</v>
      </c>
      <c r="D291" s="69" t="s">
        <v>332</v>
      </c>
      <c r="E291" s="48">
        <f>F291+I291</f>
        <v>15100</v>
      </c>
      <c r="F291" s="48">
        <v>15100</v>
      </c>
      <c r="G291" s="53"/>
      <c r="H291" s="53"/>
      <c r="I291" s="53"/>
      <c r="J291" s="128">
        <f>K291+N291</f>
        <v>0</v>
      </c>
      <c r="K291" s="53"/>
      <c r="L291" s="53"/>
      <c r="M291" s="53"/>
      <c r="N291" s="53"/>
      <c r="O291" s="53"/>
      <c r="P291" s="48">
        <f>E291+J291</f>
        <v>15100</v>
      </c>
      <c r="Q291" s="170"/>
    </row>
    <row r="292" spans="1:17" s="22" customFormat="1" ht="60">
      <c r="A292" s="33"/>
      <c r="B292" s="42" t="s">
        <v>287</v>
      </c>
      <c r="C292" s="31" t="s">
        <v>39</v>
      </c>
      <c r="D292" s="34" t="s">
        <v>40</v>
      </c>
      <c r="E292" s="54">
        <f aca="true" t="shared" si="94" ref="E292:P292">E293</f>
        <v>0</v>
      </c>
      <c r="F292" s="54">
        <f t="shared" si="94"/>
        <v>0</v>
      </c>
      <c r="G292" s="54">
        <f t="shared" si="94"/>
        <v>0</v>
      </c>
      <c r="H292" s="54">
        <f t="shared" si="94"/>
        <v>0</v>
      </c>
      <c r="I292" s="54">
        <f t="shared" si="94"/>
        <v>0</v>
      </c>
      <c r="J292" s="54">
        <f t="shared" si="94"/>
        <v>241600</v>
      </c>
      <c r="K292" s="54">
        <f t="shared" si="94"/>
        <v>108255</v>
      </c>
      <c r="L292" s="54">
        <f t="shared" si="94"/>
        <v>0</v>
      </c>
      <c r="M292" s="54">
        <f t="shared" si="94"/>
        <v>0</v>
      </c>
      <c r="N292" s="54">
        <f t="shared" si="94"/>
        <v>133345</v>
      </c>
      <c r="O292" s="54">
        <f t="shared" si="94"/>
        <v>0</v>
      </c>
      <c r="P292" s="54">
        <f t="shared" si="94"/>
        <v>241600</v>
      </c>
      <c r="Q292" s="170"/>
    </row>
    <row r="293" spans="1:17" s="67" customFormat="1" ht="60">
      <c r="A293" s="66"/>
      <c r="B293" s="137" t="s">
        <v>288</v>
      </c>
      <c r="C293" s="130" t="s">
        <v>39</v>
      </c>
      <c r="D293" s="29" t="s">
        <v>40</v>
      </c>
      <c r="E293" s="52">
        <f>F293+I293</f>
        <v>0</v>
      </c>
      <c r="F293" s="53"/>
      <c r="G293" s="53"/>
      <c r="H293" s="53"/>
      <c r="I293" s="53"/>
      <c r="J293" s="48">
        <f>K293+N293</f>
        <v>241600</v>
      </c>
      <c r="K293" s="48">
        <f>725000-309500-307245</f>
        <v>108255</v>
      </c>
      <c r="L293" s="53"/>
      <c r="M293" s="53"/>
      <c r="N293" s="53">
        <f>309500+199000-199000-176155</f>
        <v>133345</v>
      </c>
      <c r="O293" s="53"/>
      <c r="P293" s="48">
        <f>E293+J293</f>
        <v>241600</v>
      </c>
      <c r="Q293" s="170"/>
    </row>
    <row r="294" spans="1:17" s="104" customFormat="1" ht="28.5">
      <c r="A294" s="103"/>
      <c r="B294" s="152">
        <v>4800000</v>
      </c>
      <c r="C294" s="153"/>
      <c r="D294" s="154" t="s">
        <v>459</v>
      </c>
      <c r="E294" s="55">
        <f>E295</f>
        <v>1323758.51</v>
      </c>
      <c r="F294" s="55">
        <f aca="true" t="shared" si="95" ref="F294:P294">F295</f>
        <v>1323758.51</v>
      </c>
      <c r="G294" s="55">
        <f t="shared" si="95"/>
        <v>723894.48</v>
      </c>
      <c r="H294" s="55">
        <f t="shared" si="95"/>
        <v>41590</v>
      </c>
      <c r="I294" s="55">
        <f t="shared" si="95"/>
        <v>0</v>
      </c>
      <c r="J294" s="55">
        <f t="shared" si="95"/>
        <v>914900</v>
      </c>
      <c r="K294" s="55">
        <f t="shared" si="95"/>
        <v>307245</v>
      </c>
      <c r="L294" s="55">
        <f t="shared" si="95"/>
        <v>0</v>
      </c>
      <c r="M294" s="55">
        <f t="shared" si="95"/>
        <v>0</v>
      </c>
      <c r="N294" s="55">
        <f t="shared" si="95"/>
        <v>607655</v>
      </c>
      <c r="O294" s="55">
        <f t="shared" si="95"/>
        <v>381500</v>
      </c>
      <c r="P294" s="55">
        <f t="shared" si="95"/>
        <v>2238658.51</v>
      </c>
      <c r="Q294" s="170"/>
    </row>
    <row r="295" spans="1:17" s="67" customFormat="1" ht="30">
      <c r="A295" s="66"/>
      <c r="B295" s="38">
        <v>4810000</v>
      </c>
      <c r="C295" s="36"/>
      <c r="D295" s="60" t="s">
        <v>459</v>
      </c>
      <c r="E295" s="48">
        <f>E296+E298+E300+E302+E297</f>
        <v>1323758.51</v>
      </c>
      <c r="F295" s="48">
        <f aca="true" t="shared" si="96" ref="F295:P295">F296+F298+F300+F302+F297</f>
        <v>1323758.51</v>
      </c>
      <c r="G295" s="48">
        <f t="shared" si="96"/>
        <v>723894.48</v>
      </c>
      <c r="H295" s="48">
        <f t="shared" si="96"/>
        <v>41590</v>
      </c>
      <c r="I295" s="48">
        <f t="shared" si="96"/>
        <v>0</v>
      </c>
      <c r="J295" s="48">
        <f t="shared" si="96"/>
        <v>914900</v>
      </c>
      <c r="K295" s="48">
        <f t="shared" si="96"/>
        <v>307245</v>
      </c>
      <c r="L295" s="48">
        <f t="shared" si="96"/>
        <v>0</v>
      </c>
      <c r="M295" s="48">
        <f t="shared" si="96"/>
        <v>0</v>
      </c>
      <c r="N295" s="48">
        <f t="shared" si="96"/>
        <v>607655</v>
      </c>
      <c r="O295" s="48">
        <f t="shared" si="96"/>
        <v>381500</v>
      </c>
      <c r="P295" s="48">
        <f t="shared" si="96"/>
        <v>2238658.51</v>
      </c>
      <c r="Q295" s="170"/>
    </row>
    <row r="296" spans="1:17" s="22" customFormat="1" ht="24.75" customHeight="1">
      <c r="A296" s="20"/>
      <c r="B296" s="42" t="s">
        <v>285</v>
      </c>
      <c r="C296" s="31" t="s">
        <v>9</v>
      </c>
      <c r="D296" s="34" t="s">
        <v>457</v>
      </c>
      <c r="E296" s="54">
        <f>F296+I296</f>
        <v>1051508.51</v>
      </c>
      <c r="F296" s="54">
        <f>1221270-94261.49+5000-22000-58500</f>
        <v>1051508.51</v>
      </c>
      <c r="G296" s="54">
        <f>867158-77263.52-18000-48000</f>
        <v>723894.48</v>
      </c>
      <c r="H296" s="54">
        <v>41590</v>
      </c>
      <c r="I296" s="43"/>
      <c r="J296" s="54">
        <f>K296+N296</f>
        <v>0</v>
      </c>
      <c r="K296" s="43"/>
      <c r="L296" s="43"/>
      <c r="M296" s="43"/>
      <c r="N296" s="54">
        <f>99500-99500</f>
        <v>0</v>
      </c>
      <c r="O296" s="54">
        <f>99500-99500</f>
        <v>0</v>
      </c>
      <c r="P296" s="54">
        <f>E296+J296</f>
        <v>1051508.51</v>
      </c>
      <c r="Q296" s="170"/>
    </row>
    <row r="297" spans="1:17" s="22" customFormat="1" ht="30">
      <c r="A297" s="20"/>
      <c r="B297" s="42" t="s">
        <v>452</v>
      </c>
      <c r="C297" s="31" t="s">
        <v>34</v>
      </c>
      <c r="D297" s="34" t="s">
        <v>141</v>
      </c>
      <c r="E297" s="54">
        <f>F297+I297</f>
        <v>0</v>
      </c>
      <c r="F297" s="54"/>
      <c r="G297" s="54"/>
      <c r="H297" s="54"/>
      <c r="I297" s="43"/>
      <c r="J297" s="54">
        <f>K297+N297</f>
        <v>39000</v>
      </c>
      <c r="K297" s="43"/>
      <c r="L297" s="43"/>
      <c r="M297" s="43"/>
      <c r="N297" s="54">
        <v>39000</v>
      </c>
      <c r="O297" s="54">
        <v>39000</v>
      </c>
      <c r="P297" s="54">
        <f>E297+J297</f>
        <v>39000</v>
      </c>
      <c r="Q297" s="170"/>
    </row>
    <row r="298" spans="1:17" s="22" customFormat="1" ht="24.75" customHeight="1">
      <c r="A298" s="20"/>
      <c r="B298" s="31" t="s">
        <v>295</v>
      </c>
      <c r="C298" s="31" t="s">
        <v>42</v>
      </c>
      <c r="D298" s="34" t="s">
        <v>19</v>
      </c>
      <c r="E298" s="54">
        <f>E299</f>
        <v>151250</v>
      </c>
      <c r="F298" s="54">
        <f aca="true" t="shared" si="97" ref="F298:P298">F299</f>
        <v>151250</v>
      </c>
      <c r="G298" s="54">
        <f t="shared" si="97"/>
        <v>0</v>
      </c>
      <c r="H298" s="54">
        <f t="shared" si="97"/>
        <v>0</v>
      </c>
      <c r="I298" s="54">
        <f t="shared" si="97"/>
        <v>0</v>
      </c>
      <c r="J298" s="54">
        <f t="shared" si="97"/>
        <v>0</v>
      </c>
      <c r="K298" s="54">
        <f t="shared" si="97"/>
        <v>0</v>
      </c>
      <c r="L298" s="54">
        <f t="shared" si="97"/>
        <v>0</v>
      </c>
      <c r="M298" s="54">
        <f t="shared" si="97"/>
        <v>0</v>
      </c>
      <c r="N298" s="54">
        <f t="shared" si="97"/>
        <v>0</v>
      </c>
      <c r="O298" s="54">
        <f t="shared" si="97"/>
        <v>0</v>
      </c>
      <c r="P298" s="54">
        <f t="shared" si="97"/>
        <v>151250</v>
      </c>
      <c r="Q298" s="170"/>
    </row>
    <row r="299" spans="1:17" s="67" customFormat="1" ht="60">
      <c r="A299" s="66"/>
      <c r="B299" s="130" t="s">
        <v>295</v>
      </c>
      <c r="C299" s="130" t="s">
        <v>42</v>
      </c>
      <c r="D299" s="131" t="s">
        <v>265</v>
      </c>
      <c r="E299" s="52">
        <f>F299+I299</f>
        <v>151250</v>
      </c>
      <c r="F299" s="52">
        <v>151250</v>
      </c>
      <c r="G299" s="53"/>
      <c r="H299" s="53"/>
      <c r="I299" s="53"/>
      <c r="J299" s="48"/>
      <c r="K299" s="53"/>
      <c r="L299" s="53"/>
      <c r="M299" s="53"/>
      <c r="N299" s="53"/>
      <c r="O299" s="53"/>
      <c r="P299" s="48">
        <f>E299+J299</f>
        <v>151250</v>
      </c>
      <c r="Q299" s="170"/>
    </row>
    <row r="300" spans="1:17" s="67" customFormat="1" ht="60">
      <c r="A300" s="66"/>
      <c r="B300" s="42" t="s">
        <v>287</v>
      </c>
      <c r="C300" s="31" t="s">
        <v>39</v>
      </c>
      <c r="D300" s="34" t="s">
        <v>40</v>
      </c>
      <c r="E300" s="54">
        <f aca="true" t="shared" si="98" ref="E300:P300">E301</f>
        <v>0</v>
      </c>
      <c r="F300" s="54">
        <f t="shared" si="98"/>
        <v>0</v>
      </c>
      <c r="G300" s="54">
        <f t="shared" si="98"/>
        <v>0</v>
      </c>
      <c r="H300" s="54">
        <f t="shared" si="98"/>
        <v>0</v>
      </c>
      <c r="I300" s="54">
        <f t="shared" si="98"/>
        <v>0</v>
      </c>
      <c r="J300" s="54">
        <f t="shared" si="98"/>
        <v>533400</v>
      </c>
      <c r="K300" s="54">
        <f t="shared" si="98"/>
        <v>307245</v>
      </c>
      <c r="L300" s="54">
        <f t="shared" si="98"/>
        <v>0</v>
      </c>
      <c r="M300" s="54">
        <f t="shared" si="98"/>
        <v>0</v>
      </c>
      <c r="N300" s="54">
        <f t="shared" si="98"/>
        <v>226155</v>
      </c>
      <c r="O300" s="54">
        <f t="shared" si="98"/>
        <v>0</v>
      </c>
      <c r="P300" s="54">
        <f t="shared" si="98"/>
        <v>533400</v>
      </c>
      <c r="Q300" s="170"/>
    </row>
    <row r="301" spans="1:17" s="67" customFormat="1" ht="60">
      <c r="A301" s="66"/>
      <c r="B301" s="137" t="s">
        <v>288</v>
      </c>
      <c r="C301" s="130" t="s">
        <v>39</v>
      </c>
      <c r="D301" s="29" t="s">
        <v>40</v>
      </c>
      <c r="E301" s="52">
        <f>F301+I301</f>
        <v>0</v>
      </c>
      <c r="F301" s="53"/>
      <c r="G301" s="53"/>
      <c r="H301" s="53"/>
      <c r="I301" s="53"/>
      <c r="J301" s="48">
        <f>K301+N301</f>
        <v>533400</v>
      </c>
      <c r="K301" s="48">
        <v>307245</v>
      </c>
      <c r="L301" s="53"/>
      <c r="M301" s="53"/>
      <c r="N301" s="53">
        <f>176155+50000</f>
        <v>226155</v>
      </c>
      <c r="O301" s="53"/>
      <c r="P301" s="48">
        <f>E301+J301</f>
        <v>533400</v>
      </c>
      <c r="Q301" s="170"/>
    </row>
    <row r="302" spans="1:17" s="67" customFormat="1" ht="15">
      <c r="A302" s="66"/>
      <c r="B302" s="39">
        <v>4818800</v>
      </c>
      <c r="C302" s="31" t="s">
        <v>89</v>
      </c>
      <c r="D302" s="87" t="s">
        <v>90</v>
      </c>
      <c r="E302" s="54">
        <f>E303</f>
        <v>121000</v>
      </c>
      <c r="F302" s="54">
        <f>F303</f>
        <v>121000</v>
      </c>
      <c r="G302" s="54">
        <f>G303</f>
        <v>0</v>
      </c>
      <c r="H302" s="54">
        <f aca="true" t="shared" si="99" ref="H302:P302">H303</f>
        <v>0</v>
      </c>
      <c r="I302" s="54">
        <f t="shared" si="99"/>
        <v>0</v>
      </c>
      <c r="J302" s="54">
        <f t="shared" si="99"/>
        <v>342500</v>
      </c>
      <c r="K302" s="54">
        <f t="shared" si="99"/>
        <v>0</v>
      </c>
      <c r="L302" s="54">
        <f t="shared" si="99"/>
        <v>0</v>
      </c>
      <c r="M302" s="54">
        <f t="shared" si="99"/>
        <v>0</v>
      </c>
      <c r="N302" s="54">
        <f t="shared" si="99"/>
        <v>342500</v>
      </c>
      <c r="O302" s="54">
        <f t="shared" si="99"/>
        <v>342500</v>
      </c>
      <c r="P302" s="54">
        <f t="shared" si="99"/>
        <v>463500</v>
      </c>
      <c r="Q302" s="170"/>
    </row>
    <row r="303" spans="1:17" s="67" customFormat="1" ht="60">
      <c r="A303" s="66"/>
      <c r="B303" s="130" t="s">
        <v>449</v>
      </c>
      <c r="C303" s="130" t="s">
        <v>89</v>
      </c>
      <c r="D303" s="151" t="s">
        <v>450</v>
      </c>
      <c r="E303" s="52">
        <f>F303+I303</f>
        <v>121000</v>
      </c>
      <c r="F303" s="52">
        <f>99000+22000</f>
        <v>121000</v>
      </c>
      <c r="G303" s="53"/>
      <c r="H303" s="53"/>
      <c r="I303" s="53"/>
      <c r="J303" s="48">
        <f>K303+N303</f>
        <v>342500</v>
      </c>
      <c r="K303" s="53"/>
      <c r="L303" s="53"/>
      <c r="M303" s="53"/>
      <c r="N303" s="48">
        <f>99500+265000-22000</f>
        <v>342500</v>
      </c>
      <c r="O303" s="48">
        <f>99500+265000-22000</f>
        <v>342500</v>
      </c>
      <c r="P303" s="48">
        <f>E303+J303</f>
        <v>463500</v>
      </c>
      <c r="Q303" s="170"/>
    </row>
    <row r="304" spans="1:17" s="22" customFormat="1" ht="28.5">
      <c r="A304" s="33"/>
      <c r="B304" s="39">
        <v>5000000</v>
      </c>
      <c r="C304" s="31"/>
      <c r="D304" s="24" t="s">
        <v>289</v>
      </c>
      <c r="E304" s="43">
        <f>E305</f>
        <v>2386850</v>
      </c>
      <c r="F304" s="43">
        <f aca="true" t="shared" si="100" ref="F304:P304">F305</f>
        <v>2021770</v>
      </c>
      <c r="G304" s="43">
        <f t="shared" si="100"/>
        <v>1208000</v>
      </c>
      <c r="H304" s="43">
        <f t="shared" si="100"/>
        <v>83538</v>
      </c>
      <c r="I304" s="43">
        <f t="shared" si="100"/>
        <v>365080</v>
      </c>
      <c r="J304" s="43">
        <f t="shared" si="100"/>
        <v>30000</v>
      </c>
      <c r="K304" s="43">
        <f t="shared" si="100"/>
        <v>0</v>
      </c>
      <c r="L304" s="43">
        <f t="shared" si="100"/>
        <v>0</v>
      </c>
      <c r="M304" s="43">
        <f t="shared" si="100"/>
        <v>0</v>
      </c>
      <c r="N304" s="43">
        <f t="shared" si="100"/>
        <v>30000</v>
      </c>
      <c r="O304" s="43">
        <f t="shared" si="100"/>
        <v>30000</v>
      </c>
      <c r="P304" s="43">
        <f t="shared" si="100"/>
        <v>2416850</v>
      </c>
      <c r="Q304" s="170"/>
    </row>
    <row r="305" spans="1:17" s="86" customFormat="1" ht="30">
      <c r="A305" s="85"/>
      <c r="B305" s="58">
        <v>5010000</v>
      </c>
      <c r="C305" s="59"/>
      <c r="D305" s="37" t="s">
        <v>289</v>
      </c>
      <c r="E305" s="53">
        <f>E306+E308+E307</f>
        <v>2386850</v>
      </c>
      <c r="F305" s="53">
        <f aca="true" t="shared" si="101" ref="F305:P305">F306+F308+F307</f>
        <v>2021770</v>
      </c>
      <c r="G305" s="53">
        <f t="shared" si="101"/>
        <v>1208000</v>
      </c>
      <c r="H305" s="53">
        <f t="shared" si="101"/>
        <v>83538</v>
      </c>
      <c r="I305" s="53">
        <f t="shared" si="101"/>
        <v>365080</v>
      </c>
      <c r="J305" s="53">
        <f t="shared" si="101"/>
        <v>30000</v>
      </c>
      <c r="K305" s="53">
        <f t="shared" si="101"/>
        <v>0</v>
      </c>
      <c r="L305" s="53">
        <f t="shared" si="101"/>
        <v>0</v>
      </c>
      <c r="M305" s="53">
        <f t="shared" si="101"/>
        <v>0</v>
      </c>
      <c r="N305" s="53">
        <f t="shared" si="101"/>
        <v>30000</v>
      </c>
      <c r="O305" s="53">
        <f t="shared" si="101"/>
        <v>30000</v>
      </c>
      <c r="P305" s="53">
        <f t="shared" si="101"/>
        <v>2416850</v>
      </c>
      <c r="Q305" s="170"/>
    </row>
    <row r="306" spans="1:17" s="22" customFormat="1" ht="45">
      <c r="A306" s="33"/>
      <c r="B306" s="127" t="s">
        <v>290</v>
      </c>
      <c r="C306" s="92" t="s">
        <v>9</v>
      </c>
      <c r="D306" s="93" t="s">
        <v>100</v>
      </c>
      <c r="E306" s="128">
        <f>F306+I306</f>
        <v>1671770</v>
      </c>
      <c r="F306" s="128">
        <f>1751970-160400+56900+23300</f>
        <v>1671770</v>
      </c>
      <c r="G306" s="128">
        <f>1143630+2570+46700-4000+19100</f>
        <v>1208000</v>
      </c>
      <c r="H306" s="128">
        <v>83538</v>
      </c>
      <c r="I306" s="128"/>
      <c r="J306" s="128">
        <f>K306+N306</f>
        <v>30000</v>
      </c>
      <c r="K306" s="128"/>
      <c r="L306" s="128"/>
      <c r="M306" s="128"/>
      <c r="N306" s="128">
        <v>30000</v>
      </c>
      <c r="O306" s="128">
        <v>30000</v>
      </c>
      <c r="P306" s="128">
        <f>E306+J306</f>
        <v>1701770</v>
      </c>
      <c r="Q306" s="170"/>
    </row>
    <row r="307" spans="1:17" s="22" customFormat="1" ht="15">
      <c r="A307" s="33"/>
      <c r="B307" s="127" t="s">
        <v>482</v>
      </c>
      <c r="C307" s="92" t="s">
        <v>21</v>
      </c>
      <c r="D307" s="93" t="s">
        <v>136</v>
      </c>
      <c r="E307" s="128">
        <f>F307+I307</f>
        <v>365080</v>
      </c>
      <c r="F307" s="128">
        <f>365080-365080</f>
        <v>0</v>
      </c>
      <c r="G307" s="128"/>
      <c r="H307" s="128"/>
      <c r="I307" s="128">
        <v>365080</v>
      </c>
      <c r="J307" s="128">
        <f>K307+N307</f>
        <v>0</v>
      </c>
      <c r="K307" s="128"/>
      <c r="L307" s="128"/>
      <c r="M307" s="128"/>
      <c r="N307" s="128"/>
      <c r="O307" s="128"/>
      <c r="P307" s="128">
        <f>E307+J307</f>
        <v>365080</v>
      </c>
      <c r="Q307" s="170"/>
    </row>
    <row r="308" spans="1:17" s="22" customFormat="1" ht="15">
      <c r="A308" s="20"/>
      <c r="B308" s="59" t="s">
        <v>293</v>
      </c>
      <c r="C308" s="31" t="s">
        <v>42</v>
      </c>
      <c r="D308" s="34" t="s">
        <v>19</v>
      </c>
      <c r="E308" s="54">
        <f>E309</f>
        <v>350000</v>
      </c>
      <c r="F308" s="54">
        <f aca="true" t="shared" si="102" ref="F308:P308">F309</f>
        <v>350000</v>
      </c>
      <c r="G308" s="54">
        <f t="shared" si="102"/>
        <v>0</v>
      </c>
      <c r="H308" s="54">
        <f t="shared" si="102"/>
        <v>0</v>
      </c>
      <c r="I308" s="54">
        <f t="shared" si="102"/>
        <v>0</v>
      </c>
      <c r="J308" s="54">
        <f t="shared" si="102"/>
        <v>0</v>
      </c>
      <c r="K308" s="54">
        <f t="shared" si="102"/>
        <v>0</v>
      </c>
      <c r="L308" s="54">
        <f t="shared" si="102"/>
        <v>0</v>
      </c>
      <c r="M308" s="54">
        <f t="shared" si="102"/>
        <v>0</v>
      </c>
      <c r="N308" s="54">
        <f t="shared" si="102"/>
        <v>0</v>
      </c>
      <c r="O308" s="54">
        <f t="shared" si="102"/>
        <v>0</v>
      </c>
      <c r="P308" s="54">
        <f t="shared" si="102"/>
        <v>350000</v>
      </c>
      <c r="Q308" s="170"/>
    </row>
    <row r="309" spans="1:17" s="22" customFormat="1" ht="75">
      <c r="A309" s="20"/>
      <c r="B309" s="130" t="s">
        <v>292</v>
      </c>
      <c r="C309" s="139" t="s">
        <v>42</v>
      </c>
      <c r="D309" s="140" t="s">
        <v>291</v>
      </c>
      <c r="E309" s="52">
        <f>F309+I309</f>
        <v>350000</v>
      </c>
      <c r="F309" s="52">
        <v>350000</v>
      </c>
      <c r="G309" s="53"/>
      <c r="H309" s="53"/>
      <c r="I309" s="53"/>
      <c r="J309" s="48">
        <f>K309+N309</f>
        <v>0</v>
      </c>
      <c r="K309" s="53"/>
      <c r="L309" s="53"/>
      <c r="M309" s="53"/>
      <c r="N309" s="53"/>
      <c r="O309" s="53"/>
      <c r="P309" s="48">
        <f>E309+J309</f>
        <v>350000</v>
      </c>
      <c r="Q309" s="170"/>
    </row>
    <row r="310" spans="1:17" s="22" customFormat="1" ht="28.5">
      <c r="A310" s="20"/>
      <c r="B310" s="42" t="s">
        <v>296</v>
      </c>
      <c r="C310" s="23"/>
      <c r="D310" s="24" t="s">
        <v>460</v>
      </c>
      <c r="E310" s="43">
        <f>E311</f>
        <v>5948501</v>
      </c>
      <c r="F310" s="43">
        <f aca="true" t="shared" si="103" ref="F310:P310">F311</f>
        <v>5948501</v>
      </c>
      <c r="G310" s="43">
        <f t="shared" si="103"/>
        <v>4348520</v>
      </c>
      <c r="H310" s="43">
        <f t="shared" si="103"/>
        <v>191695</v>
      </c>
      <c r="I310" s="43">
        <f t="shared" si="103"/>
        <v>0</v>
      </c>
      <c r="J310" s="43">
        <f t="shared" si="103"/>
        <v>82070</v>
      </c>
      <c r="K310" s="43">
        <f t="shared" si="103"/>
        <v>18000</v>
      </c>
      <c r="L310" s="43">
        <f t="shared" si="103"/>
        <v>0</v>
      </c>
      <c r="M310" s="43">
        <f t="shared" si="103"/>
        <v>0</v>
      </c>
      <c r="N310" s="43">
        <f t="shared" si="103"/>
        <v>64070</v>
      </c>
      <c r="O310" s="43">
        <f t="shared" si="103"/>
        <v>64070</v>
      </c>
      <c r="P310" s="43">
        <f t="shared" si="103"/>
        <v>6030571</v>
      </c>
      <c r="Q310" s="170"/>
    </row>
    <row r="311" spans="1:17" s="67" customFormat="1" ht="30">
      <c r="A311" s="66"/>
      <c r="B311" s="72" t="s">
        <v>297</v>
      </c>
      <c r="C311" s="36"/>
      <c r="D311" s="37" t="s">
        <v>460</v>
      </c>
      <c r="E311" s="53">
        <f>E312+E313+E314</f>
        <v>5948501</v>
      </c>
      <c r="F311" s="53">
        <f aca="true" t="shared" si="104" ref="F311:P311">F312+F313+F314</f>
        <v>5948501</v>
      </c>
      <c r="G311" s="53">
        <f t="shared" si="104"/>
        <v>4348520</v>
      </c>
      <c r="H311" s="53">
        <f t="shared" si="104"/>
        <v>191695</v>
      </c>
      <c r="I311" s="53">
        <f t="shared" si="104"/>
        <v>0</v>
      </c>
      <c r="J311" s="53">
        <f t="shared" si="104"/>
        <v>82070</v>
      </c>
      <c r="K311" s="53">
        <f t="shared" si="104"/>
        <v>18000</v>
      </c>
      <c r="L311" s="53">
        <f t="shared" si="104"/>
        <v>0</v>
      </c>
      <c r="M311" s="53">
        <f t="shared" si="104"/>
        <v>0</v>
      </c>
      <c r="N311" s="53">
        <f t="shared" si="104"/>
        <v>64070</v>
      </c>
      <c r="O311" s="53">
        <f t="shared" si="104"/>
        <v>64070</v>
      </c>
      <c r="P311" s="53">
        <f t="shared" si="104"/>
        <v>6030571</v>
      </c>
      <c r="Q311" s="170"/>
    </row>
    <row r="312" spans="1:17" s="22" customFormat="1" ht="45">
      <c r="A312" s="33"/>
      <c r="B312" s="127" t="s">
        <v>298</v>
      </c>
      <c r="C312" s="92" t="s">
        <v>9</v>
      </c>
      <c r="D312" s="93" t="s">
        <v>100</v>
      </c>
      <c r="E312" s="128">
        <f>F312+I312</f>
        <v>5849701</v>
      </c>
      <c r="F312" s="128">
        <f>5498000-286300+89090+154610+158571-4670+119600-7000+22000+105800</f>
        <v>5849701</v>
      </c>
      <c r="G312" s="128">
        <f>3629280+186610+73024+126730+129976+98100+18000+86800</f>
        <v>4348520</v>
      </c>
      <c r="H312" s="128">
        <v>191695</v>
      </c>
      <c r="I312" s="128"/>
      <c r="J312" s="128">
        <f>K312+N312</f>
        <v>64070</v>
      </c>
      <c r="K312" s="128"/>
      <c r="L312" s="128"/>
      <c r="M312" s="128"/>
      <c r="N312" s="128">
        <f>40000+12400+4670+7000</f>
        <v>64070</v>
      </c>
      <c r="O312" s="128">
        <f>40000+12400+4670+7000</f>
        <v>64070</v>
      </c>
      <c r="P312" s="128">
        <f>E312+J312</f>
        <v>5913771</v>
      </c>
      <c r="Q312" s="170"/>
    </row>
    <row r="313" spans="1:17" s="22" customFormat="1" ht="25.5" customHeight="1">
      <c r="A313" s="20"/>
      <c r="B313" s="127" t="s">
        <v>342</v>
      </c>
      <c r="C313" s="92" t="s">
        <v>340</v>
      </c>
      <c r="D313" s="93" t="s">
        <v>341</v>
      </c>
      <c r="E313" s="128">
        <f>F313+I313</f>
        <v>98800</v>
      </c>
      <c r="F313" s="128">
        <f>198694.54-67810.69-32083.85</f>
        <v>98800</v>
      </c>
      <c r="G313" s="128"/>
      <c r="H313" s="128"/>
      <c r="I313" s="128"/>
      <c r="J313" s="128">
        <f>K313+N313</f>
        <v>0</v>
      </c>
      <c r="K313" s="128"/>
      <c r="L313" s="128"/>
      <c r="M313" s="128"/>
      <c r="N313" s="128"/>
      <c r="O313" s="128"/>
      <c r="P313" s="128">
        <f>E313+J313</f>
        <v>98800</v>
      </c>
      <c r="Q313" s="170"/>
    </row>
    <row r="314" spans="1:17" s="22" customFormat="1" ht="33" customHeight="1">
      <c r="A314" s="20"/>
      <c r="B314" s="127" t="s">
        <v>474</v>
      </c>
      <c r="C314" s="92" t="s">
        <v>417</v>
      </c>
      <c r="D314" s="93" t="s">
        <v>418</v>
      </c>
      <c r="E314" s="128">
        <f>F314+I314</f>
        <v>0</v>
      </c>
      <c r="F314" s="128"/>
      <c r="G314" s="128"/>
      <c r="H314" s="128"/>
      <c r="I314" s="128"/>
      <c r="J314" s="128">
        <f>K314+N314</f>
        <v>18000</v>
      </c>
      <c r="K314" s="155">
        <v>18000</v>
      </c>
      <c r="L314" s="128"/>
      <c r="M314" s="128"/>
      <c r="N314" s="128"/>
      <c r="O314" s="128"/>
      <c r="P314" s="128">
        <f>E314+J314</f>
        <v>18000</v>
      </c>
      <c r="Q314" s="170"/>
    </row>
    <row r="315" spans="1:17" s="22" customFormat="1" ht="57">
      <c r="A315" s="20"/>
      <c r="B315" s="141">
        <v>7600000</v>
      </c>
      <c r="C315" s="23"/>
      <c r="D315" s="24" t="s">
        <v>461</v>
      </c>
      <c r="E315" s="43">
        <f>E316</f>
        <v>65344026.56</v>
      </c>
      <c r="F315" s="43">
        <f aca="true" t="shared" si="105" ref="F315:P315">F316</f>
        <v>56726547</v>
      </c>
      <c r="G315" s="43">
        <f t="shared" si="105"/>
        <v>0</v>
      </c>
      <c r="H315" s="43">
        <f t="shared" si="105"/>
        <v>0</v>
      </c>
      <c r="I315" s="43">
        <f t="shared" si="105"/>
        <v>0</v>
      </c>
      <c r="J315" s="43">
        <f t="shared" si="105"/>
        <v>709900</v>
      </c>
      <c r="K315" s="43">
        <f t="shared" si="105"/>
        <v>0</v>
      </c>
      <c r="L315" s="43">
        <f t="shared" si="105"/>
        <v>0</v>
      </c>
      <c r="M315" s="43">
        <f t="shared" si="105"/>
        <v>0</v>
      </c>
      <c r="N315" s="43">
        <f t="shared" si="105"/>
        <v>709900</v>
      </c>
      <c r="O315" s="43">
        <f t="shared" si="105"/>
        <v>709900</v>
      </c>
      <c r="P315" s="43">
        <f t="shared" si="105"/>
        <v>66053926.56</v>
      </c>
      <c r="Q315" s="170"/>
    </row>
    <row r="316" spans="1:17" s="67" customFormat="1" ht="60">
      <c r="A316" s="66"/>
      <c r="B316" s="58">
        <v>7610000</v>
      </c>
      <c r="C316" s="36"/>
      <c r="D316" s="37" t="s">
        <v>461</v>
      </c>
      <c r="E316" s="53">
        <f>E317+E318+E319+E321</f>
        <v>65344026.56</v>
      </c>
      <c r="F316" s="53">
        <f aca="true" t="shared" si="106" ref="F316:P316">F317+F318+F319+F321</f>
        <v>56726547</v>
      </c>
      <c r="G316" s="53">
        <f t="shared" si="106"/>
        <v>0</v>
      </c>
      <c r="H316" s="53">
        <f t="shared" si="106"/>
        <v>0</v>
      </c>
      <c r="I316" s="53">
        <f t="shared" si="106"/>
        <v>0</v>
      </c>
      <c r="J316" s="53">
        <f t="shared" si="106"/>
        <v>709900</v>
      </c>
      <c r="K316" s="53">
        <f t="shared" si="106"/>
        <v>0</v>
      </c>
      <c r="L316" s="53">
        <f t="shared" si="106"/>
        <v>0</v>
      </c>
      <c r="M316" s="53">
        <f t="shared" si="106"/>
        <v>0</v>
      </c>
      <c r="N316" s="53">
        <f t="shared" si="106"/>
        <v>709900</v>
      </c>
      <c r="O316" s="53">
        <f t="shared" si="106"/>
        <v>709900</v>
      </c>
      <c r="P316" s="53">
        <f t="shared" si="106"/>
        <v>66053926.56</v>
      </c>
      <c r="Q316" s="170"/>
    </row>
    <row r="317" spans="1:17" s="22" customFormat="1" ht="25.5" customHeight="1">
      <c r="A317" s="33"/>
      <c r="B317" s="141">
        <v>7618010</v>
      </c>
      <c r="C317" s="92" t="s">
        <v>87</v>
      </c>
      <c r="D317" s="93" t="s">
        <v>88</v>
      </c>
      <c r="E317" s="128">
        <f>8825473.46-360000-1811608-3000000+12618382-254670-4690000-1800000-5400000-130000-2263140-420000+19000+10000000+55000-330000+67810.69-54755-1822284-20000-160975+733680.85+165564.56-1350000</f>
        <v>8617479.56</v>
      </c>
      <c r="F317" s="128"/>
      <c r="G317" s="43"/>
      <c r="H317" s="43"/>
      <c r="I317" s="43"/>
      <c r="J317" s="54">
        <f>K317+N317</f>
        <v>0</v>
      </c>
      <c r="K317" s="43"/>
      <c r="L317" s="43"/>
      <c r="M317" s="43"/>
      <c r="N317" s="43"/>
      <c r="O317" s="43"/>
      <c r="P317" s="54">
        <f>E317+J317</f>
        <v>8617479.56</v>
      </c>
      <c r="Q317" s="170"/>
    </row>
    <row r="318" spans="1:17" s="22" customFormat="1" ht="143.25" customHeight="1">
      <c r="A318" s="20"/>
      <c r="B318" s="39">
        <v>7618120</v>
      </c>
      <c r="C318" s="31" t="s">
        <v>93</v>
      </c>
      <c r="D318" s="34" t="s">
        <v>299</v>
      </c>
      <c r="E318" s="54">
        <f>F318+I318</f>
        <v>56401300</v>
      </c>
      <c r="F318" s="54">
        <f>55480900+920400</f>
        <v>56401300</v>
      </c>
      <c r="G318" s="43"/>
      <c r="H318" s="43"/>
      <c r="I318" s="43"/>
      <c r="J318" s="54">
        <f>K318+N318</f>
        <v>0</v>
      </c>
      <c r="K318" s="43"/>
      <c r="L318" s="43"/>
      <c r="M318" s="43"/>
      <c r="N318" s="43"/>
      <c r="O318" s="43"/>
      <c r="P318" s="54">
        <f>E318+J318</f>
        <v>56401300</v>
      </c>
      <c r="Q318" s="170"/>
    </row>
    <row r="319" spans="1:17" s="22" customFormat="1" ht="27" customHeight="1">
      <c r="A319" s="20"/>
      <c r="B319" s="39">
        <v>7618700</v>
      </c>
      <c r="C319" s="31" t="s">
        <v>94</v>
      </c>
      <c r="D319" s="34" t="s">
        <v>95</v>
      </c>
      <c r="E319" s="54">
        <f>E320</f>
        <v>126747</v>
      </c>
      <c r="F319" s="54">
        <f aca="true" t="shared" si="107" ref="F319:P319">F320</f>
        <v>126747</v>
      </c>
      <c r="G319" s="54">
        <f t="shared" si="107"/>
        <v>0</v>
      </c>
      <c r="H319" s="54">
        <f t="shared" si="107"/>
        <v>0</v>
      </c>
      <c r="I319" s="54">
        <f t="shared" si="107"/>
        <v>0</v>
      </c>
      <c r="J319" s="54">
        <f t="shared" si="107"/>
        <v>0</v>
      </c>
      <c r="K319" s="54">
        <f t="shared" si="107"/>
        <v>0</v>
      </c>
      <c r="L319" s="54">
        <f t="shared" si="107"/>
        <v>0</v>
      </c>
      <c r="M319" s="54">
        <f t="shared" si="107"/>
        <v>0</v>
      </c>
      <c r="N319" s="54">
        <f t="shared" si="107"/>
        <v>0</v>
      </c>
      <c r="O319" s="54">
        <f t="shared" si="107"/>
        <v>0</v>
      </c>
      <c r="P319" s="54">
        <f t="shared" si="107"/>
        <v>126747</v>
      </c>
      <c r="Q319" s="201"/>
    </row>
    <row r="320" spans="1:17" s="67" customFormat="1" ht="39.75" customHeight="1">
      <c r="A320" s="66"/>
      <c r="B320" s="38">
        <v>7618701</v>
      </c>
      <c r="C320" s="130" t="s">
        <v>94</v>
      </c>
      <c r="D320" s="29" t="s">
        <v>307</v>
      </c>
      <c r="E320" s="52">
        <f>F320+I320</f>
        <v>126747</v>
      </c>
      <c r="F320" s="52">
        <f>164814-22857-15210</f>
        <v>126747</v>
      </c>
      <c r="G320" s="53"/>
      <c r="H320" s="53"/>
      <c r="I320" s="53"/>
      <c r="J320" s="48">
        <f>K320+N320</f>
        <v>0</v>
      </c>
      <c r="K320" s="53"/>
      <c r="L320" s="53"/>
      <c r="M320" s="53"/>
      <c r="N320" s="53"/>
      <c r="O320" s="53"/>
      <c r="P320" s="48">
        <f>E320+J320</f>
        <v>126747</v>
      </c>
      <c r="Q320" s="201"/>
    </row>
    <row r="321" spans="1:17" s="22" customFormat="1" ht="17.25" customHeight="1">
      <c r="A321" s="33"/>
      <c r="B321" s="39">
        <v>7618800</v>
      </c>
      <c r="C321" s="31" t="s">
        <v>89</v>
      </c>
      <c r="D321" s="87" t="s">
        <v>90</v>
      </c>
      <c r="E321" s="54">
        <f>E322</f>
        <v>198500</v>
      </c>
      <c r="F321" s="54">
        <f aca="true" t="shared" si="108" ref="F321:P321">F322</f>
        <v>198500</v>
      </c>
      <c r="G321" s="54">
        <f t="shared" si="108"/>
        <v>0</v>
      </c>
      <c r="H321" s="54">
        <f t="shared" si="108"/>
        <v>0</v>
      </c>
      <c r="I321" s="54">
        <f t="shared" si="108"/>
        <v>0</v>
      </c>
      <c r="J321" s="54">
        <f t="shared" si="108"/>
        <v>709900</v>
      </c>
      <c r="K321" s="54">
        <f t="shared" si="108"/>
        <v>0</v>
      </c>
      <c r="L321" s="54">
        <f t="shared" si="108"/>
        <v>0</v>
      </c>
      <c r="M321" s="54">
        <f t="shared" si="108"/>
        <v>0</v>
      </c>
      <c r="N321" s="54">
        <f t="shared" si="108"/>
        <v>709900</v>
      </c>
      <c r="O321" s="54">
        <f t="shared" si="108"/>
        <v>709900</v>
      </c>
      <c r="P321" s="54">
        <f t="shared" si="108"/>
        <v>908400</v>
      </c>
      <c r="Q321" s="201"/>
    </row>
    <row r="322" spans="1:17" s="22" customFormat="1" ht="30.75" customHeight="1">
      <c r="A322" s="20"/>
      <c r="B322" s="130" t="s">
        <v>300</v>
      </c>
      <c r="C322" s="130" t="s">
        <v>89</v>
      </c>
      <c r="D322" s="151" t="s">
        <v>302</v>
      </c>
      <c r="E322" s="149">
        <f>F322+I322</f>
        <v>198500</v>
      </c>
      <c r="F322" s="149">
        <f>190000+8500</f>
        <v>198500</v>
      </c>
      <c r="G322" s="43"/>
      <c r="H322" s="43"/>
      <c r="I322" s="43"/>
      <c r="J322" s="54">
        <f>K322+N322</f>
        <v>709900</v>
      </c>
      <c r="K322" s="43"/>
      <c r="L322" s="43"/>
      <c r="M322" s="43"/>
      <c r="N322" s="54">
        <f>500000+200000+9900</f>
        <v>709900</v>
      </c>
      <c r="O322" s="54">
        <f>500000+200000+9900</f>
        <v>709900</v>
      </c>
      <c r="P322" s="54">
        <f>E322+J322</f>
        <v>908400</v>
      </c>
      <c r="Q322" s="201"/>
    </row>
    <row r="323" spans="1:17" s="22" customFormat="1" ht="15" customHeight="1">
      <c r="A323" s="20"/>
      <c r="B323" s="39"/>
      <c r="C323" s="23"/>
      <c r="D323" s="24" t="s">
        <v>91</v>
      </c>
      <c r="E323" s="43">
        <f aca="true" t="shared" si="109" ref="E323:P323">E14+E68+E94+E121+E204+E209+E217+E248+E263+E285+E304+E310+E315+E260+E254+E294</f>
        <v>1758253974.56</v>
      </c>
      <c r="F323" s="43">
        <f t="shared" si="109"/>
        <v>1703493156.53</v>
      </c>
      <c r="G323" s="43">
        <f t="shared" si="109"/>
        <v>458145029.64</v>
      </c>
      <c r="H323" s="43">
        <f t="shared" si="109"/>
        <v>97991942.61999999</v>
      </c>
      <c r="I323" s="43">
        <f t="shared" si="109"/>
        <v>46143338.47</v>
      </c>
      <c r="J323" s="43">
        <f t="shared" si="109"/>
        <v>574266887.6400001</v>
      </c>
      <c r="K323" s="43">
        <f t="shared" si="109"/>
        <v>53996894</v>
      </c>
      <c r="L323" s="43">
        <f t="shared" si="109"/>
        <v>11433840</v>
      </c>
      <c r="M323" s="43">
        <f t="shared" si="109"/>
        <v>2174142</v>
      </c>
      <c r="N323" s="43">
        <f t="shared" si="109"/>
        <v>520269993.64</v>
      </c>
      <c r="O323" s="43">
        <f t="shared" si="109"/>
        <v>510826686.61</v>
      </c>
      <c r="P323" s="43">
        <f t="shared" si="109"/>
        <v>2332520862.2</v>
      </c>
      <c r="Q323" s="201"/>
    </row>
    <row r="324" spans="1:17" s="22" customFormat="1" ht="28.5">
      <c r="A324" s="20"/>
      <c r="B324" s="39"/>
      <c r="C324" s="23"/>
      <c r="D324" s="24" t="s">
        <v>92</v>
      </c>
      <c r="E324" s="43">
        <f aca="true" t="shared" si="110" ref="E324:P324">E70+E96+E123+E219</f>
        <v>1138892554.52</v>
      </c>
      <c r="F324" s="43">
        <f t="shared" si="110"/>
        <v>1138892554.52</v>
      </c>
      <c r="G324" s="43">
        <f t="shared" si="110"/>
        <v>259930371</v>
      </c>
      <c r="H324" s="43">
        <f t="shared" si="110"/>
        <v>47840890</v>
      </c>
      <c r="I324" s="43">
        <f t="shared" si="110"/>
        <v>0</v>
      </c>
      <c r="J324" s="43">
        <f t="shared" si="110"/>
        <v>15995047.85</v>
      </c>
      <c r="K324" s="43">
        <f t="shared" si="110"/>
        <v>0</v>
      </c>
      <c r="L324" s="43">
        <f t="shared" si="110"/>
        <v>0</v>
      </c>
      <c r="M324" s="43">
        <f t="shared" si="110"/>
        <v>0</v>
      </c>
      <c r="N324" s="43">
        <f t="shared" si="110"/>
        <v>15995047.85</v>
      </c>
      <c r="O324" s="43">
        <f t="shared" si="110"/>
        <v>15995047.85</v>
      </c>
      <c r="P324" s="43">
        <f t="shared" si="110"/>
        <v>1154887602.37</v>
      </c>
      <c r="Q324" s="201"/>
    </row>
    <row r="325" spans="1:17" s="22" customFormat="1" ht="15">
      <c r="A325" s="20"/>
      <c r="B325" s="94"/>
      <c r="C325" s="95"/>
      <c r="D325" s="96"/>
      <c r="E325" s="97"/>
      <c r="F325" s="97"/>
      <c r="G325" s="97"/>
      <c r="H325" s="97"/>
      <c r="I325" s="97"/>
      <c r="J325" s="97"/>
      <c r="K325" s="97"/>
      <c r="L325" s="97"/>
      <c r="M325" s="97"/>
      <c r="N325" s="97"/>
      <c r="O325" s="97"/>
      <c r="P325" s="97"/>
      <c r="Q325" s="201"/>
    </row>
    <row r="326" spans="1:17" ht="6.75" customHeight="1">
      <c r="A326" s="13"/>
      <c r="B326" s="28"/>
      <c r="C326" s="13"/>
      <c r="D326" s="13"/>
      <c r="E326" s="88"/>
      <c r="F326" s="88"/>
      <c r="G326" s="88"/>
      <c r="H326" s="88"/>
      <c r="I326" s="88"/>
      <c r="J326" s="88"/>
      <c r="K326" s="88"/>
      <c r="L326" s="88"/>
      <c r="M326" s="88"/>
      <c r="N326" s="88"/>
      <c r="O326" s="88"/>
      <c r="P326" s="88"/>
      <c r="Q326" s="201"/>
    </row>
    <row r="327" spans="1:17" ht="26.25" customHeight="1">
      <c r="A327" s="13"/>
      <c r="B327" s="28"/>
      <c r="C327" s="13"/>
      <c r="D327" s="13"/>
      <c r="E327" s="88"/>
      <c r="F327" s="88"/>
      <c r="G327" s="88"/>
      <c r="H327" s="88"/>
      <c r="I327" s="88"/>
      <c r="J327" s="88"/>
      <c r="K327" s="88"/>
      <c r="L327" s="88"/>
      <c r="M327" s="88"/>
      <c r="N327" s="88"/>
      <c r="O327" s="88"/>
      <c r="P327" s="88"/>
      <c r="Q327" s="201"/>
    </row>
    <row r="328" spans="1:17" ht="6.75" customHeight="1">
      <c r="A328" s="13"/>
      <c r="B328" s="28"/>
      <c r="C328" s="13"/>
      <c r="D328" s="13"/>
      <c r="E328" s="88"/>
      <c r="F328" s="88"/>
      <c r="G328" s="88"/>
      <c r="H328" s="88"/>
      <c r="I328" s="88"/>
      <c r="J328" s="88"/>
      <c r="K328" s="88"/>
      <c r="L328" s="88"/>
      <c r="M328" s="88"/>
      <c r="N328" s="88"/>
      <c r="O328" s="88"/>
      <c r="P328" s="88"/>
      <c r="Q328" s="201"/>
    </row>
    <row r="329" spans="1:17" ht="26.25" customHeight="1">
      <c r="A329" s="13"/>
      <c r="B329" s="28"/>
      <c r="C329" s="13"/>
      <c r="D329" s="13"/>
      <c r="E329" s="88"/>
      <c r="F329" s="88"/>
      <c r="G329" s="88"/>
      <c r="H329" s="88"/>
      <c r="I329" s="88"/>
      <c r="J329" s="88"/>
      <c r="K329" s="88"/>
      <c r="L329" s="88"/>
      <c r="M329" s="88"/>
      <c r="N329" s="88"/>
      <c r="O329" s="88"/>
      <c r="P329" s="88"/>
      <c r="Q329" s="201"/>
    </row>
    <row r="330" spans="1:19" s="111" customFormat="1" ht="24" customHeight="1">
      <c r="A330" s="109"/>
      <c r="B330" s="173" t="s">
        <v>504</v>
      </c>
      <c r="C330" s="173"/>
      <c r="D330" s="173"/>
      <c r="E330" s="173"/>
      <c r="F330" s="173"/>
      <c r="G330" s="173"/>
      <c r="H330" s="161"/>
      <c r="I330" s="161"/>
      <c r="J330" s="161"/>
      <c r="K330" s="161"/>
      <c r="L330" s="175" t="s">
        <v>505</v>
      </c>
      <c r="M330" s="175"/>
      <c r="N330" s="175"/>
      <c r="O330" s="175"/>
      <c r="P330" s="110"/>
      <c r="Q330" s="201"/>
      <c r="S330" s="112"/>
    </row>
    <row r="331" spans="1:19" s="107" customFormat="1" ht="30.75" customHeight="1">
      <c r="A331" s="113"/>
      <c r="B331" s="174"/>
      <c r="C331" s="174"/>
      <c r="D331" s="174"/>
      <c r="E331" s="174"/>
      <c r="F331" s="174"/>
      <c r="G331" s="174"/>
      <c r="H331" s="106"/>
      <c r="I331" s="106"/>
      <c r="J331" s="106"/>
      <c r="K331" s="106"/>
      <c r="L331" s="175"/>
      <c r="M331" s="175"/>
      <c r="N331" s="175"/>
      <c r="O331" s="175"/>
      <c r="P331" s="113"/>
      <c r="Q331" s="201"/>
      <c r="S331" s="108"/>
    </row>
    <row r="332" spans="1:19" s="107" customFormat="1" ht="23.25">
      <c r="A332" s="113"/>
      <c r="B332" s="113" t="s">
        <v>506</v>
      </c>
      <c r="C332" s="157"/>
      <c r="D332" s="114"/>
      <c r="E332" s="114"/>
      <c r="F332" s="114"/>
      <c r="G332" s="114"/>
      <c r="H332" s="114"/>
      <c r="I332" s="114"/>
      <c r="J332" s="114"/>
      <c r="K332" s="114"/>
      <c r="L332" s="114"/>
      <c r="M332" s="114"/>
      <c r="N332" s="113"/>
      <c r="O332" s="113"/>
      <c r="P332" s="113"/>
      <c r="Q332" s="201"/>
      <c r="S332" s="108"/>
    </row>
    <row r="333" spans="1:17" s="10" customFormat="1" ht="9.75" customHeight="1">
      <c r="A333" s="9"/>
      <c r="B333" s="121"/>
      <c r="C333" s="116"/>
      <c r="D333" s="116"/>
      <c r="E333" s="91"/>
      <c r="F333" s="118"/>
      <c r="G333" s="118"/>
      <c r="H333" s="118"/>
      <c r="I333" s="118"/>
      <c r="J333" s="118"/>
      <c r="K333" s="118"/>
      <c r="L333" s="90"/>
      <c r="M333" s="90"/>
      <c r="N333" s="90"/>
      <c r="O333" s="119"/>
      <c r="P333" s="119"/>
      <c r="Q333" s="201"/>
    </row>
    <row r="334" spans="1:17" s="89" customFormat="1" ht="11.25" customHeight="1">
      <c r="A334" s="9"/>
      <c r="B334" s="162"/>
      <c r="C334" s="163"/>
      <c r="D334" s="116"/>
      <c r="E334" s="91"/>
      <c r="F334" s="118"/>
      <c r="G334" s="118"/>
      <c r="H334" s="118"/>
      <c r="I334" s="118"/>
      <c r="J334" s="118"/>
      <c r="K334" s="118"/>
      <c r="L334" s="90"/>
      <c r="M334" s="90"/>
      <c r="N334" s="90"/>
      <c r="O334" s="119"/>
      <c r="P334" s="119"/>
      <c r="Q334" s="201"/>
    </row>
    <row r="335" spans="1:17" s="11" customFormat="1" ht="23.25" customHeight="1">
      <c r="A335" s="12"/>
      <c r="B335" s="158"/>
      <c r="C335" s="159"/>
      <c r="D335" s="159"/>
      <c r="E335" s="9"/>
      <c r="F335" s="2"/>
      <c r="G335" s="2"/>
      <c r="H335" s="2"/>
      <c r="I335" s="2"/>
      <c r="J335" s="2"/>
      <c r="K335" s="2"/>
      <c r="L335" s="2"/>
      <c r="M335" s="2"/>
      <c r="N335" s="2"/>
      <c r="O335" s="2"/>
      <c r="P335" s="160"/>
      <c r="Q335" s="201"/>
    </row>
    <row r="336" ht="23.25" customHeight="1">
      <c r="Q336" s="201"/>
    </row>
    <row r="337" spans="1:17" s="11" customFormat="1" ht="23.25" customHeight="1">
      <c r="A337" s="56"/>
      <c r="B337" s="70"/>
      <c r="C337" s="56"/>
      <c r="D337" s="56"/>
      <c r="E337" s="56"/>
      <c r="F337" s="56"/>
      <c r="G337" s="56"/>
      <c r="H337" s="56"/>
      <c r="I337" s="56"/>
      <c r="J337" s="56"/>
      <c r="K337" s="56"/>
      <c r="L337" s="56"/>
      <c r="M337" s="56"/>
      <c r="N337" s="56"/>
      <c r="O337" s="56"/>
      <c r="P337" s="56"/>
      <c r="Q337" s="201"/>
    </row>
    <row r="338" ht="23.25" customHeight="1">
      <c r="Q338" s="201"/>
    </row>
    <row r="339" spans="1:17" s="11" customFormat="1" ht="23.25" customHeight="1">
      <c r="A339" s="56"/>
      <c r="B339" s="70"/>
      <c r="C339" s="56"/>
      <c r="D339" s="56"/>
      <c r="E339" s="56"/>
      <c r="F339" s="56"/>
      <c r="G339" s="56"/>
      <c r="H339" s="56"/>
      <c r="I339" s="56"/>
      <c r="J339" s="56"/>
      <c r="K339" s="56"/>
      <c r="L339" s="56"/>
      <c r="M339" s="56"/>
      <c r="N339" s="56"/>
      <c r="O339" s="56"/>
      <c r="P339" s="56"/>
      <c r="Q339" s="120"/>
    </row>
    <row r="340" ht="12.75">
      <c r="Q340" s="120"/>
    </row>
    <row r="341" ht="12.75">
      <c r="Q341" s="120"/>
    </row>
    <row r="342" ht="12.75">
      <c r="Q342" s="120"/>
    </row>
  </sheetData>
  <sheetProtection/>
  <mergeCells count="48">
    <mergeCell ref="Q74:Q94"/>
    <mergeCell ref="Q95:Q124"/>
    <mergeCell ref="P10:P13"/>
    <mergeCell ref="S5:W5"/>
    <mergeCell ref="S7:W7"/>
    <mergeCell ref="Q54:Q73"/>
    <mergeCell ref="R1:R26"/>
    <mergeCell ref="L11:M11"/>
    <mergeCell ref="M12:M13"/>
    <mergeCell ref="K11:K13"/>
    <mergeCell ref="O12:O13"/>
    <mergeCell ref="L12:L13"/>
    <mergeCell ref="Q301:Q318"/>
    <mergeCell ref="Q319:Q338"/>
    <mergeCell ref="Q189:Q211"/>
    <mergeCell ref="Q212:Q238"/>
    <mergeCell ref="Q239:Q257"/>
    <mergeCell ref="Q258:Q280"/>
    <mergeCell ref="Q151:Q169"/>
    <mergeCell ref="C8:P8"/>
    <mergeCell ref="J11:J13"/>
    <mergeCell ref="Q281:Q300"/>
    <mergeCell ref="Q170:Q188"/>
    <mergeCell ref="Q142:Q150"/>
    <mergeCell ref="Q132:Q141"/>
    <mergeCell ref="Q125:Q131"/>
    <mergeCell ref="Q1:Q26"/>
    <mergeCell ref="Q27:Q53"/>
    <mergeCell ref="E10:I10"/>
    <mergeCell ref="P131:P132"/>
    <mergeCell ref="N11:N13"/>
    <mergeCell ref="F131:F132"/>
    <mergeCell ref="F11:F13"/>
    <mergeCell ref="H12:H13"/>
    <mergeCell ref="G11:H11"/>
    <mergeCell ref="G12:G13"/>
    <mergeCell ref="I11:I13"/>
    <mergeCell ref="J10:O10"/>
    <mergeCell ref="B330:G331"/>
    <mergeCell ref="L330:O331"/>
    <mergeCell ref="M1:O1"/>
    <mergeCell ref="B10:B13"/>
    <mergeCell ref="E11:E13"/>
    <mergeCell ref="B131:B132"/>
    <mergeCell ref="C131:C132"/>
    <mergeCell ref="E131:E132"/>
    <mergeCell ref="D10:D13"/>
    <mergeCell ref="C10:C13"/>
  </mergeCells>
  <printOptions horizontalCentered="1"/>
  <pageMargins left="0.1968503937007874" right="0.1968503937007874" top="0.7086614173228347" bottom="0.4330708661417323" header="0.5118110236220472" footer="0.2362204724409449"/>
  <pageSetup fitToHeight="18" fitToWidth="1" horizontalDpi="600" verticalDpi="600" orientation="landscape" paperSize="9" scale="53" r:id="rId1"/>
  <headerFooter alignWithMargins="0">
    <oddFooter xml:space="preserve">&amp;R&amp;12Сторінка  &amp;P </oddFooter>
  </headerFooter>
  <rowBreaks count="8" manualBreakCount="8">
    <brk id="75" min="1" max="15" man="1"/>
    <brk id="125" min="1" max="15" man="1"/>
    <brk id="141" min="1" max="15" man="1"/>
    <brk id="211" min="1" max="15" man="1"/>
    <brk id="257" min="1" max="15" man="1"/>
    <brk id="280" min="1" max="15" man="1"/>
    <brk id="300" min="1" max="16" man="1"/>
    <brk id="318" min="1"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2016-12-06T06:41:45Z</cp:lastPrinted>
  <dcterms:created xsi:type="dcterms:W3CDTF">2014-01-17T10:52:16Z</dcterms:created>
  <dcterms:modified xsi:type="dcterms:W3CDTF">2016-12-06T06:41:47Z</dcterms:modified>
  <cp:category/>
  <cp:version/>
  <cp:contentType/>
  <cp:contentStatus/>
</cp:coreProperties>
</file>