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2390" windowHeight="9315" activeTab="0"/>
  </bookViews>
  <sheets>
    <sheet name="дод.6" sheetId="1" r:id="rId1"/>
  </sheets>
  <definedNames>
    <definedName name="_xlfn.AGGREGATE" hidden="1">#NAME?</definedName>
    <definedName name="_xlnm.Print_Titles" localSheetId="0">'дод.6'!$9:$9</definedName>
    <definedName name="_xlnm.Print_Area" localSheetId="0">'дод.6'!$B$1:$I$227</definedName>
  </definedNames>
  <calcPr fullCalcOnLoad="1"/>
</workbook>
</file>

<file path=xl/sharedStrings.xml><?xml version="1.0" encoding="utf-8"?>
<sst xmlns="http://schemas.openxmlformats.org/spreadsheetml/2006/main" count="816" uniqueCount="451">
  <si>
    <t>Загальний фонд</t>
  </si>
  <si>
    <t>Спеціальний фонд</t>
  </si>
  <si>
    <t>0111</t>
  </si>
  <si>
    <t xml:space="preserve">Всього </t>
  </si>
  <si>
    <t>Разом загальний та спеціальний фонди</t>
  </si>
  <si>
    <t>1060</t>
  </si>
  <si>
    <t>0490</t>
  </si>
  <si>
    <t>0411</t>
  </si>
  <si>
    <t>Інші видатки на соціальний захист населення</t>
  </si>
  <si>
    <t>1090</t>
  </si>
  <si>
    <t>1040</t>
  </si>
  <si>
    <t>Програма   захисту  населення   і    території    м.  Суми    від  надзвичайних   ситуацій  техногенного та природного характеру на 2014-2018 роки</t>
  </si>
  <si>
    <t>Інші видатки</t>
  </si>
  <si>
    <t xml:space="preserve">Благоустрій міст, сіл, селищ </t>
  </si>
  <si>
    <t>0620</t>
  </si>
  <si>
    <t>0829</t>
  </si>
  <si>
    <t>0810</t>
  </si>
  <si>
    <t>Проведення навчально-тренувальних зборів і змагань з неолімпійських видів спорту</t>
  </si>
  <si>
    <t xml:space="preserve">Інші заходи у сфері електротранспорту </t>
  </si>
  <si>
    <t>0455</t>
  </si>
  <si>
    <t>Інші заходи, пов'язані з економічною діяльністю</t>
  </si>
  <si>
    <t>0220</t>
  </si>
  <si>
    <t>0540</t>
  </si>
  <si>
    <t>Цільові фонди, утворені Верховною Радою Автономної Республіки Крим, органами місцевого самоврядування і місцевими органами виконавчої влади</t>
  </si>
  <si>
    <t>0133</t>
  </si>
  <si>
    <t>Комплексна цільова програма реформування і розвитку житлово-комунального господарства міста Суми на 2015-2017 роки</t>
  </si>
  <si>
    <t>03 Виконавчий комітет Сумської міської ради</t>
  </si>
  <si>
    <t>10 Управління  освіти і науки Сумської міської ради</t>
  </si>
  <si>
    <t>0910</t>
  </si>
  <si>
    <t>0921</t>
  </si>
  <si>
    <t>0990</t>
  </si>
  <si>
    <t>Збереження природно-заповідного фонду</t>
  </si>
  <si>
    <t>0520</t>
  </si>
  <si>
    <t xml:space="preserve">14 Відділ охорони здоров’я Сумської міської ради  </t>
  </si>
  <si>
    <t>0731</t>
  </si>
  <si>
    <t>0733</t>
  </si>
  <si>
    <t>0722</t>
  </si>
  <si>
    <t>0726</t>
  </si>
  <si>
    <t>1070</t>
  </si>
  <si>
    <t>Інші видатки на соціальний захист ветеранів війни та праці</t>
  </si>
  <si>
    <t>1030</t>
  </si>
  <si>
    <t>Компенсаційні виплати на пільговий проїзд електротранспортом окремим категоріям громадян</t>
  </si>
  <si>
    <t>20 Служба у справах дітей Сумської міської ради</t>
  </si>
  <si>
    <t>24 Відділ культури та туризму Сумської міської ради</t>
  </si>
  <si>
    <t>0822</t>
  </si>
  <si>
    <t>41 Департамент інфраструктури міста Сумської міської ради</t>
  </si>
  <si>
    <t>0610</t>
  </si>
  <si>
    <t>Капітальний ремонт житлового фонду об'єднань співвласників багатоквартирних будинків</t>
  </si>
  <si>
    <t>0421</t>
  </si>
  <si>
    <t>0470</t>
  </si>
  <si>
    <t>Охорона та раціональне використання природних ресурсів</t>
  </si>
  <si>
    <t>0511</t>
  </si>
  <si>
    <t>47 Управління капітального будівництва та дорожнього господарства Сумської міської ради</t>
  </si>
  <si>
    <t xml:space="preserve">Програма молодіжного житлового кредитування м.Суми на 2011 - 2017 роки </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</si>
  <si>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</si>
  <si>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0180</t>
  </si>
  <si>
    <t>Інші субвенції</t>
  </si>
  <si>
    <t>50 Управління «Інспекція з благоустрою міста Суми»  Сумської міської ради</t>
  </si>
  <si>
    <t>грн.</t>
  </si>
  <si>
    <t>0830</t>
  </si>
  <si>
    <t>Програма зайнятості населення м. Суми на період до 2017 року</t>
  </si>
  <si>
    <t xml:space="preserve">Міська програма «Відкритий інформаційний простір м. Суми» на 2016-2018 роки </t>
  </si>
  <si>
    <t>Міська програма «Місто Суми – територія добра та милосердя на 2016 – 2018 роки»</t>
  </si>
  <si>
    <t>Міська цільова програма «Соціальні служби готові прийти на допомогу на 2016-2018 роки»</t>
  </si>
  <si>
    <t xml:space="preserve">Програма «Молодь міста Суми на 2016-2018 роки» </t>
  </si>
  <si>
    <t>Програма  «Фізична культура і спорт  міста Суми на 2016 - 2018 роки»</t>
  </si>
  <si>
    <t xml:space="preserve">Міська цільова (комплексна) Програма розвитку міського пасажирського транспорту м. Суми на 2016-2018 роки </t>
  </si>
  <si>
    <t>Комплексна програма охорони навколишнього природного середовища м. Суми на 2016-2018 роки</t>
  </si>
  <si>
    <t xml:space="preserve">Міська комплексна програма «Правопорядок» на період 2016-2018 роки </t>
  </si>
  <si>
    <t>Регулювання цін на послуги місцевого автотранспорту</t>
  </si>
  <si>
    <t>0451</t>
  </si>
  <si>
    <t>Регулювання цін на послуги міського електротранспорту</t>
  </si>
  <si>
    <t>0453</t>
  </si>
  <si>
    <t xml:space="preserve">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</si>
  <si>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1050</t>
  </si>
  <si>
    <t>Організація проведення громадських робіт</t>
  </si>
  <si>
    <t>Інші освітні програми</t>
  </si>
  <si>
    <t>0824</t>
  </si>
  <si>
    <t>Бібліотеки</t>
  </si>
  <si>
    <t>0960</t>
  </si>
  <si>
    <t>Школи естетичного виховання дітей</t>
  </si>
  <si>
    <t>Міська комплексна програма «Охорона здоров’я на 2016-2020 роки» (Підпрограма  VІІ «Розвиток матеріально-технічної бази лікувально-профілактичних закладів міста на 2016-2020 роки»)</t>
  </si>
  <si>
    <t>Міська цільова комплексна Програма розвитку культури  міста Суми на 2016 - 2018 роки (Підпрограма І «Культурно-масова робота»)</t>
  </si>
  <si>
    <t>Міська цільова комплексна Програма розвитку культури  міста Суми на 2016 - 2018 роки (Підпрограма ІV «Розвиток та модернізація існуючої мережі закладів культури міста»)</t>
  </si>
  <si>
    <t>Комплексна міська програма «Освіта м. Суми на 2016-2018 роки» (Підпрограма V «Робота з обдарованою учнівською молоддю»)</t>
  </si>
  <si>
    <t>Комплексна міська програма «Освіта м. Суми на 2016-2018 роки» (Підпрограма 10 «Матеріально-технічне забезпечення закладів»)</t>
  </si>
  <si>
    <t>0922</t>
  </si>
  <si>
    <t>1020</t>
  </si>
  <si>
    <t>Інша діяльність у сфері охорони навколишнього природного середовища</t>
  </si>
  <si>
    <t xml:space="preserve">Комплексна цільова програма реформування і розвитку житлово-комунального господарства міста Суми на 2015-2017 роки </t>
  </si>
  <si>
    <t>Ліквідація іншого забруднення навколишнього
природного середовища</t>
  </si>
  <si>
    <t>0513</t>
  </si>
  <si>
    <t xml:space="preserve">15 Департамент соціального захисту населення Сумської міської ради </t>
  </si>
  <si>
    <t>75 Департамент фінансів, економіки та інвестицій Сумської міської ради</t>
  </si>
  <si>
    <t>Компенсаційні виплати на пільговий проїзд автомобільним транспортом окремим категоріям громадян</t>
  </si>
  <si>
    <t>48 Управління архітектури та містобудування Сумської міської ради</t>
  </si>
  <si>
    <t>76 Департамент фінансів, економіки та інвестицій Сумської міської ради (в частині міжбюджетних трансфертів, резервного фонду)</t>
  </si>
  <si>
    <t>Благоустрій міст, сіл, селищ</t>
  </si>
  <si>
    <t>45 Департамент забезпечення  ресурсних платежів Сумської міської ради</t>
  </si>
  <si>
    <t xml:space="preserve">Міська програма «Відкритий інформаційний простір м.Суми» на 2016-2018 роки </t>
  </si>
  <si>
    <t>Комплексна цільова Програма управління та ефективного використання майна комунальної власності  та земельних ресурсів територіальної громади міста Суми на 2016-2018 роки</t>
  </si>
  <si>
    <t>Код програмної класифікації видатків та кредитування місцевих бюджетів</t>
  </si>
  <si>
    <t>Код ТПКВКМБ /
ТКВКБМС</t>
  </si>
  <si>
    <t>1010</t>
  </si>
  <si>
    <t>1210</t>
  </si>
  <si>
    <t>1220</t>
  </si>
  <si>
    <t>2010</t>
  </si>
  <si>
    <t>2050</t>
  </si>
  <si>
    <t>2140</t>
  </si>
  <si>
    <t>2180</t>
  </si>
  <si>
    <t>3400</t>
  </si>
  <si>
    <t>3132</t>
  </si>
  <si>
    <t>3140</t>
  </si>
  <si>
    <t>3160</t>
  </si>
  <si>
    <t>3500</t>
  </si>
  <si>
    <t>3031</t>
  </si>
  <si>
    <t>3033</t>
  </si>
  <si>
    <t>3034</t>
  </si>
  <si>
    <t>3201</t>
  </si>
  <si>
    <t>3240</t>
  </si>
  <si>
    <t>3104</t>
  </si>
  <si>
    <t>3190</t>
  </si>
  <si>
    <t>3202</t>
  </si>
  <si>
    <t>3220</t>
  </si>
  <si>
    <t>0310180</t>
  </si>
  <si>
    <t>3130</t>
  </si>
  <si>
    <t>0313130</t>
  </si>
  <si>
    <t>1010180</t>
  </si>
  <si>
    <t>1410180</t>
  </si>
  <si>
    <t>4110180</t>
  </si>
  <si>
    <t>4710180</t>
  </si>
  <si>
    <t>4810180</t>
  </si>
  <si>
    <t>Дошкільна освiта</t>
  </si>
  <si>
    <t>Програми і заходи центрів соціальних служб для сім'ї, дітей та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</si>
  <si>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</si>
  <si>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Iншi культурно-освiтнi заклади та заходи</t>
  </si>
  <si>
    <t>Підтримка книговидання</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</si>
  <si>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</si>
  <si>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</si>
  <si>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</si>
  <si>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Сприяння розвитку малого та середнього підприємництва</t>
  </si>
  <si>
    <t>Внески до статутного капіталу суб’єктів господарювання</t>
  </si>
  <si>
    <t>Заходи у сфері захисту населення і територій від надзвичайних ситуацій техногенного та природного характеру</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</si>
  <si>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</si>
  <si>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</si>
  <si>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</si>
  <si>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Утримання інших закладів освіти</t>
  </si>
  <si>
    <t>Багатопрофільна стаціонарна медична допомога населенню</t>
  </si>
  <si>
    <t>Лікарсько-акушерська допомога  вагітним, породіллям та новонародженим</t>
  </si>
  <si>
    <t>Надання стоматологічної допомоги населенню</t>
  </si>
  <si>
    <t>Первинна медична допомога населенню</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</si>
  <si>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</si>
  <si>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Пільгове медичне обслуговування осіб, які постраждали внаслідок Чорнобильської катастрофи</t>
  </si>
  <si>
    <t>Надання пільг окремим категоріям громадян з оплати послуг зв'язку</t>
  </si>
  <si>
    <t>Організація та проведення громадських робіт</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</si>
  <si>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</si>
  <si>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</si>
  <si>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</si>
  <si>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Забезпечення обробки інформації з нарахування та виплати допомог і компенсацій</t>
  </si>
  <si>
    <t>Заходи державної політики з питань дітей та їх соціального захисту</t>
  </si>
  <si>
    <t>Фiлармонiї, музичнi колективи i ансамблі та iншi мистецькі  заклади та заходи</t>
  </si>
  <si>
    <t>Забезпечення надійного та безперебійного функціонування житлово-експлуатаційного господарства</t>
  </si>
  <si>
    <t>Капітальний ремонт житлового фонду</t>
  </si>
  <si>
    <t>Забезпечення функціонування водопровідно-каналізаційного господарства</t>
  </si>
  <si>
    <t>Впровадження засобів обліку витрат та регулювання споживання води та теплової енергії</t>
  </si>
  <si>
    <t>Реалізація заходів щодо інвестиційного розвитку території</t>
  </si>
  <si>
    <t>Проведення заходів із землеустрою</t>
  </si>
  <si>
    <t>Заходи з енергозбереження</t>
  </si>
  <si>
    <t>Збереження, розвиток, реконструкція та реставрація  пам’яток історії та культури</t>
  </si>
  <si>
    <t>1412010</t>
  </si>
  <si>
    <t>1412050</t>
  </si>
  <si>
    <t>1412140</t>
  </si>
  <si>
    <t>1412180</t>
  </si>
  <si>
    <t>Заклади і заходи з питань дітей та їх соціального захисту</t>
  </si>
  <si>
    <t>3110</t>
  </si>
  <si>
    <t>3112</t>
  </si>
  <si>
    <t>2013112</t>
  </si>
  <si>
    <t>4030</t>
  </si>
  <si>
    <t>2414030</t>
  </si>
  <si>
    <t>4060</t>
  </si>
  <si>
    <t>2414060</t>
  </si>
  <si>
    <t>4100</t>
  </si>
  <si>
    <t>2414100</t>
  </si>
  <si>
    <t>7310</t>
  </si>
  <si>
    <t>4517310</t>
  </si>
  <si>
    <t>8600</t>
  </si>
  <si>
    <t>4518600</t>
  </si>
  <si>
    <t>8800</t>
  </si>
  <si>
    <t>7618800</t>
  </si>
  <si>
    <t>9140</t>
  </si>
  <si>
    <t>7519140</t>
  </si>
  <si>
    <t>6060</t>
  </si>
  <si>
    <t>7470</t>
  </si>
  <si>
    <t>9180</t>
  </si>
  <si>
    <t>4819180</t>
  </si>
  <si>
    <t>4712010</t>
  </si>
  <si>
    <t>4716060</t>
  </si>
  <si>
    <t>6310</t>
  </si>
  <si>
    <t>4716310</t>
  </si>
  <si>
    <t>Збереження пам’яток історії та культури</t>
  </si>
  <si>
    <t>6420</t>
  </si>
  <si>
    <t>4716420</t>
  </si>
  <si>
    <t>6421</t>
  </si>
  <si>
    <t>4716421</t>
  </si>
  <si>
    <t>4717470</t>
  </si>
  <si>
    <t>9110</t>
  </si>
  <si>
    <t>9130</t>
  </si>
  <si>
    <t>9150</t>
  </si>
  <si>
    <t>4719110</t>
  </si>
  <si>
    <t>4719130</t>
  </si>
  <si>
    <t>4818600</t>
  </si>
  <si>
    <t>Надання та повернення пільгового довгострокового кредиту на будівництво (реконструкцію) та придбання житла</t>
  </si>
  <si>
    <t>8100</t>
  </si>
  <si>
    <t>4718100</t>
  </si>
  <si>
    <t>4113240</t>
  </si>
  <si>
    <t>6010</t>
  </si>
  <si>
    <t>4116010</t>
  </si>
  <si>
    <t>Капітальний ремонт об’єктів житлового господарства</t>
  </si>
  <si>
    <t>6020</t>
  </si>
  <si>
    <t>4116020</t>
  </si>
  <si>
    <t>6021</t>
  </si>
  <si>
    <t>6022</t>
  </si>
  <si>
    <t>4116021</t>
  </si>
  <si>
    <t>4116022</t>
  </si>
  <si>
    <t>Фінансова підтримка об’єктів комунального господарства</t>
  </si>
  <si>
    <t>6050</t>
  </si>
  <si>
    <t>4116050</t>
  </si>
  <si>
    <t>6052</t>
  </si>
  <si>
    <t>4116052</t>
  </si>
  <si>
    <t>4116060</t>
  </si>
  <si>
    <t>6100</t>
  </si>
  <si>
    <t>4116100</t>
  </si>
  <si>
    <t>4117310</t>
  </si>
  <si>
    <t>7410</t>
  </si>
  <si>
    <t>4117410</t>
  </si>
  <si>
    <t>4117470</t>
  </si>
  <si>
    <t>7630</t>
  </si>
  <si>
    <t>4117630</t>
  </si>
  <si>
    <t>4118600</t>
  </si>
  <si>
    <t>4118800</t>
  </si>
  <si>
    <t>4119110</t>
  </si>
  <si>
    <t>4119150</t>
  </si>
  <si>
    <t>1011010</t>
  </si>
  <si>
    <t>1011020</t>
  </si>
  <si>
    <t>1011070</t>
  </si>
  <si>
    <t>1011090</t>
  </si>
  <si>
    <t>1011210</t>
  </si>
  <si>
    <t>1011220</t>
  </si>
  <si>
    <t>1013160</t>
  </si>
  <si>
    <t>1019140</t>
  </si>
  <si>
    <t>1019150</t>
  </si>
  <si>
    <t>3030</t>
  </si>
  <si>
    <t>3038</t>
  </si>
  <si>
    <t>Здійснення соціальної роботи з вразливими категоріями населення</t>
  </si>
  <si>
    <t>0313140</t>
  </si>
  <si>
    <t>0313160</t>
  </si>
  <si>
    <t>0313400</t>
  </si>
  <si>
    <t>0313500</t>
  </si>
  <si>
    <t>4200</t>
  </si>
  <si>
    <t>0314200</t>
  </si>
  <si>
    <t>Проведення спортивної роботи в регіоні</t>
  </si>
  <si>
    <t>5010</t>
  </si>
  <si>
    <t>0315010</t>
  </si>
  <si>
    <t>5011</t>
  </si>
  <si>
    <t>5012</t>
  </si>
  <si>
    <t>0315011</t>
  </si>
  <si>
    <t>0315012</t>
  </si>
  <si>
    <t>0315020</t>
  </si>
  <si>
    <t>5060</t>
  </si>
  <si>
    <t>6610</t>
  </si>
  <si>
    <t>0316610</t>
  </si>
  <si>
    <t>Регулювання цін на послуги метрополітену та міського електротранспорту</t>
  </si>
  <si>
    <t>6630</t>
  </si>
  <si>
    <t>0316630</t>
  </si>
  <si>
    <t>6632</t>
  </si>
  <si>
    <t>0316632</t>
  </si>
  <si>
    <t>6640</t>
  </si>
  <si>
    <t>0316640</t>
  </si>
  <si>
    <t>Підтримка засобів масової інформації</t>
  </si>
  <si>
    <t>7210</t>
  </si>
  <si>
    <t>0317210</t>
  </si>
  <si>
    <t>7213</t>
  </si>
  <si>
    <t>0317213</t>
  </si>
  <si>
    <t>7450</t>
  </si>
  <si>
    <t>0317450</t>
  </si>
  <si>
    <t>0317470</t>
  </si>
  <si>
    <t>7500</t>
  </si>
  <si>
    <t>0317500</t>
  </si>
  <si>
    <t>7820</t>
  </si>
  <si>
    <t>0317820</t>
  </si>
  <si>
    <t>0318600</t>
  </si>
  <si>
    <t>0319140</t>
  </si>
  <si>
    <t>1513031</t>
  </si>
  <si>
    <t>1513033</t>
  </si>
  <si>
    <t>1513034</t>
  </si>
  <si>
    <t>3035</t>
  </si>
  <si>
    <t>1513035</t>
  </si>
  <si>
    <t>1513038</t>
  </si>
  <si>
    <t>Надання соціальних та реабілітаційних послуг громадянам похилого віку, інвалідам, дітям-інвалідам в установах соціального обслуговування</t>
  </si>
  <si>
    <t>1513104</t>
  </si>
  <si>
    <t>1513190</t>
  </si>
  <si>
    <t>3200</t>
  </si>
  <si>
    <t>1513200</t>
  </si>
  <si>
    <t>Соціальний захист ветеранів війни та праці</t>
  </si>
  <si>
    <t>1513201</t>
  </si>
  <si>
    <t>1513202</t>
  </si>
  <si>
    <t>1513240</t>
  </si>
  <si>
    <t>1513220</t>
  </si>
  <si>
    <t>1513400</t>
  </si>
  <si>
    <t>1017410</t>
  </si>
  <si>
    <t xml:space="preserve">Програма підвищення   енергоефективності в бюджетній сфері міств  Суми на 2017-2019 роки </t>
  </si>
  <si>
    <t>4517450</t>
  </si>
  <si>
    <t>Цільова Програма підтримки малого та середнього підприємництва в м.Суми на 2017-2019 роки</t>
  </si>
  <si>
    <t>Цільова  програма підтримки малого та середнього підприємництва в м.Суми на 2017-2019 роки</t>
  </si>
  <si>
    <t xml:space="preserve">Програма економічного і соціального розвитку м. Суми на 2017 рік  </t>
  </si>
  <si>
    <t>Надання бюджетних позичок суб'єктам підприємницької діяльності</t>
  </si>
  <si>
    <t>4718091</t>
  </si>
  <si>
    <t>8091</t>
  </si>
  <si>
    <t>478103</t>
  </si>
  <si>
    <t>8103</t>
  </si>
  <si>
    <t>Надання пільгового довгострокового кредиту громадянам на будівництво (реконструкцію) та придбання житла</t>
  </si>
  <si>
    <t xml:space="preserve">Програма економічного і соціального розвитку м. Суми на 2017 рік </t>
  </si>
  <si>
    <t xml:space="preserve">Програма контролю за додержанням Правил благоустрою міста Суми на 2017-2019 роки </t>
  </si>
  <si>
    <t>Програма економічного і соціального розвитку м. Суми на  2017 рік</t>
  </si>
  <si>
    <t>1417410</t>
  </si>
  <si>
    <t>1517410</t>
  </si>
  <si>
    <t>2417410</t>
  </si>
  <si>
    <t>4717410</t>
  </si>
  <si>
    <t>Надання та повернення бюджетних позичок суб'єктам підприємницької діяльності</t>
  </si>
  <si>
    <t>8090</t>
  </si>
  <si>
    <t>4718090</t>
  </si>
  <si>
    <t>4718108</t>
  </si>
  <si>
    <t>8108</t>
  </si>
  <si>
    <t>4118092</t>
  </si>
  <si>
    <t>Повернення бюджетних позичок</t>
  </si>
  <si>
    <t>8092</t>
  </si>
  <si>
    <t>4718092</t>
  </si>
  <si>
    <t>Повернення коштів, наданих для кредитування громадян на будівництво (реконструкцію) та придбання житла</t>
  </si>
  <si>
    <t>4718104</t>
  </si>
  <si>
    <t>8104</t>
  </si>
  <si>
    <t>4118090</t>
  </si>
  <si>
    <t>Виконання міської програми "Соціальна підтримка учасників антитерористичної операції та членів їх сімей" на 2017-2019 роки"</t>
  </si>
  <si>
    <t>2410180</t>
  </si>
  <si>
    <t>0319180</t>
  </si>
  <si>
    <t xml:space="preserve">Виконання Комплексної міської програми «Освіта м. Суми на 2016-2018 роки» </t>
  </si>
  <si>
    <t>Виконання міської Програми «Місто Суми – територія добра та милосердя на 2016 – 2018 роки»</t>
  </si>
  <si>
    <t xml:space="preserve">Виконання міської Програми «Соціальні служби готові прийти на допомогу на 2016-2018 роки»» </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</si>
  <si>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</si>
  <si>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</si>
  <si>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 xml:space="preserve">Виконання міської програми «Автоматизація муніципальних телекомунікаційних систем на 2016- 2018 роки в м. Суми» </t>
  </si>
  <si>
    <t>0313038</t>
  </si>
  <si>
    <t>0313030</t>
  </si>
  <si>
    <t>Виконання «Комплексна цільова програма реформування і розвитку житлово-комунального господарства міста Суми на 2015-2017 роки»</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</si>
  <si>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</si>
  <si>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 xml:space="preserve">Виконання програми контролю за додержанням Правил благоустрою міста Суми на 2017-2019 роки </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</si>
  <si>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</si>
  <si>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Найменування місцевої (регіональної) програми</t>
  </si>
  <si>
    <t>Код ФКВКБ</t>
  </si>
  <si>
    <t>вивезення побутового сміття та рідких нечистот) та компенсації за пільговий проїзд окремих категорій громадян</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</si>
  <si>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</si>
  <si>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t>
  </si>
  <si>
    <t xml:space="preserve">Інші субвенції сільському бюджету с. Піщане </t>
  </si>
  <si>
    <t xml:space="preserve">Програма підвищення   енергоефективності в бюджетній сфері міста Суми на 2017-2019 роки </t>
  </si>
  <si>
    <t>Комплексна міська програма «Освіта м. Суми на 2016-2018 роки» (Підпрограма 9 «Забезпечення безпечних та комфортних умов для дітей та учнів навчальних закладів»)</t>
  </si>
  <si>
    <t>4116430</t>
  </si>
  <si>
    <t>6430</t>
  </si>
  <si>
    <t>0443</t>
  </si>
  <si>
    <t>Розробка схем та проектних рішень масового застосування</t>
  </si>
  <si>
    <t>4116310</t>
  </si>
  <si>
    <t>Реалізація державної політики у молодіжній сфері</t>
  </si>
  <si>
    <t>Здійснення фізкультурно-спортивної та реабілітаційної роботи серед інвалідів</t>
  </si>
  <si>
    <t>Інші заходи з розвитку фізичної культури та спорту</t>
  </si>
  <si>
    <t>5062</t>
  </si>
  <si>
    <t>5030</t>
  </si>
  <si>
    <t>5031</t>
  </si>
  <si>
    <t>5032</t>
  </si>
  <si>
    <t>0315031</t>
  </si>
  <si>
    <t>0315032</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</si>
  <si>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</si>
  <si>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</si>
  <si>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5061</t>
  </si>
  <si>
    <t>Розвиток дитячо-юнацького та резервного спорту</t>
  </si>
  <si>
    <t>1015030</t>
  </si>
  <si>
    <t>1015031</t>
  </si>
  <si>
    <t xml:space="preserve">Міська програма «Автоматизація муніципальних телекомунікаційних систем на 2017- 2019 роки в м. Суми»  </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</si>
  <si>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2017-2016 роки"</t>
  </si>
  <si>
    <t>Міська цільова Програма з реалізації Конвенції ООН про права дитини на 2017-2019 роки</t>
  </si>
  <si>
    <t>0313141</t>
  </si>
  <si>
    <t>3141</t>
  </si>
  <si>
    <t>Здійснення заходів та реалізація проетів на виконання Державної цільової соціальної програми "Молодь України"</t>
  </si>
  <si>
    <t>0315060</t>
  </si>
  <si>
    <t>0315061</t>
  </si>
  <si>
    <t>0315062</t>
  </si>
  <si>
    <t>Програма фінансового забезпечення відзначення на території міста державних, професійних свят, ювілейних дат та інших подій на 2017-2019 роки</t>
  </si>
  <si>
    <t>Керівництво і управління у відповідній сфері у містах, селищах, селах</t>
  </si>
  <si>
    <t>Перелік міських цільових програм, які фінансуватимуться за рахунок коштів
міського бюджету у 2017 році</t>
  </si>
  <si>
    <t>4116420</t>
  </si>
  <si>
    <t>4116421</t>
  </si>
  <si>
    <t>4817470</t>
  </si>
  <si>
    <t xml:space="preserve">Виконання міської комплексної програми «Правопорядок» на період 2016-2018 роки </t>
  </si>
  <si>
    <t>Про затвердження Програми розвитку міського парку ім. І.М. Кожедуьа на 2017-2020 роки</t>
  </si>
  <si>
    <t>5018600</t>
  </si>
  <si>
    <t>1513037</t>
  </si>
  <si>
    <t>3037</t>
  </si>
  <si>
    <t>Компенсаційні виплати за пільговий проїзд окремих категорій громадян на залізничному транспорті</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</si>
  <si>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</si>
  <si>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</si>
  <si>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</si>
  <si>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Міська цільова "Програма з військово-патріотичного виховання молоді, сприяння організації призову громадян на строкову військову службу до Збройних Сил України та військовим формуванням, розташованим на території міста Суми, у проведенні заходів з оборони та мобілізації на 2017 рік"</t>
  </si>
  <si>
    <t>4716650</t>
  </si>
  <si>
    <t>6650</t>
  </si>
  <si>
    <t>Утримання та розвиток інфраструктури доріг</t>
  </si>
  <si>
    <t>0456</t>
  </si>
  <si>
    <t>4119180</t>
  </si>
  <si>
    <t>0318800</t>
  </si>
  <si>
    <t>Виконання програми "Програма   захисту  населення   і    території    м.  Суми    від  надзвичайних   ситуацій  техногенного та природного характеру на 2014-2018 роки"</t>
  </si>
  <si>
    <t>Міська цільова програма "Два колеса" зі створення та розвитку велосипедних доріжок у м. Суми на 2013-2018 роки</t>
  </si>
  <si>
    <t>Утримання та проведення заходів КУ "Сумський міський центр дозвілля молоді"</t>
  </si>
  <si>
    <t xml:space="preserve">Утримання та проведення заходів КУ «Агенція промоції «Суми» </t>
  </si>
  <si>
    <t>Комплексна міська програма «Освіта м. Суми на 2016-2018 роки» (Підпрограма 6 «Сучасні інформаційні технології»)</t>
  </si>
  <si>
    <t>Програма регулювання містобудівної діяльності</t>
  </si>
  <si>
    <t>0313131</t>
  </si>
  <si>
    <t>4116130</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</si>
  <si>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</si>
  <si>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</si>
  <si>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 xml:space="preserve">Міська програма "Соціальна підтримка учасників антитериростичної операції та членів їх сімей на 2017-2019 роки" </t>
  </si>
  <si>
    <t>1412220</t>
  </si>
  <si>
    <t>2220</t>
  </si>
  <si>
    <t>0763</t>
  </si>
  <si>
    <t>Інші заходи в галузі охорони здоров'я</t>
  </si>
  <si>
    <t>до  рішення Сумської  міської  ради</t>
  </si>
  <si>
    <t>«Про   внесення   змін   та  доповнень</t>
  </si>
  <si>
    <t>до   міського  бюджету  на  2017 рік»</t>
  </si>
  <si>
    <t>Виконавець: Липова С.А.</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</si>
  <si>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</si>
  <si>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Цільова програма капітального ремонту, модернізації та диспетчеризації ліфтів у місті Суми на 2017-2019 роки</t>
  </si>
  <si>
    <t>0316800</t>
  </si>
  <si>
    <t>6800</t>
  </si>
  <si>
    <t>Інші заходи у сфері автомобільного транспорту</t>
  </si>
  <si>
    <t>Міська цільова (комплексна) «Програми розвитку міського пасажирського транспорту м. Суми на 2016 – 2018 роки»</t>
  </si>
  <si>
    <t>Виконання міської цільової (комплексної) «Програми розвитку міського пасажирського транспорту м. Суми на 2016 – 2018 роки»</t>
  </si>
  <si>
    <t>Інша субвенція до обласного бюджету Сумської області</t>
  </si>
  <si>
    <t xml:space="preserve">Інша субвенції Краснопільському районному бюджету </t>
  </si>
  <si>
    <t xml:space="preserve">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t>
  </si>
  <si>
    <t>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</si>
  <si>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                Додаток № 6</t>
  </si>
  <si>
    <t xml:space="preserve">Виконання програми "Програма підвищення енергоефективності в бюджетній сфері міств  Суми на 2017-2019 роки" </t>
  </si>
  <si>
    <t>Виконання програми «Програма економічного і соціального розвитку м. Суми на  2017 рік»</t>
  </si>
  <si>
    <t>від 21 червня 2017 року № 2245-МР</t>
  </si>
  <si>
    <t>Секретар Сумської міської ради</t>
  </si>
  <si>
    <t>А.В. Баранов</t>
  </si>
</sst>
</file>

<file path=xl/styles.xml><?xml version="1.0" encoding="utf-8"?>
<styleSheet xmlns="http://schemas.openxmlformats.org/spreadsheetml/2006/main">
  <numFmts count="6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quot;Да&quot;;&quot;Да&quot;;&quot;Нет&quot;"/>
    <numFmt numFmtId="214" formatCode="&quot;Истина&quot;;&quot;Истина&quot;;&quot;Ложь&quot;"/>
    <numFmt numFmtId="215" formatCode="&quot;Вкл&quot;;&quot;Вкл&quot;;&quot;Выкл&quot;"/>
    <numFmt numFmtId="216" formatCode="[$€-2]\ ###,000_);[Red]\([$€-2]\ ###,000\)"/>
    <numFmt numFmtId="217" formatCode="#,##0.000"/>
  </numFmts>
  <fonts count="52">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4"/>
      <name val="Times New Roman"/>
      <family val="1"/>
    </font>
    <font>
      <sz val="12"/>
      <name val="Times New Roman"/>
      <family val="1"/>
    </font>
    <font>
      <sz val="10"/>
      <color indexed="8"/>
      <name val="Arial"/>
      <family val="2"/>
    </font>
    <font>
      <sz val="18"/>
      <name val="Times New Roman"/>
      <family val="1"/>
    </font>
    <font>
      <sz val="16"/>
      <name val="Times New Roman"/>
      <family val="1"/>
    </font>
    <font>
      <sz val="22"/>
      <name val="Times New Roman"/>
      <family val="1"/>
    </font>
    <font>
      <sz val="35"/>
      <name val="Times New Roman"/>
      <family val="1"/>
    </font>
    <font>
      <sz val="30"/>
      <name val="Times New Roman"/>
      <family val="1"/>
    </font>
    <font>
      <b/>
      <sz val="30"/>
      <name val="Times New Roman"/>
      <family val="1"/>
    </font>
    <font>
      <sz val="40"/>
      <name val="Times New Roman"/>
      <family val="1"/>
    </font>
    <font>
      <b/>
      <sz val="40"/>
      <name val="Times New Roman"/>
      <family val="1"/>
    </font>
    <font>
      <b/>
      <sz val="35"/>
      <name val="Times New Roman"/>
      <family val="1"/>
    </font>
    <font>
      <sz val="45"/>
      <name val="Times New Roman"/>
      <family val="1"/>
    </font>
    <font>
      <sz val="50"/>
      <name val="Times New Roman"/>
      <family val="1"/>
    </font>
    <font>
      <b/>
      <sz val="50"/>
      <name val="Times New Roman"/>
      <family val="1"/>
    </font>
    <font>
      <i/>
      <sz val="35"/>
      <name val="Times New Roman"/>
      <family val="1"/>
    </font>
    <font>
      <i/>
      <sz val="10"/>
      <name val="Times New Roman"/>
      <family val="1"/>
    </font>
    <font>
      <b/>
      <i/>
      <sz val="10"/>
      <name val="Times New Roman"/>
      <family val="1"/>
    </font>
    <font>
      <i/>
      <sz val="10"/>
      <color indexed="10"/>
      <name val="Times New Roman"/>
      <family val="1"/>
    </font>
    <font>
      <b/>
      <i/>
      <sz val="35"/>
      <name val="Times New Roman"/>
      <family val="1"/>
    </font>
    <font>
      <i/>
      <sz val="35"/>
      <color indexed="10"/>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b/>
      <sz val="50"/>
      <color indexed="8"/>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20"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1"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4" fillId="6"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0" fillId="0" borderId="0">
      <alignment/>
      <protection/>
    </xf>
    <xf numFmtId="0" fontId="22" fillId="0" borderId="0">
      <alignment/>
      <protection/>
    </xf>
    <xf numFmtId="0" fontId="20" fillId="0" borderId="0">
      <alignment/>
      <protection/>
    </xf>
    <xf numFmtId="0" fontId="2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6"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49" fillId="26" borderId="1" applyNumberFormat="0" applyAlignment="0" applyProtection="0"/>
    <xf numFmtId="0" fontId="20" fillId="0" borderId="0">
      <alignment/>
      <protection/>
    </xf>
    <xf numFmtId="0" fontId="23"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50" fillId="13" borderId="0" applyNumberFormat="0" applyBorder="0" applyAlignment="0" applyProtection="0"/>
    <xf numFmtId="0" fontId="19"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78">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25" fillId="0" borderId="0" xfId="0" applyNumberFormat="1" applyFont="1" applyFill="1" applyAlignment="1" applyProtection="1">
      <alignment/>
      <protection/>
    </xf>
    <xf numFmtId="0" fontId="25" fillId="0" borderId="0" xfId="0" applyFont="1" applyFill="1" applyAlignment="1">
      <alignment/>
    </xf>
    <xf numFmtId="0" fontId="0" fillId="0" borderId="0" xfId="0" applyNumberFormat="1" applyFont="1" applyFill="1" applyBorder="1" applyAlignment="1" applyProtection="1">
      <alignment/>
      <protection/>
    </xf>
    <xf numFmtId="0" fontId="18" fillId="0" borderId="0" xfId="0" applyNumberFormat="1" applyFont="1" applyFill="1" applyAlignment="1" applyProtection="1">
      <alignment/>
      <protection/>
    </xf>
    <xf numFmtId="0" fontId="18" fillId="0" borderId="0" xfId="0" applyFont="1" applyFill="1" applyAlignment="1">
      <alignment/>
    </xf>
    <xf numFmtId="0" fontId="27" fillId="0" borderId="0" xfId="0" applyFont="1" applyFill="1" applyAlignment="1">
      <alignment vertical="center"/>
    </xf>
    <xf numFmtId="0" fontId="0" fillId="0" borderId="0" xfId="0" applyFont="1" applyFill="1" applyAlignment="1">
      <alignment/>
    </xf>
    <xf numFmtId="0" fontId="28" fillId="0" borderId="0" xfId="0" applyFont="1" applyFill="1" applyAlignment="1">
      <alignment/>
    </xf>
    <xf numFmtId="0" fontId="27" fillId="0" borderId="0" xfId="0" applyNumberFormat="1" applyFont="1" applyFill="1" applyAlignment="1" applyProtection="1">
      <alignment/>
      <protection/>
    </xf>
    <xf numFmtId="3" fontId="29" fillId="0" borderId="0" xfId="0" applyNumberFormat="1" applyFont="1" applyFill="1" applyBorder="1" applyAlignment="1">
      <alignment wrapText="1"/>
    </xf>
    <xf numFmtId="0" fontId="27" fillId="0" borderId="0" xfId="0" applyNumberFormat="1" applyFont="1" applyFill="1" applyAlignment="1" applyProtection="1">
      <alignment horizontal="center"/>
      <protection/>
    </xf>
    <xf numFmtId="0" fontId="27" fillId="0" borderId="0" xfId="0" applyFont="1" applyFill="1" applyAlignment="1">
      <alignment/>
    </xf>
    <xf numFmtId="4" fontId="30" fillId="0" borderId="12" xfId="95" applyNumberFormat="1" applyFont="1" applyFill="1" applyBorder="1" applyAlignment="1">
      <alignment vertical="center"/>
      <protection/>
    </xf>
    <xf numFmtId="0" fontId="31" fillId="0" borderId="0" xfId="0" applyNumberFormat="1" applyFont="1" applyFill="1" applyAlignment="1" applyProtection="1">
      <alignment vertical="top"/>
      <protection/>
    </xf>
    <xf numFmtId="0" fontId="31" fillId="0" borderId="0" xfId="0" applyNumberFormat="1" applyFont="1" applyFill="1" applyAlignment="1" applyProtection="1">
      <alignment horizontal="left" vertical="top"/>
      <protection/>
    </xf>
    <xf numFmtId="0" fontId="31" fillId="0" borderId="13" xfId="0" applyFont="1" applyFill="1" applyBorder="1" applyAlignment="1">
      <alignment horizontal="center"/>
    </xf>
    <xf numFmtId="0" fontId="31" fillId="0" borderId="13" xfId="0" applyFont="1" applyFill="1" applyBorder="1" applyAlignment="1">
      <alignment horizontal="left"/>
    </xf>
    <xf numFmtId="0" fontId="31" fillId="0" borderId="0" xfId="0" applyFont="1" applyFill="1" applyBorder="1" applyAlignment="1">
      <alignment horizontal="center"/>
    </xf>
    <xf numFmtId="0" fontId="31" fillId="0" borderId="0" xfId="0" applyFont="1" applyFill="1" applyBorder="1" applyAlignment="1">
      <alignment vertical="center"/>
    </xf>
    <xf numFmtId="0" fontId="32" fillId="0" borderId="0" xfId="0" applyNumberFormat="1" applyFont="1" applyFill="1" applyBorder="1" applyAlignment="1" applyProtection="1">
      <alignment vertical="center"/>
      <protection/>
    </xf>
    <xf numFmtId="49" fontId="31" fillId="0" borderId="12" xfId="0" applyNumberFormat="1"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0" xfId="0" applyFont="1" applyFill="1" applyBorder="1" applyAlignment="1">
      <alignment horizontal="center" vertical="center" wrapText="1"/>
    </xf>
    <xf numFmtId="49" fontId="31" fillId="0" borderId="0" xfId="0" applyNumberFormat="1" applyFont="1" applyFill="1" applyBorder="1" applyAlignment="1">
      <alignment horizontal="center" vertical="center" wrapText="1"/>
    </xf>
    <xf numFmtId="0" fontId="32" fillId="0" borderId="0" xfId="0" applyFont="1" applyFill="1" applyBorder="1" applyAlignment="1">
      <alignment horizontal="left" vertical="center" wrapText="1"/>
    </xf>
    <xf numFmtId="200" fontId="31" fillId="0" borderId="0" xfId="0" applyNumberFormat="1" applyFont="1" applyFill="1" applyBorder="1" applyAlignment="1">
      <alignment vertical="justify"/>
    </xf>
    <xf numFmtId="0" fontId="31" fillId="0" borderId="0" xfId="0" applyNumberFormat="1" applyFont="1" applyFill="1" applyAlignment="1" applyProtection="1">
      <alignment horizontal="left"/>
      <protection/>
    </xf>
    <xf numFmtId="0" fontId="31" fillId="0" borderId="0" xfId="0" applyNumberFormat="1" applyFont="1" applyFill="1" applyAlignment="1" applyProtection="1">
      <alignment/>
      <protection/>
    </xf>
    <xf numFmtId="0" fontId="31" fillId="0" borderId="0" xfId="0" applyNumberFormat="1" applyFont="1" applyFill="1" applyAlignment="1" applyProtection="1">
      <alignment vertical="center"/>
      <protection/>
    </xf>
    <xf numFmtId="0" fontId="30" fillId="0" borderId="12" xfId="0" applyFont="1" applyFill="1" applyBorder="1" applyAlignment="1">
      <alignment vertical="center" wrapText="1"/>
    </xf>
    <xf numFmtId="49" fontId="30" fillId="0" borderId="12" xfId="0" applyNumberFormat="1" applyFont="1" applyFill="1" applyBorder="1" applyAlignment="1">
      <alignment horizontal="center" vertical="center" wrapText="1"/>
    </xf>
    <xf numFmtId="0" fontId="30" fillId="0" borderId="12" xfId="0" applyFont="1" applyFill="1" applyBorder="1" applyAlignment="1">
      <alignment horizontal="left" vertical="center" wrapText="1"/>
    </xf>
    <xf numFmtId="4" fontId="30" fillId="0" borderId="12" xfId="0" applyNumberFormat="1" applyFont="1" applyFill="1" applyBorder="1" applyAlignment="1">
      <alignment vertical="center" wrapText="1"/>
    </xf>
    <xf numFmtId="49" fontId="30" fillId="0" borderId="12" xfId="0" applyNumberFormat="1" applyFont="1" applyFill="1" applyBorder="1" applyAlignment="1">
      <alignment horizontal="center" vertical="center"/>
    </xf>
    <xf numFmtId="0" fontId="30" fillId="0" borderId="12" xfId="0" applyFont="1" applyFill="1" applyBorder="1" applyAlignment="1">
      <alignment horizontal="center" vertical="center" wrapText="1"/>
    </xf>
    <xf numFmtId="4" fontId="30" fillId="0" borderId="12" xfId="0" applyNumberFormat="1" applyFont="1" applyFill="1" applyBorder="1" applyAlignment="1">
      <alignment horizontal="left" vertical="center" wrapText="1"/>
    </xf>
    <xf numFmtId="0" fontId="35" fillId="0" borderId="12" xfId="0" applyNumberFormat="1" applyFont="1" applyFill="1" applyBorder="1" applyAlignment="1" applyProtection="1">
      <alignment horizontal="center" vertical="center" wrapText="1"/>
      <protection/>
    </xf>
    <xf numFmtId="0" fontId="37" fillId="0" borderId="0" xfId="0" applyFont="1" applyFill="1" applyBorder="1" applyAlignment="1">
      <alignment horizontal="center" vertical="center" wrapText="1"/>
    </xf>
    <xf numFmtId="49" fontId="37" fillId="0" borderId="0" xfId="0" applyNumberFormat="1" applyFont="1" applyFill="1" applyBorder="1" applyAlignment="1">
      <alignment horizontal="center" vertical="center" wrapText="1"/>
    </xf>
    <xf numFmtId="0" fontId="38" fillId="0" borderId="0" xfId="0" applyFont="1" applyFill="1" applyBorder="1" applyAlignment="1">
      <alignment horizontal="left" vertical="center" wrapText="1"/>
    </xf>
    <xf numFmtId="200" fontId="37" fillId="0" borderId="0" xfId="0" applyNumberFormat="1" applyFont="1" applyFill="1" applyBorder="1" applyAlignment="1">
      <alignment vertical="justify"/>
    </xf>
    <xf numFmtId="3" fontId="38" fillId="0" borderId="0" xfId="0" applyNumberFormat="1" applyFont="1" applyFill="1" applyBorder="1" applyAlignment="1">
      <alignment horizontal="center" vertical="center" wrapText="1"/>
    </xf>
    <xf numFmtId="0" fontId="31" fillId="0" borderId="0" xfId="0" applyNumberFormat="1" applyFont="1" applyFill="1" applyAlignment="1" applyProtection="1">
      <alignment horizontal="center"/>
      <protection/>
    </xf>
    <xf numFmtId="0" fontId="24" fillId="0" borderId="0" xfId="0" applyFont="1" applyFill="1" applyAlignment="1">
      <alignment vertical="center"/>
    </xf>
    <xf numFmtId="0" fontId="36" fillId="0" borderId="0" xfId="0" applyFont="1" applyFill="1" applyAlignment="1">
      <alignment horizontal="left" vertical="center"/>
    </xf>
    <xf numFmtId="0" fontId="34" fillId="0" borderId="12" xfId="0" applyFont="1" applyFill="1" applyBorder="1" applyAlignment="1">
      <alignment horizontal="left" vertical="center" wrapText="1"/>
    </xf>
    <xf numFmtId="200" fontId="33" fillId="0" borderId="12" xfId="0" applyNumberFormat="1" applyFont="1" applyFill="1" applyBorder="1" applyAlignment="1">
      <alignment vertical="justify"/>
    </xf>
    <xf numFmtId="0" fontId="0" fillId="0" borderId="12" xfId="0" applyNumberFormat="1" applyFont="1" applyFill="1" applyBorder="1" applyAlignment="1" applyProtection="1">
      <alignment/>
      <protection/>
    </xf>
    <xf numFmtId="0" fontId="39" fillId="0" borderId="12" xfId="0" applyFont="1" applyFill="1" applyBorder="1" applyAlignment="1">
      <alignment horizontal="left" vertical="center" wrapText="1"/>
    </xf>
    <xf numFmtId="0" fontId="40" fillId="0" borderId="0" xfId="0" applyNumberFormat="1" applyFont="1" applyFill="1" applyAlignment="1" applyProtection="1">
      <alignment/>
      <protection/>
    </xf>
    <xf numFmtId="49" fontId="39" fillId="0" borderId="12" xfId="0" applyNumberFormat="1" applyFont="1" applyFill="1" applyBorder="1" applyAlignment="1">
      <alignment horizontal="center" vertical="center" wrapText="1"/>
    </xf>
    <xf numFmtId="0" fontId="39" fillId="0" borderId="12" xfId="0" applyFont="1" applyFill="1" applyBorder="1" applyAlignment="1">
      <alignment vertical="center" wrapText="1"/>
    </xf>
    <xf numFmtId="0" fontId="40" fillId="0" borderId="0" xfId="0" applyFont="1" applyFill="1" applyAlignment="1">
      <alignment/>
    </xf>
    <xf numFmtId="4" fontId="39" fillId="0" borderId="12" xfId="0" applyNumberFormat="1" applyFont="1" applyFill="1" applyBorder="1" applyAlignment="1">
      <alignment vertical="center" wrapText="1"/>
    </xf>
    <xf numFmtId="0" fontId="41" fillId="0" borderId="0" xfId="0" applyNumberFormat="1" applyFont="1" applyFill="1" applyAlignment="1" applyProtection="1">
      <alignment/>
      <protection/>
    </xf>
    <xf numFmtId="0" fontId="41" fillId="0" borderId="0" xfId="0" applyFont="1" applyFill="1" applyAlignment="1">
      <alignment/>
    </xf>
    <xf numFmtId="4" fontId="39" fillId="0" borderId="12" xfId="95" applyNumberFormat="1" applyFont="1" applyFill="1" applyBorder="1" applyAlignment="1">
      <alignment vertical="center"/>
      <protection/>
    </xf>
    <xf numFmtId="49" fontId="39" fillId="0" borderId="12" xfId="0" applyNumberFormat="1" applyFont="1" applyFill="1" applyBorder="1" applyAlignment="1">
      <alignment horizontal="center" vertical="center"/>
    </xf>
    <xf numFmtId="4" fontId="39" fillId="0" borderId="12" xfId="0" applyNumberFormat="1" applyFont="1" applyFill="1" applyBorder="1" applyAlignment="1">
      <alignment horizontal="left" vertical="center" wrapText="1"/>
    </xf>
    <xf numFmtId="0" fontId="40" fillId="0" borderId="0" xfId="0" applyNumberFormat="1" applyFont="1" applyFill="1" applyAlignment="1" applyProtection="1">
      <alignment vertical="center"/>
      <protection/>
    </xf>
    <xf numFmtId="0" fontId="39" fillId="0" borderId="12" xfId="0" applyFont="1" applyFill="1" applyBorder="1" applyAlignment="1">
      <alignment horizontal="center" vertical="center" wrapText="1"/>
    </xf>
    <xf numFmtId="0" fontId="40" fillId="0" borderId="0" xfId="0" applyFont="1" applyFill="1" applyAlignment="1">
      <alignment vertical="center"/>
    </xf>
    <xf numFmtId="4" fontId="43" fillId="0" borderId="12" xfId="95" applyNumberFormat="1" applyFont="1" applyFill="1" applyBorder="1" applyAlignment="1">
      <alignment vertical="center"/>
      <protection/>
    </xf>
    <xf numFmtId="0" fontId="42" fillId="0" borderId="0" xfId="0" applyNumberFormat="1" applyFont="1" applyFill="1" applyAlignment="1" applyProtection="1">
      <alignment/>
      <protection/>
    </xf>
    <xf numFmtId="0" fontId="42" fillId="0" borderId="0" xfId="0" applyFont="1" applyFill="1" applyAlignment="1">
      <alignment/>
    </xf>
    <xf numFmtId="0" fontId="0" fillId="27" borderId="0" xfId="0" applyNumberFormat="1" applyFont="1" applyFill="1" applyAlignment="1" applyProtection="1">
      <alignment/>
      <protection/>
    </xf>
    <xf numFmtId="0" fontId="0" fillId="27" borderId="0" xfId="0" applyFont="1" applyFill="1" applyAlignment="1">
      <alignment/>
    </xf>
    <xf numFmtId="0" fontId="39" fillId="0" borderId="12" xfId="0" applyFont="1" applyFill="1" applyBorder="1" applyAlignment="1">
      <alignment vertical="center"/>
    </xf>
    <xf numFmtId="49" fontId="30" fillId="0" borderId="12" xfId="0" applyNumberFormat="1" applyFont="1" applyFill="1" applyBorder="1" applyAlignment="1">
      <alignment horizontal="left" vertical="center" wrapText="1"/>
    </xf>
    <xf numFmtId="49" fontId="35" fillId="0" borderId="12" xfId="0" applyNumberFormat="1" applyFont="1" applyFill="1" applyBorder="1" applyAlignment="1">
      <alignment horizontal="center" vertical="center" wrapText="1"/>
    </xf>
    <xf numFmtId="0" fontId="35" fillId="0" borderId="12" xfId="0" applyFont="1" applyFill="1" applyBorder="1" applyAlignment="1">
      <alignment horizontal="left" vertical="center" wrapText="1"/>
    </xf>
    <xf numFmtId="4" fontId="35" fillId="0" borderId="12" xfId="0" applyNumberFormat="1" applyFont="1" applyFill="1" applyBorder="1" applyAlignment="1">
      <alignment horizontal="left" vertical="center" wrapText="1"/>
    </xf>
    <xf numFmtId="0" fontId="35" fillId="0" borderId="12" xfId="0" applyFont="1" applyFill="1" applyBorder="1" applyAlignment="1">
      <alignment vertical="center" wrapText="1"/>
    </xf>
    <xf numFmtId="0" fontId="0" fillId="0" borderId="0" xfId="0" applyNumberFormat="1" applyFont="1" applyFill="1" applyAlignment="1" applyProtection="1">
      <alignment vertical="center"/>
      <protection/>
    </xf>
    <xf numFmtId="200" fontId="35" fillId="0" borderId="12" xfId="95" applyNumberFormat="1" applyFont="1" applyFill="1" applyBorder="1" applyAlignment="1">
      <alignment vertical="center"/>
      <protection/>
    </xf>
    <xf numFmtId="0" fontId="0" fillId="0" borderId="0" xfId="0" applyFont="1" applyFill="1" applyAlignment="1">
      <alignment vertical="center"/>
    </xf>
    <xf numFmtId="0" fontId="39" fillId="0" borderId="14" xfId="0" applyFont="1" applyFill="1" applyBorder="1" applyAlignment="1">
      <alignment horizontal="left" vertical="center" wrapText="1"/>
    </xf>
    <xf numFmtId="0" fontId="30" fillId="0" borderId="14" xfId="0" applyFont="1" applyFill="1" applyBorder="1" applyAlignment="1">
      <alignment horizontal="left" wrapText="1"/>
    </xf>
    <xf numFmtId="0" fontId="30" fillId="0" borderId="15" xfId="0" applyFont="1" applyFill="1" applyBorder="1" applyAlignment="1">
      <alignment horizontal="left" wrapText="1"/>
    </xf>
    <xf numFmtId="0" fontId="30" fillId="0" borderId="15" xfId="0" applyFont="1" applyFill="1" applyBorder="1" applyAlignment="1">
      <alignment horizontal="left" vertical="center" wrapText="1"/>
    </xf>
    <xf numFmtId="0" fontId="30" fillId="0" borderId="16" xfId="0" applyFont="1" applyFill="1" applyBorder="1" applyAlignment="1">
      <alignment horizontal="left" vertical="center" wrapText="1"/>
    </xf>
    <xf numFmtId="49" fontId="39" fillId="0" borderId="15" xfId="0" applyNumberFormat="1" applyFont="1" applyFill="1" applyBorder="1" applyAlignment="1">
      <alignment horizontal="center" vertical="center" wrapText="1"/>
    </xf>
    <xf numFmtId="0" fontId="30" fillId="0" borderId="0" xfId="0" applyFont="1" applyFill="1" applyBorder="1" applyAlignment="1">
      <alignment vertical="center"/>
    </xf>
    <xf numFmtId="3" fontId="35" fillId="0" borderId="0" xfId="0" applyNumberFormat="1" applyFont="1" applyFill="1" applyBorder="1" applyAlignment="1">
      <alignment horizontal="center" vertical="center" wrapText="1"/>
    </xf>
    <xf numFmtId="0" fontId="34" fillId="0" borderId="13" xfId="0" applyNumberFormat="1" applyFont="1" applyFill="1" applyBorder="1" applyAlignment="1" applyProtection="1">
      <alignment horizontal="center" vertical="center"/>
      <protection/>
    </xf>
    <xf numFmtId="0" fontId="32" fillId="0" borderId="0" xfId="0" applyNumberFormat="1" applyFont="1" applyFill="1" applyAlignment="1" applyProtection="1">
      <alignment vertical="center"/>
      <protection/>
    </xf>
    <xf numFmtId="4" fontId="30" fillId="0" borderId="0" xfId="0" applyNumberFormat="1" applyFont="1" applyFill="1" applyBorder="1" applyAlignment="1">
      <alignment vertical="center"/>
    </xf>
    <xf numFmtId="4" fontId="37" fillId="0" borderId="0" xfId="0" applyNumberFormat="1" applyFont="1" applyFill="1" applyBorder="1" applyAlignment="1" applyProtection="1">
      <alignment vertical="center" textRotation="180"/>
      <protection locked="0"/>
    </xf>
    <xf numFmtId="0" fontId="30" fillId="0" borderId="0" xfId="0" applyNumberFormat="1" applyFont="1" applyFill="1" applyBorder="1" applyAlignment="1" applyProtection="1">
      <alignment/>
      <protection/>
    </xf>
    <xf numFmtId="0" fontId="30" fillId="0" borderId="0" xfId="0" applyFont="1" applyFill="1" applyBorder="1" applyAlignment="1">
      <alignment/>
    </xf>
    <xf numFmtId="0" fontId="30" fillId="0" borderId="0" xfId="0" applyFont="1" applyFill="1" applyBorder="1" applyAlignment="1">
      <alignment horizontal="left" vertical="center"/>
    </xf>
    <xf numFmtId="4" fontId="30" fillId="0" borderId="0" xfId="0" applyNumberFormat="1" applyFont="1" applyFill="1" applyBorder="1" applyAlignment="1" applyProtection="1">
      <alignment vertical="center"/>
      <protection/>
    </xf>
    <xf numFmtId="0" fontId="39" fillId="0" borderId="0" xfId="0" applyFont="1" applyFill="1" applyBorder="1" applyAlignment="1">
      <alignment/>
    </xf>
    <xf numFmtId="4" fontId="30" fillId="0" borderId="0" xfId="0" applyNumberFormat="1" applyFont="1" applyFill="1" applyBorder="1" applyAlignment="1" applyProtection="1">
      <alignment vertical="center"/>
      <protection locked="0"/>
    </xf>
    <xf numFmtId="0" fontId="35" fillId="0" borderId="0" xfId="0" applyFont="1" applyFill="1" applyBorder="1" applyAlignment="1">
      <alignment/>
    </xf>
    <xf numFmtId="0" fontId="44" fillId="0" borderId="0" xfId="0" applyFont="1" applyFill="1" applyBorder="1" applyAlignment="1">
      <alignment/>
    </xf>
    <xf numFmtId="0" fontId="39" fillId="0" borderId="0" xfId="0" applyFont="1" applyFill="1" applyBorder="1" applyAlignment="1">
      <alignment vertical="center"/>
    </xf>
    <xf numFmtId="4" fontId="30" fillId="0" borderId="0" xfId="0" applyNumberFormat="1" applyFont="1" applyBorder="1" applyAlignment="1">
      <alignment vertical="center"/>
    </xf>
    <xf numFmtId="0" fontId="30" fillId="27" borderId="0" xfId="0" applyFont="1" applyFill="1" applyBorder="1" applyAlignment="1">
      <alignment/>
    </xf>
    <xf numFmtId="0" fontId="43" fillId="0" borderId="0" xfId="0" applyFont="1" applyFill="1" applyBorder="1" applyAlignment="1">
      <alignment/>
    </xf>
    <xf numFmtId="0" fontId="39" fillId="0" borderId="15" xfId="0" applyFont="1" applyFill="1" applyBorder="1" applyAlignment="1">
      <alignment horizontal="left" vertical="center" wrapText="1"/>
    </xf>
    <xf numFmtId="4" fontId="31" fillId="0" borderId="0" xfId="0" applyNumberFormat="1" applyFont="1" applyFill="1" applyAlignment="1" applyProtection="1">
      <alignment vertical="center"/>
      <protection/>
    </xf>
    <xf numFmtId="4" fontId="33" fillId="0" borderId="0" xfId="0" applyNumberFormat="1" applyFont="1" applyFill="1" applyAlignment="1" applyProtection="1">
      <alignment vertical="center"/>
      <protection/>
    </xf>
    <xf numFmtId="49" fontId="39" fillId="0" borderId="15" xfId="0" applyNumberFormat="1" applyFont="1" applyFill="1" applyBorder="1" applyAlignment="1">
      <alignment horizontal="center" vertical="center"/>
    </xf>
    <xf numFmtId="49" fontId="30" fillId="0" borderId="15" xfId="0" applyNumberFormat="1" applyFont="1" applyFill="1" applyBorder="1" applyAlignment="1">
      <alignment horizontal="center" vertical="center" wrapText="1"/>
    </xf>
    <xf numFmtId="4" fontId="30" fillId="0" borderId="0" xfId="0" applyNumberFormat="1" applyFont="1" applyFill="1" applyBorder="1" applyAlignment="1">
      <alignment/>
    </xf>
    <xf numFmtId="49" fontId="30" fillId="0" borderId="14" xfId="0" applyNumberFormat="1" applyFont="1" applyFill="1" applyBorder="1" applyAlignment="1">
      <alignment horizontal="center" vertical="center" wrapText="1"/>
    </xf>
    <xf numFmtId="0" fontId="30" fillId="0" borderId="14" xfId="0" applyFont="1" applyFill="1" applyBorder="1" applyAlignment="1">
      <alignment horizontal="left" vertical="center" wrapText="1"/>
    </xf>
    <xf numFmtId="49" fontId="30" fillId="0" borderId="14" xfId="0" applyNumberFormat="1" applyFont="1" applyFill="1" applyBorder="1" applyAlignment="1">
      <alignment horizontal="center" vertical="center"/>
    </xf>
    <xf numFmtId="4" fontId="35" fillId="0" borderId="12" xfId="95" applyNumberFormat="1" applyFont="1" applyFill="1" applyBorder="1" applyAlignment="1">
      <alignment vertical="center"/>
      <protection/>
    </xf>
    <xf numFmtId="4" fontId="34" fillId="0" borderId="12" xfId="0" applyNumberFormat="1" applyFont="1" applyFill="1" applyBorder="1" applyAlignment="1">
      <alignment vertical="center"/>
    </xf>
    <xf numFmtId="4" fontId="32" fillId="0" borderId="0" xfId="0" applyNumberFormat="1" applyFont="1" applyFill="1" applyBorder="1" applyAlignment="1">
      <alignment vertical="center"/>
    </xf>
    <xf numFmtId="0" fontId="36" fillId="0" borderId="0" xfId="0" applyFont="1" applyFill="1" applyBorder="1" applyAlignment="1">
      <alignment vertical="center" textRotation="180"/>
    </xf>
    <xf numFmtId="0" fontId="36" fillId="0" borderId="0" xfId="0" applyFont="1" applyFill="1" applyAlignment="1" applyProtection="1">
      <alignment horizontal="center" vertical="center" textRotation="180"/>
      <protection locked="0"/>
    </xf>
    <xf numFmtId="0" fontId="37" fillId="0" borderId="0" xfId="0" applyFont="1" applyFill="1" applyAlignment="1">
      <alignment horizontal="left" vertical="center" wrapText="1"/>
    </xf>
    <xf numFmtId="0" fontId="36" fillId="0" borderId="17" xfId="0" applyFont="1" applyBorder="1" applyAlignment="1">
      <alignment horizontal="center" vertical="center" textRotation="180"/>
    </xf>
    <xf numFmtId="4" fontId="51" fillId="0" borderId="0" xfId="0" applyNumberFormat="1" applyFont="1" applyFill="1" applyBorder="1" applyAlignment="1">
      <alignment vertical="center"/>
    </xf>
    <xf numFmtId="0" fontId="39" fillId="0" borderId="0" xfId="0" applyNumberFormat="1" applyFont="1" applyFill="1" applyAlignment="1" applyProtection="1">
      <alignment/>
      <protection/>
    </xf>
    <xf numFmtId="0" fontId="39" fillId="0" borderId="18" xfId="0" applyFont="1" applyFill="1" applyBorder="1" applyAlignment="1">
      <alignment horizontal="left" vertical="center" wrapText="1"/>
    </xf>
    <xf numFmtId="0" fontId="39" fillId="0" borderId="0" xfId="0" applyFont="1" applyFill="1" applyAlignment="1">
      <alignment/>
    </xf>
    <xf numFmtId="3" fontId="36" fillId="0" borderId="0" xfId="0" applyNumberFormat="1" applyFont="1" applyFill="1" applyBorder="1" applyAlignment="1">
      <alignment vertical="center" wrapText="1"/>
    </xf>
    <xf numFmtId="0" fontId="31" fillId="0" borderId="13" xfId="0" applyNumberFormat="1" applyFont="1" applyFill="1" applyBorder="1" applyAlignment="1" applyProtection="1">
      <alignment/>
      <protection/>
    </xf>
    <xf numFmtId="0" fontId="30" fillId="0" borderId="14" xfId="0" applyFont="1" applyFill="1" applyBorder="1" applyAlignment="1">
      <alignment vertical="center" wrapText="1"/>
    </xf>
    <xf numFmtId="49" fontId="30" fillId="0" borderId="12" xfId="0" applyNumberFormat="1" applyFont="1" applyFill="1" applyBorder="1" applyAlignment="1">
      <alignment horizontal="center" vertical="center"/>
    </xf>
    <xf numFmtId="0" fontId="36" fillId="0" borderId="0" xfId="0" applyNumberFormat="1" applyFont="1" applyFill="1" applyAlignment="1" applyProtection="1">
      <alignment horizontal="center" vertical="center" textRotation="180"/>
      <protection/>
    </xf>
    <xf numFmtId="0" fontId="36" fillId="0" borderId="17" xfId="0" applyNumberFormat="1" applyFont="1" applyFill="1" applyBorder="1" applyAlignment="1" applyProtection="1">
      <alignment horizontal="center" vertical="center" textRotation="180"/>
      <protection/>
    </xf>
    <xf numFmtId="0" fontId="37" fillId="0" borderId="0" xfId="0" applyFont="1" applyFill="1" applyAlignment="1">
      <alignment horizontal="left" vertical="center" wrapText="1"/>
    </xf>
    <xf numFmtId="0" fontId="38" fillId="0" borderId="0" xfId="0" applyNumberFormat="1" applyFont="1" applyFill="1" applyBorder="1" applyAlignment="1" applyProtection="1">
      <alignment horizontal="center" vertical="top" wrapText="1"/>
      <protection/>
    </xf>
    <xf numFmtId="4" fontId="30" fillId="0" borderId="15" xfId="95" applyNumberFormat="1" applyFont="1" applyFill="1" applyBorder="1" applyAlignment="1">
      <alignment horizontal="center" vertical="center"/>
      <protection/>
    </xf>
    <xf numFmtId="4" fontId="30" fillId="0" borderId="14" xfId="95" applyNumberFormat="1" applyFont="1" applyFill="1" applyBorder="1" applyAlignment="1">
      <alignment horizontal="center" vertical="center"/>
      <protection/>
    </xf>
    <xf numFmtId="4" fontId="30" fillId="0" borderId="15" xfId="95" applyNumberFormat="1" applyFont="1" applyFill="1" applyBorder="1" applyAlignment="1">
      <alignment horizontal="right" vertical="center"/>
      <protection/>
    </xf>
    <xf numFmtId="4" fontId="30" fillId="0" borderId="14" xfId="95" applyNumberFormat="1" applyFont="1" applyFill="1" applyBorder="1" applyAlignment="1">
      <alignment horizontal="right" vertical="center"/>
      <protection/>
    </xf>
    <xf numFmtId="0" fontId="30" fillId="0" borderId="15" xfId="0" applyFont="1" applyFill="1" applyBorder="1" applyAlignment="1">
      <alignment horizontal="left"/>
    </xf>
    <xf numFmtId="0" fontId="30" fillId="0" borderId="15" xfId="0" applyFont="1" applyFill="1" applyBorder="1" applyAlignment="1">
      <alignment horizontal="left" vertical="center" wrapText="1"/>
    </xf>
    <xf numFmtId="0" fontId="30" fillId="0" borderId="14" xfId="0" applyFont="1" applyFill="1" applyBorder="1" applyAlignment="1">
      <alignment horizontal="left" vertical="center" wrapText="1"/>
    </xf>
    <xf numFmtId="49" fontId="39" fillId="0" borderId="15" xfId="0" applyNumberFormat="1" applyFont="1" applyFill="1" applyBorder="1" applyAlignment="1">
      <alignment horizontal="center" vertical="center" wrapText="1"/>
    </xf>
    <xf numFmtId="49" fontId="39" fillId="0" borderId="14" xfId="0" applyNumberFormat="1" applyFont="1" applyFill="1" applyBorder="1" applyAlignment="1">
      <alignment horizontal="center" vertical="center" wrapText="1"/>
    </xf>
    <xf numFmtId="3" fontId="36" fillId="0" borderId="0" xfId="0" applyNumberFormat="1" applyFont="1" applyFill="1" applyBorder="1" applyAlignment="1">
      <alignment horizontal="left" vertical="center" wrapText="1"/>
    </xf>
    <xf numFmtId="49" fontId="30" fillId="0" borderId="12" xfId="0" applyNumberFormat="1"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15" xfId="0" applyFont="1" applyFill="1" applyBorder="1" applyAlignment="1">
      <alignment horizontal="left" vertical="center" wrapText="1"/>
    </xf>
    <xf numFmtId="0" fontId="39" fillId="0" borderId="14" xfId="0" applyFont="1" applyFill="1" applyBorder="1" applyAlignment="1">
      <alignment horizontal="left" vertical="center" wrapText="1"/>
    </xf>
    <xf numFmtId="49" fontId="30" fillId="0" borderId="15" xfId="0" applyNumberFormat="1" applyFont="1" applyFill="1" applyBorder="1" applyAlignment="1">
      <alignment horizontal="center" vertical="center" wrapText="1"/>
    </xf>
    <xf numFmtId="49" fontId="30" fillId="0" borderId="16" xfId="0" applyNumberFormat="1" applyFont="1" applyFill="1" applyBorder="1" applyAlignment="1">
      <alignment horizontal="center" vertical="center" wrapText="1"/>
    </xf>
    <xf numFmtId="49" fontId="30" fillId="0" borderId="14" xfId="0" applyNumberFormat="1" applyFont="1" applyFill="1" applyBorder="1" applyAlignment="1">
      <alignment horizontal="center" vertical="center" wrapText="1"/>
    </xf>
    <xf numFmtId="0" fontId="30" fillId="0" borderId="16" xfId="0" applyFont="1" applyFill="1" applyBorder="1" applyAlignment="1">
      <alignment horizontal="left" vertical="center" wrapText="1"/>
    </xf>
    <xf numFmtId="49" fontId="30" fillId="0" borderId="15" xfId="0" applyNumberFormat="1" applyFont="1" applyFill="1" applyBorder="1" applyAlignment="1">
      <alignment horizontal="center" vertical="center"/>
    </xf>
    <xf numFmtId="49" fontId="30" fillId="0" borderId="14" xfId="0" applyNumberFormat="1" applyFont="1" applyFill="1" applyBorder="1" applyAlignment="1">
      <alignment horizontal="center" vertical="center"/>
    </xf>
    <xf numFmtId="0" fontId="30" fillId="0" borderId="15"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20" xfId="0" applyFont="1" applyFill="1" applyBorder="1" applyAlignment="1">
      <alignment horizontal="center" vertical="center" wrapText="1"/>
    </xf>
    <xf numFmtId="49" fontId="30" fillId="0" borderId="12" xfId="0" applyNumberFormat="1" applyFont="1" applyFill="1" applyBorder="1" applyAlignment="1">
      <alignment horizontal="left" vertical="center" wrapText="1"/>
    </xf>
    <xf numFmtId="0" fontId="30" fillId="0" borderId="12" xfId="0" applyFont="1" applyFill="1" applyBorder="1" applyAlignment="1">
      <alignment horizontal="left" vertical="center" wrapText="1"/>
    </xf>
    <xf numFmtId="0" fontId="30" fillId="0" borderId="15" xfId="0" applyFont="1" applyFill="1" applyBorder="1" applyAlignment="1">
      <alignment vertical="center" wrapText="1"/>
    </xf>
    <xf numFmtId="0" fontId="30" fillId="0" borderId="16" xfId="0" applyFont="1" applyFill="1" applyBorder="1" applyAlignment="1">
      <alignment vertical="center" wrapText="1"/>
    </xf>
    <xf numFmtId="4" fontId="43" fillId="0" borderId="15" xfId="95" applyNumberFormat="1" applyFont="1" applyFill="1" applyBorder="1" applyAlignment="1">
      <alignment horizontal="right" vertical="center"/>
      <protection/>
    </xf>
    <xf numFmtId="4" fontId="43" fillId="0" borderId="14" xfId="95" applyNumberFormat="1" applyFont="1" applyFill="1" applyBorder="1" applyAlignment="1">
      <alignment horizontal="right" vertical="center"/>
      <protection/>
    </xf>
    <xf numFmtId="0" fontId="39" fillId="0" borderId="21" xfId="0" applyFont="1" applyFill="1" applyBorder="1" applyAlignment="1">
      <alignment horizontal="left" vertical="center" wrapText="1"/>
    </xf>
    <xf numFmtId="0" fontId="39" fillId="0" borderId="22" xfId="0" applyFont="1" applyFill="1" applyBorder="1" applyAlignment="1">
      <alignment horizontal="left" vertical="center" wrapText="1"/>
    </xf>
    <xf numFmtId="4" fontId="39" fillId="0" borderId="15" xfId="95" applyNumberFormat="1" applyFont="1" applyFill="1" applyBorder="1" applyAlignment="1">
      <alignment horizontal="right" vertical="center"/>
      <protection/>
    </xf>
    <xf numFmtId="4" fontId="39" fillId="0" borderId="14" xfId="95" applyNumberFormat="1" applyFont="1" applyFill="1" applyBorder="1" applyAlignment="1">
      <alignment horizontal="right" vertical="center"/>
      <protection/>
    </xf>
    <xf numFmtId="0" fontId="30" fillId="0" borderId="12" xfId="0" applyFont="1" applyFill="1" applyBorder="1" applyAlignment="1">
      <alignment vertical="center" wrapText="1"/>
    </xf>
    <xf numFmtId="0" fontId="30" fillId="0" borderId="12" xfId="0" applyFont="1" applyFill="1" applyBorder="1" applyAlignment="1">
      <alignment/>
    </xf>
    <xf numFmtId="0" fontId="30" fillId="0" borderId="19" xfId="0" applyFont="1" applyFill="1" applyBorder="1" applyAlignment="1">
      <alignment horizontal="center" vertical="center"/>
    </xf>
    <xf numFmtId="0" fontId="30" fillId="0" borderId="20" xfId="0" applyFont="1" applyFill="1" applyBorder="1" applyAlignment="1">
      <alignment horizontal="center" vertical="center"/>
    </xf>
    <xf numFmtId="0" fontId="36" fillId="0" borderId="17" xfId="0" applyFont="1" applyFill="1" applyBorder="1" applyAlignment="1" applyProtection="1">
      <alignment horizontal="center" vertical="center" textRotation="180"/>
      <protection locked="0"/>
    </xf>
    <xf numFmtId="0" fontId="36" fillId="0" borderId="17" xfId="0" applyFont="1" applyBorder="1" applyAlignment="1">
      <alignment horizontal="center" vertical="center" textRotation="180"/>
    </xf>
    <xf numFmtId="0" fontId="30" fillId="0" borderId="21" xfId="0" applyFont="1" applyFill="1" applyBorder="1" applyAlignment="1">
      <alignment horizontal="center" vertical="center" wrapText="1"/>
    </xf>
    <xf numFmtId="0" fontId="30" fillId="0" borderId="22" xfId="0" applyFont="1" applyFill="1" applyBorder="1" applyAlignment="1">
      <alignment horizontal="center" vertical="center" wrapText="1"/>
    </xf>
    <xf numFmtId="0" fontId="36" fillId="0" borderId="0" xfId="0" applyFont="1" applyBorder="1" applyAlignment="1">
      <alignment horizontal="center" vertical="center" textRotation="180"/>
    </xf>
    <xf numFmtId="3" fontId="37" fillId="0" borderId="0" xfId="0" applyNumberFormat="1" applyFont="1" applyFill="1" applyBorder="1" applyAlignment="1">
      <alignment horizontal="left" vertical="center" wrapText="1"/>
    </xf>
    <xf numFmtId="3" fontId="37" fillId="0" borderId="0" xfId="0" applyNumberFormat="1" applyFont="1" applyFill="1" applyBorder="1" applyAlignment="1">
      <alignment horizontal="center" vertical="center"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38"/>
  <sheetViews>
    <sheetView showZeros="0" tabSelected="1" view="pageBreakPreview" zoomScale="25" zoomScaleNormal="40" zoomScaleSheetLayoutView="25" zoomScalePageLayoutView="0" workbookViewId="0" topLeftCell="B60">
      <selection activeCell="E67" sqref="E67"/>
    </sheetView>
  </sheetViews>
  <sheetFormatPr defaultColWidth="9.16015625" defaultRowHeight="12.75"/>
  <cols>
    <col min="1" max="1" width="3.83203125" style="3" hidden="1" customWidth="1"/>
    <col min="2" max="2" width="47.16015625" style="31" customWidth="1"/>
    <col min="3" max="3" width="46.5" style="31" customWidth="1"/>
    <col min="4" max="4" width="37.16015625" style="31" customWidth="1"/>
    <col min="5" max="5" width="175.5" style="30" customWidth="1"/>
    <col min="6" max="6" width="159.83203125" style="31" customWidth="1"/>
    <col min="7" max="7" width="70.5" style="32" customWidth="1"/>
    <col min="8" max="8" width="66.66015625" style="32" customWidth="1"/>
    <col min="9" max="9" width="68.5" style="89" customWidth="1"/>
    <col min="10" max="10" width="26.83203125" style="117" customWidth="1"/>
    <col min="11" max="12" width="63.5" style="93" customWidth="1"/>
    <col min="13" max="16384" width="9.16015625" style="2" customWidth="1"/>
  </cols>
  <sheetData>
    <row r="1" spans="7:17" ht="68.25" customHeight="1">
      <c r="G1" s="130" t="s">
        <v>445</v>
      </c>
      <c r="H1" s="130"/>
      <c r="I1" s="130"/>
      <c r="J1" s="128"/>
      <c r="K1" s="92"/>
      <c r="M1" s="5"/>
      <c r="N1" s="5"/>
      <c r="O1" s="5"/>
      <c r="P1" s="5"/>
      <c r="Q1" s="5"/>
    </row>
    <row r="2" spans="2:17" ht="65.25" customHeight="1">
      <c r="B2" s="46"/>
      <c r="C2" s="46"/>
      <c r="D2" s="46"/>
      <c r="G2" s="130" t="s">
        <v>430</v>
      </c>
      <c r="H2" s="130"/>
      <c r="I2" s="130"/>
      <c r="J2" s="128"/>
      <c r="K2" s="86"/>
      <c r="M2" s="5"/>
      <c r="N2" s="5"/>
      <c r="O2" s="5"/>
      <c r="P2" s="5"/>
      <c r="Q2" s="5"/>
    </row>
    <row r="3" spans="2:17" ht="59.25" customHeight="1">
      <c r="B3" s="46"/>
      <c r="C3" s="46"/>
      <c r="D3" s="46"/>
      <c r="G3" s="130" t="s">
        <v>431</v>
      </c>
      <c r="H3" s="130"/>
      <c r="I3" s="130"/>
      <c r="J3" s="128"/>
      <c r="K3" s="86"/>
      <c r="M3" s="5"/>
      <c r="N3" s="5"/>
      <c r="O3" s="5"/>
      <c r="P3" s="5"/>
      <c r="Q3" s="5"/>
    </row>
    <row r="4" spans="2:17" ht="62.25" customHeight="1">
      <c r="B4" s="46"/>
      <c r="C4" s="46"/>
      <c r="D4" s="46"/>
      <c r="G4" s="130" t="s">
        <v>432</v>
      </c>
      <c r="H4" s="130"/>
      <c r="I4" s="130"/>
      <c r="J4" s="128"/>
      <c r="K4" s="86"/>
      <c r="M4" s="5"/>
      <c r="N4" s="5"/>
      <c r="O4" s="5"/>
      <c r="P4" s="5"/>
      <c r="Q4" s="5"/>
    </row>
    <row r="5" spans="1:16" s="5" customFormat="1" ht="72.75" customHeight="1">
      <c r="A5" s="4"/>
      <c r="B5" s="17"/>
      <c r="C5" s="17"/>
      <c r="D5" s="17"/>
      <c r="E5" s="18"/>
      <c r="F5" s="17"/>
      <c r="G5" s="130" t="s">
        <v>448</v>
      </c>
      <c r="H5" s="130"/>
      <c r="I5" s="130"/>
      <c r="J5" s="128"/>
      <c r="K5" s="86"/>
      <c r="L5" s="94"/>
      <c r="M5" s="48"/>
      <c r="N5" s="48"/>
      <c r="O5" s="48"/>
      <c r="P5" s="9"/>
    </row>
    <row r="6" spans="1:16" s="5" customFormat="1" ht="108.75" customHeight="1">
      <c r="A6" s="4"/>
      <c r="B6" s="17"/>
      <c r="C6" s="17"/>
      <c r="D6" s="17"/>
      <c r="E6" s="18"/>
      <c r="F6" s="17"/>
      <c r="G6" s="118"/>
      <c r="H6" s="118"/>
      <c r="I6" s="118"/>
      <c r="J6" s="128"/>
      <c r="K6" s="86"/>
      <c r="L6" s="94"/>
      <c r="M6" s="48"/>
      <c r="N6" s="48"/>
      <c r="O6" s="48"/>
      <c r="P6" s="9"/>
    </row>
    <row r="7" spans="1:16" ht="127.5" customHeight="1">
      <c r="A7" s="1"/>
      <c r="B7" s="131" t="s">
        <v>395</v>
      </c>
      <c r="C7" s="131"/>
      <c r="D7" s="131"/>
      <c r="E7" s="131"/>
      <c r="F7" s="131"/>
      <c r="G7" s="131"/>
      <c r="H7" s="131"/>
      <c r="I7" s="131"/>
      <c r="J7" s="128"/>
      <c r="L7" s="86"/>
      <c r="M7" s="47"/>
      <c r="N7" s="47"/>
      <c r="O7" s="47"/>
      <c r="P7" s="47"/>
    </row>
    <row r="8" spans="2:16" ht="46.5" customHeight="1">
      <c r="B8" s="19"/>
      <c r="C8" s="19"/>
      <c r="D8" s="19"/>
      <c r="E8" s="20"/>
      <c r="F8" s="21"/>
      <c r="G8" s="22"/>
      <c r="H8" s="23"/>
      <c r="I8" s="88" t="s">
        <v>58</v>
      </c>
      <c r="J8" s="128"/>
      <c r="L8" s="86"/>
      <c r="M8" s="47"/>
      <c r="N8" s="47"/>
      <c r="O8" s="47"/>
      <c r="P8" s="47"/>
    </row>
    <row r="9" spans="1:10" ht="361.5" customHeight="1">
      <c r="A9" s="6"/>
      <c r="B9" s="40" t="s">
        <v>101</v>
      </c>
      <c r="C9" s="40" t="s">
        <v>102</v>
      </c>
      <c r="D9" s="40" t="s">
        <v>357</v>
      </c>
      <c r="E9" s="40" t="s">
        <v>355</v>
      </c>
      <c r="F9" s="40" t="s">
        <v>356</v>
      </c>
      <c r="G9" s="40" t="s">
        <v>0</v>
      </c>
      <c r="H9" s="40" t="s">
        <v>1</v>
      </c>
      <c r="I9" s="40" t="s">
        <v>4</v>
      </c>
      <c r="J9" s="128"/>
    </row>
    <row r="10" spans="1:12" s="79" customFormat="1" ht="93" customHeight="1">
      <c r="A10" s="77"/>
      <c r="B10" s="73"/>
      <c r="C10" s="73"/>
      <c r="D10" s="73"/>
      <c r="E10" s="74" t="s">
        <v>26</v>
      </c>
      <c r="F10" s="78"/>
      <c r="G10" s="113">
        <f>G11+G12+G13+G16+G18+G20+G21+G24+G26+G29+G32+G35+G38+G39+G41+G44+G46+G47+G49+G51+G55+G67+G68+G48+G52+G53+G64+G54+G42</f>
        <v>45700620</v>
      </c>
      <c r="H10" s="113">
        <f>H11+H12+H13+H16+H18+H20+H21+H24+H26+H29+H32+H35+H38+H39+H41+H44+H46+H47+H49+H51+H55+H67+H68+H48+H52+H53+H64+H54+H42</f>
        <v>56690208</v>
      </c>
      <c r="I10" s="113">
        <f>I11+I12+I13+I16+I18+I20+I21+I24+I26+I29+I32+I35+I38+I39+I41+I44+I46+I47+I49+I51+I55+I67+I68+I48+I52+I53+I64+I54+I42</f>
        <v>102390828</v>
      </c>
      <c r="J10" s="128"/>
      <c r="K10" s="95"/>
      <c r="L10" s="95"/>
    </row>
    <row r="11" spans="2:10" ht="108.75" customHeight="1">
      <c r="B11" s="142" t="s">
        <v>124</v>
      </c>
      <c r="C11" s="142" t="s">
        <v>55</v>
      </c>
      <c r="D11" s="142" t="s">
        <v>2</v>
      </c>
      <c r="E11" s="158" t="s">
        <v>394</v>
      </c>
      <c r="F11" s="33" t="s">
        <v>99</v>
      </c>
      <c r="G11" s="16">
        <f>575000+223000</f>
        <v>798000</v>
      </c>
      <c r="H11" s="16"/>
      <c r="I11" s="16">
        <f>G11+H11</f>
        <v>798000</v>
      </c>
      <c r="J11" s="128"/>
    </row>
    <row r="12" spans="2:10" ht="155.25" customHeight="1">
      <c r="B12" s="168">
        <v>310180</v>
      </c>
      <c r="C12" s="142"/>
      <c r="D12" s="168"/>
      <c r="E12" s="136"/>
      <c r="F12" s="33" t="s">
        <v>384</v>
      </c>
      <c r="G12" s="16">
        <f>1132800-342800+60000+495100-120000</f>
        <v>1225100</v>
      </c>
      <c r="H12" s="16">
        <f>635300-135300+280000+120000</f>
        <v>900000</v>
      </c>
      <c r="I12" s="16">
        <f>G12+H12</f>
        <v>2125100</v>
      </c>
      <c r="J12" s="128"/>
    </row>
    <row r="13" spans="1:12" s="10" customFormat="1" ht="409.5" customHeight="1">
      <c r="A13" s="1"/>
      <c r="B13" s="151" t="s">
        <v>351</v>
      </c>
      <c r="C13" s="147" t="s">
        <v>251</v>
      </c>
      <c r="D13" s="169">
        <v>1030</v>
      </c>
      <c r="E13" s="82" t="s">
        <v>359</v>
      </c>
      <c r="F13" s="153"/>
      <c r="G13" s="134">
        <f>G15</f>
        <v>15000</v>
      </c>
      <c r="H13" s="132">
        <f>H15</f>
        <v>0</v>
      </c>
      <c r="I13" s="134">
        <f>G13+H13</f>
        <v>15000</v>
      </c>
      <c r="J13" s="128"/>
      <c r="K13" s="93"/>
      <c r="L13" s="93"/>
    </row>
    <row r="14" spans="1:12" s="10" customFormat="1" ht="133.5" customHeight="1">
      <c r="A14" s="1"/>
      <c r="B14" s="152"/>
      <c r="C14" s="149"/>
      <c r="D14" s="170"/>
      <c r="E14" s="81" t="s">
        <v>358</v>
      </c>
      <c r="F14" s="154"/>
      <c r="G14" s="135"/>
      <c r="H14" s="133"/>
      <c r="I14" s="135"/>
      <c r="J14" s="128"/>
      <c r="K14" s="93"/>
      <c r="L14" s="93"/>
    </row>
    <row r="15" spans="1:12" s="56" customFormat="1" ht="134.25" customHeight="1">
      <c r="A15" s="53"/>
      <c r="B15" s="61" t="s">
        <v>350</v>
      </c>
      <c r="C15" s="54" t="s">
        <v>252</v>
      </c>
      <c r="D15" s="54">
        <v>1070</v>
      </c>
      <c r="E15" s="52" t="s">
        <v>41</v>
      </c>
      <c r="F15" s="55" t="s">
        <v>64</v>
      </c>
      <c r="G15" s="60">
        <v>15000</v>
      </c>
      <c r="H15" s="60"/>
      <c r="I15" s="16">
        <f>G15+H15</f>
        <v>15000</v>
      </c>
      <c r="J15" s="128"/>
      <c r="K15" s="96"/>
      <c r="L15" s="96"/>
    </row>
    <row r="16" spans="1:12" s="56" customFormat="1" ht="107.25" customHeight="1">
      <c r="A16" s="53"/>
      <c r="B16" s="34" t="s">
        <v>126</v>
      </c>
      <c r="C16" s="34" t="s">
        <v>125</v>
      </c>
      <c r="D16" s="34"/>
      <c r="E16" s="35" t="s">
        <v>253</v>
      </c>
      <c r="F16" s="33"/>
      <c r="G16" s="16">
        <f>G17</f>
        <v>48000</v>
      </c>
      <c r="H16" s="16">
        <f>H17</f>
        <v>0</v>
      </c>
      <c r="I16" s="16">
        <f>I17</f>
        <v>48000</v>
      </c>
      <c r="J16" s="128"/>
      <c r="K16" s="96"/>
      <c r="L16" s="96"/>
    </row>
    <row r="17" spans="1:12" s="56" customFormat="1" ht="152.25" customHeight="1">
      <c r="A17" s="53"/>
      <c r="B17" s="54" t="s">
        <v>421</v>
      </c>
      <c r="C17" s="54" t="s">
        <v>111</v>
      </c>
      <c r="D17" s="54" t="s">
        <v>10</v>
      </c>
      <c r="E17" s="52" t="s">
        <v>133</v>
      </c>
      <c r="F17" s="55" t="s">
        <v>63</v>
      </c>
      <c r="G17" s="60">
        <f>48000</f>
        <v>48000</v>
      </c>
      <c r="H17" s="60"/>
      <c r="I17" s="60">
        <f>G17+H17</f>
        <v>48000</v>
      </c>
      <c r="J17" s="128"/>
      <c r="K17" s="96"/>
      <c r="L17" s="96"/>
    </row>
    <row r="18" spans="1:12" s="56" customFormat="1" ht="107.25" customHeight="1">
      <c r="A18" s="53"/>
      <c r="B18" s="34" t="s">
        <v>254</v>
      </c>
      <c r="C18" s="34" t="s">
        <v>112</v>
      </c>
      <c r="D18" s="34" t="s">
        <v>10</v>
      </c>
      <c r="E18" s="35" t="s">
        <v>369</v>
      </c>
      <c r="F18" s="33"/>
      <c r="G18" s="16">
        <f>G19</f>
        <v>744135</v>
      </c>
      <c r="H18" s="16">
        <f>H19</f>
        <v>0</v>
      </c>
      <c r="I18" s="16">
        <f>I19</f>
        <v>744135</v>
      </c>
      <c r="J18" s="128"/>
      <c r="K18" s="96"/>
      <c r="L18" s="96"/>
    </row>
    <row r="19" spans="1:12" s="56" customFormat="1" ht="155.25" customHeight="1">
      <c r="A19" s="53"/>
      <c r="B19" s="54" t="s">
        <v>387</v>
      </c>
      <c r="C19" s="54" t="s">
        <v>388</v>
      </c>
      <c r="D19" s="54" t="s">
        <v>10</v>
      </c>
      <c r="E19" s="52" t="s">
        <v>389</v>
      </c>
      <c r="F19" s="55" t="s">
        <v>64</v>
      </c>
      <c r="G19" s="60">
        <f>700000+150000-105865</f>
        <v>744135</v>
      </c>
      <c r="H19" s="60"/>
      <c r="I19" s="60">
        <f>G19+H19</f>
        <v>744135</v>
      </c>
      <c r="J19" s="129"/>
      <c r="K19" s="96"/>
      <c r="L19" s="96"/>
    </row>
    <row r="20" spans="1:12" s="56" customFormat="1" ht="252.75" customHeight="1">
      <c r="A20" s="53"/>
      <c r="B20" s="34" t="s">
        <v>255</v>
      </c>
      <c r="C20" s="34" t="s">
        <v>113</v>
      </c>
      <c r="D20" s="34" t="s">
        <v>10</v>
      </c>
      <c r="E20" s="35" t="s">
        <v>134</v>
      </c>
      <c r="F20" s="33" t="s">
        <v>64</v>
      </c>
      <c r="G20" s="16">
        <f>401800+1169600</f>
        <v>1571400</v>
      </c>
      <c r="H20" s="16"/>
      <c r="I20" s="16">
        <f>G20+H20</f>
        <v>1571400</v>
      </c>
      <c r="J20" s="129"/>
      <c r="K20" s="96"/>
      <c r="L20" s="96"/>
    </row>
    <row r="21" spans="1:10" ht="77.25" customHeight="1">
      <c r="A21" s="51"/>
      <c r="B21" s="34" t="s">
        <v>256</v>
      </c>
      <c r="C21" s="34" t="s">
        <v>110</v>
      </c>
      <c r="D21" s="34">
        <v>1090</v>
      </c>
      <c r="E21" s="35" t="s">
        <v>8</v>
      </c>
      <c r="F21" s="33"/>
      <c r="G21" s="16">
        <f>G22+G23</f>
        <v>191854</v>
      </c>
      <c r="H21" s="16">
        <f>H22+H23</f>
        <v>0</v>
      </c>
      <c r="I21" s="16">
        <f>I22+I23</f>
        <v>191854</v>
      </c>
      <c r="J21" s="129"/>
    </row>
    <row r="22" spans="1:12" s="56" customFormat="1" ht="162" customHeight="1">
      <c r="A22" s="53"/>
      <c r="B22" s="54" t="s">
        <v>256</v>
      </c>
      <c r="C22" s="54" t="s">
        <v>110</v>
      </c>
      <c r="D22" s="54" t="s">
        <v>9</v>
      </c>
      <c r="E22" s="55" t="s">
        <v>345</v>
      </c>
      <c r="F22" s="55" t="s">
        <v>62</v>
      </c>
      <c r="G22" s="60">
        <v>143854</v>
      </c>
      <c r="H22" s="60"/>
      <c r="I22" s="60">
        <f>G22+H22</f>
        <v>143854</v>
      </c>
      <c r="J22" s="129"/>
      <c r="K22" s="96"/>
      <c r="L22" s="96"/>
    </row>
    <row r="23" spans="1:12" s="56" customFormat="1" ht="180" customHeight="1">
      <c r="A23" s="53"/>
      <c r="B23" s="54" t="s">
        <v>256</v>
      </c>
      <c r="C23" s="54" t="s">
        <v>110</v>
      </c>
      <c r="D23" s="54" t="s">
        <v>9</v>
      </c>
      <c r="E23" s="55" t="s">
        <v>341</v>
      </c>
      <c r="F23" s="55" t="s">
        <v>341</v>
      </c>
      <c r="G23" s="60">
        <v>48000</v>
      </c>
      <c r="H23" s="60"/>
      <c r="I23" s="60">
        <f>G23+H23</f>
        <v>48000</v>
      </c>
      <c r="J23" s="129"/>
      <c r="K23" s="96"/>
      <c r="L23" s="96"/>
    </row>
    <row r="24" spans="1:12" s="10" customFormat="1" ht="48.75" customHeight="1">
      <c r="A24" s="1"/>
      <c r="B24" s="34" t="s">
        <v>257</v>
      </c>
      <c r="C24" s="34" t="s">
        <v>114</v>
      </c>
      <c r="D24" s="34" t="s">
        <v>10</v>
      </c>
      <c r="E24" s="35" t="s">
        <v>12</v>
      </c>
      <c r="F24" s="33"/>
      <c r="G24" s="16">
        <f>G25</f>
        <v>728605</v>
      </c>
      <c r="H24" s="16">
        <f>H25</f>
        <v>10000</v>
      </c>
      <c r="I24" s="16">
        <f>I25</f>
        <v>738605</v>
      </c>
      <c r="J24" s="129"/>
      <c r="K24" s="93"/>
      <c r="L24" s="93"/>
    </row>
    <row r="25" spans="1:12" s="56" customFormat="1" ht="135.75" customHeight="1">
      <c r="A25" s="53"/>
      <c r="B25" s="54" t="s">
        <v>257</v>
      </c>
      <c r="C25" s="54" t="s">
        <v>114</v>
      </c>
      <c r="D25" s="54" t="s">
        <v>10</v>
      </c>
      <c r="E25" s="55" t="s">
        <v>346</v>
      </c>
      <c r="F25" s="55" t="s">
        <v>63</v>
      </c>
      <c r="G25" s="60">
        <f>712000-500+17105</f>
        <v>728605</v>
      </c>
      <c r="H25" s="60">
        <v>10000</v>
      </c>
      <c r="I25" s="60">
        <f>G25+H25</f>
        <v>738605</v>
      </c>
      <c r="J25" s="129"/>
      <c r="K25" s="96"/>
      <c r="L25" s="96"/>
    </row>
    <row r="26" spans="1:12" s="10" customFormat="1" ht="75.75" customHeight="1">
      <c r="A26" s="1"/>
      <c r="B26" s="34" t="s">
        <v>259</v>
      </c>
      <c r="C26" s="34" t="s">
        <v>258</v>
      </c>
      <c r="D26" s="34" t="s">
        <v>15</v>
      </c>
      <c r="E26" s="35" t="s">
        <v>135</v>
      </c>
      <c r="F26" s="33"/>
      <c r="G26" s="16">
        <f>G27+G28</f>
        <v>811281</v>
      </c>
      <c r="H26" s="16">
        <f>H27+H28</f>
        <v>0</v>
      </c>
      <c r="I26" s="16">
        <f>I27+I28</f>
        <v>811281</v>
      </c>
      <c r="J26" s="129"/>
      <c r="K26" s="93"/>
      <c r="L26" s="93"/>
    </row>
    <row r="27" spans="1:12" s="56" customFormat="1" ht="117.75" customHeight="1">
      <c r="A27" s="53"/>
      <c r="B27" s="54" t="s">
        <v>259</v>
      </c>
      <c r="C27" s="54" t="s">
        <v>258</v>
      </c>
      <c r="D27" s="54" t="s">
        <v>15</v>
      </c>
      <c r="E27" s="55" t="s">
        <v>417</v>
      </c>
      <c r="F27" s="55" t="s">
        <v>64</v>
      </c>
      <c r="G27" s="60">
        <f>150000+150000+39600+74265+45000+45000</f>
        <v>503865</v>
      </c>
      <c r="H27" s="60">
        <f>22000-22000</f>
        <v>0</v>
      </c>
      <c r="I27" s="60">
        <f>G27+H27</f>
        <v>503865</v>
      </c>
      <c r="J27" s="129"/>
      <c r="K27" s="96"/>
      <c r="L27" s="96"/>
    </row>
    <row r="28" spans="1:12" s="56" customFormat="1" ht="111.75" customHeight="1">
      <c r="A28" s="53"/>
      <c r="B28" s="54" t="s">
        <v>259</v>
      </c>
      <c r="C28" s="54" t="s">
        <v>258</v>
      </c>
      <c r="D28" s="54" t="s">
        <v>15</v>
      </c>
      <c r="E28" s="55" t="s">
        <v>418</v>
      </c>
      <c r="F28" s="52" t="s">
        <v>99</v>
      </c>
      <c r="G28" s="60">
        <f>100000+85000+82816+39600</f>
        <v>307416</v>
      </c>
      <c r="H28" s="60"/>
      <c r="I28" s="60">
        <f>G28+H28</f>
        <v>307416</v>
      </c>
      <c r="J28" s="129"/>
      <c r="K28" s="96"/>
      <c r="L28" s="96"/>
    </row>
    <row r="29" spans="1:12" s="56" customFormat="1" ht="66" customHeight="1">
      <c r="A29" s="53"/>
      <c r="B29" s="34" t="s">
        <v>262</v>
      </c>
      <c r="C29" s="34" t="s">
        <v>261</v>
      </c>
      <c r="D29" s="34"/>
      <c r="E29" s="35" t="s">
        <v>260</v>
      </c>
      <c r="F29" s="33"/>
      <c r="G29" s="16">
        <f>G30+G31</f>
        <v>1856600</v>
      </c>
      <c r="H29" s="16">
        <f>H30+H31</f>
        <v>0</v>
      </c>
      <c r="I29" s="16">
        <f>I30+I31</f>
        <v>1856600</v>
      </c>
      <c r="J29" s="129"/>
      <c r="K29" s="96"/>
      <c r="L29" s="96"/>
    </row>
    <row r="30" spans="1:12" s="56" customFormat="1" ht="105.75" customHeight="1">
      <c r="A30" s="53"/>
      <c r="B30" s="54" t="s">
        <v>265</v>
      </c>
      <c r="C30" s="54" t="s">
        <v>263</v>
      </c>
      <c r="D30" s="54" t="s">
        <v>16</v>
      </c>
      <c r="E30" s="55" t="s">
        <v>137</v>
      </c>
      <c r="F30" s="55" t="s">
        <v>65</v>
      </c>
      <c r="G30" s="60">
        <f>600000+300000+73600</f>
        <v>973600</v>
      </c>
      <c r="H30" s="60"/>
      <c r="I30" s="60">
        <f>G30+H30</f>
        <v>973600</v>
      </c>
      <c r="J30" s="129"/>
      <c r="K30" s="96"/>
      <c r="L30" s="96"/>
    </row>
    <row r="31" spans="1:12" s="56" customFormat="1" ht="126.75" customHeight="1">
      <c r="A31" s="53"/>
      <c r="B31" s="54" t="s">
        <v>266</v>
      </c>
      <c r="C31" s="54" t="s">
        <v>264</v>
      </c>
      <c r="D31" s="54" t="s">
        <v>16</v>
      </c>
      <c r="E31" s="55" t="s">
        <v>17</v>
      </c>
      <c r="F31" s="55" t="s">
        <v>65</v>
      </c>
      <c r="G31" s="60">
        <f>600000+200000+5000+6000+50000-3000+25000</f>
        <v>883000</v>
      </c>
      <c r="H31" s="60"/>
      <c r="I31" s="60">
        <f>G31+H31</f>
        <v>883000</v>
      </c>
      <c r="J31" s="129"/>
      <c r="K31" s="96"/>
      <c r="L31" s="96"/>
    </row>
    <row r="32" spans="1:12" s="10" customFormat="1" ht="98.25" customHeight="1">
      <c r="A32" s="1"/>
      <c r="B32" s="34" t="s">
        <v>267</v>
      </c>
      <c r="C32" s="34" t="s">
        <v>373</v>
      </c>
      <c r="D32" s="34"/>
      <c r="E32" s="35" t="s">
        <v>370</v>
      </c>
      <c r="F32" s="33"/>
      <c r="G32" s="16">
        <f>G33+G34</f>
        <v>13115776</v>
      </c>
      <c r="H32" s="16">
        <f>H33+H34</f>
        <v>249000</v>
      </c>
      <c r="I32" s="16">
        <f>I33+I34</f>
        <v>13364776</v>
      </c>
      <c r="J32" s="129"/>
      <c r="K32" s="93"/>
      <c r="L32" s="93"/>
    </row>
    <row r="33" spans="1:12" s="56" customFormat="1" ht="120.75" customHeight="1">
      <c r="A33" s="53"/>
      <c r="B33" s="54" t="s">
        <v>376</v>
      </c>
      <c r="C33" s="54" t="s">
        <v>374</v>
      </c>
      <c r="D33" s="54" t="s">
        <v>16</v>
      </c>
      <c r="E33" s="55" t="s">
        <v>138</v>
      </c>
      <c r="F33" s="55" t="s">
        <v>65</v>
      </c>
      <c r="G33" s="60">
        <f>7111640-53334+88000+10000+11687+20000</f>
        <v>7187993</v>
      </c>
      <c r="H33" s="60">
        <f>239000+10000</f>
        <v>249000</v>
      </c>
      <c r="I33" s="60">
        <f aca="true" t="shared" si="0" ref="I33:I38">G33+H33</f>
        <v>7436993</v>
      </c>
      <c r="J33" s="129"/>
      <c r="K33" s="96"/>
      <c r="L33" s="96"/>
    </row>
    <row r="34" spans="1:12" s="56" customFormat="1" ht="144.75" customHeight="1">
      <c r="A34" s="53"/>
      <c r="B34" s="54" t="s">
        <v>377</v>
      </c>
      <c r="C34" s="54" t="s">
        <v>375</v>
      </c>
      <c r="D34" s="54" t="s">
        <v>16</v>
      </c>
      <c r="E34" s="55" t="s">
        <v>139</v>
      </c>
      <c r="F34" s="55" t="s">
        <v>65</v>
      </c>
      <c r="G34" s="60">
        <f>5968000+10200-152900+18000+19000+30000+44483-9000</f>
        <v>5927783</v>
      </c>
      <c r="H34" s="60"/>
      <c r="I34" s="60">
        <f t="shared" si="0"/>
        <v>5927783</v>
      </c>
      <c r="J34" s="129"/>
      <c r="K34" s="96"/>
      <c r="L34" s="96"/>
    </row>
    <row r="35" spans="1:12" s="56" customFormat="1" ht="117.75" customHeight="1">
      <c r="A35" s="53"/>
      <c r="B35" s="34" t="s">
        <v>390</v>
      </c>
      <c r="C35" s="34" t="s">
        <v>268</v>
      </c>
      <c r="D35" s="34" t="s">
        <v>16</v>
      </c>
      <c r="E35" s="35" t="s">
        <v>371</v>
      </c>
      <c r="F35" s="33" t="s">
        <v>65</v>
      </c>
      <c r="G35" s="16">
        <f>G36+G37</f>
        <v>5865737</v>
      </c>
      <c r="H35" s="16">
        <f>H36+H37</f>
        <v>454700</v>
      </c>
      <c r="I35" s="16">
        <f t="shared" si="0"/>
        <v>6320437</v>
      </c>
      <c r="J35" s="129"/>
      <c r="K35" s="96"/>
      <c r="L35" s="96"/>
    </row>
    <row r="36" spans="1:12" s="56" customFormat="1" ht="183.75" customHeight="1">
      <c r="A36" s="53"/>
      <c r="B36" s="54" t="s">
        <v>391</v>
      </c>
      <c r="C36" s="54" t="s">
        <v>380</v>
      </c>
      <c r="D36" s="34" t="s">
        <v>16</v>
      </c>
      <c r="E36" s="55" t="s">
        <v>378</v>
      </c>
      <c r="F36" s="55" t="s">
        <v>65</v>
      </c>
      <c r="G36" s="16">
        <f>2281250+350000+60340+20000+4000</f>
        <v>2715590</v>
      </c>
      <c r="H36" s="60">
        <f>39000+415700</f>
        <v>454700</v>
      </c>
      <c r="I36" s="16">
        <f t="shared" si="0"/>
        <v>3170290</v>
      </c>
      <c r="J36" s="129"/>
      <c r="K36" s="96"/>
      <c r="L36" s="96"/>
    </row>
    <row r="37" spans="1:12" s="56" customFormat="1" ht="165.75" customHeight="1">
      <c r="A37" s="53"/>
      <c r="B37" s="54" t="s">
        <v>392</v>
      </c>
      <c r="C37" s="54" t="s">
        <v>372</v>
      </c>
      <c r="D37" s="54" t="s">
        <v>16</v>
      </c>
      <c r="E37" s="55" t="s">
        <v>379</v>
      </c>
      <c r="F37" s="55" t="s">
        <v>65</v>
      </c>
      <c r="G37" s="60">
        <f>2965750+20000-53973+53170+115200+50000</f>
        <v>3150147</v>
      </c>
      <c r="H37" s="60"/>
      <c r="I37" s="60">
        <f t="shared" si="0"/>
        <v>3150147</v>
      </c>
      <c r="J37" s="129"/>
      <c r="K37" s="96"/>
      <c r="L37" s="96"/>
    </row>
    <row r="38" spans="2:10" ht="146.25" customHeight="1">
      <c r="B38" s="34" t="s">
        <v>270</v>
      </c>
      <c r="C38" s="34" t="s">
        <v>269</v>
      </c>
      <c r="D38" s="34" t="s">
        <v>70</v>
      </c>
      <c r="E38" s="35" t="s">
        <v>69</v>
      </c>
      <c r="F38" s="33" t="s">
        <v>66</v>
      </c>
      <c r="G38" s="16">
        <v>1604000</v>
      </c>
      <c r="H38" s="16"/>
      <c r="I38" s="16">
        <f t="shared" si="0"/>
        <v>1604000</v>
      </c>
      <c r="J38" s="129"/>
    </row>
    <row r="39" spans="2:10" ht="88.5">
      <c r="B39" s="34" t="s">
        <v>273</v>
      </c>
      <c r="C39" s="34" t="s">
        <v>272</v>
      </c>
      <c r="D39" s="34"/>
      <c r="E39" s="35" t="s">
        <v>271</v>
      </c>
      <c r="F39" s="33"/>
      <c r="G39" s="16">
        <f>G40</f>
        <v>4844336</v>
      </c>
      <c r="H39" s="16">
        <f>H40</f>
        <v>0</v>
      </c>
      <c r="I39" s="16">
        <f>I40</f>
        <v>4844336</v>
      </c>
      <c r="J39" s="129"/>
    </row>
    <row r="40" spans="1:12" s="56" customFormat="1" ht="138" customHeight="1">
      <c r="A40" s="53"/>
      <c r="B40" s="54" t="s">
        <v>275</v>
      </c>
      <c r="C40" s="54" t="s">
        <v>274</v>
      </c>
      <c r="D40" s="54" t="s">
        <v>72</v>
      </c>
      <c r="E40" s="52" t="s">
        <v>71</v>
      </c>
      <c r="F40" s="55" t="s">
        <v>66</v>
      </c>
      <c r="G40" s="60">
        <f>4820000+24336</f>
        <v>4844336</v>
      </c>
      <c r="H40" s="60"/>
      <c r="I40" s="60">
        <f>G40+H40</f>
        <v>4844336</v>
      </c>
      <c r="J40" s="129"/>
      <c r="K40" s="96"/>
      <c r="L40" s="96"/>
    </row>
    <row r="41" spans="1:12" s="56" customFormat="1" ht="139.5" customHeight="1">
      <c r="A41" s="53"/>
      <c r="B41" s="34" t="s">
        <v>277</v>
      </c>
      <c r="C41" s="34" t="s">
        <v>276</v>
      </c>
      <c r="D41" s="34" t="s">
        <v>19</v>
      </c>
      <c r="E41" s="35" t="s">
        <v>18</v>
      </c>
      <c r="F41" s="33" t="s">
        <v>66</v>
      </c>
      <c r="G41" s="16">
        <f>2578500+132000</f>
        <v>2710500</v>
      </c>
      <c r="H41" s="16">
        <f>2000000-565600</f>
        <v>1434400</v>
      </c>
      <c r="I41" s="16">
        <f>G41+H41</f>
        <v>4144900</v>
      </c>
      <c r="J41" s="129"/>
      <c r="K41" s="96"/>
      <c r="L41" s="96"/>
    </row>
    <row r="42" spans="1:12" s="56" customFormat="1" ht="73.5" customHeight="1">
      <c r="A42" s="53"/>
      <c r="B42" s="34" t="s">
        <v>436</v>
      </c>
      <c r="C42" s="34" t="s">
        <v>437</v>
      </c>
      <c r="D42" s="34" t="s">
        <v>70</v>
      </c>
      <c r="E42" s="35" t="s">
        <v>438</v>
      </c>
      <c r="F42" s="33"/>
      <c r="G42" s="16">
        <f>G43</f>
        <v>33000</v>
      </c>
      <c r="H42" s="16">
        <f>H43</f>
        <v>0</v>
      </c>
      <c r="I42" s="16">
        <f>I43</f>
        <v>33000</v>
      </c>
      <c r="J42" s="129"/>
      <c r="K42" s="96"/>
      <c r="L42" s="96"/>
    </row>
    <row r="43" spans="1:12" s="123" customFormat="1" ht="148.5" customHeight="1">
      <c r="A43" s="121"/>
      <c r="B43" s="54" t="s">
        <v>436</v>
      </c>
      <c r="C43" s="54" t="s">
        <v>437</v>
      </c>
      <c r="D43" s="54" t="s">
        <v>70</v>
      </c>
      <c r="E43" s="122" t="s">
        <v>440</v>
      </c>
      <c r="F43" s="55" t="s">
        <v>439</v>
      </c>
      <c r="G43" s="60">
        <v>33000</v>
      </c>
      <c r="H43" s="60"/>
      <c r="I43" s="60">
        <f>G43+H43</f>
        <v>33000</v>
      </c>
      <c r="J43" s="129"/>
      <c r="K43" s="96"/>
      <c r="L43" s="96"/>
    </row>
    <row r="44" spans="1:12" s="10" customFormat="1" ht="69" customHeight="1">
      <c r="A44" s="1"/>
      <c r="B44" s="34" t="s">
        <v>280</v>
      </c>
      <c r="C44" s="34" t="s">
        <v>279</v>
      </c>
      <c r="D44" s="34"/>
      <c r="E44" s="35" t="s">
        <v>278</v>
      </c>
      <c r="F44" s="33"/>
      <c r="G44" s="16">
        <f>G45</f>
        <v>198000</v>
      </c>
      <c r="H44" s="16">
        <f>H45</f>
        <v>0</v>
      </c>
      <c r="I44" s="16">
        <f>I45</f>
        <v>198000</v>
      </c>
      <c r="J44" s="129"/>
      <c r="K44" s="93"/>
      <c r="L44" s="93"/>
    </row>
    <row r="45" spans="1:12" s="56" customFormat="1" ht="105.75" customHeight="1">
      <c r="A45" s="53"/>
      <c r="B45" s="54" t="s">
        <v>282</v>
      </c>
      <c r="C45" s="54" t="s">
        <v>281</v>
      </c>
      <c r="D45" s="54" t="s">
        <v>59</v>
      </c>
      <c r="E45" s="52" t="s">
        <v>136</v>
      </c>
      <c r="F45" s="55" t="s">
        <v>61</v>
      </c>
      <c r="G45" s="60">
        <v>198000</v>
      </c>
      <c r="H45" s="60"/>
      <c r="I45" s="60">
        <f>G45+H45</f>
        <v>198000</v>
      </c>
      <c r="J45" s="129"/>
      <c r="K45" s="96"/>
      <c r="L45" s="96"/>
    </row>
    <row r="46" spans="2:10" ht="180" customHeight="1">
      <c r="B46" s="34" t="s">
        <v>284</v>
      </c>
      <c r="C46" s="34" t="s">
        <v>283</v>
      </c>
      <c r="D46" s="34" t="s">
        <v>7</v>
      </c>
      <c r="E46" s="35" t="s">
        <v>140</v>
      </c>
      <c r="F46" s="33" t="s">
        <v>313</v>
      </c>
      <c r="G46" s="16">
        <v>82200</v>
      </c>
      <c r="H46" s="16">
        <v>32000</v>
      </c>
      <c r="I46" s="16">
        <f>G46+H46</f>
        <v>114200</v>
      </c>
      <c r="J46" s="129"/>
    </row>
    <row r="47" spans="2:10" ht="138.75" customHeight="1">
      <c r="B47" s="147" t="s">
        <v>285</v>
      </c>
      <c r="C47" s="147" t="s">
        <v>192</v>
      </c>
      <c r="D47" s="147" t="s">
        <v>6</v>
      </c>
      <c r="E47" s="137" t="s">
        <v>141</v>
      </c>
      <c r="F47" s="33" t="s">
        <v>66</v>
      </c>
      <c r="G47" s="16"/>
      <c r="H47" s="16">
        <f>29100000+13704000+565600</f>
        <v>43369600</v>
      </c>
      <c r="I47" s="16">
        <f>G47+H47</f>
        <v>43369600</v>
      </c>
      <c r="J47" s="129"/>
    </row>
    <row r="48" spans="2:10" ht="159.75" customHeight="1">
      <c r="B48" s="149"/>
      <c r="C48" s="149"/>
      <c r="D48" s="149"/>
      <c r="E48" s="138"/>
      <c r="F48" s="33" t="s">
        <v>384</v>
      </c>
      <c r="G48" s="16"/>
      <c r="H48" s="16">
        <f>1082000+3074000+400000</f>
        <v>4556000</v>
      </c>
      <c r="I48" s="16">
        <f>G48+H48</f>
        <v>4556000</v>
      </c>
      <c r="J48" s="129"/>
    </row>
    <row r="49" spans="2:10" ht="77.25" customHeight="1">
      <c r="B49" s="34" t="s">
        <v>287</v>
      </c>
      <c r="C49" s="34" t="s">
        <v>286</v>
      </c>
      <c r="D49" s="34" t="s">
        <v>7</v>
      </c>
      <c r="E49" s="35" t="s">
        <v>20</v>
      </c>
      <c r="F49" s="33"/>
      <c r="G49" s="16">
        <f>G50</f>
        <v>719800</v>
      </c>
      <c r="H49" s="16">
        <f>H50</f>
        <v>0</v>
      </c>
      <c r="I49" s="16">
        <f>I50</f>
        <v>719800</v>
      </c>
      <c r="J49" s="129"/>
    </row>
    <row r="50" spans="1:12" s="56" customFormat="1" ht="147.75" customHeight="1">
      <c r="A50" s="53"/>
      <c r="B50" s="54" t="s">
        <v>287</v>
      </c>
      <c r="C50" s="54" t="s">
        <v>286</v>
      </c>
      <c r="D50" s="54" t="s">
        <v>7</v>
      </c>
      <c r="E50" s="52" t="s">
        <v>347</v>
      </c>
      <c r="F50" s="55" t="s">
        <v>61</v>
      </c>
      <c r="G50" s="60">
        <f>139800+500000+80000</f>
        <v>719800</v>
      </c>
      <c r="H50" s="60"/>
      <c r="I50" s="60">
        <f>G50+H50</f>
        <v>719800</v>
      </c>
      <c r="J50" s="129"/>
      <c r="K50" s="96"/>
      <c r="L50" s="96"/>
    </row>
    <row r="51" spans="2:10" ht="197.25" customHeight="1">
      <c r="B51" s="34" t="s">
        <v>289</v>
      </c>
      <c r="C51" s="34" t="s">
        <v>288</v>
      </c>
      <c r="D51" s="34" t="s">
        <v>21</v>
      </c>
      <c r="E51" s="35" t="s">
        <v>142</v>
      </c>
      <c r="F51" s="33" t="s">
        <v>11</v>
      </c>
      <c r="G51" s="16">
        <f>207600+1792+136300</f>
        <v>345692</v>
      </c>
      <c r="H51" s="16">
        <v>385000</v>
      </c>
      <c r="I51" s="16">
        <f>G51+H51</f>
        <v>730692</v>
      </c>
      <c r="J51" s="129"/>
    </row>
    <row r="52" spans="2:10" ht="323.25" customHeight="1">
      <c r="B52" s="147" t="s">
        <v>405</v>
      </c>
      <c r="C52" s="147" t="s">
        <v>406</v>
      </c>
      <c r="D52" s="147" t="s">
        <v>55</v>
      </c>
      <c r="E52" s="137" t="s">
        <v>407</v>
      </c>
      <c r="F52" s="33" t="s">
        <v>408</v>
      </c>
      <c r="G52" s="16">
        <f>70000</f>
        <v>70000</v>
      </c>
      <c r="H52" s="16">
        <f>120000+500000</f>
        <v>620000</v>
      </c>
      <c r="I52" s="16">
        <f>G52+H52</f>
        <v>690000</v>
      </c>
      <c r="J52" s="129"/>
    </row>
    <row r="53" spans="2:10" ht="110.25" customHeight="1">
      <c r="B53" s="148"/>
      <c r="C53" s="148"/>
      <c r="D53" s="148"/>
      <c r="E53" s="150"/>
      <c r="F53" s="39" t="s">
        <v>314</v>
      </c>
      <c r="G53" s="16">
        <f>80000+40000</f>
        <v>120000</v>
      </c>
      <c r="H53" s="16">
        <f>500000+700000+20000</f>
        <v>1220000</v>
      </c>
      <c r="I53" s="16">
        <f>G53+H53</f>
        <v>1340000</v>
      </c>
      <c r="J53" s="129"/>
    </row>
    <row r="54" spans="2:10" ht="110.25" customHeight="1">
      <c r="B54" s="149"/>
      <c r="C54" s="149"/>
      <c r="D54" s="149"/>
      <c r="E54" s="138"/>
      <c r="F54" s="33" t="s">
        <v>68</v>
      </c>
      <c r="G54" s="16">
        <f>253500+249573</f>
        <v>503073</v>
      </c>
      <c r="H54" s="16">
        <f>50427</f>
        <v>50427</v>
      </c>
      <c r="I54" s="16">
        <f>G54+H54</f>
        <v>553500</v>
      </c>
      <c r="J54" s="129"/>
    </row>
    <row r="55" spans="2:10" ht="71.25" customHeight="1">
      <c r="B55" s="34" t="s">
        <v>290</v>
      </c>
      <c r="C55" s="34" t="s">
        <v>185</v>
      </c>
      <c r="D55" s="34" t="s">
        <v>24</v>
      </c>
      <c r="E55" s="35" t="s">
        <v>12</v>
      </c>
      <c r="F55" s="33"/>
      <c r="G55" s="16">
        <f>G56+G57+G58+G59+G60+G61+G62+G63</f>
        <v>7356239</v>
      </c>
      <c r="H55" s="16">
        <f>H56+H57+H58+H59+H60+H61+H62+H63</f>
        <v>3286718</v>
      </c>
      <c r="I55" s="16">
        <f>I56+I57+I58+I59+I60+I61+I62+I63</f>
        <v>10642957</v>
      </c>
      <c r="J55" s="129"/>
    </row>
    <row r="56" spans="1:12" s="56" customFormat="1" ht="104.25" customHeight="1">
      <c r="A56" s="53"/>
      <c r="B56" s="54" t="s">
        <v>290</v>
      </c>
      <c r="C56" s="54" t="s">
        <v>185</v>
      </c>
      <c r="D56" s="85" t="s">
        <v>24</v>
      </c>
      <c r="E56" s="52" t="s">
        <v>399</v>
      </c>
      <c r="F56" s="55" t="s">
        <v>68</v>
      </c>
      <c r="G56" s="60">
        <f>607700+38239+2089+130000-277718+15000</f>
        <v>515310</v>
      </c>
      <c r="H56" s="60">
        <v>177000</v>
      </c>
      <c r="I56" s="60">
        <f>G56+H56</f>
        <v>692310</v>
      </c>
      <c r="J56" s="129"/>
      <c r="K56" s="96"/>
      <c r="L56" s="96"/>
    </row>
    <row r="57" spans="1:12" s="56" customFormat="1" ht="106.5" customHeight="1">
      <c r="A57" s="53"/>
      <c r="B57" s="54" t="s">
        <v>290</v>
      </c>
      <c r="C57" s="54" t="s">
        <v>185</v>
      </c>
      <c r="D57" s="85" t="s">
        <v>24</v>
      </c>
      <c r="E57" s="52" t="s">
        <v>447</v>
      </c>
      <c r="F57" s="57" t="s">
        <v>323</v>
      </c>
      <c r="G57" s="60">
        <f>80290+80290</f>
        <v>160580</v>
      </c>
      <c r="H57" s="60"/>
      <c r="I57" s="60">
        <f>G57+H57</f>
        <v>160580</v>
      </c>
      <c r="J57" s="129"/>
      <c r="K57" s="96"/>
      <c r="L57" s="96"/>
    </row>
    <row r="58" spans="1:12" s="56" customFormat="1" ht="164.25" customHeight="1">
      <c r="A58" s="53"/>
      <c r="B58" s="54" t="s">
        <v>290</v>
      </c>
      <c r="C58" s="54" t="s">
        <v>185</v>
      </c>
      <c r="D58" s="85" t="s">
        <v>24</v>
      </c>
      <c r="E58" s="52" t="s">
        <v>349</v>
      </c>
      <c r="F58" s="55" t="s">
        <v>384</v>
      </c>
      <c r="G58" s="60">
        <f>194200+843700-194200+3021900+110000</f>
        <v>3975600</v>
      </c>
      <c r="H58" s="60">
        <f>90000+2997000+229000-510000+277718</f>
        <v>3083718</v>
      </c>
      <c r="I58" s="60">
        <f aca="true" t="shared" si="1" ref="I58:I63">SUM(G58:H58)</f>
        <v>7059318</v>
      </c>
      <c r="J58" s="129"/>
      <c r="K58" s="96"/>
      <c r="L58" s="96"/>
    </row>
    <row r="59" spans="1:12" s="56" customFormat="1" ht="143.25" customHeight="1">
      <c r="A59" s="53"/>
      <c r="B59" s="54" t="s">
        <v>290</v>
      </c>
      <c r="C59" s="54" t="s">
        <v>185</v>
      </c>
      <c r="D59" s="85" t="s">
        <v>24</v>
      </c>
      <c r="E59" s="52" t="s">
        <v>347</v>
      </c>
      <c r="F59" s="55" t="s">
        <v>61</v>
      </c>
      <c r="G59" s="60">
        <f>962400+50000-50000+188170</f>
        <v>1150570</v>
      </c>
      <c r="H59" s="60">
        <v>26000</v>
      </c>
      <c r="I59" s="60">
        <f t="shared" si="1"/>
        <v>1176570</v>
      </c>
      <c r="J59" s="129"/>
      <c r="K59" s="96"/>
      <c r="L59" s="96"/>
    </row>
    <row r="60" spans="1:12" s="56" customFormat="1" ht="111" customHeight="1">
      <c r="A60" s="53"/>
      <c r="B60" s="54" t="s">
        <v>290</v>
      </c>
      <c r="C60" s="54" t="s">
        <v>185</v>
      </c>
      <c r="D60" s="85" t="s">
        <v>24</v>
      </c>
      <c r="E60" s="52" t="s">
        <v>348</v>
      </c>
      <c r="F60" s="55" t="s">
        <v>65</v>
      </c>
      <c r="G60" s="60">
        <f>1229100+80000-29921</f>
        <v>1279179</v>
      </c>
      <c r="H60" s="60"/>
      <c r="I60" s="60">
        <f t="shared" si="1"/>
        <v>1279179</v>
      </c>
      <c r="J60" s="129"/>
      <c r="K60" s="96"/>
      <c r="L60" s="96"/>
    </row>
    <row r="61" spans="1:12" s="56" customFormat="1" ht="134.25" customHeight="1">
      <c r="A61" s="53"/>
      <c r="B61" s="54" t="s">
        <v>290</v>
      </c>
      <c r="C61" s="54" t="s">
        <v>185</v>
      </c>
      <c r="D61" s="85" t="s">
        <v>24</v>
      </c>
      <c r="E61" s="52" t="s">
        <v>446</v>
      </c>
      <c r="F61" s="55" t="s">
        <v>310</v>
      </c>
      <c r="G61" s="60">
        <f>100000+25000</f>
        <v>125000</v>
      </c>
      <c r="H61" s="60"/>
      <c r="I61" s="60">
        <f t="shared" si="1"/>
        <v>125000</v>
      </c>
      <c r="J61" s="129"/>
      <c r="K61" s="96"/>
      <c r="L61" s="96"/>
    </row>
    <row r="62" spans="1:12" s="56" customFormat="1" ht="194.25" customHeight="1">
      <c r="A62" s="53"/>
      <c r="B62" s="54" t="s">
        <v>290</v>
      </c>
      <c r="C62" s="54" t="s">
        <v>185</v>
      </c>
      <c r="D62" s="85" t="s">
        <v>24</v>
      </c>
      <c r="E62" s="52" t="s">
        <v>385</v>
      </c>
      <c r="F62" s="55" t="s">
        <v>393</v>
      </c>
      <c r="G62" s="60">
        <v>100000</v>
      </c>
      <c r="H62" s="60"/>
      <c r="I62" s="60">
        <f t="shared" si="1"/>
        <v>100000</v>
      </c>
      <c r="J62" s="129"/>
      <c r="K62" s="96"/>
      <c r="L62" s="96"/>
    </row>
    <row r="63" spans="1:12" s="56" customFormat="1" ht="197.25" customHeight="1">
      <c r="A63" s="53"/>
      <c r="B63" s="54" t="s">
        <v>290</v>
      </c>
      <c r="C63" s="54" t="s">
        <v>185</v>
      </c>
      <c r="D63" s="85" t="s">
        <v>24</v>
      </c>
      <c r="E63" s="52" t="s">
        <v>415</v>
      </c>
      <c r="F63" s="55" t="s">
        <v>11</v>
      </c>
      <c r="G63" s="60">
        <v>50000</v>
      </c>
      <c r="H63" s="60"/>
      <c r="I63" s="60">
        <f t="shared" si="1"/>
        <v>50000</v>
      </c>
      <c r="J63" s="129"/>
      <c r="K63" s="96"/>
      <c r="L63" s="96"/>
    </row>
    <row r="64" spans="1:12" s="10" customFormat="1" ht="71.25" customHeight="1">
      <c r="A64" s="1"/>
      <c r="B64" s="34" t="s">
        <v>414</v>
      </c>
      <c r="C64" s="34" t="s">
        <v>187</v>
      </c>
      <c r="D64" s="108" t="s">
        <v>55</v>
      </c>
      <c r="E64" s="35" t="s">
        <v>56</v>
      </c>
      <c r="F64" s="33"/>
      <c r="G64" s="16">
        <f>G65+G66</f>
        <v>142292</v>
      </c>
      <c r="H64" s="16">
        <f>H65+H66</f>
        <v>54200</v>
      </c>
      <c r="I64" s="16">
        <f>I65+I66</f>
        <v>196492</v>
      </c>
      <c r="J64" s="129"/>
      <c r="K64" s="93"/>
      <c r="L64" s="93"/>
    </row>
    <row r="65" spans="1:12" s="56" customFormat="1" ht="107.25" customHeight="1">
      <c r="A65" s="53"/>
      <c r="B65" s="54" t="s">
        <v>414</v>
      </c>
      <c r="C65" s="54" t="s">
        <v>187</v>
      </c>
      <c r="D65" s="85" t="s">
        <v>55</v>
      </c>
      <c r="E65" s="55" t="s">
        <v>441</v>
      </c>
      <c r="F65" s="57" t="s">
        <v>323</v>
      </c>
      <c r="G65" s="60">
        <v>119492</v>
      </c>
      <c r="H65" s="60"/>
      <c r="I65" s="60">
        <f>SUM(G65:H65)</f>
        <v>119492</v>
      </c>
      <c r="J65" s="129"/>
      <c r="K65" s="96"/>
      <c r="L65" s="96"/>
    </row>
    <row r="66" spans="1:12" s="56" customFormat="1" ht="107.25" customHeight="1">
      <c r="A66" s="53"/>
      <c r="B66" s="54" t="s">
        <v>414</v>
      </c>
      <c r="C66" s="54" t="s">
        <v>187</v>
      </c>
      <c r="D66" s="85" t="s">
        <v>55</v>
      </c>
      <c r="E66" s="52" t="s">
        <v>447</v>
      </c>
      <c r="F66" s="57" t="s">
        <v>323</v>
      </c>
      <c r="G66" s="60">
        <v>22800</v>
      </c>
      <c r="H66" s="60">
        <v>54200</v>
      </c>
      <c r="I66" s="60">
        <f>SUM(G66:H66)</f>
        <v>77000</v>
      </c>
      <c r="J66" s="129"/>
      <c r="K66" s="96"/>
      <c r="L66" s="96"/>
    </row>
    <row r="67" spans="2:10" ht="141" customHeight="1">
      <c r="B67" s="34" t="s">
        <v>291</v>
      </c>
      <c r="C67" s="34" t="s">
        <v>189</v>
      </c>
      <c r="D67" s="34" t="s">
        <v>22</v>
      </c>
      <c r="E67" s="35" t="s">
        <v>88</v>
      </c>
      <c r="F67" s="36" t="s">
        <v>67</v>
      </c>
      <c r="G67" s="16"/>
      <c r="H67" s="16">
        <v>58563</v>
      </c>
      <c r="I67" s="16">
        <f>G67+H67</f>
        <v>58563</v>
      </c>
      <c r="J67" s="129"/>
    </row>
    <row r="68" spans="2:10" ht="174" customHeight="1">
      <c r="B68" s="34" t="s">
        <v>343</v>
      </c>
      <c r="C68" s="34" t="s">
        <v>193</v>
      </c>
      <c r="D68" s="34" t="s">
        <v>24</v>
      </c>
      <c r="E68" s="35" t="s">
        <v>23</v>
      </c>
      <c r="F68" s="33" t="s">
        <v>61</v>
      </c>
      <c r="G68" s="16"/>
      <c r="H68" s="16">
        <v>9600</v>
      </c>
      <c r="I68" s="16">
        <f>G68+H68</f>
        <v>9600</v>
      </c>
      <c r="J68" s="129"/>
    </row>
    <row r="69" spans="2:13" ht="107.25" customHeight="1">
      <c r="B69" s="34"/>
      <c r="C69" s="34"/>
      <c r="D69" s="34"/>
      <c r="E69" s="74" t="s">
        <v>27</v>
      </c>
      <c r="F69" s="33"/>
      <c r="G69" s="113">
        <f>G70+G71+G72+G73+G74+G75+G76+G77+G79+G80+G82+G84+G86+G87+G89+G90+G91+G93+G94+G95+G78+G81+G83+G85</f>
        <v>35385269.14</v>
      </c>
      <c r="H69" s="113">
        <f>H70+H71+H72+H73+H74+H75+H76+H77+H79+H80+H82+H84+H86+H87+H89+H90+H91+H93+H94+H95+H78+H81+H83+H85</f>
        <v>24174589</v>
      </c>
      <c r="I69" s="113">
        <f>I70+I71+I72+I73+I74+I75+I76+I77+I79+I80+I82+I84+I86+I87+I89+I90+I91+I93+I94+I95+I78+I81+I83+I85</f>
        <v>59559858.14</v>
      </c>
      <c r="J69" s="129"/>
      <c r="K69" s="97"/>
      <c r="L69" s="97"/>
      <c r="M69" s="91"/>
    </row>
    <row r="70" spans="1:12" s="8" customFormat="1" ht="116.25" customHeight="1">
      <c r="A70" s="7"/>
      <c r="B70" s="34" t="s">
        <v>127</v>
      </c>
      <c r="C70" s="34" t="s">
        <v>55</v>
      </c>
      <c r="D70" s="34" t="s">
        <v>2</v>
      </c>
      <c r="E70" s="35" t="s">
        <v>394</v>
      </c>
      <c r="F70" s="33" t="s">
        <v>99</v>
      </c>
      <c r="G70" s="16">
        <v>30000</v>
      </c>
      <c r="H70" s="16"/>
      <c r="I70" s="16">
        <f>G70+H70</f>
        <v>30000</v>
      </c>
      <c r="J70" s="129"/>
      <c r="K70" s="98"/>
      <c r="L70" s="98"/>
    </row>
    <row r="71" spans="2:10" ht="157.5" customHeight="1">
      <c r="B71" s="142" t="s">
        <v>242</v>
      </c>
      <c r="C71" s="142" t="s">
        <v>103</v>
      </c>
      <c r="D71" s="142" t="s">
        <v>28</v>
      </c>
      <c r="E71" s="167" t="s">
        <v>132</v>
      </c>
      <c r="F71" s="33" t="s">
        <v>62</v>
      </c>
      <c r="G71" s="16">
        <v>4303</v>
      </c>
      <c r="H71" s="16"/>
      <c r="I71" s="16">
        <f aca="true" t="shared" si="2" ref="I71:I95">G71+H71</f>
        <v>4303</v>
      </c>
      <c r="J71" s="129"/>
    </row>
    <row r="72" spans="2:10" ht="180" customHeight="1">
      <c r="B72" s="142"/>
      <c r="C72" s="142"/>
      <c r="D72" s="142"/>
      <c r="E72" s="167"/>
      <c r="F72" s="33" t="s">
        <v>341</v>
      </c>
      <c r="G72" s="16">
        <v>534620</v>
      </c>
      <c r="H72" s="16"/>
      <c r="I72" s="16">
        <f t="shared" si="2"/>
        <v>534620</v>
      </c>
      <c r="J72" s="129"/>
    </row>
    <row r="73" spans="2:10" ht="225" customHeight="1">
      <c r="B73" s="142"/>
      <c r="C73" s="142"/>
      <c r="D73" s="142"/>
      <c r="E73" s="167"/>
      <c r="F73" s="33" t="s">
        <v>363</v>
      </c>
      <c r="G73" s="16">
        <v>7352680.16</v>
      </c>
      <c r="H73" s="16"/>
      <c r="I73" s="16">
        <f t="shared" si="2"/>
        <v>7352680.16</v>
      </c>
      <c r="J73" s="129"/>
    </row>
    <row r="74" spans="2:10" ht="190.5" customHeight="1">
      <c r="B74" s="142"/>
      <c r="C74" s="142"/>
      <c r="D74" s="142"/>
      <c r="E74" s="167"/>
      <c r="F74" s="33" t="s">
        <v>85</v>
      </c>
      <c r="G74" s="16"/>
      <c r="H74" s="16">
        <f>4227000+46000+188000+49500+110500+23000+5000+16620+20000+16996+17900+57059+66900+566532+20000</f>
        <v>5431007</v>
      </c>
      <c r="I74" s="16">
        <f t="shared" si="2"/>
        <v>5431007</v>
      </c>
      <c r="J74" s="129"/>
    </row>
    <row r="75" spans="2:10" ht="141.75" customHeight="1">
      <c r="B75" s="142" t="s">
        <v>243</v>
      </c>
      <c r="C75" s="142" t="s">
        <v>87</v>
      </c>
      <c r="D75" s="142" t="s">
        <v>29</v>
      </c>
      <c r="E75" s="158" t="s">
        <v>143</v>
      </c>
      <c r="F75" s="33" t="s">
        <v>62</v>
      </c>
      <c r="G75" s="16">
        <v>30394</v>
      </c>
      <c r="H75" s="16"/>
      <c r="I75" s="16">
        <f t="shared" si="2"/>
        <v>30394</v>
      </c>
      <c r="J75" s="129"/>
    </row>
    <row r="76" spans="2:10" ht="207.75" customHeight="1">
      <c r="B76" s="142"/>
      <c r="C76" s="142"/>
      <c r="D76" s="142"/>
      <c r="E76" s="158"/>
      <c r="F76" s="33" t="s">
        <v>341</v>
      </c>
      <c r="G76" s="16">
        <v>783230</v>
      </c>
      <c r="H76" s="16"/>
      <c r="I76" s="16">
        <f t="shared" si="2"/>
        <v>783230</v>
      </c>
      <c r="J76" s="129"/>
    </row>
    <row r="77" spans="2:10" ht="141.75" customHeight="1">
      <c r="B77" s="142"/>
      <c r="C77" s="142"/>
      <c r="D77" s="142"/>
      <c r="E77" s="158"/>
      <c r="F77" s="33" t="s">
        <v>68</v>
      </c>
      <c r="G77" s="16">
        <v>366200</v>
      </c>
      <c r="H77" s="16"/>
      <c r="I77" s="16">
        <f t="shared" si="2"/>
        <v>366200</v>
      </c>
      <c r="J77" s="129"/>
    </row>
    <row r="78" spans="2:10" ht="141.75" customHeight="1">
      <c r="B78" s="142"/>
      <c r="C78" s="142"/>
      <c r="D78" s="142"/>
      <c r="E78" s="158"/>
      <c r="F78" s="33" t="s">
        <v>419</v>
      </c>
      <c r="G78" s="16"/>
      <c r="H78" s="16">
        <v>18000</v>
      </c>
      <c r="I78" s="16">
        <f t="shared" si="2"/>
        <v>18000</v>
      </c>
      <c r="J78" s="129"/>
    </row>
    <row r="79" spans="2:10" ht="225.75" customHeight="1">
      <c r="B79" s="142"/>
      <c r="C79" s="142"/>
      <c r="D79" s="142"/>
      <c r="E79" s="158"/>
      <c r="F79" s="33" t="s">
        <v>363</v>
      </c>
      <c r="G79" s="16">
        <v>15116340.98</v>
      </c>
      <c r="H79" s="16"/>
      <c r="I79" s="16">
        <f t="shared" si="2"/>
        <v>15116340.98</v>
      </c>
      <c r="J79" s="129"/>
    </row>
    <row r="80" spans="2:10" ht="191.25" customHeight="1">
      <c r="B80" s="142"/>
      <c r="C80" s="142"/>
      <c r="D80" s="142"/>
      <c r="E80" s="158"/>
      <c r="F80" s="33" t="s">
        <v>85</v>
      </c>
      <c r="G80" s="16"/>
      <c r="H80" s="16">
        <f>6811000+500000+50000+140600+23000+866300+241534+22625+18000+30000+7900+10000+40700+117090+128973-18000+149700+46600+3903000-3000</f>
        <v>13086022</v>
      </c>
      <c r="I80" s="16">
        <f t="shared" si="2"/>
        <v>13086022</v>
      </c>
      <c r="J80" s="129"/>
    </row>
    <row r="81" spans="2:10" ht="209.25" customHeight="1">
      <c r="B81" s="151" t="s">
        <v>244</v>
      </c>
      <c r="C81" s="151" t="s">
        <v>38</v>
      </c>
      <c r="D81" s="147" t="s">
        <v>86</v>
      </c>
      <c r="E81" s="137" t="s">
        <v>144</v>
      </c>
      <c r="F81" s="33" t="s">
        <v>363</v>
      </c>
      <c r="G81" s="16">
        <v>118924</v>
      </c>
      <c r="H81" s="16"/>
      <c r="I81" s="16">
        <f t="shared" si="2"/>
        <v>118924</v>
      </c>
      <c r="J81" s="129"/>
    </row>
    <row r="82" spans="2:10" ht="240.75" customHeight="1">
      <c r="B82" s="152"/>
      <c r="C82" s="152"/>
      <c r="D82" s="149"/>
      <c r="E82" s="138"/>
      <c r="F82" s="33" t="s">
        <v>85</v>
      </c>
      <c r="G82" s="16"/>
      <c r="H82" s="16">
        <v>150000</v>
      </c>
      <c r="I82" s="16">
        <f t="shared" si="2"/>
        <v>150000</v>
      </c>
      <c r="J82" s="129"/>
    </row>
    <row r="83" spans="2:10" ht="240.75" customHeight="1">
      <c r="B83" s="151" t="s">
        <v>245</v>
      </c>
      <c r="C83" s="151" t="s">
        <v>9</v>
      </c>
      <c r="D83" s="147" t="s">
        <v>79</v>
      </c>
      <c r="E83" s="137" t="s">
        <v>145</v>
      </c>
      <c r="F83" s="33" t="s">
        <v>363</v>
      </c>
      <c r="G83" s="16">
        <v>433251</v>
      </c>
      <c r="H83" s="16"/>
      <c r="I83" s="16">
        <f t="shared" si="2"/>
        <v>433251</v>
      </c>
      <c r="J83" s="129"/>
    </row>
    <row r="84" spans="2:10" ht="200.25" customHeight="1">
      <c r="B84" s="152"/>
      <c r="C84" s="152"/>
      <c r="D84" s="149"/>
      <c r="E84" s="138"/>
      <c r="F84" s="33" t="s">
        <v>85</v>
      </c>
      <c r="G84" s="16"/>
      <c r="H84" s="16">
        <v>600000</v>
      </c>
      <c r="I84" s="16">
        <f t="shared" si="2"/>
        <v>600000</v>
      </c>
      <c r="J84" s="129"/>
    </row>
    <row r="85" spans="2:10" ht="200.25" customHeight="1">
      <c r="B85" s="151" t="s">
        <v>246</v>
      </c>
      <c r="C85" s="151" t="s">
        <v>104</v>
      </c>
      <c r="D85" s="147" t="s">
        <v>30</v>
      </c>
      <c r="E85" s="137" t="s">
        <v>146</v>
      </c>
      <c r="F85" s="33" t="s">
        <v>363</v>
      </c>
      <c r="G85" s="16">
        <v>285548</v>
      </c>
      <c r="H85" s="16"/>
      <c r="I85" s="16">
        <f t="shared" si="2"/>
        <v>285548</v>
      </c>
      <c r="J85" s="172"/>
    </row>
    <row r="86" spans="2:10" ht="195" customHeight="1">
      <c r="B86" s="152"/>
      <c r="C86" s="152"/>
      <c r="D86" s="149"/>
      <c r="E86" s="138"/>
      <c r="F86" s="33" t="s">
        <v>85</v>
      </c>
      <c r="G86" s="16"/>
      <c r="H86" s="16">
        <f>150000+17500</f>
        <v>167500</v>
      </c>
      <c r="I86" s="16">
        <f t="shared" si="2"/>
        <v>167500</v>
      </c>
      <c r="J86" s="172"/>
    </row>
    <row r="87" spans="2:10" ht="99" customHeight="1">
      <c r="B87" s="37" t="s">
        <v>247</v>
      </c>
      <c r="C87" s="37" t="s">
        <v>105</v>
      </c>
      <c r="D87" s="34" t="s">
        <v>30</v>
      </c>
      <c r="E87" s="35" t="s">
        <v>76</v>
      </c>
      <c r="F87" s="33"/>
      <c r="G87" s="16">
        <f>G88</f>
        <v>73780</v>
      </c>
      <c r="H87" s="16">
        <f>H88</f>
        <v>0</v>
      </c>
      <c r="I87" s="16">
        <f>I88</f>
        <v>73780</v>
      </c>
      <c r="J87" s="172"/>
    </row>
    <row r="88" spans="1:12" s="56" customFormat="1" ht="213" customHeight="1">
      <c r="A88" s="53"/>
      <c r="B88" s="61" t="s">
        <v>247</v>
      </c>
      <c r="C88" s="61" t="s">
        <v>105</v>
      </c>
      <c r="D88" s="54" t="s">
        <v>30</v>
      </c>
      <c r="E88" s="52" t="s">
        <v>344</v>
      </c>
      <c r="F88" s="55" t="s">
        <v>84</v>
      </c>
      <c r="G88" s="60">
        <v>73780</v>
      </c>
      <c r="H88" s="60"/>
      <c r="I88" s="60">
        <f t="shared" si="2"/>
        <v>73780</v>
      </c>
      <c r="J88" s="172"/>
      <c r="K88" s="96"/>
      <c r="L88" s="96"/>
    </row>
    <row r="89" spans="2:10" ht="121.5" customHeight="1">
      <c r="B89" s="127" t="s">
        <v>248</v>
      </c>
      <c r="C89" s="127" t="s">
        <v>113</v>
      </c>
      <c r="D89" s="142" t="s">
        <v>10</v>
      </c>
      <c r="E89" s="158" t="s">
        <v>134</v>
      </c>
      <c r="F89" s="33" t="s">
        <v>64</v>
      </c>
      <c r="G89" s="16">
        <f>2330000+355600</f>
        <v>2685600</v>
      </c>
      <c r="H89" s="16"/>
      <c r="I89" s="16">
        <f t="shared" si="2"/>
        <v>2685600</v>
      </c>
      <c r="J89" s="172"/>
    </row>
    <row r="90" spans="2:10" ht="193.5" customHeight="1">
      <c r="B90" s="127"/>
      <c r="C90" s="127"/>
      <c r="D90" s="142"/>
      <c r="E90" s="158"/>
      <c r="F90" s="33" t="s">
        <v>341</v>
      </c>
      <c r="G90" s="16">
        <f>2670000+511280</f>
        <v>3181280</v>
      </c>
      <c r="H90" s="16"/>
      <c r="I90" s="16">
        <f t="shared" si="2"/>
        <v>3181280</v>
      </c>
      <c r="J90" s="172"/>
    </row>
    <row r="91" spans="2:10" ht="100.5" customHeight="1">
      <c r="B91" s="37" t="s">
        <v>382</v>
      </c>
      <c r="C91" s="37" t="s">
        <v>373</v>
      </c>
      <c r="D91" s="34"/>
      <c r="E91" s="35" t="s">
        <v>381</v>
      </c>
      <c r="F91" s="33"/>
      <c r="G91" s="16">
        <f>G92</f>
        <v>3744618</v>
      </c>
      <c r="H91" s="16">
        <f>H92</f>
        <v>0</v>
      </c>
      <c r="I91" s="16">
        <f>I92</f>
        <v>3744618</v>
      </c>
      <c r="J91" s="172"/>
    </row>
    <row r="92" spans="1:12" s="56" customFormat="1" ht="147" customHeight="1">
      <c r="A92" s="53"/>
      <c r="B92" s="54" t="s">
        <v>383</v>
      </c>
      <c r="C92" s="54" t="s">
        <v>374</v>
      </c>
      <c r="D92" s="54" t="s">
        <v>16</v>
      </c>
      <c r="E92" s="52" t="s">
        <v>138</v>
      </c>
      <c r="F92" s="52" t="s">
        <v>65</v>
      </c>
      <c r="G92" s="60">
        <f>3585110+126200-33792+10000+9100+11000+37000</f>
        <v>3744618</v>
      </c>
      <c r="H92" s="60"/>
      <c r="I92" s="60">
        <f t="shared" si="2"/>
        <v>3744618</v>
      </c>
      <c r="J92" s="172"/>
      <c r="K92" s="96"/>
      <c r="L92" s="96"/>
    </row>
    <row r="93" spans="1:12" s="68" customFormat="1" ht="168" customHeight="1">
      <c r="A93" s="67"/>
      <c r="B93" s="34" t="s">
        <v>309</v>
      </c>
      <c r="C93" s="34" t="s">
        <v>233</v>
      </c>
      <c r="D93" s="34" t="s">
        <v>49</v>
      </c>
      <c r="E93" s="35" t="s">
        <v>167</v>
      </c>
      <c r="F93" s="33" t="s">
        <v>362</v>
      </c>
      <c r="G93" s="16">
        <f>569500+75000</f>
        <v>644500</v>
      </c>
      <c r="H93" s="16">
        <f>3794460+18000+600000</f>
        <v>4412460</v>
      </c>
      <c r="I93" s="60">
        <f t="shared" si="2"/>
        <v>5056960</v>
      </c>
      <c r="J93" s="172"/>
      <c r="K93" s="99"/>
      <c r="L93" s="99"/>
    </row>
    <row r="94" spans="2:10" ht="186" customHeight="1">
      <c r="B94" s="37" t="s">
        <v>249</v>
      </c>
      <c r="C94" s="37" t="s">
        <v>189</v>
      </c>
      <c r="D94" s="34" t="s">
        <v>22</v>
      </c>
      <c r="E94" s="35" t="s">
        <v>88</v>
      </c>
      <c r="F94" s="35" t="s">
        <v>67</v>
      </c>
      <c r="G94" s="16"/>
      <c r="H94" s="16">
        <v>44600</v>
      </c>
      <c r="I94" s="16">
        <f t="shared" si="2"/>
        <v>44600</v>
      </c>
      <c r="J94" s="172"/>
    </row>
    <row r="95" spans="2:10" ht="205.5" customHeight="1">
      <c r="B95" s="37" t="s">
        <v>250</v>
      </c>
      <c r="C95" s="37" t="s">
        <v>207</v>
      </c>
      <c r="D95" s="34" t="s">
        <v>32</v>
      </c>
      <c r="E95" s="35" t="s">
        <v>31</v>
      </c>
      <c r="F95" s="35" t="s">
        <v>67</v>
      </c>
      <c r="G95" s="16"/>
      <c r="H95" s="16">
        <v>265000</v>
      </c>
      <c r="I95" s="16">
        <f t="shared" si="2"/>
        <v>265000</v>
      </c>
      <c r="J95" s="172"/>
    </row>
    <row r="96" spans="2:12" ht="97.5" customHeight="1">
      <c r="B96" s="34"/>
      <c r="C96" s="34"/>
      <c r="D96" s="34"/>
      <c r="E96" s="74" t="s">
        <v>33</v>
      </c>
      <c r="F96" s="35"/>
      <c r="G96" s="113">
        <f>SUM(G97:G107)</f>
        <v>1839720</v>
      </c>
      <c r="H96" s="113">
        <f>SUM(H97:H107)</f>
        <v>39017408</v>
      </c>
      <c r="I96" s="113">
        <f>SUM(I97:I107)</f>
        <v>40857128</v>
      </c>
      <c r="J96" s="172"/>
      <c r="K96" s="97"/>
      <c r="L96" s="97"/>
    </row>
    <row r="97" spans="2:10" ht="153.75" customHeight="1">
      <c r="B97" s="34" t="s">
        <v>128</v>
      </c>
      <c r="C97" s="34" t="s">
        <v>55</v>
      </c>
      <c r="D97" s="34" t="s">
        <v>2</v>
      </c>
      <c r="E97" s="35" t="s">
        <v>394</v>
      </c>
      <c r="F97" s="33" t="s">
        <v>99</v>
      </c>
      <c r="G97" s="16">
        <f>5000</f>
        <v>5000</v>
      </c>
      <c r="H97" s="113"/>
      <c r="I97" s="16">
        <f aca="true" t="shared" si="3" ref="I97:I107">G97+H97</f>
        <v>5000</v>
      </c>
      <c r="J97" s="172"/>
    </row>
    <row r="98" spans="2:10" ht="246.75" customHeight="1">
      <c r="B98" s="151" t="s">
        <v>169</v>
      </c>
      <c r="C98" s="151" t="s">
        <v>106</v>
      </c>
      <c r="D98" s="147" t="s">
        <v>34</v>
      </c>
      <c r="E98" s="137" t="s">
        <v>147</v>
      </c>
      <c r="F98" s="36" t="s">
        <v>81</v>
      </c>
      <c r="G98" s="16">
        <f>42100+33000+235000+489050+70000</f>
        <v>869150</v>
      </c>
      <c r="H98" s="16">
        <f>22150000+2500000+3000000+2025000+368050+35000+300000+20000+12300+67000-489050+10000+15000</f>
        <v>30013300</v>
      </c>
      <c r="I98" s="16">
        <f t="shared" si="3"/>
        <v>30882450</v>
      </c>
      <c r="J98" s="172"/>
    </row>
    <row r="99" spans="2:10" ht="141.75" customHeight="1">
      <c r="B99" s="152"/>
      <c r="C99" s="152"/>
      <c r="D99" s="149"/>
      <c r="E99" s="138"/>
      <c r="F99" s="36" t="s">
        <v>425</v>
      </c>
      <c r="G99" s="16">
        <v>238574</v>
      </c>
      <c r="H99" s="16"/>
      <c r="I99" s="16">
        <f t="shared" si="3"/>
        <v>238574</v>
      </c>
      <c r="J99" s="172"/>
    </row>
    <row r="100" spans="2:11" ht="240.75" customHeight="1">
      <c r="B100" s="151" t="s">
        <v>170</v>
      </c>
      <c r="C100" s="151" t="s">
        <v>107</v>
      </c>
      <c r="D100" s="147" t="s">
        <v>35</v>
      </c>
      <c r="E100" s="137" t="s">
        <v>148</v>
      </c>
      <c r="F100" s="36" t="s">
        <v>81</v>
      </c>
      <c r="G100" s="16">
        <f>150000+15000</f>
        <v>165000</v>
      </c>
      <c r="H100" s="16">
        <v>3500000</v>
      </c>
      <c r="I100" s="16">
        <f t="shared" si="3"/>
        <v>3665000</v>
      </c>
      <c r="J100" s="172"/>
      <c r="K100" s="109"/>
    </row>
    <row r="101" spans="2:11" ht="177.75" customHeight="1">
      <c r="B101" s="152"/>
      <c r="C101" s="152"/>
      <c r="D101" s="149"/>
      <c r="E101" s="138"/>
      <c r="F101" s="36" t="s">
        <v>425</v>
      </c>
      <c r="G101" s="16">
        <v>58344</v>
      </c>
      <c r="H101" s="16"/>
      <c r="I101" s="16">
        <f t="shared" si="3"/>
        <v>58344</v>
      </c>
      <c r="J101" s="172"/>
      <c r="K101" s="109"/>
    </row>
    <row r="102" spans="2:10" ht="231.75" customHeight="1">
      <c r="B102" s="151" t="s">
        <v>171</v>
      </c>
      <c r="C102" s="151" t="s">
        <v>108</v>
      </c>
      <c r="D102" s="147" t="s">
        <v>36</v>
      </c>
      <c r="E102" s="137" t="s">
        <v>149</v>
      </c>
      <c r="F102" s="36" t="s">
        <v>81</v>
      </c>
      <c r="G102" s="16"/>
      <c r="H102" s="16">
        <v>1000000</v>
      </c>
      <c r="I102" s="16">
        <f t="shared" si="3"/>
        <v>1000000</v>
      </c>
      <c r="J102" s="172"/>
    </row>
    <row r="103" spans="2:10" ht="195.75" customHeight="1">
      <c r="B103" s="152"/>
      <c r="C103" s="152"/>
      <c r="D103" s="149"/>
      <c r="E103" s="138"/>
      <c r="F103" s="36" t="s">
        <v>425</v>
      </c>
      <c r="G103" s="16">
        <v>1800</v>
      </c>
      <c r="H103" s="16"/>
      <c r="I103" s="16">
        <f t="shared" si="3"/>
        <v>1800</v>
      </c>
      <c r="J103" s="172"/>
    </row>
    <row r="104" spans="2:10" ht="231.75" customHeight="1">
      <c r="B104" s="151" t="s">
        <v>172</v>
      </c>
      <c r="C104" s="151" t="s">
        <v>109</v>
      </c>
      <c r="D104" s="147" t="s">
        <v>37</v>
      </c>
      <c r="E104" s="137" t="s">
        <v>150</v>
      </c>
      <c r="F104" s="36" t="s">
        <v>81</v>
      </c>
      <c r="G104" s="16"/>
      <c r="H104" s="16">
        <f>1250000+475000+137108</f>
        <v>1862108</v>
      </c>
      <c r="I104" s="16">
        <f t="shared" si="3"/>
        <v>1862108</v>
      </c>
      <c r="J104" s="172"/>
    </row>
    <row r="105" spans="2:10" ht="159.75" customHeight="1">
      <c r="B105" s="152"/>
      <c r="C105" s="152"/>
      <c r="D105" s="149"/>
      <c r="E105" s="138"/>
      <c r="F105" s="36" t="s">
        <v>425</v>
      </c>
      <c r="G105" s="16">
        <v>60032</v>
      </c>
      <c r="H105" s="16"/>
      <c r="I105" s="16">
        <f t="shared" si="3"/>
        <v>60032</v>
      </c>
      <c r="J105" s="172"/>
    </row>
    <row r="106" spans="2:10" ht="159.75" customHeight="1">
      <c r="B106" s="112" t="s">
        <v>426</v>
      </c>
      <c r="C106" s="112" t="s">
        <v>427</v>
      </c>
      <c r="D106" s="110" t="s">
        <v>428</v>
      </c>
      <c r="E106" s="111" t="s">
        <v>429</v>
      </c>
      <c r="F106" s="36" t="s">
        <v>425</v>
      </c>
      <c r="G106" s="16">
        <v>177750</v>
      </c>
      <c r="H106" s="16"/>
      <c r="I106" s="16">
        <f t="shared" si="3"/>
        <v>177750</v>
      </c>
      <c r="J106" s="172"/>
    </row>
    <row r="107" spans="2:10" ht="156.75" customHeight="1">
      <c r="B107" s="34" t="s">
        <v>324</v>
      </c>
      <c r="C107" s="34" t="s">
        <v>233</v>
      </c>
      <c r="D107" s="34" t="s">
        <v>49</v>
      </c>
      <c r="E107" s="35" t="s">
        <v>167</v>
      </c>
      <c r="F107" s="33" t="s">
        <v>362</v>
      </c>
      <c r="G107" s="16">
        <f>121100+82720+60250</f>
        <v>264070</v>
      </c>
      <c r="H107" s="16">
        <f>1200000+42000+1400000</f>
        <v>2642000</v>
      </c>
      <c r="I107" s="16">
        <f t="shared" si="3"/>
        <v>2906070</v>
      </c>
      <c r="J107" s="172"/>
    </row>
    <row r="108" spans="2:12" ht="114" customHeight="1">
      <c r="B108" s="34"/>
      <c r="C108" s="34"/>
      <c r="D108" s="34"/>
      <c r="E108" s="74" t="s">
        <v>92</v>
      </c>
      <c r="F108" s="33"/>
      <c r="G108" s="113">
        <f>G109+G110+G119+G120+G122+G124+G128+G129+G130+G133+G123</f>
        <v>73216512</v>
      </c>
      <c r="H108" s="113">
        <f>H109+H110+H119+H120+H122+H124+H128+H129+H130+H133+H123</f>
        <v>454612</v>
      </c>
      <c r="I108" s="113">
        <f>I109+I110+I119+I120+I122+I124+I128+I129+I130+I133+I123</f>
        <v>73671124</v>
      </c>
      <c r="J108" s="172"/>
      <c r="K108" s="97"/>
      <c r="L108" s="97"/>
    </row>
    <row r="109" spans="2:10" ht="209.25" customHeight="1">
      <c r="B109" s="38">
        <v>1510180</v>
      </c>
      <c r="C109" s="34" t="s">
        <v>55</v>
      </c>
      <c r="D109" s="38" t="s">
        <v>2</v>
      </c>
      <c r="E109" s="83" t="s">
        <v>394</v>
      </c>
      <c r="F109" s="35" t="s">
        <v>61</v>
      </c>
      <c r="G109" s="16">
        <v>49000</v>
      </c>
      <c r="H109" s="16"/>
      <c r="I109" s="16">
        <f>G109+H109</f>
        <v>49000</v>
      </c>
      <c r="J109" s="172"/>
    </row>
    <row r="110" spans="2:10" ht="409.5" customHeight="1">
      <c r="B110" s="153">
        <v>1513030</v>
      </c>
      <c r="C110" s="147" t="s">
        <v>251</v>
      </c>
      <c r="D110" s="155">
        <v>1030</v>
      </c>
      <c r="E110" s="83" t="s">
        <v>360</v>
      </c>
      <c r="F110" s="173"/>
      <c r="G110" s="134">
        <f>G112+G114+G115+G116+G118+G117</f>
        <v>37602173</v>
      </c>
      <c r="H110" s="134">
        <f>H112+H114+H115+H116+H118+H117</f>
        <v>154612</v>
      </c>
      <c r="I110" s="134">
        <f>I112+I114+I115+I116+I118+I117</f>
        <v>37756785</v>
      </c>
      <c r="J110" s="172"/>
    </row>
    <row r="111" spans="2:10" ht="151.5" customHeight="1">
      <c r="B111" s="154"/>
      <c r="C111" s="149"/>
      <c r="D111" s="156"/>
      <c r="E111" s="84" t="s">
        <v>358</v>
      </c>
      <c r="F111" s="174"/>
      <c r="G111" s="135"/>
      <c r="H111" s="135"/>
      <c r="I111" s="135"/>
      <c r="J111" s="172"/>
    </row>
    <row r="112" spans="1:12" s="65" customFormat="1" ht="409.5" customHeight="1">
      <c r="A112" s="63"/>
      <c r="B112" s="139" t="s">
        <v>292</v>
      </c>
      <c r="C112" s="139" t="s">
        <v>115</v>
      </c>
      <c r="D112" s="143">
        <v>1030</v>
      </c>
      <c r="E112" s="104" t="s">
        <v>443</v>
      </c>
      <c r="F112" s="163" t="s">
        <v>62</v>
      </c>
      <c r="G112" s="165">
        <v>270200</v>
      </c>
      <c r="H112" s="165">
        <f>150000+4612</f>
        <v>154612</v>
      </c>
      <c r="I112" s="161">
        <f aca="true" t="shared" si="4" ref="I112:I119">G112+H112</f>
        <v>424812</v>
      </c>
      <c r="J112" s="172"/>
      <c r="K112" s="100"/>
      <c r="L112" s="100"/>
    </row>
    <row r="113" spans="1:12" s="65" customFormat="1" ht="277.5" customHeight="1">
      <c r="A113" s="63"/>
      <c r="B113" s="140"/>
      <c r="C113" s="140"/>
      <c r="D113" s="144"/>
      <c r="E113" s="80" t="s">
        <v>444</v>
      </c>
      <c r="F113" s="164"/>
      <c r="G113" s="166"/>
      <c r="H113" s="166"/>
      <c r="I113" s="162"/>
      <c r="J113" s="172"/>
      <c r="K113" s="100"/>
      <c r="L113" s="100"/>
    </row>
    <row r="114" spans="1:12" s="56" customFormat="1" ht="279.75" customHeight="1">
      <c r="A114" s="53"/>
      <c r="B114" s="54" t="s">
        <v>293</v>
      </c>
      <c r="C114" s="54" t="s">
        <v>116</v>
      </c>
      <c r="D114" s="64">
        <v>1070</v>
      </c>
      <c r="E114" s="80" t="s">
        <v>151</v>
      </c>
      <c r="F114" s="52" t="s">
        <v>62</v>
      </c>
      <c r="G114" s="60">
        <v>74666</v>
      </c>
      <c r="H114" s="60"/>
      <c r="I114" s="66">
        <f t="shared" si="4"/>
        <v>74666</v>
      </c>
      <c r="J114" s="172"/>
      <c r="K114" s="96"/>
      <c r="L114" s="96"/>
    </row>
    <row r="115" spans="1:12" s="56" customFormat="1" ht="102.75" customHeight="1">
      <c r="A115" s="53"/>
      <c r="B115" s="54" t="s">
        <v>294</v>
      </c>
      <c r="C115" s="54" t="s">
        <v>117</v>
      </c>
      <c r="D115" s="64">
        <v>1070</v>
      </c>
      <c r="E115" s="52" t="s">
        <v>153</v>
      </c>
      <c r="F115" s="52" t="s">
        <v>62</v>
      </c>
      <c r="G115" s="60">
        <f>1562305+15152</f>
        <v>1577457</v>
      </c>
      <c r="H115" s="60"/>
      <c r="I115" s="66">
        <f t="shared" si="4"/>
        <v>1577457</v>
      </c>
      <c r="J115" s="172"/>
      <c r="K115" s="96"/>
      <c r="L115" s="96"/>
    </row>
    <row r="116" spans="1:12" s="56" customFormat="1" ht="147.75" customHeight="1">
      <c r="A116" s="53"/>
      <c r="B116" s="54" t="s">
        <v>296</v>
      </c>
      <c r="C116" s="54" t="s">
        <v>295</v>
      </c>
      <c r="D116" s="54" t="s">
        <v>38</v>
      </c>
      <c r="E116" s="52" t="s">
        <v>94</v>
      </c>
      <c r="F116" s="52" t="s">
        <v>62</v>
      </c>
      <c r="G116" s="60">
        <f>5552643+3427694</f>
        <v>8980337</v>
      </c>
      <c r="H116" s="60"/>
      <c r="I116" s="66">
        <f t="shared" si="4"/>
        <v>8980337</v>
      </c>
      <c r="J116" s="172"/>
      <c r="K116" s="96"/>
      <c r="L116" s="96"/>
    </row>
    <row r="117" spans="1:12" s="56" customFormat="1" ht="147.75" customHeight="1">
      <c r="A117" s="53"/>
      <c r="B117" s="54" t="s">
        <v>402</v>
      </c>
      <c r="C117" s="54" t="s">
        <v>403</v>
      </c>
      <c r="D117" s="54" t="s">
        <v>38</v>
      </c>
      <c r="E117" s="52" t="s">
        <v>404</v>
      </c>
      <c r="F117" s="52" t="s">
        <v>62</v>
      </c>
      <c r="G117" s="60">
        <v>1500000</v>
      </c>
      <c r="H117" s="60"/>
      <c r="I117" s="66">
        <f t="shared" si="4"/>
        <v>1500000</v>
      </c>
      <c r="J117" s="172"/>
      <c r="K117" s="96"/>
      <c r="L117" s="96"/>
    </row>
    <row r="118" spans="1:12" s="56" customFormat="1" ht="159.75" customHeight="1">
      <c r="A118" s="53"/>
      <c r="B118" s="54" t="s">
        <v>297</v>
      </c>
      <c r="C118" s="54" t="s">
        <v>252</v>
      </c>
      <c r="D118" s="54" t="s">
        <v>38</v>
      </c>
      <c r="E118" s="52" t="s">
        <v>41</v>
      </c>
      <c r="F118" s="52" t="s">
        <v>62</v>
      </c>
      <c r="G118" s="60">
        <f>16255544+8943969</f>
        <v>25199513</v>
      </c>
      <c r="H118" s="60"/>
      <c r="I118" s="66">
        <f t="shared" si="4"/>
        <v>25199513</v>
      </c>
      <c r="J118" s="172"/>
      <c r="K118" s="96"/>
      <c r="L118" s="96"/>
    </row>
    <row r="119" spans="2:10" ht="139.5" customHeight="1">
      <c r="B119" s="38">
        <v>1513050</v>
      </c>
      <c r="C119" s="38">
        <v>3050</v>
      </c>
      <c r="D119" s="38">
        <v>1070</v>
      </c>
      <c r="E119" s="35" t="s">
        <v>152</v>
      </c>
      <c r="F119" s="35" t="s">
        <v>62</v>
      </c>
      <c r="G119" s="16">
        <v>540500</v>
      </c>
      <c r="H119" s="16"/>
      <c r="I119" s="16">
        <f t="shared" si="4"/>
        <v>540500</v>
      </c>
      <c r="J119" s="172"/>
    </row>
    <row r="120" spans="2:10" ht="169.5" customHeight="1">
      <c r="B120" s="38">
        <v>1513100</v>
      </c>
      <c r="C120" s="38">
        <v>3100</v>
      </c>
      <c r="D120" s="38"/>
      <c r="E120" s="35" t="s">
        <v>298</v>
      </c>
      <c r="F120" s="35"/>
      <c r="G120" s="16">
        <f>G121</f>
        <v>201300</v>
      </c>
      <c r="H120" s="16">
        <f>H121</f>
        <v>0</v>
      </c>
      <c r="I120" s="16">
        <f>I121</f>
        <v>201300</v>
      </c>
      <c r="J120" s="172"/>
    </row>
    <row r="121" spans="2:10" ht="228" customHeight="1">
      <c r="B121" s="54" t="s">
        <v>299</v>
      </c>
      <c r="C121" s="54" t="s">
        <v>120</v>
      </c>
      <c r="D121" s="54" t="s">
        <v>87</v>
      </c>
      <c r="E121" s="52" t="s">
        <v>155</v>
      </c>
      <c r="F121" s="52" t="s">
        <v>62</v>
      </c>
      <c r="G121" s="60">
        <f>201300+4000+6000-10000</f>
        <v>201300</v>
      </c>
      <c r="H121" s="60"/>
      <c r="I121" s="60">
        <f>G121+H121</f>
        <v>201300</v>
      </c>
      <c r="J121" s="172"/>
    </row>
    <row r="122" spans="2:10" ht="130.5" customHeight="1">
      <c r="B122" s="147" t="s">
        <v>300</v>
      </c>
      <c r="C122" s="147" t="s">
        <v>121</v>
      </c>
      <c r="D122" s="147" t="s">
        <v>5</v>
      </c>
      <c r="E122" s="137" t="s">
        <v>156</v>
      </c>
      <c r="F122" s="35" t="s">
        <v>62</v>
      </c>
      <c r="G122" s="16">
        <v>1594774</v>
      </c>
      <c r="H122" s="16"/>
      <c r="I122" s="16">
        <f>G122+H122</f>
        <v>1594774</v>
      </c>
      <c r="J122" s="172"/>
    </row>
    <row r="123" spans="2:10" ht="184.5" customHeight="1">
      <c r="B123" s="149"/>
      <c r="C123" s="149"/>
      <c r="D123" s="149"/>
      <c r="E123" s="138"/>
      <c r="F123" s="35" t="s">
        <v>341</v>
      </c>
      <c r="G123" s="16">
        <v>237680</v>
      </c>
      <c r="H123" s="16"/>
      <c r="I123" s="16">
        <f>G123+H123</f>
        <v>237680</v>
      </c>
      <c r="J123" s="172"/>
    </row>
    <row r="124" spans="2:10" ht="73.5" customHeight="1">
      <c r="B124" s="34" t="s">
        <v>302</v>
      </c>
      <c r="C124" s="34" t="s">
        <v>301</v>
      </c>
      <c r="D124" s="34"/>
      <c r="E124" s="35" t="s">
        <v>303</v>
      </c>
      <c r="F124" s="35"/>
      <c r="G124" s="16">
        <f>G125+G127+G126</f>
        <v>2493045</v>
      </c>
      <c r="H124" s="16">
        <f>H125+H127+H126</f>
        <v>0</v>
      </c>
      <c r="I124" s="16">
        <f>I125+I127+I126</f>
        <v>2493045</v>
      </c>
      <c r="J124" s="172"/>
    </row>
    <row r="125" spans="1:12" s="56" customFormat="1" ht="109.5" customHeight="1">
      <c r="A125" s="53"/>
      <c r="B125" s="139" t="s">
        <v>304</v>
      </c>
      <c r="C125" s="139" t="s">
        <v>118</v>
      </c>
      <c r="D125" s="139" t="s">
        <v>40</v>
      </c>
      <c r="E125" s="145" t="s">
        <v>39</v>
      </c>
      <c r="F125" s="52" t="s">
        <v>62</v>
      </c>
      <c r="G125" s="60">
        <f>625959-29494-1580</f>
        <v>594885</v>
      </c>
      <c r="H125" s="60"/>
      <c r="I125" s="66">
        <f>G125+H125</f>
        <v>594885</v>
      </c>
      <c r="J125" s="172"/>
      <c r="K125" s="96"/>
      <c r="L125" s="96"/>
    </row>
    <row r="126" spans="1:12" s="56" customFormat="1" ht="190.5" customHeight="1">
      <c r="A126" s="53"/>
      <c r="B126" s="140"/>
      <c r="C126" s="140"/>
      <c r="D126" s="140"/>
      <c r="E126" s="146"/>
      <c r="F126" s="52" t="s">
        <v>341</v>
      </c>
      <c r="G126" s="60">
        <f>784150</f>
        <v>784150</v>
      </c>
      <c r="H126" s="60"/>
      <c r="I126" s="66">
        <f>G126+H126</f>
        <v>784150</v>
      </c>
      <c r="J126" s="119"/>
      <c r="K126" s="96"/>
      <c r="L126" s="96"/>
    </row>
    <row r="127" spans="1:12" s="56" customFormat="1" ht="151.5" customHeight="1">
      <c r="A127" s="53"/>
      <c r="B127" s="54" t="s">
        <v>305</v>
      </c>
      <c r="C127" s="54" t="s">
        <v>122</v>
      </c>
      <c r="D127" s="54" t="s">
        <v>40</v>
      </c>
      <c r="E127" s="52" t="s">
        <v>157</v>
      </c>
      <c r="F127" s="52" t="s">
        <v>62</v>
      </c>
      <c r="G127" s="60">
        <f>863275+249155+1580</f>
        <v>1114010</v>
      </c>
      <c r="H127" s="60"/>
      <c r="I127" s="66">
        <f>G127+H127</f>
        <v>1114010</v>
      </c>
      <c r="J127" s="172"/>
      <c r="K127" s="96"/>
      <c r="L127" s="96"/>
    </row>
    <row r="128" spans="1:12" s="56" customFormat="1" ht="172.5" customHeight="1">
      <c r="A128" s="53"/>
      <c r="B128" s="34" t="s">
        <v>307</v>
      </c>
      <c r="C128" s="34" t="s">
        <v>123</v>
      </c>
      <c r="D128" s="34" t="s">
        <v>87</v>
      </c>
      <c r="E128" s="35" t="s">
        <v>158</v>
      </c>
      <c r="F128" s="35" t="s">
        <v>62</v>
      </c>
      <c r="G128" s="16">
        <f>90000+70000</f>
        <v>160000</v>
      </c>
      <c r="H128" s="16"/>
      <c r="I128" s="16">
        <f>G128+H128</f>
        <v>160000</v>
      </c>
      <c r="J128" s="172"/>
      <c r="K128" s="96"/>
      <c r="L128" s="96"/>
    </row>
    <row r="129" spans="1:12" s="56" customFormat="1" ht="115.5" customHeight="1">
      <c r="A129" s="53"/>
      <c r="B129" s="34" t="s">
        <v>306</v>
      </c>
      <c r="C129" s="34" t="s">
        <v>119</v>
      </c>
      <c r="D129" s="34" t="s">
        <v>74</v>
      </c>
      <c r="E129" s="35" t="s">
        <v>154</v>
      </c>
      <c r="F129" s="35" t="s">
        <v>60</v>
      </c>
      <c r="G129" s="16">
        <f>285600+100000</f>
        <v>385600</v>
      </c>
      <c r="H129" s="16"/>
      <c r="I129" s="16">
        <f>G129+H129</f>
        <v>385600</v>
      </c>
      <c r="J129" s="172"/>
      <c r="K129" s="96"/>
      <c r="L129" s="96"/>
    </row>
    <row r="130" spans="1:12" s="10" customFormat="1" ht="70.5" customHeight="1">
      <c r="A130" s="1"/>
      <c r="B130" s="34" t="s">
        <v>308</v>
      </c>
      <c r="C130" s="34" t="s">
        <v>110</v>
      </c>
      <c r="D130" s="34" t="s">
        <v>9</v>
      </c>
      <c r="E130" s="35" t="s">
        <v>8</v>
      </c>
      <c r="F130" s="35"/>
      <c r="G130" s="16">
        <f>G131+G132</f>
        <v>29952440</v>
      </c>
      <c r="H130" s="16">
        <f>H131+H132</f>
        <v>0</v>
      </c>
      <c r="I130" s="16">
        <f>I131+I132</f>
        <v>29952440</v>
      </c>
      <c r="J130" s="172"/>
      <c r="K130" s="93"/>
      <c r="L130" s="93"/>
    </row>
    <row r="131" spans="1:12" s="56" customFormat="1" ht="150.75" customHeight="1">
      <c r="A131" s="53"/>
      <c r="B131" s="54" t="s">
        <v>308</v>
      </c>
      <c r="C131" s="54" t="s">
        <v>110</v>
      </c>
      <c r="D131" s="54" t="s">
        <v>9</v>
      </c>
      <c r="E131" s="55" t="s">
        <v>345</v>
      </c>
      <c r="F131" s="52" t="s">
        <v>62</v>
      </c>
      <c r="G131" s="60">
        <f>2263526+129000+193500+400000+569700+320310+20000+270000-15000+715865+45000+8591+139835+29494+5415+75000+5000+26500</f>
        <v>5201736</v>
      </c>
      <c r="H131" s="60"/>
      <c r="I131" s="60">
        <f>G131+H131</f>
        <v>5201736</v>
      </c>
      <c r="J131" s="172"/>
      <c r="K131" s="96"/>
      <c r="L131" s="96"/>
    </row>
    <row r="132" spans="1:12" s="56" customFormat="1" ht="186.75" customHeight="1">
      <c r="A132" s="53"/>
      <c r="B132" s="54" t="s">
        <v>308</v>
      </c>
      <c r="C132" s="54" t="s">
        <v>110</v>
      </c>
      <c r="D132" s="54" t="s">
        <v>9</v>
      </c>
      <c r="E132" s="55" t="s">
        <v>341</v>
      </c>
      <c r="F132" s="52" t="s">
        <v>341</v>
      </c>
      <c r="G132" s="60">
        <f>2749504+1000000+21000000+1200</f>
        <v>24750704</v>
      </c>
      <c r="H132" s="60"/>
      <c r="I132" s="66">
        <f>G132+H132</f>
        <v>24750704</v>
      </c>
      <c r="J132" s="172"/>
      <c r="K132" s="96"/>
      <c r="L132" s="96"/>
    </row>
    <row r="133" spans="1:12" s="56" customFormat="1" ht="156.75" customHeight="1">
      <c r="A133" s="53"/>
      <c r="B133" s="34" t="s">
        <v>325</v>
      </c>
      <c r="C133" s="34" t="s">
        <v>233</v>
      </c>
      <c r="D133" s="34" t="s">
        <v>49</v>
      </c>
      <c r="E133" s="35" t="s">
        <v>167</v>
      </c>
      <c r="F133" s="33" t="s">
        <v>362</v>
      </c>
      <c r="G133" s="60"/>
      <c r="H133" s="60">
        <v>300000</v>
      </c>
      <c r="I133" s="66">
        <f>G133+H133</f>
        <v>300000</v>
      </c>
      <c r="J133" s="172"/>
      <c r="K133" s="96"/>
      <c r="L133" s="96"/>
    </row>
    <row r="134" spans="2:10" ht="93" customHeight="1">
      <c r="B134" s="34"/>
      <c r="C134" s="34"/>
      <c r="D134" s="34"/>
      <c r="E134" s="74" t="s">
        <v>42</v>
      </c>
      <c r="F134" s="33"/>
      <c r="G134" s="113">
        <f aca="true" t="shared" si="5" ref="G134:I135">G135</f>
        <v>63000</v>
      </c>
      <c r="H134" s="113">
        <f t="shared" si="5"/>
        <v>0</v>
      </c>
      <c r="I134" s="113">
        <f t="shared" si="5"/>
        <v>63000</v>
      </c>
      <c r="J134" s="172"/>
    </row>
    <row r="135" spans="2:10" ht="98.25" customHeight="1">
      <c r="B135" s="38">
        <v>2013110</v>
      </c>
      <c r="C135" s="34" t="s">
        <v>174</v>
      </c>
      <c r="D135" s="38">
        <v>1040</v>
      </c>
      <c r="E135" s="35" t="s">
        <v>173</v>
      </c>
      <c r="F135" s="33"/>
      <c r="G135" s="16">
        <f t="shared" si="5"/>
        <v>63000</v>
      </c>
      <c r="H135" s="16">
        <f t="shared" si="5"/>
        <v>0</v>
      </c>
      <c r="I135" s="16">
        <f t="shared" si="5"/>
        <v>63000</v>
      </c>
      <c r="J135" s="172"/>
    </row>
    <row r="136" spans="1:12" s="56" customFormat="1" ht="150" customHeight="1">
      <c r="A136" s="53"/>
      <c r="B136" s="54" t="s">
        <v>176</v>
      </c>
      <c r="C136" s="54" t="s">
        <v>175</v>
      </c>
      <c r="D136" s="54" t="s">
        <v>10</v>
      </c>
      <c r="E136" s="52" t="s">
        <v>159</v>
      </c>
      <c r="F136" s="55" t="s">
        <v>386</v>
      </c>
      <c r="G136" s="60">
        <f>55000+8000</f>
        <v>63000</v>
      </c>
      <c r="H136" s="60"/>
      <c r="I136" s="66">
        <f>G136+H136</f>
        <v>63000</v>
      </c>
      <c r="J136" s="172"/>
      <c r="K136" s="96"/>
      <c r="L136" s="96"/>
    </row>
    <row r="137" spans="2:10" ht="114.75" customHeight="1">
      <c r="B137" s="34"/>
      <c r="C137" s="34"/>
      <c r="D137" s="34"/>
      <c r="E137" s="74" t="s">
        <v>43</v>
      </c>
      <c r="F137" s="33"/>
      <c r="G137" s="113">
        <f>G138+G139+G140+G141+G142</f>
        <v>1937193</v>
      </c>
      <c r="H137" s="113">
        <f>H138+H139+H140+H141+H142</f>
        <v>4277427</v>
      </c>
      <c r="I137" s="113">
        <f>I138+I139+I140+I141+I142</f>
        <v>6214620</v>
      </c>
      <c r="J137" s="172"/>
    </row>
    <row r="138" spans="2:10" ht="168.75" customHeight="1">
      <c r="B138" s="34" t="s">
        <v>342</v>
      </c>
      <c r="C138" s="34" t="s">
        <v>55</v>
      </c>
      <c r="D138" s="38" t="s">
        <v>2</v>
      </c>
      <c r="E138" s="35" t="s">
        <v>394</v>
      </c>
      <c r="F138" s="33" t="s">
        <v>99</v>
      </c>
      <c r="G138" s="16">
        <v>30000</v>
      </c>
      <c r="H138" s="113"/>
      <c r="I138" s="16">
        <f>G138+H138</f>
        <v>30000</v>
      </c>
      <c r="J138" s="172"/>
    </row>
    <row r="139" spans="2:10" ht="198.75" customHeight="1">
      <c r="B139" s="34" t="s">
        <v>178</v>
      </c>
      <c r="C139" s="34" t="s">
        <v>177</v>
      </c>
      <c r="D139" s="34" t="s">
        <v>44</v>
      </c>
      <c r="E139" s="35" t="s">
        <v>160</v>
      </c>
      <c r="F139" s="33" t="s">
        <v>82</v>
      </c>
      <c r="G139" s="16">
        <f>1443500+50000+5000</f>
        <v>1498500</v>
      </c>
      <c r="H139" s="16"/>
      <c r="I139" s="16">
        <f>G139+H139</f>
        <v>1498500</v>
      </c>
      <c r="J139" s="172"/>
    </row>
    <row r="140" spans="2:10" ht="261.75" customHeight="1">
      <c r="B140" s="34" t="s">
        <v>180</v>
      </c>
      <c r="C140" s="34" t="s">
        <v>179</v>
      </c>
      <c r="D140" s="34" t="s">
        <v>77</v>
      </c>
      <c r="E140" s="35" t="s">
        <v>78</v>
      </c>
      <c r="F140" s="33" t="s">
        <v>83</v>
      </c>
      <c r="G140" s="16">
        <f>199000+91000+6600+10000+22120</f>
        <v>328720</v>
      </c>
      <c r="H140" s="16">
        <f>460000+600000-25000+10000+5000+1000000+5000+3000+10000</f>
        <v>2068000</v>
      </c>
      <c r="I140" s="16">
        <f>G140+H140</f>
        <v>2396720</v>
      </c>
      <c r="J140" s="172"/>
    </row>
    <row r="141" spans="2:10" ht="261.75" customHeight="1">
      <c r="B141" s="34" t="s">
        <v>182</v>
      </c>
      <c r="C141" s="34" t="s">
        <v>181</v>
      </c>
      <c r="D141" s="34" t="s">
        <v>79</v>
      </c>
      <c r="E141" s="35" t="s">
        <v>80</v>
      </c>
      <c r="F141" s="33" t="s">
        <v>83</v>
      </c>
      <c r="G141" s="16">
        <f>7400+62573+5000</f>
        <v>74973</v>
      </c>
      <c r="H141" s="16">
        <f>300000+300000+42427-250000+15000</f>
        <v>407427</v>
      </c>
      <c r="I141" s="16">
        <f>G141+H141</f>
        <v>482400</v>
      </c>
      <c r="J141" s="172"/>
    </row>
    <row r="142" spans="2:10" ht="159.75" customHeight="1">
      <c r="B142" s="34" t="s">
        <v>326</v>
      </c>
      <c r="C142" s="34" t="s">
        <v>233</v>
      </c>
      <c r="D142" s="34" t="s">
        <v>49</v>
      </c>
      <c r="E142" s="35" t="s">
        <v>167</v>
      </c>
      <c r="F142" s="33" t="s">
        <v>362</v>
      </c>
      <c r="G142" s="16">
        <v>5000</v>
      </c>
      <c r="H142" s="16">
        <f>1527000+275000</f>
        <v>1802000</v>
      </c>
      <c r="I142" s="16">
        <f>G142+H142</f>
        <v>1807000</v>
      </c>
      <c r="J142" s="172"/>
    </row>
    <row r="143" spans="2:12" ht="129" customHeight="1">
      <c r="B143" s="34"/>
      <c r="C143" s="34"/>
      <c r="D143" s="34"/>
      <c r="E143" s="74" t="s">
        <v>45</v>
      </c>
      <c r="F143" s="33"/>
      <c r="G143" s="113">
        <f>G144+G145+G146+G147+G148+G153+G155+G157+G158+G164+G165+G166+G167+G168+G169+G172+G174+G175+G176+G163+G160+G161+G178+G156+G159</f>
        <v>66017791.99</v>
      </c>
      <c r="H143" s="113">
        <f>H144+H145+H146+H147+H148+H153+H155+H157+H158+H164+H165+H166+H167+H168+H169+H172+H174+H175+H176+H163+H160+H161+H178+H156+H159</f>
        <v>175322939.18</v>
      </c>
      <c r="I143" s="113">
        <f>I144+I145+I146+I147+I148+I153+I155+I157+I158+I164+I165+I166+I167+I168+I169+I172+I174+I175+I176+I163+I160+I161+I178+I156+I159</f>
        <v>241340731.17</v>
      </c>
      <c r="J143" s="172"/>
      <c r="K143" s="101"/>
      <c r="L143" s="101"/>
    </row>
    <row r="144" spans="2:10" ht="153.75" customHeight="1">
      <c r="B144" s="34" t="s">
        <v>129</v>
      </c>
      <c r="C144" s="34" t="s">
        <v>55</v>
      </c>
      <c r="D144" s="38" t="s">
        <v>2</v>
      </c>
      <c r="E144" s="35" t="s">
        <v>394</v>
      </c>
      <c r="F144" s="33" t="s">
        <v>61</v>
      </c>
      <c r="G144" s="16">
        <v>40000</v>
      </c>
      <c r="H144" s="16"/>
      <c r="I144" s="16">
        <f>G144+H144</f>
        <v>40000</v>
      </c>
      <c r="J144" s="172"/>
    </row>
    <row r="145" spans="2:10" ht="186" customHeight="1">
      <c r="B145" s="142" t="s">
        <v>214</v>
      </c>
      <c r="C145" s="142" t="s">
        <v>119</v>
      </c>
      <c r="D145" s="142" t="s">
        <v>74</v>
      </c>
      <c r="E145" s="158" t="s">
        <v>75</v>
      </c>
      <c r="F145" s="35" t="s">
        <v>25</v>
      </c>
      <c r="G145" s="16">
        <f>350000+150000+50000</f>
        <v>550000</v>
      </c>
      <c r="H145" s="16"/>
      <c r="I145" s="16">
        <f aca="true" t="shared" si="6" ref="I145:I168">G145+H145</f>
        <v>550000</v>
      </c>
      <c r="J145" s="172"/>
    </row>
    <row r="146" spans="2:10" ht="144.75" customHeight="1">
      <c r="B146" s="142"/>
      <c r="C146" s="142"/>
      <c r="D146" s="142"/>
      <c r="E146" s="158"/>
      <c r="F146" s="35" t="s">
        <v>60</v>
      </c>
      <c r="G146" s="16">
        <f>14400</f>
        <v>14400</v>
      </c>
      <c r="H146" s="16"/>
      <c r="I146" s="16">
        <f t="shared" si="6"/>
        <v>14400</v>
      </c>
      <c r="J146" s="172"/>
    </row>
    <row r="147" spans="2:10" ht="162" customHeight="1">
      <c r="B147" s="34" t="s">
        <v>216</v>
      </c>
      <c r="C147" s="34" t="s">
        <v>215</v>
      </c>
      <c r="D147" s="34" t="s">
        <v>46</v>
      </c>
      <c r="E147" s="35" t="s">
        <v>161</v>
      </c>
      <c r="F147" s="33" t="s">
        <v>25</v>
      </c>
      <c r="G147" s="16">
        <f>1500000+72000</f>
        <v>1572000</v>
      </c>
      <c r="H147" s="16"/>
      <c r="I147" s="16">
        <f t="shared" si="6"/>
        <v>1572000</v>
      </c>
      <c r="J147" s="172"/>
    </row>
    <row r="148" spans="2:10" ht="104.25" customHeight="1">
      <c r="B148" s="34" t="s">
        <v>219</v>
      </c>
      <c r="C148" s="34" t="s">
        <v>218</v>
      </c>
      <c r="D148" s="34"/>
      <c r="E148" s="33" t="s">
        <v>217</v>
      </c>
      <c r="F148" s="33"/>
      <c r="G148" s="16">
        <f>G149+G151+G150+G152</f>
        <v>480000</v>
      </c>
      <c r="H148" s="16">
        <f>H149+H151+H150+H152</f>
        <v>64568527</v>
      </c>
      <c r="I148" s="16">
        <f>I149+I151+I150+I152</f>
        <v>65048527</v>
      </c>
      <c r="J148" s="172"/>
    </row>
    <row r="149" spans="1:12" s="56" customFormat="1" ht="159" customHeight="1">
      <c r="A149" s="53"/>
      <c r="B149" s="139" t="s">
        <v>222</v>
      </c>
      <c r="C149" s="139" t="s">
        <v>220</v>
      </c>
      <c r="D149" s="139" t="s">
        <v>46</v>
      </c>
      <c r="E149" s="145" t="s">
        <v>162</v>
      </c>
      <c r="F149" s="55" t="s">
        <v>25</v>
      </c>
      <c r="G149" s="60"/>
      <c r="H149" s="60">
        <f>22918527+150000</f>
        <v>23068527</v>
      </c>
      <c r="I149" s="60">
        <f t="shared" si="6"/>
        <v>23068527</v>
      </c>
      <c r="J149" s="172"/>
      <c r="K149" s="96"/>
      <c r="L149" s="96"/>
    </row>
    <row r="150" spans="1:12" s="56" customFormat="1" ht="159" customHeight="1">
      <c r="A150" s="53"/>
      <c r="B150" s="140"/>
      <c r="C150" s="140"/>
      <c r="D150" s="140"/>
      <c r="E150" s="146"/>
      <c r="F150" s="55" t="s">
        <v>435</v>
      </c>
      <c r="G150" s="60">
        <f>480000-80000</f>
        <v>400000</v>
      </c>
      <c r="H150" s="60">
        <v>25000000</v>
      </c>
      <c r="I150" s="60">
        <f t="shared" si="6"/>
        <v>25400000</v>
      </c>
      <c r="J150" s="172"/>
      <c r="K150" s="96"/>
      <c r="L150" s="96"/>
    </row>
    <row r="151" spans="1:12" s="56" customFormat="1" ht="195" customHeight="1">
      <c r="A151" s="53"/>
      <c r="B151" s="139" t="s">
        <v>223</v>
      </c>
      <c r="C151" s="139" t="s">
        <v>221</v>
      </c>
      <c r="D151" s="139" t="s">
        <v>46</v>
      </c>
      <c r="E151" s="145" t="s">
        <v>47</v>
      </c>
      <c r="F151" s="57" t="s">
        <v>25</v>
      </c>
      <c r="G151" s="60"/>
      <c r="H151" s="60">
        <f>13919000-19000</f>
        <v>13900000</v>
      </c>
      <c r="I151" s="60">
        <f t="shared" si="6"/>
        <v>13900000</v>
      </c>
      <c r="J151" s="172"/>
      <c r="K151" s="96"/>
      <c r="L151" s="96"/>
    </row>
    <row r="152" spans="1:12" s="56" customFormat="1" ht="195" customHeight="1">
      <c r="A152" s="53"/>
      <c r="B152" s="140"/>
      <c r="C152" s="140"/>
      <c r="D152" s="140"/>
      <c r="E152" s="146"/>
      <c r="F152" s="57" t="s">
        <v>435</v>
      </c>
      <c r="G152" s="60">
        <v>80000</v>
      </c>
      <c r="H152" s="60">
        <f>2581000+19000</f>
        <v>2600000</v>
      </c>
      <c r="I152" s="60">
        <f t="shared" si="6"/>
        <v>2680000</v>
      </c>
      <c r="J152" s="119"/>
      <c r="K152" s="96"/>
      <c r="L152" s="96"/>
    </row>
    <row r="153" spans="1:12" s="10" customFormat="1" ht="105" customHeight="1">
      <c r="A153" s="1"/>
      <c r="B153" s="34" t="s">
        <v>226</v>
      </c>
      <c r="C153" s="34" t="s">
        <v>225</v>
      </c>
      <c r="D153" s="34"/>
      <c r="E153" s="35" t="s">
        <v>224</v>
      </c>
      <c r="F153" s="36"/>
      <c r="G153" s="16">
        <f>G154</f>
        <v>5194597.49</v>
      </c>
      <c r="H153" s="16">
        <f>H154</f>
        <v>0</v>
      </c>
      <c r="I153" s="16">
        <f>I154</f>
        <v>5194597.49</v>
      </c>
      <c r="J153" s="172"/>
      <c r="K153" s="93"/>
      <c r="L153" s="93"/>
    </row>
    <row r="154" spans="1:12" s="56" customFormat="1" ht="135" customHeight="1">
      <c r="A154" s="53"/>
      <c r="B154" s="61" t="s">
        <v>228</v>
      </c>
      <c r="C154" s="61" t="s">
        <v>227</v>
      </c>
      <c r="D154" s="54" t="s">
        <v>14</v>
      </c>
      <c r="E154" s="52" t="s">
        <v>163</v>
      </c>
      <c r="F154" s="55" t="s">
        <v>25</v>
      </c>
      <c r="G154" s="60">
        <f>3151000+266000+1600000+177597.49</f>
        <v>5194597.49</v>
      </c>
      <c r="H154" s="60"/>
      <c r="I154" s="60">
        <f t="shared" si="6"/>
        <v>5194597.49</v>
      </c>
      <c r="J154" s="172"/>
      <c r="K154" s="96"/>
      <c r="L154" s="96"/>
    </row>
    <row r="155" spans="2:10" ht="163.5" customHeight="1">
      <c r="B155" s="127" t="s">
        <v>229</v>
      </c>
      <c r="C155" s="127" t="s">
        <v>191</v>
      </c>
      <c r="D155" s="142" t="s">
        <v>14</v>
      </c>
      <c r="E155" s="157" t="s">
        <v>97</v>
      </c>
      <c r="F155" s="33" t="s">
        <v>25</v>
      </c>
      <c r="G155" s="16">
        <f>40180400+20463507-1267658+199810-7400000-305510-500000-1258381-26000+31000+111380+360000+60000+40000+300000+300000+25000-591331.98+351000+200000-28800-358801-31006-40000+91388</f>
        <v>50905997.02</v>
      </c>
      <c r="H155" s="16">
        <f>33502200+150000+12522000+327958-244003+7400000-356390-1000000+1600000+500000+30000-428650-152925-31000+230000-300000-190373-43000-165200-184570+43000+150000-142900-20000-91388-26500</f>
        <v>53078259</v>
      </c>
      <c r="I155" s="16">
        <f t="shared" si="6"/>
        <v>103984256.02000001</v>
      </c>
      <c r="J155" s="172"/>
    </row>
    <row r="156" spans="2:10" ht="163.5" customHeight="1">
      <c r="B156" s="127"/>
      <c r="C156" s="127"/>
      <c r="D156" s="142"/>
      <c r="E156" s="157"/>
      <c r="F156" s="33" t="s">
        <v>416</v>
      </c>
      <c r="G156" s="16"/>
      <c r="H156" s="16">
        <v>100000</v>
      </c>
      <c r="I156" s="16">
        <f t="shared" si="6"/>
        <v>100000</v>
      </c>
      <c r="J156" s="172"/>
    </row>
    <row r="157" spans="2:10" ht="163.5" customHeight="1">
      <c r="B157" s="127"/>
      <c r="C157" s="127"/>
      <c r="D157" s="142"/>
      <c r="E157" s="157"/>
      <c r="F157" s="36" t="s">
        <v>67</v>
      </c>
      <c r="G157" s="16">
        <v>735000</v>
      </c>
      <c r="H157" s="16">
        <v>1432000</v>
      </c>
      <c r="I157" s="16">
        <f t="shared" si="6"/>
        <v>2167000</v>
      </c>
      <c r="J157" s="172"/>
    </row>
    <row r="158" spans="2:10" ht="171" customHeight="1">
      <c r="B158" s="37" t="s">
        <v>231</v>
      </c>
      <c r="C158" s="37" t="s">
        <v>230</v>
      </c>
      <c r="D158" s="34" t="s">
        <v>14</v>
      </c>
      <c r="E158" s="72" t="s">
        <v>164</v>
      </c>
      <c r="F158" s="33" t="s">
        <v>25</v>
      </c>
      <c r="G158" s="16"/>
      <c r="H158" s="16">
        <f>1000000</f>
        <v>1000000</v>
      </c>
      <c r="I158" s="16">
        <f t="shared" si="6"/>
        <v>1000000</v>
      </c>
      <c r="J158" s="172"/>
    </row>
    <row r="159" spans="2:10" ht="222" customHeight="1">
      <c r="B159" s="37" t="s">
        <v>422</v>
      </c>
      <c r="C159" s="37" t="s">
        <v>423</v>
      </c>
      <c r="D159" s="34" t="s">
        <v>14</v>
      </c>
      <c r="E159" s="72" t="s">
        <v>424</v>
      </c>
      <c r="F159" s="33" t="s">
        <v>25</v>
      </c>
      <c r="G159" s="16">
        <f>168566+28800</f>
        <v>197366</v>
      </c>
      <c r="H159" s="16"/>
      <c r="I159" s="16">
        <f t="shared" si="6"/>
        <v>197366</v>
      </c>
      <c r="J159" s="172"/>
    </row>
    <row r="160" spans="2:10" ht="165" customHeight="1">
      <c r="B160" s="37" t="s">
        <v>368</v>
      </c>
      <c r="C160" s="37" t="s">
        <v>197</v>
      </c>
      <c r="D160" s="34" t="s">
        <v>6</v>
      </c>
      <c r="E160" s="72" t="s">
        <v>165</v>
      </c>
      <c r="F160" s="33" t="s">
        <v>25</v>
      </c>
      <c r="G160" s="16"/>
      <c r="H160" s="16">
        <f>12774508+500000+737000+1000000+600000-43000-150000+1467750-1087159</f>
        <v>15799099</v>
      </c>
      <c r="I160" s="16">
        <f t="shared" si="6"/>
        <v>15799099</v>
      </c>
      <c r="J160" s="172"/>
    </row>
    <row r="161" spans="2:10" ht="60" customHeight="1">
      <c r="B161" s="34" t="s">
        <v>396</v>
      </c>
      <c r="C161" s="34" t="s">
        <v>200</v>
      </c>
      <c r="D161" s="34"/>
      <c r="E161" s="35" t="s">
        <v>199</v>
      </c>
      <c r="F161" s="33"/>
      <c r="G161" s="16">
        <f>G162</f>
        <v>0</v>
      </c>
      <c r="H161" s="16">
        <f>H162</f>
        <v>2535000</v>
      </c>
      <c r="I161" s="16">
        <f>I162</f>
        <v>2535000</v>
      </c>
      <c r="J161" s="172"/>
    </row>
    <row r="162" spans="2:10" ht="147" customHeight="1">
      <c r="B162" s="61" t="s">
        <v>397</v>
      </c>
      <c r="C162" s="61" t="s">
        <v>202</v>
      </c>
      <c r="D162" s="54" t="s">
        <v>15</v>
      </c>
      <c r="E162" s="52" t="s">
        <v>168</v>
      </c>
      <c r="F162" s="55" t="s">
        <v>25</v>
      </c>
      <c r="G162" s="60"/>
      <c r="H162" s="60">
        <v>2535000</v>
      </c>
      <c r="I162" s="60">
        <f>G162+H162</f>
        <v>2535000</v>
      </c>
      <c r="J162" s="172"/>
    </row>
    <row r="163" spans="2:10" ht="192" customHeight="1">
      <c r="B163" s="37" t="s">
        <v>364</v>
      </c>
      <c r="C163" s="37" t="s">
        <v>365</v>
      </c>
      <c r="D163" s="34" t="s">
        <v>366</v>
      </c>
      <c r="E163" s="72" t="s">
        <v>367</v>
      </c>
      <c r="F163" s="33" t="s">
        <v>25</v>
      </c>
      <c r="G163" s="16">
        <f>185000+465000-25000-13808-3976+42784</f>
        <v>650000</v>
      </c>
      <c r="H163" s="16">
        <f>130000-42784</f>
        <v>87216</v>
      </c>
      <c r="I163" s="16">
        <f t="shared" si="6"/>
        <v>737216</v>
      </c>
      <c r="J163" s="172"/>
    </row>
    <row r="164" spans="2:10" ht="200.25" customHeight="1">
      <c r="B164" s="34" t="s">
        <v>232</v>
      </c>
      <c r="C164" s="34" t="s">
        <v>183</v>
      </c>
      <c r="D164" s="34" t="s">
        <v>48</v>
      </c>
      <c r="E164" s="35" t="s">
        <v>166</v>
      </c>
      <c r="F164" s="33" t="s">
        <v>25</v>
      </c>
      <c r="G164" s="16">
        <f>1500000+70000+13808+11024+3976</f>
        <v>1598808</v>
      </c>
      <c r="H164" s="16"/>
      <c r="I164" s="16">
        <f t="shared" si="6"/>
        <v>1598808</v>
      </c>
      <c r="J164" s="172"/>
    </row>
    <row r="165" spans="2:10" ht="197.25" customHeight="1">
      <c r="B165" s="34" t="s">
        <v>234</v>
      </c>
      <c r="C165" s="34" t="s">
        <v>233</v>
      </c>
      <c r="D165" s="34" t="s">
        <v>49</v>
      </c>
      <c r="E165" s="35" t="s">
        <v>167</v>
      </c>
      <c r="F165" s="33" t="s">
        <v>25</v>
      </c>
      <c r="G165" s="16">
        <v>1000000</v>
      </c>
      <c r="H165" s="16"/>
      <c r="I165" s="16">
        <f t="shared" si="6"/>
        <v>1000000</v>
      </c>
      <c r="J165" s="172"/>
    </row>
    <row r="166" spans="2:10" ht="171" customHeight="1">
      <c r="B166" s="142" t="s">
        <v>235</v>
      </c>
      <c r="C166" s="142" t="s">
        <v>192</v>
      </c>
      <c r="D166" s="142" t="s">
        <v>6</v>
      </c>
      <c r="E166" s="158" t="s">
        <v>141</v>
      </c>
      <c r="F166" s="33" t="s">
        <v>25</v>
      </c>
      <c r="G166" s="16"/>
      <c r="H166" s="16">
        <f>15461900+2000000-1000000+2520800+913000+3000000+482000+43000</f>
        <v>23420700</v>
      </c>
      <c r="I166" s="16">
        <f t="shared" si="6"/>
        <v>23420700</v>
      </c>
      <c r="J166" s="172"/>
    </row>
    <row r="167" spans="2:10" ht="165" customHeight="1">
      <c r="B167" s="142"/>
      <c r="C167" s="142"/>
      <c r="D167" s="142"/>
      <c r="E167" s="158"/>
      <c r="F167" s="36" t="s">
        <v>67</v>
      </c>
      <c r="G167" s="16"/>
      <c r="H167" s="16">
        <f>5000000-2000000</f>
        <v>3000000</v>
      </c>
      <c r="I167" s="16">
        <f t="shared" si="6"/>
        <v>3000000</v>
      </c>
      <c r="J167" s="172"/>
    </row>
    <row r="168" spans="2:10" ht="187.5" customHeight="1">
      <c r="B168" s="34" t="s">
        <v>237</v>
      </c>
      <c r="C168" s="34" t="s">
        <v>236</v>
      </c>
      <c r="D168" s="34" t="s">
        <v>32</v>
      </c>
      <c r="E168" s="35" t="s">
        <v>31</v>
      </c>
      <c r="F168" s="36" t="s">
        <v>67</v>
      </c>
      <c r="G168" s="16">
        <v>199733</v>
      </c>
      <c r="H168" s="16"/>
      <c r="I168" s="16">
        <f t="shared" si="6"/>
        <v>199733</v>
      </c>
      <c r="J168" s="172"/>
    </row>
    <row r="169" spans="2:10" ht="84.75" customHeight="1">
      <c r="B169" s="34" t="s">
        <v>238</v>
      </c>
      <c r="C169" s="34" t="s">
        <v>185</v>
      </c>
      <c r="D169" s="34" t="s">
        <v>24</v>
      </c>
      <c r="E169" s="35" t="s">
        <v>12</v>
      </c>
      <c r="F169" s="36"/>
      <c r="G169" s="16">
        <f>G170+G171</f>
        <v>2121390.48</v>
      </c>
      <c r="H169" s="16">
        <f>H170+H171</f>
        <v>0</v>
      </c>
      <c r="I169" s="16">
        <f>I170+I171</f>
        <v>2121390.48</v>
      </c>
      <c r="J169" s="172"/>
    </row>
    <row r="170" spans="1:12" s="56" customFormat="1" ht="231" customHeight="1">
      <c r="A170" s="53"/>
      <c r="B170" s="54" t="s">
        <v>238</v>
      </c>
      <c r="C170" s="54" t="s">
        <v>185</v>
      </c>
      <c r="D170" s="54" t="s">
        <v>24</v>
      </c>
      <c r="E170" s="55" t="s">
        <v>434</v>
      </c>
      <c r="F170" s="57" t="s">
        <v>73</v>
      </c>
      <c r="G170" s="60">
        <v>285000</v>
      </c>
      <c r="H170" s="60"/>
      <c r="I170" s="66">
        <f>G170+H170</f>
        <v>285000</v>
      </c>
      <c r="J170" s="172"/>
      <c r="K170" s="96"/>
      <c r="L170" s="96"/>
    </row>
    <row r="171" spans="1:12" s="56" customFormat="1" ht="195.75" customHeight="1">
      <c r="A171" s="53"/>
      <c r="B171" s="54" t="s">
        <v>238</v>
      </c>
      <c r="C171" s="54" t="s">
        <v>185</v>
      </c>
      <c r="D171" s="54" t="s">
        <v>24</v>
      </c>
      <c r="E171" s="55" t="s">
        <v>352</v>
      </c>
      <c r="F171" s="55" t="s">
        <v>25</v>
      </c>
      <c r="G171" s="60">
        <f>1622200+110000+25190.48+29000+50000</f>
        <v>1836390.48</v>
      </c>
      <c r="H171" s="60"/>
      <c r="I171" s="66">
        <f>G171+H171</f>
        <v>1836390.48</v>
      </c>
      <c r="J171" s="172"/>
      <c r="K171" s="96"/>
      <c r="L171" s="96"/>
    </row>
    <row r="172" spans="1:12" s="10" customFormat="1" ht="92.25" customHeight="1">
      <c r="A172" s="1"/>
      <c r="B172" s="37" t="s">
        <v>239</v>
      </c>
      <c r="C172" s="37" t="s">
        <v>187</v>
      </c>
      <c r="D172" s="34" t="s">
        <v>55</v>
      </c>
      <c r="E172" s="35" t="s">
        <v>56</v>
      </c>
      <c r="F172" s="33"/>
      <c r="G172" s="16">
        <f>G173</f>
        <v>758500</v>
      </c>
      <c r="H172" s="16">
        <f>H173</f>
        <v>2221500</v>
      </c>
      <c r="I172" s="16">
        <f>I173</f>
        <v>2980000</v>
      </c>
      <c r="J172" s="172"/>
      <c r="K172" s="93"/>
      <c r="L172" s="93"/>
    </row>
    <row r="173" spans="1:12" s="56" customFormat="1" ht="169.5" customHeight="1">
      <c r="A173" s="53"/>
      <c r="B173" s="107" t="s">
        <v>239</v>
      </c>
      <c r="C173" s="107" t="s">
        <v>187</v>
      </c>
      <c r="D173" s="85" t="s">
        <v>55</v>
      </c>
      <c r="E173" s="55" t="s">
        <v>442</v>
      </c>
      <c r="F173" s="57" t="s">
        <v>25</v>
      </c>
      <c r="G173" s="60">
        <f>250000+508500</f>
        <v>758500</v>
      </c>
      <c r="H173" s="60">
        <f>1730000-508500+1000000</f>
        <v>2221500</v>
      </c>
      <c r="I173" s="60">
        <f>G173+H173</f>
        <v>2980000</v>
      </c>
      <c r="J173" s="172"/>
      <c r="K173" s="96"/>
      <c r="L173" s="96"/>
    </row>
    <row r="174" spans="2:10" ht="219" customHeight="1">
      <c r="B174" s="34" t="s">
        <v>240</v>
      </c>
      <c r="C174" s="34" t="s">
        <v>205</v>
      </c>
      <c r="D174" s="34" t="s">
        <v>51</v>
      </c>
      <c r="E174" s="35" t="s">
        <v>50</v>
      </c>
      <c r="F174" s="36" t="s">
        <v>67</v>
      </c>
      <c r="G174" s="16"/>
      <c r="H174" s="16">
        <f>1040000+3945460</f>
        <v>4985460</v>
      </c>
      <c r="I174" s="16">
        <f>G174+H174</f>
        <v>4985460</v>
      </c>
      <c r="J174" s="171"/>
    </row>
    <row r="175" spans="2:10" ht="198" customHeight="1">
      <c r="B175" s="34" t="s">
        <v>241</v>
      </c>
      <c r="C175" s="34" t="s">
        <v>207</v>
      </c>
      <c r="D175" s="34" t="s">
        <v>32</v>
      </c>
      <c r="E175" s="35" t="s">
        <v>31</v>
      </c>
      <c r="F175" s="36" t="s">
        <v>67</v>
      </c>
      <c r="G175" s="16"/>
      <c r="H175" s="16">
        <f>308267+140000</f>
        <v>448267</v>
      </c>
      <c r="I175" s="16">
        <f>G175+H175</f>
        <v>448267</v>
      </c>
      <c r="J175" s="171"/>
    </row>
    <row r="176" spans="2:10" ht="138.75" customHeight="1">
      <c r="B176" s="34" t="s">
        <v>340</v>
      </c>
      <c r="C176" s="34" t="s">
        <v>329</v>
      </c>
      <c r="D176" s="34"/>
      <c r="E176" s="35" t="s">
        <v>328</v>
      </c>
      <c r="F176" s="36"/>
      <c r="G176" s="16">
        <f>G177</f>
        <v>0</v>
      </c>
      <c r="H176" s="16">
        <f>H177</f>
        <v>-2104092</v>
      </c>
      <c r="I176" s="16">
        <f>I177</f>
        <v>-2104092</v>
      </c>
      <c r="J176" s="171"/>
    </row>
    <row r="177" spans="1:12" s="56" customFormat="1" ht="189" customHeight="1">
      <c r="A177" s="53"/>
      <c r="B177" s="54" t="s">
        <v>333</v>
      </c>
      <c r="C177" s="54" t="s">
        <v>335</v>
      </c>
      <c r="D177" s="54" t="s">
        <v>6</v>
      </c>
      <c r="E177" s="71" t="s">
        <v>334</v>
      </c>
      <c r="F177" s="55" t="s">
        <v>25</v>
      </c>
      <c r="G177" s="60"/>
      <c r="H177" s="60">
        <v>-2104092</v>
      </c>
      <c r="I177" s="60">
        <f>G177+H177</f>
        <v>-2104092</v>
      </c>
      <c r="J177" s="171"/>
      <c r="K177" s="96"/>
      <c r="L177" s="96"/>
    </row>
    <row r="178" spans="1:12" s="10" customFormat="1" ht="225" customHeight="1">
      <c r="A178" s="1"/>
      <c r="B178" s="34" t="s">
        <v>413</v>
      </c>
      <c r="C178" s="34" t="s">
        <v>193</v>
      </c>
      <c r="D178" s="34" t="s">
        <v>24</v>
      </c>
      <c r="E178" s="35" t="s">
        <v>23</v>
      </c>
      <c r="F178" s="33" t="s">
        <v>25</v>
      </c>
      <c r="G178" s="16"/>
      <c r="H178" s="16">
        <v>4751003.18</v>
      </c>
      <c r="I178" s="16">
        <f>G178+H178</f>
        <v>4751003.18</v>
      </c>
      <c r="J178" s="171"/>
      <c r="K178" s="93"/>
      <c r="L178" s="93"/>
    </row>
    <row r="179" spans="2:10" ht="118.5" customHeight="1">
      <c r="B179" s="73"/>
      <c r="C179" s="73"/>
      <c r="D179" s="73"/>
      <c r="E179" s="74" t="s">
        <v>98</v>
      </c>
      <c r="F179" s="76"/>
      <c r="G179" s="113">
        <f>G180+G182+G181</f>
        <v>2229956.67</v>
      </c>
      <c r="H179" s="113">
        <f>H180+H182+H181</f>
        <v>64343.33</v>
      </c>
      <c r="I179" s="113">
        <f>I180+I182+I181</f>
        <v>2294300</v>
      </c>
      <c r="J179" s="171"/>
    </row>
    <row r="180" spans="2:10" ht="287.25" customHeight="1">
      <c r="B180" s="34" t="s">
        <v>184</v>
      </c>
      <c r="C180" s="34" t="s">
        <v>183</v>
      </c>
      <c r="D180" s="34" t="s">
        <v>48</v>
      </c>
      <c r="E180" s="35" t="s">
        <v>166</v>
      </c>
      <c r="F180" s="36" t="s">
        <v>100</v>
      </c>
      <c r="G180" s="16">
        <f>28000+296656.67+3300+45000</f>
        <v>372956.67</v>
      </c>
      <c r="H180" s="16">
        <f>50000+14343.33</f>
        <v>64343.33</v>
      </c>
      <c r="I180" s="16">
        <f>G180+H180</f>
        <v>437300</v>
      </c>
      <c r="J180" s="171"/>
    </row>
    <row r="181" spans="2:10" ht="185.25" customHeight="1">
      <c r="B181" s="34" t="s">
        <v>311</v>
      </c>
      <c r="C181" s="34" t="s">
        <v>283</v>
      </c>
      <c r="D181" s="34" t="s">
        <v>7</v>
      </c>
      <c r="E181" s="35" t="s">
        <v>140</v>
      </c>
      <c r="F181" s="33" t="s">
        <v>312</v>
      </c>
      <c r="G181" s="16">
        <f>227000+1000000</f>
        <v>1227000</v>
      </c>
      <c r="H181" s="16"/>
      <c r="I181" s="16">
        <f>G181+H181</f>
        <v>1227000</v>
      </c>
      <c r="J181" s="171"/>
    </row>
    <row r="182" spans="2:10" ht="119.25" customHeight="1">
      <c r="B182" s="34" t="s">
        <v>186</v>
      </c>
      <c r="C182" s="34" t="s">
        <v>185</v>
      </c>
      <c r="D182" s="34" t="s">
        <v>24</v>
      </c>
      <c r="E182" s="35" t="s">
        <v>12</v>
      </c>
      <c r="F182" s="36"/>
      <c r="G182" s="16">
        <f>G183</f>
        <v>630000</v>
      </c>
      <c r="H182" s="16">
        <f>H183</f>
        <v>0</v>
      </c>
      <c r="I182" s="16">
        <f>I183</f>
        <v>630000</v>
      </c>
      <c r="J182" s="171"/>
    </row>
    <row r="183" spans="1:12" s="56" customFormat="1" ht="305.25" customHeight="1">
      <c r="A183" s="53"/>
      <c r="B183" s="54" t="s">
        <v>186</v>
      </c>
      <c r="C183" s="54" t="s">
        <v>185</v>
      </c>
      <c r="D183" s="54" t="s">
        <v>24</v>
      </c>
      <c r="E183" s="55" t="s">
        <v>353</v>
      </c>
      <c r="F183" s="57" t="s">
        <v>100</v>
      </c>
      <c r="G183" s="60">
        <f>430000+200000</f>
        <v>630000</v>
      </c>
      <c r="H183" s="60"/>
      <c r="I183" s="66">
        <f>G183+H183</f>
        <v>630000</v>
      </c>
      <c r="J183" s="171"/>
      <c r="K183" s="96"/>
      <c r="L183" s="96"/>
    </row>
    <row r="184" spans="1:12" s="8" customFormat="1" ht="153.75" customHeight="1">
      <c r="A184" s="7"/>
      <c r="B184" s="73"/>
      <c r="C184" s="73"/>
      <c r="D184" s="73"/>
      <c r="E184" s="74" t="s">
        <v>52</v>
      </c>
      <c r="F184" s="76"/>
      <c r="G184" s="113">
        <f>G185+G186+G187+G188+G189+G190+G193+G194+G195+G198+G202+G203+G192</f>
        <v>93887000</v>
      </c>
      <c r="H184" s="113">
        <f>H185+H186+H187+H188+H189+H190+H193+H194+H195+H198+H202+H203+H192</f>
        <v>272038614.24000007</v>
      </c>
      <c r="I184" s="113">
        <f>I185+I186+I187+I188+I189+I190+I193+I194+I195+I198+I202+I203+I192</f>
        <v>365925614.24000007</v>
      </c>
      <c r="J184" s="171"/>
      <c r="K184" s="98"/>
      <c r="L184" s="98"/>
    </row>
    <row r="185" spans="2:10" ht="141" customHeight="1">
      <c r="B185" s="37" t="s">
        <v>130</v>
      </c>
      <c r="C185" s="37" t="s">
        <v>55</v>
      </c>
      <c r="D185" s="38" t="s">
        <v>2</v>
      </c>
      <c r="E185" s="35" t="s">
        <v>394</v>
      </c>
      <c r="F185" s="33" t="s">
        <v>99</v>
      </c>
      <c r="G185" s="16"/>
      <c r="H185" s="16">
        <v>10000</v>
      </c>
      <c r="I185" s="16">
        <f>G185+H185</f>
        <v>10000</v>
      </c>
      <c r="J185" s="171"/>
    </row>
    <row r="186" spans="2:10" ht="252.75" customHeight="1">
      <c r="B186" s="37" t="s">
        <v>195</v>
      </c>
      <c r="C186" s="37" t="s">
        <v>106</v>
      </c>
      <c r="D186" s="34" t="s">
        <v>34</v>
      </c>
      <c r="E186" s="35" t="s">
        <v>147</v>
      </c>
      <c r="F186" s="39" t="s">
        <v>81</v>
      </c>
      <c r="G186" s="16"/>
      <c r="H186" s="16">
        <v>5000000</v>
      </c>
      <c r="I186" s="16">
        <f aca="true" t="shared" si="7" ref="I186:I203">G186+H186</f>
        <v>5000000</v>
      </c>
      <c r="J186" s="171"/>
    </row>
    <row r="187" spans="2:10" ht="180" customHeight="1">
      <c r="B187" s="34" t="s">
        <v>196</v>
      </c>
      <c r="C187" s="34" t="s">
        <v>191</v>
      </c>
      <c r="D187" s="34" t="s">
        <v>14</v>
      </c>
      <c r="E187" s="35" t="s">
        <v>13</v>
      </c>
      <c r="F187" s="39" t="s">
        <v>25</v>
      </c>
      <c r="G187" s="16">
        <f>37238000+32930000-1000000-60000+11279000</f>
        <v>80387000</v>
      </c>
      <c r="H187" s="16">
        <f>62165698+19609036.18+21390963.82-2000000-5000000+5500000+9000000+20000</f>
        <v>110685698</v>
      </c>
      <c r="I187" s="16">
        <f t="shared" si="7"/>
        <v>191072698</v>
      </c>
      <c r="J187" s="171"/>
    </row>
    <row r="188" spans="2:10" ht="123" customHeight="1">
      <c r="B188" s="142" t="s">
        <v>198</v>
      </c>
      <c r="C188" s="142" t="s">
        <v>197</v>
      </c>
      <c r="D188" s="142" t="s">
        <v>6</v>
      </c>
      <c r="E188" s="158" t="s">
        <v>165</v>
      </c>
      <c r="F188" s="39" t="s">
        <v>314</v>
      </c>
      <c r="G188" s="16"/>
      <c r="H188" s="16">
        <f>81158102-10000000-300000+2000000+1000000+300000+100000+2000000+100000+96600+100000+28485193+13012+3023836+21000+500000+66463+50000+2000000-1000000+100000-75000+152116+100000+100000+291000-9000000+28000+3150000-200000+3000+184570+150000-100000+61000+4839000-1467750+1087159</f>
        <v>109117301</v>
      </c>
      <c r="I188" s="16">
        <f t="shared" si="7"/>
        <v>109117301</v>
      </c>
      <c r="J188" s="171"/>
    </row>
    <row r="189" spans="1:12" s="70" customFormat="1" ht="162.75" customHeight="1">
      <c r="A189" s="69"/>
      <c r="B189" s="142"/>
      <c r="C189" s="142"/>
      <c r="D189" s="142"/>
      <c r="E189" s="158"/>
      <c r="F189" s="39" t="s">
        <v>67</v>
      </c>
      <c r="G189" s="16"/>
      <c r="H189" s="16">
        <f>8300000+100000</f>
        <v>8400000</v>
      </c>
      <c r="I189" s="16">
        <f t="shared" si="7"/>
        <v>8400000</v>
      </c>
      <c r="J189" s="171"/>
      <c r="K189" s="102"/>
      <c r="L189" s="102"/>
    </row>
    <row r="190" spans="1:12" s="10" customFormat="1" ht="101.25" customHeight="1">
      <c r="A190" s="1"/>
      <c r="B190" s="34" t="s">
        <v>201</v>
      </c>
      <c r="C190" s="34" t="s">
        <v>200</v>
      </c>
      <c r="D190" s="34"/>
      <c r="E190" s="35" t="s">
        <v>199</v>
      </c>
      <c r="F190" s="33"/>
      <c r="G190" s="16">
        <f>G191</f>
        <v>0</v>
      </c>
      <c r="H190" s="16">
        <f>H191</f>
        <v>608100</v>
      </c>
      <c r="I190" s="16">
        <f>I191</f>
        <v>608100</v>
      </c>
      <c r="J190" s="171"/>
      <c r="K190" s="93"/>
      <c r="L190" s="93"/>
    </row>
    <row r="191" spans="1:12" s="56" customFormat="1" ht="126.75" customHeight="1">
      <c r="A191" s="53"/>
      <c r="B191" s="54" t="s">
        <v>203</v>
      </c>
      <c r="C191" s="54" t="s">
        <v>202</v>
      </c>
      <c r="D191" s="54" t="s">
        <v>15</v>
      </c>
      <c r="E191" s="52" t="s">
        <v>168</v>
      </c>
      <c r="F191" s="62" t="s">
        <v>314</v>
      </c>
      <c r="G191" s="60"/>
      <c r="H191" s="60">
        <f>108100+100000+500000-100000</f>
        <v>608100</v>
      </c>
      <c r="I191" s="60">
        <f t="shared" si="7"/>
        <v>608100</v>
      </c>
      <c r="J191" s="171"/>
      <c r="K191" s="96"/>
      <c r="L191" s="96"/>
    </row>
    <row r="192" spans="1:12" s="10" customFormat="1" ht="180.75" customHeight="1">
      <c r="A192" s="1"/>
      <c r="B192" s="34" t="s">
        <v>409</v>
      </c>
      <c r="C192" s="34" t="s">
        <v>410</v>
      </c>
      <c r="D192" s="34" t="s">
        <v>412</v>
      </c>
      <c r="E192" s="35" t="s">
        <v>411</v>
      </c>
      <c r="F192" s="39" t="s">
        <v>89</v>
      </c>
      <c r="G192" s="16"/>
      <c r="H192" s="16">
        <v>69811.6</v>
      </c>
      <c r="I192" s="60">
        <f t="shared" si="7"/>
        <v>69811.6</v>
      </c>
      <c r="J192" s="171"/>
      <c r="K192" s="93"/>
      <c r="L192" s="93"/>
    </row>
    <row r="193" spans="2:10" ht="169.5" customHeight="1">
      <c r="B193" s="34" t="s">
        <v>327</v>
      </c>
      <c r="C193" s="34" t="s">
        <v>233</v>
      </c>
      <c r="D193" s="34" t="s">
        <v>49</v>
      </c>
      <c r="E193" s="35" t="s">
        <v>167</v>
      </c>
      <c r="F193" s="33" t="s">
        <v>362</v>
      </c>
      <c r="G193" s="16"/>
      <c r="H193" s="16">
        <v>16524000</v>
      </c>
      <c r="I193" s="16">
        <f t="shared" si="7"/>
        <v>16524000</v>
      </c>
      <c r="J193" s="171"/>
    </row>
    <row r="194" spans="2:10" ht="198.75" customHeight="1">
      <c r="B194" s="34" t="s">
        <v>204</v>
      </c>
      <c r="C194" s="34" t="s">
        <v>192</v>
      </c>
      <c r="D194" s="34" t="s">
        <v>6</v>
      </c>
      <c r="E194" s="35" t="s">
        <v>141</v>
      </c>
      <c r="F194" s="39" t="s">
        <v>89</v>
      </c>
      <c r="G194" s="16"/>
      <c r="H194" s="16">
        <f>13700000+2000000+9850000+1473000+1827000</f>
        <v>28850000</v>
      </c>
      <c r="I194" s="16">
        <f>G194+H194</f>
        <v>28850000</v>
      </c>
      <c r="J194" s="172"/>
    </row>
    <row r="195" spans="1:12" s="10" customFormat="1" ht="99.75" customHeight="1">
      <c r="A195" s="1"/>
      <c r="B195" s="34" t="s">
        <v>330</v>
      </c>
      <c r="C195" s="34" t="s">
        <v>329</v>
      </c>
      <c r="D195" s="34"/>
      <c r="E195" s="35" t="s">
        <v>328</v>
      </c>
      <c r="F195" s="39"/>
      <c r="G195" s="16">
        <f>G196+G197</f>
        <v>12000000</v>
      </c>
      <c r="H195" s="16">
        <f>H196+H197</f>
        <v>-12000000</v>
      </c>
      <c r="I195" s="16">
        <f>I196+I197</f>
        <v>0</v>
      </c>
      <c r="J195" s="172"/>
      <c r="K195" s="93"/>
      <c r="L195" s="93"/>
    </row>
    <row r="196" spans="1:12" s="56" customFormat="1" ht="198.75" customHeight="1">
      <c r="A196" s="53"/>
      <c r="B196" s="54" t="s">
        <v>316</v>
      </c>
      <c r="C196" s="54" t="s">
        <v>317</v>
      </c>
      <c r="D196" s="54" t="s">
        <v>6</v>
      </c>
      <c r="E196" s="52" t="s">
        <v>315</v>
      </c>
      <c r="F196" s="62" t="s">
        <v>89</v>
      </c>
      <c r="G196" s="60">
        <v>12000000</v>
      </c>
      <c r="H196" s="60"/>
      <c r="I196" s="66">
        <f t="shared" si="7"/>
        <v>12000000</v>
      </c>
      <c r="J196" s="172"/>
      <c r="K196" s="96"/>
      <c r="L196" s="96"/>
    </row>
    <row r="197" spans="1:12" s="56" customFormat="1" ht="165.75" customHeight="1">
      <c r="A197" s="53"/>
      <c r="B197" s="54" t="s">
        <v>336</v>
      </c>
      <c r="C197" s="54" t="s">
        <v>335</v>
      </c>
      <c r="D197" s="54" t="s">
        <v>6</v>
      </c>
      <c r="E197" s="71" t="s">
        <v>334</v>
      </c>
      <c r="F197" s="55" t="s">
        <v>25</v>
      </c>
      <c r="G197" s="60"/>
      <c r="H197" s="60">
        <v>-12000000</v>
      </c>
      <c r="I197" s="66">
        <f>G197+H197</f>
        <v>-12000000</v>
      </c>
      <c r="J197" s="172"/>
      <c r="K197" s="96"/>
      <c r="L197" s="96"/>
    </row>
    <row r="198" spans="1:12" s="10" customFormat="1" ht="141.75" customHeight="1">
      <c r="A198" s="1"/>
      <c r="B198" s="34" t="s">
        <v>213</v>
      </c>
      <c r="C198" s="34" t="s">
        <v>212</v>
      </c>
      <c r="D198" s="34"/>
      <c r="E198" s="35" t="s">
        <v>211</v>
      </c>
      <c r="F198" s="33"/>
      <c r="G198" s="16">
        <f>G199+G200+G201</f>
        <v>1500000</v>
      </c>
      <c r="H198" s="16">
        <f>H199+H200+H201</f>
        <v>360425.73000000004</v>
      </c>
      <c r="I198" s="16">
        <f>I199+I200+I201</f>
        <v>1860425.73</v>
      </c>
      <c r="J198" s="172"/>
      <c r="K198" s="93"/>
      <c r="L198" s="93"/>
    </row>
    <row r="199" spans="1:12" s="56" customFormat="1" ht="155.25" customHeight="1">
      <c r="A199" s="53"/>
      <c r="B199" s="54" t="s">
        <v>318</v>
      </c>
      <c r="C199" s="54" t="s">
        <v>319</v>
      </c>
      <c r="D199" s="54" t="s">
        <v>5</v>
      </c>
      <c r="E199" s="55" t="s">
        <v>320</v>
      </c>
      <c r="F199" s="62" t="s">
        <v>53</v>
      </c>
      <c r="G199" s="60">
        <v>1415100</v>
      </c>
      <c r="H199" s="60">
        <f>541462+338672.27</f>
        <v>880134.27</v>
      </c>
      <c r="I199" s="66">
        <f>SUM(G199:H199)</f>
        <v>2295234.27</v>
      </c>
      <c r="J199" s="172"/>
      <c r="K199" s="96"/>
      <c r="L199" s="96"/>
    </row>
    <row r="200" spans="1:12" s="56" customFormat="1" ht="143.25" customHeight="1">
      <c r="A200" s="53"/>
      <c r="B200" s="54" t="s">
        <v>338</v>
      </c>
      <c r="C200" s="54" t="s">
        <v>339</v>
      </c>
      <c r="D200" s="54" t="s">
        <v>5</v>
      </c>
      <c r="E200" s="55" t="s">
        <v>337</v>
      </c>
      <c r="F200" s="62" t="s">
        <v>53</v>
      </c>
      <c r="G200" s="16"/>
      <c r="H200" s="60">
        <f>-572519</f>
        <v>-572519</v>
      </c>
      <c r="I200" s="66">
        <f>G200+H200</f>
        <v>-572519</v>
      </c>
      <c r="J200" s="172"/>
      <c r="K200" s="96"/>
      <c r="L200" s="96"/>
    </row>
    <row r="201" spans="1:12" s="10" customFormat="1" ht="177.75" customHeight="1">
      <c r="A201" s="1"/>
      <c r="B201" s="54" t="s">
        <v>331</v>
      </c>
      <c r="C201" s="54" t="s">
        <v>332</v>
      </c>
      <c r="D201" s="54" t="s">
        <v>5</v>
      </c>
      <c r="E201" s="52" t="s">
        <v>54</v>
      </c>
      <c r="F201" s="62" t="s">
        <v>53</v>
      </c>
      <c r="G201" s="60">
        <v>84900</v>
      </c>
      <c r="H201" s="60">
        <v>52810.46</v>
      </c>
      <c r="I201" s="66">
        <f>G201+H201</f>
        <v>137710.46</v>
      </c>
      <c r="J201" s="172"/>
      <c r="K201" s="93"/>
      <c r="L201" s="93"/>
    </row>
    <row r="202" spans="2:10" ht="135" customHeight="1">
      <c r="B202" s="37" t="s">
        <v>208</v>
      </c>
      <c r="C202" s="37" t="s">
        <v>205</v>
      </c>
      <c r="D202" s="34" t="s">
        <v>51</v>
      </c>
      <c r="E202" s="35" t="s">
        <v>50</v>
      </c>
      <c r="F202" s="39" t="s">
        <v>67</v>
      </c>
      <c r="G202" s="16"/>
      <c r="H202" s="16">
        <v>1230670</v>
      </c>
      <c r="I202" s="16">
        <f t="shared" si="7"/>
        <v>1230670</v>
      </c>
      <c r="J202" s="172"/>
    </row>
    <row r="203" spans="2:10" ht="162" customHeight="1">
      <c r="B203" s="34" t="s">
        <v>209</v>
      </c>
      <c r="C203" s="34" t="s">
        <v>206</v>
      </c>
      <c r="D203" s="34" t="s">
        <v>91</v>
      </c>
      <c r="E203" s="35" t="s">
        <v>90</v>
      </c>
      <c r="F203" s="36" t="s">
        <v>67</v>
      </c>
      <c r="G203" s="16"/>
      <c r="H203" s="16">
        <f>715000+2188520+279087.91</f>
        <v>3182607.91</v>
      </c>
      <c r="I203" s="16">
        <f t="shared" si="7"/>
        <v>3182607.91</v>
      </c>
      <c r="J203" s="172"/>
    </row>
    <row r="204" spans="2:10" ht="108" customHeight="1">
      <c r="B204" s="34"/>
      <c r="C204" s="34"/>
      <c r="D204" s="34"/>
      <c r="E204" s="74" t="s">
        <v>95</v>
      </c>
      <c r="F204" s="39"/>
      <c r="G204" s="113">
        <f>G205+G207+G209+G206+G211+G210</f>
        <v>289000</v>
      </c>
      <c r="H204" s="113">
        <f>H205+H207+H209+H206+H211+H210</f>
        <v>1824003</v>
      </c>
      <c r="I204" s="113">
        <f>I205+I207+I209+I206+I211+I210</f>
        <v>2113003</v>
      </c>
      <c r="J204" s="172"/>
    </row>
    <row r="205" spans="2:10" ht="96" customHeight="1">
      <c r="B205" s="34" t="s">
        <v>131</v>
      </c>
      <c r="C205" s="34" t="s">
        <v>55</v>
      </c>
      <c r="D205" s="34" t="s">
        <v>2</v>
      </c>
      <c r="E205" s="35" t="s">
        <v>394</v>
      </c>
      <c r="F205" s="33" t="s">
        <v>99</v>
      </c>
      <c r="G205" s="16">
        <v>49000</v>
      </c>
      <c r="H205" s="113"/>
      <c r="I205" s="16">
        <f>G205+H205</f>
        <v>49000</v>
      </c>
      <c r="J205" s="172"/>
    </row>
    <row r="206" spans="2:10" ht="93" customHeight="1">
      <c r="B206" s="34" t="s">
        <v>398</v>
      </c>
      <c r="C206" s="34" t="s">
        <v>192</v>
      </c>
      <c r="D206" s="34" t="s">
        <v>6</v>
      </c>
      <c r="E206" s="35" t="s">
        <v>141</v>
      </c>
      <c r="F206" s="33" t="s">
        <v>314</v>
      </c>
      <c r="G206" s="16"/>
      <c r="H206" s="16">
        <v>17173</v>
      </c>
      <c r="I206" s="16">
        <f>G206+H206</f>
        <v>17173</v>
      </c>
      <c r="J206" s="172"/>
    </row>
    <row r="207" spans="2:10" ht="51" customHeight="1">
      <c r="B207" s="37" t="s">
        <v>210</v>
      </c>
      <c r="C207" s="37" t="s">
        <v>185</v>
      </c>
      <c r="D207" s="34" t="s">
        <v>24</v>
      </c>
      <c r="E207" s="35" t="s">
        <v>12</v>
      </c>
      <c r="F207" s="36"/>
      <c r="G207" s="16">
        <f>G208</f>
        <v>240000</v>
      </c>
      <c r="H207" s="16">
        <f>H208</f>
        <v>0</v>
      </c>
      <c r="I207" s="16">
        <f>I208</f>
        <v>240000</v>
      </c>
      <c r="J207" s="172"/>
    </row>
    <row r="208" spans="1:12" s="56" customFormat="1" ht="195" customHeight="1">
      <c r="A208" s="53"/>
      <c r="B208" s="61" t="s">
        <v>210</v>
      </c>
      <c r="C208" s="61" t="s">
        <v>185</v>
      </c>
      <c r="D208" s="54" t="s">
        <v>24</v>
      </c>
      <c r="E208" s="55" t="s">
        <v>352</v>
      </c>
      <c r="F208" s="55" t="s">
        <v>25</v>
      </c>
      <c r="G208" s="60">
        <v>240000</v>
      </c>
      <c r="H208" s="60"/>
      <c r="I208" s="66">
        <f>G208+H208</f>
        <v>240000</v>
      </c>
      <c r="J208" s="175"/>
      <c r="K208" s="96"/>
      <c r="L208" s="96"/>
    </row>
    <row r="209" spans="1:12" s="56" customFormat="1" ht="135" customHeight="1">
      <c r="A209" s="53"/>
      <c r="B209" s="147" t="s">
        <v>194</v>
      </c>
      <c r="C209" s="147" t="s">
        <v>193</v>
      </c>
      <c r="D209" s="147" t="s">
        <v>24</v>
      </c>
      <c r="E209" s="159" t="s">
        <v>23</v>
      </c>
      <c r="F209" s="33" t="s">
        <v>25</v>
      </c>
      <c r="G209" s="16"/>
      <c r="H209" s="16">
        <v>616830</v>
      </c>
      <c r="I209" s="16">
        <f>G209+H209</f>
        <v>616830</v>
      </c>
      <c r="J209" s="175"/>
      <c r="K209" s="96"/>
      <c r="L209" s="96"/>
    </row>
    <row r="210" spans="1:12" s="56" customFormat="1" ht="90" customHeight="1">
      <c r="A210" s="53"/>
      <c r="B210" s="148"/>
      <c r="C210" s="148"/>
      <c r="D210" s="148"/>
      <c r="E210" s="160"/>
      <c r="F210" s="33" t="s">
        <v>420</v>
      </c>
      <c r="G210" s="16"/>
      <c r="H210" s="16">
        <v>1160000</v>
      </c>
      <c r="I210" s="16">
        <f>G210+H210</f>
        <v>1160000</v>
      </c>
      <c r="J210" s="175"/>
      <c r="K210" s="96"/>
      <c r="L210" s="96"/>
    </row>
    <row r="211" spans="1:12" s="56" customFormat="1" ht="150" customHeight="1">
      <c r="A211" s="53"/>
      <c r="B211" s="149"/>
      <c r="C211" s="149"/>
      <c r="D211" s="149"/>
      <c r="E211" s="126"/>
      <c r="F211" s="33" t="s">
        <v>400</v>
      </c>
      <c r="G211" s="16"/>
      <c r="H211" s="16">
        <v>30000</v>
      </c>
      <c r="I211" s="16">
        <f>G211+H211</f>
        <v>30000</v>
      </c>
      <c r="J211" s="175"/>
      <c r="K211" s="96"/>
      <c r="L211" s="96"/>
    </row>
    <row r="212" spans="2:10" ht="97.5" customHeight="1">
      <c r="B212" s="73"/>
      <c r="C212" s="73"/>
      <c r="D212" s="73"/>
      <c r="E212" s="74" t="s">
        <v>57</v>
      </c>
      <c r="F212" s="76"/>
      <c r="G212" s="113">
        <f aca="true" t="shared" si="8" ref="G212:I213">G213</f>
        <v>416500</v>
      </c>
      <c r="H212" s="113">
        <f t="shared" si="8"/>
        <v>0</v>
      </c>
      <c r="I212" s="113">
        <f t="shared" si="8"/>
        <v>416500</v>
      </c>
      <c r="J212" s="175"/>
    </row>
    <row r="213" spans="2:10" ht="80.25" customHeight="1">
      <c r="B213" s="34" t="s">
        <v>401</v>
      </c>
      <c r="C213" s="34" t="s">
        <v>185</v>
      </c>
      <c r="D213" s="34" t="s">
        <v>24</v>
      </c>
      <c r="E213" s="35" t="s">
        <v>12</v>
      </c>
      <c r="F213" s="39"/>
      <c r="G213" s="16">
        <f t="shared" si="8"/>
        <v>416500</v>
      </c>
      <c r="H213" s="16">
        <f t="shared" si="8"/>
        <v>0</v>
      </c>
      <c r="I213" s="16">
        <f t="shared" si="8"/>
        <v>416500</v>
      </c>
      <c r="J213" s="175"/>
    </row>
    <row r="214" spans="1:12" s="59" customFormat="1" ht="145.5" customHeight="1">
      <c r="A214" s="58"/>
      <c r="B214" s="54" t="s">
        <v>401</v>
      </c>
      <c r="C214" s="54" t="s">
        <v>185</v>
      </c>
      <c r="D214" s="54" t="s">
        <v>24</v>
      </c>
      <c r="E214" s="55" t="s">
        <v>354</v>
      </c>
      <c r="F214" s="33" t="s">
        <v>322</v>
      </c>
      <c r="G214" s="60">
        <v>416500</v>
      </c>
      <c r="H214" s="60"/>
      <c r="I214" s="66">
        <f>G214+H214</f>
        <v>416500</v>
      </c>
      <c r="J214" s="175"/>
      <c r="K214" s="103"/>
      <c r="L214" s="103"/>
    </row>
    <row r="215" spans="1:12" s="8" customFormat="1" ht="111.75" customHeight="1">
      <c r="A215" s="7"/>
      <c r="B215" s="34"/>
      <c r="C215" s="34"/>
      <c r="D215" s="34"/>
      <c r="E215" s="74" t="s">
        <v>93</v>
      </c>
      <c r="F215" s="39"/>
      <c r="G215" s="113">
        <f>G216</f>
        <v>0</v>
      </c>
      <c r="H215" s="113">
        <f>H216</f>
        <v>19000</v>
      </c>
      <c r="I215" s="113">
        <f>I216</f>
        <v>19000</v>
      </c>
      <c r="J215" s="175"/>
      <c r="K215" s="98"/>
      <c r="L215" s="98"/>
    </row>
    <row r="216" spans="2:10" ht="138.75" customHeight="1">
      <c r="B216" s="34" t="s">
        <v>190</v>
      </c>
      <c r="C216" s="34" t="s">
        <v>189</v>
      </c>
      <c r="D216" s="34" t="s">
        <v>22</v>
      </c>
      <c r="E216" s="35" t="s">
        <v>88</v>
      </c>
      <c r="F216" s="36" t="s">
        <v>67</v>
      </c>
      <c r="G216" s="16"/>
      <c r="H216" s="16">
        <v>19000</v>
      </c>
      <c r="I216" s="16">
        <f>G216+H216</f>
        <v>19000</v>
      </c>
      <c r="J216" s="175"/>
    </row>
    <row r="217" spans="2:10" ht="138.75" customHeight="1">
      <c r="B217" s="73"/>
      <c r="C217" s="73"/>
      <c r="D217" s="73"/>
      <c r="E217" s="74" t="s">
        <v>96</v>
      </c>
      <c r="F217" s="75"/>
      <c r="G217" s="113">
        <f aca="true" t="shared" si="9" ref="G217:I218">G218</f>
        <v>0</v>
      </c>
      <c r="H217" s="113">
        <f t="shared" si="9"/>
        <v>1500000</v>
      </c>
      <c r="I217" s="113">
        <f t="shared" si="9"/>
        <v>1500000</v>
      </c>
      <c r="J217" s="175"/>
    </row>
    <row r="218" spans="1:12" s="10" customFormat="1" ht="78.75" customHeight="1">
      <c r="A218" s="1"/>
      <c r="B218" s="34" t="s">
        <v>188</v>
      </c>
      <c r="C218" s="34" t="s">
        <v>187</v>
      </c>
      <c r="D218" s="34" t="s">
        <v>55</v>
      </c>
      <c r="E218" s="72" t="s">
        <v>56</v>
      </c>
      <c r="F218" s="39"/>
      <c r="G218" s="16">
        <f t="shared" si="9"/>
        <v>0</v>
      </c>
      <c r="H218" s="16">
        <f t="shared" si="9"/>
        <v>1500000</v>
      </c>
      <c r="I218" s="16">
        <f t="shared" si="9"/>
        <v>1500000</v>
      </c>
      <c r="J218" s="175"/>
      <c r="K218" s="93"/>
      <c r="L218" s="93"/>
    </row>
    <row r="219" spans="1:12" s="56" customFormat="1" ht="90" customHeight="1">
      <c r="A219" s="53"/>
      <c r="B219" s="54" t="s">
        <v>188</v>
      </c>
      <c r="C219" s="54" t="s">
        <v>187</v>
      </c>
      <c r="D219" s="54" t="s">
        <v>55</v>
      </c>
      <c r="E219" s="55" t="s">
        <v>361</v>
      </c>
      <c r="F219" s="57" t="s">
        <v>321</v>
      </c>
      <c r="G219" s="60"/>
      <c r="H219" s="60">
        <f>1000000+500000+450000-450000</f>
        <v>1500000</v>
      </c>
      <c r="I219" s="66">
        <f>G219+H219</f>
        <v>1500000</v>
      </c>
      <c r="J219" s="175"/>
      <c r="K219" s="96"/>
      <c r="L219" s="96"/>
    </row>
    <row r="220" spans="2:12" ht="54.75" customHeight="1">
      <c r="B220" s="25"/>
      <c r="C220" s="25"/>
      <c r="D220" s="24"/>
      <c r="E220" s="49" t="s">
        <v>3</v>
      </c>
      <c r="F220" s="50"/>
      <c r="G220" s="114">
        <f>G10+G69+G96+G108+G134+G137+G143+G179+G184+G204+G212+G215+G217</f>
        <v>320982562.79999995</v>
      </c>
      <c r="H220" s="114">
        <f>H10+H69+H96+H108+H134+H137+H143+H179+H184+H204+H212+H215+H217</f>
        <v>575383143.75</v>
      </c>
      <c r="I220" s="114">
        <f>I10+I69+I96+I108+I134+I137+I143+I179+I184+I204+I212+I215+I217</f>
        <v>896365706.55</v>
      </c>
      <c r="J220" s="175"/>
      <c r="K220" s="90"/>
      <c r="L220" s="90"/>
    </row>
    <row r="221" spans="2:10" ht="45.75" customHeight="1">
      <c r="B221" s="26"/>
      <c r="C221" s="26"/>
      <c r="D221" s="27"/>
      <c r="E221" s="28"/>
      <c r="F221" s="29"/>
      <c r="G221" s="115"/>
      <c r="H221" s="115"/>
      <c r="I221" s="115"/>
      <c r="J221" s="175"/>
    </row>
    <row r="222" spans="2:10" ht="45.75" customHeight="1">
      <c r="B222" s="26"/>
      <c r="C222" s="26"/>
      <c r="D222" s="27"/>
      <c r="E222" s="28"/>
      <c r="F222" s="29"/>
      <c r="G222" s="115"/>
      <c r="H222" s="115"/>
      <c r="I222" s="115"/>
      <c r="J222" s="175"/>
    </row>
    <row r="223" spans="2:10" ht="197.25" customHeight="1">
      <c r="B223" s="26"/>
      <c r="C223" s="26"/>
      <c r="D223" s="27"/>
      <c r="E223" s="28"/>
      <c r="F223" s="29"/>
      <c r="G223" s="115"/>
      <c r="H223" s="115"/>
      <c r="I223" s="115"/>
      <c r="J223" s="175"/>
    </row>
    <row r="224" spans="2:10" ht="90.75" customHeight="1">
      <c r="B224" s="176" t="s">
        <v>449</v>
      </c>
      <c r="C224" s="176"/>
      <c r="D224" s="176"/>
      <c r="E224" s="176"/>
      <c r="F224" s="176"/>
      <c r="G224" s="177" t="s">
        <v>450</v>
      </c>
      <c r="H224" s="177"/>
      <c r="I224" s="177"/>
      <c r="J224" s="175"/>
    </row>
    <row r="225" spans="2:10" ht="34.5" customHeight="1" hidden="1">
      <c r="B225" s="41"/>
      <c r="C225" s="41"/>
      <c r="D225" s="42"/>
      <c r="E225" s="43"/>
      <c r="F225" s="44"/>
      <c r="G225" s="120"/>
      <c r="H225" s="120"/>
      <c r="I225" s="45"/>
      <c r="J225" s="175"/>
    </row>
    <row r="226" spans="1:18" s="15" customFormat="1" ht="153.75" customHeight="1">
      <c r="A226" s="12"/>
      <c r="B226" s="141" t="s">
        <v>433</v>
      </c>
      <c r="C226" s="141"/>
      <c r="D226" s="141"/>
      <c r="E226" s="124"/>
      <c r="F226" s="124"/>
      <c r="G226" s="45"/>
      <c r="H226" s="45"/>
      <c r="I226" s="45"/>
      <c r="J226" s="175"/>
      <c r="K226" s="87"/>
      <c r="L226" s="87"/>
      <c r="M226" s="13"/>
      <c r="N226" s="13"/>
      <c r="O226" s="13"/>
      <c r="P226" s="14"/>
      <c r="Q226" s="14"/>
      <c r="R226" s="11"/>
    </row>
    <row r="227" spans="2:10" ht="50.25">
      <c r="B227" s="125"/>
      <c r="C227" s="125"/>
      <c r="G227" s="106"/>
      <c r="H227" s="106"/>
      <c r="I227" s="106"/>
      <c r="J227" s="175"/>
    </row>
    <row r="228" spans="7:10" ht="44.25">
      <c r="G228" s="105"/>
      <c r="H228" s="105"/>
      <c r="I228" s="105"/>
      <c r="J228" s="116"/>
    </row>
    <row r="229" spans="7:10" ht="131.25" customHeight="1">
      <c r="G229" s="105"/>
      <c r="H229" s="105"/>
      <c r="I229" s="105"/>
      <c r="J229" s="116"/>
    </row>
    <row r="230" spans="7:10" ht="131.25" customHeight="1">
      <c r="G230" s="105"/>
      <c r="H230" s="105"/>
      <c r="I230" s="105"/>
      <c r="J230" s="116"/>
    </row>
    <row r="231" ht="131.25" customHeight="1">
      <c r="J231" s="116"/>
    </row>
    <row r="232" ht="44.25">
      <c r="J232" s="116"/>
    </row>
    <row r="233" ht="44.25">
      <c r="J233" s="116"/>
    </row>
    <row r="234" ht="44.25">
      <c r="J234" s="116"/>
    </row>
    <row r="235" ht="44.25">
      <c r="J235" s="116"/>
    </row>
    <row r="236" ht="44.25">
      <c r="J236" s="116"/>
    </row>
    <row r="237" ht="44.25">
      <c r="J237" s="116"/>
    </row>
    <row r="238" ht="44.25">
      <c r="J238" s="116"/>
    </row>
  </sheetData>
  <sheetProtection/>
  <mergeCells count="136">
    <mergeCell ref="G5:I5"/>
    <mergeCell ref="B224:F224"/>
    <mergeCell ref="G224:I224"/>
    <mergeCell ref="B112:B113"/>
    <mergeCell ref="E89:E90"/>
    <mergeCell ref="E145:E146"/>
    <mergeCell ref="E188:E189"/>
    <mergeCell ref="D188:D189"/>
    <mergeCell ref="B166:B167"/>
    <mergeCell ref="B13:B14"/>
    <mergeCell ref="J208:J227"/>
    <mergeCell ref="J34:J49"/>
    <mergeCell ref="J50:J62"/>
    <mergeCell ref="J63:J75"/>
    <mergeCell ref="J76:J84"/>
    <mergeCell ref="J85:J95"/>
    <mergeCell ref="J96:J105"/>
    <mergeCell ref="J106:J113"/>
    <mergeCell ref="J164:J173"/>
    <mergeCell ref="J174:J182"/>
    <mergeCell ref="D145:D146"/>
    <mergeCell ref="C89:C90"/>
    <mergeCell ref="J183:J193"/>
    <mergeCell ref="J194:J207"/>
    <mergeCell ref="J114:J125"/>
    <mergeCell ref="J127:J139"/>
    <mergeCell ref="J140:J151"/>
    <mergeCell ref="J153:J163"/>
    <mergeCell ref="F110:F111"/>
    <mergeCell ref="I110:I111"/>
    <mergeCell ref="B11:B12"/>
    <mergeCell ref="D47:D48"/>
    <mergeCell ref="B89:B90"/>
    <mergeCell ref="B71:B74"/>
    <mergeCell ref="C71:C74"/>
    <mergeCell ref="C11:C12"/>
    <mergeCell ref="B47:B48"/>
    <mergeCell ref="C13:C14"/>
    <mergeCell ref="D11:D12"/>
    <mergeCell ref="D13:D14"/>
    <mergeCell ref="G13:G14"/>
    <mergeCell ref="E71:E74"/>
    <mergeCell ref="E47:E48"/>
    <mergeCell ref="F13:F14"/>
    <mergeCell ref="C47:C48"/>
    <mergeCell ref="E75:E80"/>
    <mergeCell ref="D71:D74"/>
    <mergeCell ref="D75:D80"/>
    <mergeCell ref="C75:C80"/>
    <mergeCell ref="D81:D82"/>
    <mergeCell ref="E81:E82"/>
    <mergeCell ref="D98:D99"/>
    <mergeCell ref="D83:D84"/>
    <mergeCell ref="E83:E84"/>
    <mergeCell ref="E85:E86"/>
    <mergeCell ref="D85:D86"/>
    <mergeCell ref="E98:E99"/>
    <mergeCell ref="D89:D90"/>
    <mergeCell ref="H110:H111"/>
    <mergeCell ref="I112:I113"/>
    <mergeCell ref="F112:F113"/>
    <mergeCell ref="G112:G113"/>
    <mergeCell ref="H112:H113"/>
    <mergeCell ref="G110:G111"/>
    <mergeCell ref="J1:J18"/>
    <mergeCell ref="J19:J33"/>
    <mergeCell ref="G1:I1"/>
    <mergeCell ref="G2:I2"/>
    <mergeCell ref="B7:I7"/>
    <mergeCell ref="G3:I3"/>
    <mergeCell ref="G4:I4"/>
    <mergeCell ref="H13:H14"/>
    <mergeCell ref="I13:I14"/>
    <mergeCell ref="E11:E12"/>
    <mergeCell ref="B75:B80"/>
    <mergeCell ref="B81:B82"/>
    <mergeCell ref="C81:C82"/>
    <mergeCell ref="B104:B105"/>
    <mergeCell ref="C104:C105"/>
    <mergeCell ref="C83:C84"/>
    <mergeCell ref="C85:C86"/>
    <mergeCell ref="B83:B84"/>
    <mergeCell ref="B85:B86"/>
    <mergeCell ref="B98:B99"/>
    <mergeCell ref="B125:B126"/>
    <mergeCell ref="C125:C126"/>
    <mergeCell ref="C112:C113"/>
    <mergeCell ref="B188:B189"/>
    <mergeCell ref="C166:C167"/>
    <mergeCell ref="B145:B146"/>
    <mergeCell ref="B155:B157"/>
    <mergeCell ref="C145:C146"/>
    <mergeCell ref="C155:C157"/>
    <mergeCell ref="C188:C189"/>
    <mergeCell ref="C98:C99"/>
    <mergeCell ref="B100:B101"/>
    <mergeCell ref="C100:C101"/>
    <mergeCell ref="E102:E103"/>
    <mergeCell ref="D100:D101"/>
    <mergeCell ref="E209:E211"/>
    <mergeCell ref="B209:B211"/>
    <mergeCell ref="C209:C211"/>
    <mergeCell ref="D209:D211"/>
    <mergeCell ref="E155:E157"/>
    <mergeCell ref="E166:E167"/>
    <mergeCell ref="E122:E123"/>
    <mergeCell ref="E125:E126"/>
    <mergeCell ref="B122:B123"/>
    <mergeCell ref="C122:C123"/>
    <mergeCell ref="D122:D123"/>
    <mergeCell ref="B102:B103"/>
    <mergeCell ref="C102:C103"/>
    <mergeCell ref="D102:D103"/>
    <mergeCell ref="C110:C111"/>
    <mergeCell ref="B110:B111"/>
    <mergeCell ref="D110:D111"/>
    <mergeCell ref="D104:D105"/>
    <mergeCell ref="B52:B54"/>
    <mergeCell ref="C52:C54"/>
    <mergeCell ref="D52:D54"/>
    <mergeCell ref="E52:E54"/>
    <mergeCell ref="E151:E152"/>
    <mergeCell ref="B149:B150"/>
    <mergeCell ref="C149:C150"/>
    <mergeCell ref="D149:D150"/>
    <mergeCell ref="E149:E150"/>
    <mergeCell ref="E104:E105"/>
    <mergeCell ref="D125:D126"/>
    <mergeCell ref="E100:E101"/>
    <mergeCell ref="B226:D226"/>
    <mergeCell ref="B151:B152"/>
    <mergeCell ref="C151:C152"/>
    <mergeCell ref="D151:D152"/>
    <mergeCell ref="D166:D167"/>
    <mergeCell ref="D155:D157"/>
    <mergeCell ref="D112:D113"/>
  </mergeCells>
  <printOptions horizontalCentered="1"/>
  <pageMargins left="0.2755905511811024" right="0.1968503937007874" top="0.5905511811023623" bottom="0.7086614173228347" header="0.3937007874015748" footer="0.4724409448818898"/>
  <pageSetup firstPageNumber="1" useFirstPageNumber="1" fitToHeight="19" horizontalDpi="600" verticalDpi="600" orientation="landscape" paperSize="9" scale="22" r:id="rId1"/>
  <headerFooter alignWithMargins="0">
    <oddFooter>&amp;R&amp;36Сторінка  &amp;P</oddFooter>
  </headerFooter>
  <rowBreaks count="2" manualBreakCount="2">
    <brk id="70" min="1" max="8" man="1"/>
    <brk id="208" min="1"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2017-06-21T11:03:47Z</cp:lastPrinted>
  <dcterms:created xsi:type="dcterms:W3CDTF">2014-01-17T10:52:16Z</dcterms:created>
  <dcterms:modified xsi:type="dcterms:W3CDTF">2017-06-21T13:44:28Z</dcterms:modified>
  <cp:category/>
  <cp:version/>
  <cp:contentType/>
  <cp:contentStatus/>
</cp:coreProperties>
</file>