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'Sheet1'!$A$1:$Q$810</definedName>
  </definedNames>
  <calcPr fullCalcOnLoad="1"/>
</workbook>
</file>

<file path=xl/sharedStrings.xml><?xml version="1.0" encoding="utf-8"?>
<sst xmlns="http://schemas.openxmlformats.org/spreadsheetml/2006/main" count="766" uniqueCount="465">
  <si>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</si>
  <si>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</si>
  <si>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</si>
  <si>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</si>
  <si>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</si>
  <si>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</si>
  <si>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</si>
  <si>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</si>
  <si>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</si>
  <si>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</si>
  <si>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</si>
  <si>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</si>
  <si>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</si>
  <si>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</si>
  <si>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</si>
  <si>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</si>
  <si>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</si>
  <si>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</si>
  <si>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</si>
  <si>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</si>
  <si>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</si>
  <si>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</si>
  <si>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</si>
  <si>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</si>
  <si>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</si>
  <si>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</si>
  <si>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</si>
  <si>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</si>
  <si>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</si>
  <si>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</si>
  <si>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</si>
  <si>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</si>
  <si>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</si>
  <si>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</si>
  <si>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</si>
  <si>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</si>
  <si>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</si>
  <si>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</si>
  <si>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</si>
  <si>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</si>
  <si>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</si>
  <si>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</si>
  <si>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</si>
  <si>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</si>
  <si>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</si>
  <si>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</si>
  <si>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</si>
  <si>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</si>
  <si>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</si>
  <si>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</si>
  <si>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</si>
  <si>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</si>
  <si>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</si>
  <si>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</si>
  <si>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</si>
  <si>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</si>
  <si>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</si>
  <si>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</si>
  <si>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</si>
  <si>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</si>
  <si>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</si>
  <si>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</si>
  <si>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</si>
  <si>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</si>
  <si>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</si>
  <si>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</si>
  <si>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</si>
  <si>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</si>
  <si>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</si>
  <si>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</si>
  <si>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</si>
  <si>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</si>
  <si>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</si>
  <si>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</si>
  <si>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</si>
  <si>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</si>
  <si>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</si>
  <si>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</si>
  <si>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</si>
  <si>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</si>
  <si>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</si>
  <si>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</si>
  <si>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</si>
  <si>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</si>
  <si>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</si>
  <si>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</si>
  <si>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</si>
  <si>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</si>
  <si>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</si>
  <si>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</si>
  <si>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</si>
  <si>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</si>
  <si>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</si>
  <si>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</si>
  <si>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</si>
  <si>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</si>
  <si>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</si>
  <si>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</si>
  <si>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</si>
  <si>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</si>
  <si>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</si>
  <si>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</si>
  <si>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</si>
  <si>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</si>
  <si>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</si>
  <si>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</si>
  <si>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</si>
  <si>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</si>
  <si>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</si>
  <si>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</si>
  <si>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</si>
  <si>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</si>
  <si>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</si>
  <si>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</si>
  <si>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</si>
  <si>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</si>
  <si>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</si>
  <si>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</si>
  <si>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</si>
  <si>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</si>
  <si>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</si>
  <si>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</si>
  <si>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</si>
  <si>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</si>
  <si>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</si>
  <si>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</si>
  <si>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</si>
  <si>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</si>
  <si>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</si>
  <si>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</si>
  <si>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</si>
  <si>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</si>
  <si>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</si>
  <si>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</si>
  <si>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</si>
  <si>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</si>
  <si>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</si>
  <si>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</si>
  <si>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</si>
  <si>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</si>
  <si>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</si>
  <si>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</si>
  <si>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</si>
  <si>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</si>
  <si>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</si>
  <si>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</si>
  <si>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</si>
  <si>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</si>
  <si>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</si>
  <si>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</si>
  <si>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</si>
  <si>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</si>
  <si>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</si>
  <si>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</si>
  <si>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</si>
  <si>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</si>
  <si>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</si>
  <si>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</si>
  <si>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</si>
  <si>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</si>
  <si>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</si>
  <si>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</si>
  <si>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</si>
  <si>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</si>
  <si>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</si>
  <si>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</si>
  <si>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</si>
  <si>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</si>
  <si>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</si>
  <si>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</si>
  <si>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</si>
  <si>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</si>
  <si>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</si>
  <si>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</si>
  <si>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</si>
  <si>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</si>
  <si>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</si>
  <si>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</si>
  <si>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</si>
  <si>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</si>
  <si>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</si>
  <si>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</si>
  <si>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</si>
  <si>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</si>
  <si>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</si>
  <si>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</si>
  <si>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</si>
  <si>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</si>
  <si>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</si>
  <si>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</si>
  <si>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</si>
  <si>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2. Капітальний ремонт житлового фонду об'єднань співвласників багатоквартирних будинків</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</si>
  <si>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</si>
  <si>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</si>
  <si>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</si>
  <si>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</si>
  <si>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</si>
  <si>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</si>
  <si>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</si>
  <si>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</si>
  <si>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</si>
  <si>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</si>
  <si>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</si>
  <si>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</si>
  <si>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</si>
  <si>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</si>
  <si>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</si>
  <si>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</si>
  <si>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</si>
  <si>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</si>
  <si>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</si>
  <si>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</si>
  <si>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</si>
  <si>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</si>
  <si>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</si>
  <si>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</si>
  <si>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</si>
  <si>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</si>
  <si>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</si>
  <si>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</si>
  <si>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</si>
  <si>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</si>
  <si>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</si>
  <si>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</si>
  <si>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</si>
  <si>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</si>
  <si>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</si>
  <si>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</si>
  <si>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</si>
  <si>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</si>
  <si>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</si>
  <si>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</si>
  <si>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</si>
  <si>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</si>
  <si>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</si>
  <si>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</si>
  <si>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</si>
  <si>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</si>
  <si>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</si>
  <si>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</si>
  <si>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</si>
  <si>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</si>
  <si>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</si>
  <si>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</si>
  <si>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</si>
  <si>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</si>
  <si>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</si>
  <si>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</si>
  <si>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</si>
  <si>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</si>
  <si>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</si>
  <si>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</si>
  <si>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</si>
  <si>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</si>
  <si>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</si>
  <si>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</si>
  <si>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</si>
  <si>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</si>
  <si>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</si>
  <si>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</si>
  <si>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</si>
  <si>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</si>
  <si>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</si>
  <si>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</si>
  <si>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</si>
  <si>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</si>
  <si>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</si>
  <si>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</si>
  <si>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</si>
  <si>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</si>
  <si>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</si>
  <si>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</si>
  <si>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</si>
  <si>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</si>
  <si>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</si>
  <si>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</si>
  <si>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</si>
  <si>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</si>
  <si>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</si>
  <si>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</si>
  <si>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</si>
  <si>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</si>
  <si>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</si>
  <si>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</si>
  <si>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</si>
  <si>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</si>
  <si>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</si>
  <si>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</si>
  <si>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</si>
  <si>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</si>
  <si>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</si>
  <si>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</si>
  <si>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</si>
  <si>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</si>
  <si>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</si>
  <si>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</si>
  <si>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</si>
  <si>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</si>
  <si>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</si>
  <si>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</si>
  <si>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</si>
  <si>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</si>
  <si>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</si>
  <si>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</si>
  <si>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</si>
  <si>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</si>
  <si>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</si>
  <si>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</si>
  <si>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</si>
  <si>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</si>
  <si>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</si>
  <si>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</si>
  <si>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</si>
  <si>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</si>
  <si>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</si>
  <si>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</si>
  <si>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</si>
  <si>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</si>
  <si>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</si>
  <si>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</si>
  <si>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</si>
  <si>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</si>
  <si>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</si>
  <si>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</si>
  <si>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</si>
  <si>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</si>
  <si>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</si>
  <si>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</si>
  <si>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</si>
  <si>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</si>
  <si>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</si>
  <si>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</si>
  <si>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</si>
  <si>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</si>
  <si>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</si>
  <si>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</si>
  <si>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</si>
  <si>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</si>
  <si>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</si>
  <si>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</si>
  <si>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</si>
  <si>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</si>
  <si>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</si>
  <si>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</si>
  <si>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</si>
  <si>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</si>
  <si>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</si>
  <si>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</si>
  <si>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</si>
  <si>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</si>
  <si>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</si>
  <si>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</si>
  <si>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</si>
  <si>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</si>
  <si>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</si>
  <si>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</si>
  <si>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</si>
  <si>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</si>
  <si>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</si>
  <si>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</si>
  <si>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</si>
  <si>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</si>
  <si>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</si>
  <si>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</si>
  <si>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</si>
  <si>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</si>
  <si>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</si>
  <si>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</si>
  <si>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</si>
  <si>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</si>
  <si>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</si>
  <si>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</si>
  <si>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</si>
  <si>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</si>
  <si>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</si>
  <si>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</si>
  <si>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</si>
  <si>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</si>
  <si>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</si>
  <si>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</si>
  <si>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</si>
  <si>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</si>
  <si>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</si>
  <si>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</si>
  <si>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</si>
  <si>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</si>
  <si>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</si>
  <si>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</si>
  <si>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</si>
  <si>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</si>
  <si>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</si>
  <si>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</si>
  <si>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</si>
  <si>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</si>
  <si>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 xml:space="preserve">  Завдання: 17.5. Улаштування дитячих майданчиків</t>
  </si>
  <si>
    <t xml:space="preserve">    Показник: кількість дитячих майданчиків, які планується встановити, шт.</t>
  </si>
  <si>
    <t>Показник: кількість дитячих майданчиків, що потребують встановлення, шт.</t>
  </si>
  <si>
    <t xml:space="preserve">    Показник: середня вартість встановлення дитячого майданчика, грн.</t>
  </si>
  <si>
    <t xml:space="preserve">    Показник: Питома вага кількості дитячих майданчиків, які планується встановити, до кількості дитячих майданчиків, що потребують встановлення, %</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</si>
  <si>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</si>
  <si>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</si>
  <si>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</si>
  <si>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</si>
  <si>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</si>
  <si>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</si>
  <si>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</si>
  <si>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</si>
  <si>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</si>
  <si>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</si>
  <si>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</si>
  <si>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</si>
  <si>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</si>
  <si>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</si>
  <si>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</si>
  <si>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</si>
  <si>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</si>
  <si>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</si>
  <si>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</si>
  <si>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</si>
  <si>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</si>
  <si>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</si>
  <si>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</si>
  <si>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</si>
  <si>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</si>
  <si>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</si>
  <si>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</si>
  <si>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</si>
  <si>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</si>
  <si>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</si>
  <si>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</si>
  <si>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</si>
  <si>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</si>
  <si>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</si>
  <si>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</si>
  <si>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</si>
  <si>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</si>
  <si>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</si>
  <si>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</si>
  <si>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</si>
  <si>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</si>
  <si>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</si>
  <si>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</si>
  <si>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</si>
  <si>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</si>
  <si>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100102, 100106 / КПКВК 6021, 6022</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</si>
  <si>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</si>
  <si>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</si>
  <si>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</si>
  <si>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</si>
  <si>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</si>
  <si>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</si>
  <si>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</si>
  <si>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</si>
  <si>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</si>
  <si>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</si>
  <si>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</si>
  <si>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</si>
  <si>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</si>
  <si>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</si>
  <si>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</si>
  <si>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</si>
  <si>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</si>
  <si>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</si>
  <si>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Додаток 7</t>
  </si>
  <si>
    <t xml:space="preserve">від 25 січня 2017  року №  1723-МР </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</si>
</sst>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46"/>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3"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64"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5" fillId="0" borderId="0" xfId="0" applyNumberFormat="1" applyFont="1" applyAlignment="1">
      <alignment horizontal="center"/>
    </xf>
    <xf numFmtId="4" fontId="13" fillId="0" borderId="0" xfId="0" applyNumberFormat="1" applyFont="1" applyAlignment="1">
      <alignment horizontal="left"/>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18872104"/>
        <c:axId val="35631209"/>
      </c:barChart>
      <c:catAx>
        <c:axId val="18872104"/>
        <c:scaling>
          <c:orientation val="minMax"/>
        </c:scaling>
        <c:axPos val="b"/>
        <c:delete val="0"/>
        <c:numFmt formatCode="General" sourceLinked="1"/>
        <c:majorTickMark val="out"/>
        <c:minorTickMark val="none"/>
        <c:tickLblPos val="nextTo"/>
        <c:spPr>
          <a:ln w="3175">
            <a:solidFill>
              <a:srgbClr val="000000"/>
            </a:solidFill>
          </a:ln>
        </c:spPr>
        <c:crossAx val="35631209"/>
        <c:crosses val="autoZero"/>
        <c:auto val="1"/>
        <c:lblOffset val="100"/>
        <c:tickLblSkip val="1"/>
        <c:noMultiLvlLbl val="0"/>
      </c:catAx>
      <c:valAx>
        <c:axId val="356312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872104"/>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07"/>
  <sheetViews>
    <sheetView tabSelected="1" view="pageBreakPreview" zoomScale="115" zoomScaleNormal="85" zoomScaleSheetLayoutView="115" workbookViewId="0" topLeftCell="A682">
      <selection activeCell="A1" sqref="A1:P810"/>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5.83203125" style="42" customWidth="1"/>
    <col min="15" max="15" width="17.5" style="42" customWidth="1"/>
    <col min="16" max="16" width="16.16015625" style="42" customWidth="1"/>
    <col min="17" max="17" width="0.328125" style="1" customWidth="1"/>
    <col min="18" max="235" width="10.33203125" style="1" customWidth="1"/>
  </cols>
  <sheetData>
    <row r="1" spans="14:16" ht="12.75">
      <c r="N1" s="223" t="s">
        <v>463</v>
      </c>
      <c r="O1" s="223"/>
      <c r="P1" s="223"/>
    </row>
    <row r="2" spans="1:16" ht="12.75">
      <c r="A2" s="115"/>
      <c r="B2" s="115"/>
      <c r="C2" s="115"/>
      <c r="D2" s="117"/>
      <c r="E2" s="117"/>
      <c r="F2" s="117"/>
      <c r="G2" s="117"/>
      <c r="H2" s="117"/>
      <c r="I2" s="117"/>
      <c r="N2" s="223" t="s">
        <v>82</v>
      </c>
      <c r="O2" s="223"/>
      <c r="P2" s="223"/>
    </row>
    <row r="3" spans="1:16" ht="12.75">
      <c r="A3" s="115"/>
      <c r="B3" s="115"/>
      <c r="C3" s="115"/>
      <c r="D3" s="116"/>
      <c r="E3" s="116"/>
      <c r="F3" s="116"/>
      <c r="G3" s="116"/>
      <c r="H3" s="116"/>
      <c r="I3" s="117"/>
      <c r="N3" s="223" t="s">
        <v>242</v>
      </c>
      <c r="O3" s="223"/>
      <c r="P3" s="223"/>
    </row>
    <row r="4" spans="1:16" ht="12.75">
      <c r="A4" s="115"/>
      <c r="B4" s="115"/>
      <c r="C4" s="115"/>
      <c r="D4" s="116"/>
      <c r="E4" s="127"/>
      <c r="F4" s="116"/>
      <c r="G4" s="116"/>
      <c r="H4" s="116"/>
      <c r="I4" s="117"/>
      <c r="N4" s="223" t="s">
        <v>62</v>
      </c>
      <c r="O4" s="223"/>
      <c r="P4" s="223"/>
    </row>
    <row r="5" spans="1:16" ht="12.75">
      <c r="A5" s="115"/>
      <c r="B5" s="115"/>
      <c r="C5" s="115"/>
      <c r="D5" s="116"/>
      <c r="E5" s="127"/>
      <c r="F5" s="116"/>
      <c r="G5" s="116"/>
      <c r="H5" s="116"/>
      <c r="I5" s="117"/>
      <c r="N5" s="223" t="s">
        <v>87</v>
      </c>
      <c r="O5" s="223"/>
      <c r="P5" s="223"/>
    </row>
    <row r="6" spans="1:16" ht="12.75">
      <c r="A6" s="115"/>
      <c r="B6" s="115"/>
      <c r="C6" s="115"/>
      <c r="D6" s="116"/>
      <c r="E6" s="116"/>
      <c r="F6" s="116"/>
      <c r="G6" s="116"/>
      <c r="H6" s="116"/>
      <c r="I6" s="117"/>
      <c r="N6" s="223" t="s">
        <v>249</v>
      </c>
      <c r="O6" s="223"/>
      <c r="P6" s="223"/>
    </row>
    <row r="7" spans="1:17" ht="15.75">
      <c r="A7" s="115"/>
      <c r="B7" s="115"/>
      <c r="C7" s="115"/>
      <c r="D7" s="116"/>
      <c r="E7" s="116"/>
      <c r="F7" s="116"/>
      <c r="G7" s="116"/>
      <c r="H7" s="116"/>
      <c r="I7" s="117"/>
      <c r="N7" s="223" t="s">
        <v>464</v>
      </c>
      <c r="O7" s="223"/>
      <c r="P7" s="223"/>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21" t="s">
        <v>88</v>
      </c>
      <c r="B10" s="221"/>
      <c r="C10" s="221"/>
      <c r="D10" s="221"/>
      <c r="E10" s="221"/>
      <c r="F10" s="221"/>
      <c r="G10" s="221"/>
      <c r="H10" s="221"/>
      <c r="I10" s="221"/>
      <c r="J10" s="221"/>
      <c r="K10" s="221"/>
      <c r="L10" s="221"/>
      <c r="M10" s="221"/>
      <c r="N10" s="221"/>
      <c r="O10" s="221"/>
      <c r="P10" s="221"/>
    </row>
    <row r="11" spans="1:16" ht="16.5" customHeight="1">
      <c r="A11" s="3"/>
      <c r="B11" s="3"/>
      <c r="C11" s="3"/>
      <c r="D11" s="74"/>
      <c r="E11" s="74"/>
      <c r="F11" s="74"/>
      <c r="G11" s="74"/>
      <c r="H11" s="74"/>
      <c r="I11" s="74"/>
      <c r="K11" s="74"/>
      <c r="P11" s="74" t="s">
        <v>59</v>
      </c>
    </row>
    <row r="12" spans="1:241" ht="11.25" customHeight="1">
      <c r="A12" s="224"/>
      <c r="B12" s="207" t="s">
        <v>52</v>
      </c>
      <c r="C12" s="207" t="s">
        <v>53</v>
      </c>
      <c r="D12" s="217" t="s">
        <v>89</v>
      </c>
      <c r="E12" s="218"/>
      <c r="F12" s="219"/>
      <c r="G12" s="212" t="s">
        <v>90</v>
      </c>
      <c r="H12" s="212"/>
      <c r="I12" s="212"/>
      <c r="J12" s="212"/>
      <c r="K12" s="128"/>
      <c r="L12" s="128"/>
      <c r="M12" s="128"/>
      <c r="N12" s="217" t="s">
        <v>91</v>
      </c>
      <c r="O12" s="218"/>
      <c r="P12" s="219"/>
      <c r="IB12" s="1"/>
      <c r="IC12" s="1"/>
      <c r="ID12" s="1"/>
      <c r="IE12" s="1"/>
      <c r="IF12" s="1"/>
      <c r="IG12" s="1"/>
    </row>
    <row r="13" spans="1:241" ht="12" customHeight="1">
      <c r="A13" s="225"/>
      <c r="B13" s="208"/>
      <c r="C13" s="208"/>
      <c r="D13" s="210" t="s">
        <v>54</v>
      </c>
      <c r="E13" s="211"/>
      <c r="F13" s="215" t="s">
        <v>41</v>
      </c>
      <c r="G13" s="220" t="s">
        <v>54</v>
      </c>
      <c r="H13" s="220"/>
      <c r="I13" s="220"/>
      <c r="J13" s="212" t="s">
        <v>41</v>
      </c>
      <c r="K13" s="217" t="s">
        <v>40</v>
      </c>
      <c r="L13" s="218"/>
      <c r="M13" s="219"/>
      <c r="N13" s="210" t="s">
        <v>54</v>
      </c>
      <c r="O13" s="211"/>
      <c r="P13" s="215" t="s">
        <v>41</v>
      </c>
      <c r="IB13" s="1"/>
      <c r="IC13" s="1"/>
      <c r="ID13" s="1"/>
      <c r="IE13" s="1"/>
      <c r="IF13" s="1"/>
      <c r="IG13" s="1"/>
    </row>
    <row r="14" spans="1:241" ht="24.75" customHeight="1">
      <c r="A14" s="226"/>
      <c r="B14" s="209"/>
      <c r="C14" s="209"/>
      <c r="D14" s="128" t="s">
        <v>0</v>
      </c>
      <c r="E14" s="128" t="s">
        <v>1</v>
      </c>
      <c r="F14" s="216"/>
      <c r="G14" s="128" t="s">
        <v>0</v>
      </c>
      <c r="H14" s="128" t="s">
        <v>1</v>
      </c>
      <c r="I14" s="128" t="s">
        <v>325</v>
      </c>
      <c r="J14" s="212"/>
      <c r="K14" s="128" t="s">
        <v>0</v>
      </c>
      <c r="L14" s="128" t="s">
        <v>1</v>
      </c>
      <c r="M14" s="128" t="s">
        <v>41</v>
      </c>
      <c r="N14" s="128" t="s">
        <v>0</v>
      </c>
      <c r="O14" s="128" t="s">
        <v>1</v>
      </c>
      <c r="P14" s="216"/>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D25+D303+D392+D525+D541+D608+D624+D636+D659</f>
        <v>42115300.002</v>
      </c>
      <c r="E16" s="58">
        <f>E25+E303+E392+E525+E541+E608+E662</f>
        <v>42792920</v>
      </c>
      <c r="F16" s="58">
        <f>F25+F303+F392+F525+F541+F608+F624+F636+F662</f>
        <v>84908220.002</v>
      </c>
      <c r="G16" s="177">
        <f>G25+G303+G392+G525+G541+G608+G636+G659+G671+G698+G714+G723+G743+G751+G470</f>
        <v>68231249.99272124</v>
      </c>
      <c r="H16" s="177">
        <f>H25+H303+H392+H525+H541+H636+H671+H714+H608+H723+H743+H659+H698+H751+H772+H470-1000-452400</f>
        <v>210440573.4999594</v>
      </c>
      <c r="I16" s="177">
        <f>I25+I303+I392+I525+I541+I659+I698+I714</f>
        <v>47000</v>
      </c>
      <c r="J16" s="177">
        <f>G16+H16+I16</f>
        <v>278718823.49268067</v>
      </c>
      <c r="K16" s="58" t="e">
        <f>K25+K303+K392+K525+K541</f>
        <v>#REF!</v>
      </c>
      <c r="L16" s="58" t="e">
        <f>L25+L303+L392+L525+L541</f>
        <v>#REF!</v>
      </c>
      <c r="M16" s="58" t="e">
        <f>M25+M303+M392+M525+M541</f>
        <v>#REF!</v>
      </c>
      <c r="N16" s="177">
        <f>N25+N303+N392+N525+N541+N608+N636+N659+N671+N698+N714+N723+N743+N751+N470</f>
        <v>89137559.99599323</v>
      </c>
      <c r="O16" s="177">
        <f>O25+O303+O392+O525+O541+O608+O636+O659+O671+O698+O714+O723+O743+O751+O470+O772</f>
        <v>326735132.001867</v>
      </c>
      <c r="P16" s="177">
        <f aca="true" t="shared" si="0" ref="P16:P21">N16+O16</f>
        <v>415872691.9978602</v>
      </c>
    </row>
    <row r="17" spans="1:16" s="1" customFormat="1" ht="41.25" customHeight="1">
      <c r="A17" s="57" t="s">
        <v>61</v>
      </c>
      <c r="B17" s="57"/>
      <c r="C17" s="57"/>
      <c r="D17" s="58">
        <f>D26</f>
        <v>50736000</v>
      </c>
      <c r="E17" s="58">
        <f>E26</f>
        <v>58817800</v>
      </c>
      <c r="F17" s="58">
        <f>D17+E17</f>
        <v>109553800</v>
      </c>
      <c r="G17" s="177">
        <f>G26+G624</f>
        <v>71963199.997529</v>
      </c>
      <c r="H17" s="177">
        <f>H26+H624</f>
        <v>131508929</v>
      </c>
      <c r="I17" s="177">
        <f>I26+I624</f>
        <v>0</v>
      </c>
      <c r="J17" s="177">
        <f>G17+H17</f>
        <v>203472128.997529</v>
      </c>
      <c r="K17" s="58">
        <f>K26</f>
        <v>0</v>
      </c>
      <c r="L17" s="58">
        <f>L26</f>
        <v>0</v>
      </c>
      <c r="M17" s="58">
        <f>M26</f>
        <v>0</v>
      </c>
      <c r="N17" s="177">
        <f>N26+N624</f>
        <v>85227999.99998</v>
      </c>
      <c r="O17" s="177">
        <f>O26+O624</f>
        <v>75995600</v>
      </c>
      <c r="P17" s="177">
        <f t="shared" si="0"/>
        <v>161223599.99998</v>
      </c>
    </row>
    <row r="18" spans="1:17" ht="51" customHeight="1">
      <c r="A18" s="57" t="s">
        <v>339</v>
      </c>
      <c r="B18" s="57"/>
      <c r="C18" s="57"/>
      <c r="D18" s="58">
        <f>D393+D468</f>
        <v>353680</v>
      </c>
      <c r="E18" s="58">
        <f>E393+E468</f>
        <v>534080</v>
      </c>
      <c r="F18" s="58">
        <f>D18+E18</f>
        <v>887760</v>
      </c>
      <c r="G18" s="177">
        <f aca="true" t="shared" si="1" ref="G18:I19">G393+G468</f>
        <v>0</v>
      </c>
      <c r="H18" s="177">
        <f t="shared" si="1"/>
        <v>64399.99999992592</v>
      </c>
      <c r="I18" s="177">
        <f t="shared" si="1"/>
        <v>0</v>
      </c>
      <c r="J18" s="177">
        <f>G18+H18+I18</f>
        <v>64399.99999992592</v>
      </c>
      <c r="K18" s="58">
        <f>K393+K468</f>
        <v>0</v>
      </c>
      <c r="L18" s="58">
        <f>L393+L468</f>
        <v>0</v>
      </c>
      <c r="M18" s="58">
        <f>M393+M468</f>
        <v>0</v>
      </c>
      <c r="N18" s="58">
        <f>N393+N468</f>
        <v>0</v>
      </c>
      <c r="O18" s="58">
        <f>O393+O468</f>
        <v>0</v>
      </c>
      <c r="P18" s="58">
        <f t="shared" si="0"/>
        <v>0</v>
      </c>
      <c r="Q18" s="42"/>
    </row>
    <row r="19" spans="1:17" ht="51" customHeight="1">
      <c r="A19" s="57" t="s">
        <v>338</v>
      </c>
      <c r="B19" s="57"/>
      <c r="C19" s="57"/>
      <c r="D19" s="58">
        <f>D394+D469</f>
        <v>0</v>
      </c>
      <c r="E19" s="58">
        <f aca="true" t="shared" si="2" ref="E19:O19">E394+E469</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419213.19999932</v>
      </c>
      <c r="O19" s="58">
        <f t="shared" si="2"/>
        <v>569509.9999997</v>
      </c>
      <c r="P19" s="58">
        <f t="shared" si="0"/>
        <v>988723.19999902</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329</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789999.9999959131</v>
      </c>
      <c r="O21" s="177">
        <f t="shared" si="3"/>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219</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175574773.19596848</v>
      </c>
      <c r="O22" s="58">
        <f>O16+O17+O18+O20+O19+O21</f>
        <v>403300242.0018667</v>
      </c>
      <c r="P22" s="58">
        <f>P16+P17+P18+P20+P19+P21</f>
        <v>578875015.1978351</v>
      </c>
      <c r="Q22" s="42"/>
    </row>
    <row r="23" spans="1:235" s="85" customFormat="1" ht="30.75" customHeight="1">
      <c r="A23" s="118" t="s">
        <v>443</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139857799.99599013</v>
      </c>
      <c r="O23" s="119">
        <f>O25+O26+O28+O29</f>
        <v>123242700.00189</v>
      </c>
      <c r="P23" s="119">
        <f>N23+O23</f>
        <v>263100499.99788013</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220</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H77+(H92*H95)+H141+H169+H206+H247+H262+H282+H292-H299</f>
        <v>23839682.5</v>
      </c>
      <c r="I25" s="119">
        <f>I77+(I92*I95)+I141+I169+I206+I247+I262+I282+I292-I299</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65839799.99601422</v>
      </c>
      <c r="O25" s="119">
        <f>O77+(O92*O95)+O141+O169+O206+O247+O262+O282+O292-O299</f>
        <v>47247100.00189</v>
      </c>
      <c r="P25" s="119">
        <f>N25+O25</f>
        <v>113086899.99790423</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H30+H41+H59+H106+H113-H28+(J91*J94)+H299-600180</f>
        <v>131508929</v>
      </c>
      <c r="I26" s="119">
        <f>I30+I41+I59+I106+I113-I28+(K91*K94)+I299</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O30+O41+O59+O106+O113-O28+O91*O94+O299</f>
        <v>75995600</v>
      </c>
      <c r="P26" s="119">
        <f>N26+O26</f>
        <v>149223599.99998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84727999.99998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218</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329</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789999.9999959131</v>
      </c>
      <c r="O29" s="119">
        <f t="shared" si="5"/>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221</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443</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342</v>
      </c>
      <c r="B50" s="88"/>
      <c r="C50" s="88"/>
      <c r="D50" s="89">
        <f>D56*D54+100</f>
        <v>29500000</v>
      </c>
      <c r="E50" s="89"/>
      <c r="F50" s="89">
        <f>F56*F54</f>
        <v>0</v>
      </c>
      <c r="G50" s="89">
        <f>G54*G56</f>
        <v>150000</v>
      </c>
      <c r="H50" s="89"/>
      <c r="I50" s="89"/>
      <c r="J50" s="89">
        <f>G50</f>
        <v>150000</v>
      </c>
      <c r="K50" s="95"/>
      <c r="L50" s="95"/>
      <c r="M50" s="95"/>
      <c r="N50" s="89">
        <f>N54*N56</f>
        <v>800000</v>
      </c>
      <c r="O50" s="89"/>
      <c r="P50" s="89">
        <f>N50</f>
        <v>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344</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343</v>
      </c>
      <c r="B54" s="59"/>
      <c r="C54" s="59"/>
      <c r="D54" s="62">
        <f>73333+25000</f>
        <v>98333</v>
      </c>
      <c r="E54" s="62"/>
      <c r="F54" s="62"/>
      <c r="G54" s="62">
        <v>1</v>
      </c>
      <c r="H54" s="62"/>
      <c r="I54" s="62"/>
      <c r="J54" s="62">
        <f>G54</f>
        <v>1</v>
      </c>
      <c r="K54" s="63"/>
      <c r="L54" s="63"/>
      <c r="M54" s="63"/>
      <c r="N54" s="62">
        <v>3</v>
      </c>
      <c r="O54" s="62"/>
      <c r="P54" s="62">
        <f>N54</f>
        <v>3</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345</v>
      </c>
      <c r="B56" s="59"/>
      <c r="C56" s="59"/>
      <c r="D56" s="62">
        <v>300</v>
      </c>
      <c r="E56" s="62"/>
      <c r="F56" s="62"/>
      <c r="G56" s="62">
        <v>150000</v>
      </c>
      <c r="H56" s="62"/>
      <c r="I56" s="62"/>
      <c r="J56" s="62">
        <f>G56</f>
        <v>150000</v>
      </c>
      <c r="K56" s="63"/>
      <c r="L56" s="63"/>
      <c r="M56" s="63"/>
      <c r="N56" s="62">
        <f>800000/3</f>
        <v>266666.6666666667</v>
      </c>
      <c r="O56" s="62"/>
      <c r="P56" s="62">
        <f>N56</f>
        <v>266666.6666666667</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346</v>
      </c>
      <c r="B58" s="59"/>
      <c r="C58" s="59"/>
      <c r="D58" s="62">
        <f>D54/D52*100</f>
        <v>33.67568493150685</v>
      </c>
      <c r="E58" s="62"/>
      <c r="F58" s="62"/>
      <c r="G58" s="62">
        <f>G54/G52</f>
        <v>0.25</v>
      </c>
      <c r="H58" s="62"/>
      <c r="I58" s="62"/>
      <c r="J58" s="62">
        <f>J54/J52*100</f>
        <v>25</v>
      </c>
      <c r="K58" s="63"/>
      <c r="L58" s="63"/>
      <c r="M58" s="63"/>
      <c r="N58" s="62">
        <f>N54/N52</f>
        <v>1</v>
      </c>
      <c r="O58" s="62"/>
      <c r="P58" s="62">
        <f>P54/P52*100</f>
        <v>100</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347</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348</v>
      </c>
      <c r="B77" s="88"/>
      <c r="C77" s="88"/>
      <c r="D77" s="89">
        <f>(D81*D83)</f>
        <v>6352700</v>
      </c>
      <c r="E77" s="89"/>
      <c r="F77" s="89">
        <f>(F83*F81)</f>
        <v>6352700</v>
      </c>
      <c r="G77" s="89">
        <f>(G83*G81)</f>
        <v>9599999.9985</v>
      </c>
      <c r="H77" s="89"/>
      <c r="I77" s="89"/>
      <c r="J77" s="89">
        <f>G77+H77</f>
        <v>9599999.9985</v>
      </c>
      <c r="K77" s="95"/>
      <c r="L77" s="95"/>
      <c r="M77" s="95"/>
      <c r="N77" s="89">
        <f>(N81*N83)</f>
        <v>11500000</v>
      </c>
      <c r="O77" s="89"/>
      <c r="P77" s="89">
        <f>(P81*P83)</f>
        <v>11500000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23000</v>
      </c>
      <c r="O81" s="62"/>
      <c r="P81" s="62">
        <f>N81</f>
        <v>23000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v>
      </c>
      <c r="O85" s="62"/>
      <c r="P85" s="62">
        <f>P81/P79*100</f>
        <v>4.6</v>
      </c>
    </row>
    <row r="86" spans="1:235" s="92" customFormat="1" ht="39" customHeight="1">
      <c r="A86" s="82" t="s">
        <v>349</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44600000</v>
      </c>
      <c r="P86" s="89">
        <f t="shared" si="7"/>
        <v>44600000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221</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222</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223</v>
      </c>
      <c r="B91" s="110"/>
      <c r="C91" s="110"/>
      <c r="D91" s="114"/>
      <c r="E91" s="114">
        <f>65000+5294.5</f>
        <v>70294.5</v>
      </c>
      <c r="F91" s="114">
        <f>E91</f>
        <v>70294.5</v>
      </c>
      <c r="G91" s="114"/>
      <c r="H91" s="114">
        <v>109798.02</v>
      </c>
      <c r="I91" s="114"/>
      <c r="J91" s="183">
        <f t="shared" si="8"/>
        <v>109798.02</v>
      </c>
      <c r="K91" s="111"/>
      <c r="L91" s="111"/>
      <c r="M91" s="111"/>
      <c r="N91" s="114"/>
      <c r="O91" s="114">
        <v>65200</v>
      </c>
      <c r="P91" s="183">
        <f>O91</f>
        <v>65200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224</v>
      </c>
      <c r="B92" s="110"/>
      <c r="C92" s="110"/>
      <c r="D92" s="114"/>
      <c r="E92" s="114">
        <v>10750</v>
      </c>
      <c r="F92" s="114">
        <f>E92</f>
        <v>10750</v>
      </c>
      <c r="G92" s="114"/>
      <c r="H92" s="114">
        <v>16344.85</v>
      </c>
      <c r="I92" s="114"/>
      <c r="J92" s="183">
        <f>H92</f>
        <v>16344.85</v>
      </c>
      <c r="K92" s="111"/>
      <c r="L92" s="111"/>
      <c r="M92" s="111"/>
      <c r="N92" s="114"/>
      <c r="O92" s="114">
        <v>24000</v>
      </c>
      <c r="P92" s="183">
        <f>O92</f>
        <v>24000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227</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228</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225</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17.157894736842106</v>
      </c>
      <c r="P97" s="114">
        <f t="shared" si="9"/>
        <v>17.157894736842106</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226</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31.57894736842105</v>
      </c>
      <c r="P98" s="62">
        <f t="shared" si="10"/>
        <v>31.57894736842105</v>
      </c>
    </row>
    <row r="99" spans="1:235" s="92" customFormat="1" ht="33.75">
      <c r="A99" s="82" t="s">
        <v>350</v>
      </c>
      <c r="B99" s="88"/>
      <c r="C99" s="88"/>
      <c r="D99" s="89">
        <f>D101</f>
        <v>37000</v>
      </c>
      <c r="E99" s="89"/>
      <c r="F99" s="89">
        <f>D99</f>
        <v>37000</v>
      </c>
      <c r="G99" s="89">
        <f>G101</f>
        <v>200000</v>
      </c>
      <c r="H99" s="89"/>
      <c r="I99" s="89"/>
      <c r="J99" s="89">
        <f>G99</f>
        <v>200000</v>
      </c>
      <c r="K99" s="89"/>
      <c r="L99" s="89"/>
      <c r="M99" s="89"/>
      <c r="N99" s="89">
        <f>N105*N103</f>
        <v>50000</v>
      </c>
      <c r="O99" s="89"/>
      <c r="P99" s="89">
        <f>N99+O99</f>
        <v>50000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250</v>
      </c>
      <c r="B101" s="59"/>
      <c r="C101" s="59"/>
      <c r="D101" s="14">
        <v>37000</v>
      </c>
      <c r="E101" s="62"/>
      <c r="F101" s="62">
        <f>D101</f>
        <v>37000</v>
      </c>
      <c r="G101" s="14">
        <v>200000</v>
      </c>
      <c r="H101" s="62"/>
      <c r="I101" s="62"/>
      <c r="J101" s="62">
        <f>G101</f>
        <v>200000</v>
      </c>
      <c r="K101" s="62"/>
      <c r="L101" s="62"/>
      <c r="M101" s="62"/>
      <c r="N101" s="62">
        <v>50000</v>
      </c>
      <c r="O101" s="62"/>
      <c r="P101" s="62">
        <f>N101+O101</f>
        <v>50000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251</v>
      </c>
      <c r="B103" s="59"/>
      <c r="C103" s="59"/>
      <c r="D103" s="62">
        <v>1</v>
      </c>
      <c r="E103" s="62"/>
      <c r="F103" s="62">
        <f>D103</f>
        <v>1</v>
      </c>
      <c r="G103" s="62">
        <v>3</v>
      </c>
      <c r="H103" s="62"/>
      <c r="I103" s="62"/>
      <c r="J103" s="62">
        <f>G103</f>
        <v>3</v>
      </c>
      <c r="K103" s="62"/>
      <c r="L103" s="62"/>
      <c r="M103" s="62"/>
      <c r="N103" s="62">
        <v>1</v>
      </c>
      <c r="O103" s="62"/>
      <c r="P103" s="62">
        <f>N103+O103</f>
        <v>1</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252</v>
      </c>
      <c r="B105" s="59"/>
      <c r="C105" s="59"/>
      <c r="D105" s="62">
        <f>D101/D103</f>
        <v>37000</v>
      </c>
      <c r="E105" s="62"/>
      <c r="F105" s="62">
        <f>D105</f>
        <v>37000</v>
      </c>
      <c r="G105" s="62">
        <f>G101/G103</f>
        <v>66666.66666666667</v>
      </c>
      <c r="H105" s="62"/>
      <c r="I105" s="62"/>
      <c r="J105" s="62">
        <f>G105</f>
        <v>66666.66666666667</v>
      </c>
      <c r="K105" s="62"/>
      <c r="L105" s="62"/>
      <c r="M105" s="62"/>
      <c r="N105" s="62">
        <f>N101/N103</f>
        <v>50000</v>
      </c>
      <c r="O105" s="62"/>
      <c r="P105" s="62">
        <f>N105+O105</f>
        <v>50000</v>
      </c>
    </row>
    <row r="106" spans="1:235" s="92" customFormat="1" ht="31.5" customHeight="1">
      <c r="A106" s="82" t="s">
        <v>351</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352</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353</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(N152*N158)+(N153*N159)+(N155*N161)+(N154*N160)+(N156*N163)-376000</f>
        <v>21999999.999990597</v>
      </c>
      <c r="O141" s="89">
        <f>(O152*O158)+(O153*O159)+(O155*O161)+(O154*O160)+(O156*O163)</f>
        <v>11000000.0019</v>
      </c>
      <c r="P141" s="89">
        <f>N141+O141</f>
        <v>33000000.0018906</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v>1000</v>
      </c>
      <c r="O155" s="62"/>
      <c r="P155" s="62">
        <f t="shared" si="16"/>
        <v>1000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8955223.88059</v>
      </c>
      <c r="O156" s="62"/>
      <c r="P156" s="62">
        <f>N156</f>
        <v>8955223.88059</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562.5140628511306</v>
      </c>
      <c r="O162" s="62"/>
      <c r="P162" s="62">
        <f>N162</f>
        <v>562.5140628511306</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1.34</v>
      </c>
      <c r="O163" s="62"/>
      <c r="P163" s="62">
        <f>N163</f>
        <v>1.34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12.068549360366884</v>
      </c>
      <c r="O168" s="62"/>
      <c r="P168" s="62">
        <f>N168</f>
        <v>12.068549360366884</v>
      </c>
      <c r="IB168"/>
      <c r="IC168"/>
      <c r="ID168"/>
      <c r="IE168"/>
      <c r="IF168"/>
      <c r="IG168"/>
    </row>
    <row r="169" spans="1:241" s="91" customFormat="1" ht="38.25" customHeight="1">
      <c r="A169" s="82" t="s">
        <v>354</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f>
        <v>12493399.999990236</v>
      </c>
      <c r="O169" s="89">
        <f>O184*O195</f>
        <v>82500</v>
      </c>
      <c r="P169" s="89">
        <f>N169+O169</f>
        <v>12575899.999990236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213</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229</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820</v>
      </c>
      <c r="O183" s="114"/>
      <c r="P183" s="114">
        <f t="shared" si="20"/>
        <v>820</v>
      </c>
      <c r="IB183" s="113"/>
      <c r="IC183" s="113"/>
      <c r="ID183" s="113"/>
      <c r="IE183" s="113"/>
      <c r="IF183" s="113"/>
      <c r="IG183" s="113"/>
    </row>
    <row r="184" spans="1:241" s="1" customFormat="1" ht="26.25" customHeight="1">
      <c r="A184" s="55" t="s">
        <v>214</v>
      </c>
      <c r="B184" s="59"/>
      <c r="C184" s="59"/>
      <c r="D184" s="62"/>
      <c r="E184" s="62">
        <f>150+36</f>
        <v>186</v>
      </c>
      <c r="F184" s="62">
        <f>E184</f>
        <v>186</v>
      </c>
      <c r="G184" s="62"/>
      <c r="H184" s="62">
        <v>150</v>
      </c>
      <c r="I184" s="62"/>
      <c r="J184" s="62">
        <f>H184</f>
        <v>150</v>
      </c>
      <c r="K184" s="63"/>
      <c r="L184" s="63"/>
      <c r="M184" s="63"/>
      <c r="N184" s="62"/>
      <c r="O184" s="62">
        <v>150</v>
      </c>
      <c r="P184" s="62">
        <f>O184</f>
        <v>150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267</v>
      </c>
      <c r="O185" s="62"/>
      <c r="P185" s="62">
        <f t="shared" si="20"/>
        <v>267</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216</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230</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53067</v>
      </c>
      <c r="O192" s="129"/>
      <c r="P192" s="62">
        <f aca="true" t="shared" si="23" ref="P192:P201">N192</f>
        <v>53067</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2850.53262316</v>
      </c>
      <c r="O193" s="62"/>
      <c r="P193" s="62">
        <f t="shared" si="23"/>
        <v>2850.53262316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540</v>
      </c>
      <c r="O194" s="62"/>
      <c r="P194" s="62">
        <f t="shared" si="23"/>
        <v>540</v>
      </c>
      <c r="IB194"/>
      <c r="IC194"/>
      <c r="ID194"/>
      <c r="IE194"/>
      <c r="IF194"/>
      <c r="IG194"/>
    </row>
    <row r="195" spans="1:241" s="1" customFormat="1" ht="27" customHeight="1">
      <c r="A195" s="55" t="s">
        <v>215</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6800</v>
      </c>
      <c r="O196" s="62"/>
      <c r="P196" s="62">
        <f t="shared" si="23"/>
        <v>6800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62">
        <v>45312</v>
      </c>
      <c r="O197" s="62"/>
      <c r="P197" s="62">
        <f t="shared" si="23"/>
        <v>45312</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10.8039723707</v>
      </c>
      <c r="O198" s="62"/>
      <c r="P198" s="62">
        <f t="shared" si="23"/>
        <v>10.8039723707</v>
      </c>
      <c r="IB198"/>
      <c r="IC198"/>
      <c r="ID198"/>
      <c r="IE198"/>
      <c r="IF198"/>
      <c r="IG198"/>
    </row>
    <row r="199" spans="1:241" s="1" customFormat="1" ht="27" customHeight="1">
      <c r="A199" s="55" t="s">
        <v>217</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231</v>
      </c>
      <c r="B201" s="110"/>
      <c r="C201" s="110"/>
      <c r="D201" s="114">
        <v>2520</v>
      </c>
      <c r="E201" s="114"/>
      <c r="F201" s="114">
        <f t="shared" si="24"/>
        <v>2520</v>
      </c>
      <c r="G201" s="114">
        <v>2770.8</v>
      </c>
      <c r="H201" s="114"/>
      <c r="I201" s="114">
        <f>G201</f>
        <v>2770.8</v>
      </c>
      <c r="J201" s="114"/>
      <c r="K201" s="111"/>
      <c r="L201" s="111"/>
      <c r="M201" s="111"/>
      <c r="N201" s="114">
        <v>5541.125541</v>
      </c>
      <c r="O201" s="114"/>
      <c r="P201" s="62">
        <f t="shared" si="23"/>
        <v>5541.125541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40.89775561097257</v>
      </c>
      <c r="O205" s="62"/>
      <c r="P205" s="62">
        <f>P183/P174*100</f>
        <v>40.89775561097257</v>
      </c>
      <c r="IB205"/>
      <c r="IC205"/>
      <c r="ID205"/>
      <c r="IE205"/>
      <c r="IF205"/>
      <c r="IG205"/>
    </row>
    <row r="206" spans="1:241" s="91" customFormat="1" ht="45">
      <c r="A206" s="82" t="s">
        <v>360</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6974000</v>
      </c>
      <c r="P206" s="89">
        <f>N206+O206</f>
        <v>19741399.996035546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1</v>
      </c>
      <c r="O211" s="62"/>
      <c r="P211" s="62">
        <f>N211</f>
        <v>1</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283</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322</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1</v>
      </c>
      <c r="O219" s="62"/>
      <c r="P219" s="62">
        <f t="shared" si="28"/>
        <v>1</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283</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359</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355</v>
      </c>
      <c r="B228" s="59"/>
      <c r="C228" s="59"/>
      <c r="D228" s="62"/>
      <c r="E228" s="62"/>
      <c r="F228" s="62"/>
      <c r="G228" s="62"/>
      <c r="H228" s="62"/>
      <c r="I228" s="62"/>
      <c r="J228" s="62"/>
      <c r="K228" s="63"/>
      <c r="L228" s="63"/>
      <c r="M228" s="63"/>
      <c r="N228" s="62"/>
      <c r="O228" s="62">
        <v>13600</v>
      </c>
      <c r="P228" s="62">
        <f>O228</f>
        <v>13600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200000</v>
      </c>
      <c r="O233" s="62"/>
      <c r="P233" s="62">
        <f>N233</f>
        <v>200000</v>
      </c>
      <c r="IB233"/>
      <c r="IC233"/>
      <c r="ID233"/>
      <c r="IE233"/>
      <c r="IF233"/>
      <c r="IG233"/>
    </row>
    <row r="234" spans="1:241" s="1" customFormat="1" ht="14.25" customHeight="1">
      <c r="A234" s="55" t="s">
        <v>357</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284</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358</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356</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117.64705882352942</v>
      </c>
      <c r="O246" s="62"/>
      <c r="P246" s="62">
        <f>P233/J233*100</f>
        <v>117.64705882352942</v>
      </c>
      <c r="IB246"/>
      <c r="IC246"/>
      <c r="ID246"/>
      <c r="IE246"/>
      <c r="IF246"/>
      <c r="IG246"/>
    </row>
    <row r="247" spans="1:241" s="91" customFormat="1" ht="22.5">
      <c r="A247" s="82" t="s">
        <v>361</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334</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326</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335</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327</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328</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362</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(N266*N273)+(N267*N274)+N268*N277+N269*N278+0.02+5000</f>
        <v>4669000</v>
      </c>
      <c r="O262" s="89"/>
      <c r="P262" s="89">
        <f>N262+O262</f>
        <v>4669000</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4409562.98</v>
      </c>
      <c r="O263" s="13">
        <f>O265*O272+O266*O273+O267*O274</f>
        <v>0</v>
      </c>
      <c r="P263" s="13">
        <f>P265*P272+P266*P273+P267*P274</f>
        <v>4409562.98</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5</v>
      </c>
      <c r="O266" s="62"/>
      <c r="P266" s="62">
        <f t="shared" si="32"/>
        <v>5</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f>G267</f>
        <v>6</v>
      </c>
      <c r="O267" s="62"/>
      <c r="P267" s="62">
        <f t="shared" si="32"/>
        <v>6</v>
      </c>
      <c r="IB267"/>
      <c r="IC267"/>
      <c r="ID267"/>
      <c r="IE267"/>
      <c r="IF267"/>
      <c r="IG267"/>
    </row>
    <row r="268" spans="1:241" s="1" customFormat="1" ht="22.5" customHeight="1">
      <c r="A268" s="21" t="s">
        <v>257</v>
      </c>
      <c r="B268" s="7"/>
      <c r="C268" s="7"/>
      <c r="D268" s="14">
        <v>100</v>
      </c>
      <c r="E268" s="14"/>
      <c r="F268" s="14">
        <f t="shared" si="30"/>
        <v>100</v>
      </c>
      <c r="G268" s="114">
        <v>200</v>
      </c>
      <c r="H268" s="62"/>
      <c r="I268" s="62"/>
      <c r="J268" s="62">
        <v>200</v>
      </c>
      <c r="K268" s="63"/>
      <c r="L268" s="63"/>
      <c r="M268" s="63"/>
      <c r="N268" s="62">
        <v>125</v>
      </c>
      <c r="O268" s="62"/>
      <c r="P268" s="62">
        <f t="shared" si="32"/>
        <v>125</v>
      </c>
      <c r="IB268"/>
      <c r="IC268"/>
      <c r="ID268"/>
      <c r="IE268"/>
      <c r="IF268"/>
      <c r="IG268"/>
    </row>
    <row r="269" spans="1:241" s="1" customFormat="1" ht="24.75" customHeight="1">
      <c r="A269" s="21" t="s">
        <v>285</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285</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551000</v>
      </c>
      <c r="O273" s="62"/>
      <c r="P273" s="62">
        <f t="shared" si="32"/>
        <v>551000</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269833.33</v>
      </c>
      <c r="O274" s="62"/>
      <c r="P274" s="62">
        <f t="shared" si="32"/>
        <v>269833.33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323</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286</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162.24970553592462</v>
      </c>
      <c r="O280" s="62"/>
      <c r="P280" s="62">
        <f>N280</f>
        <v>162.24970553592462</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116.97976565058141</v>
      </c>
      <c r="O281" s="62"/>
      <c r="P281" s="62">
        <f>N281</f>
        <v>116.97976565058141</v>
      </c>
      <c r="IB281"/>
      <c r="IC281"/>
      <c r="ID281"/>
      <c r="IE281"/>
      <c r="IF281"/>
      <c r="IG281"/>
    </row>
    <row r="282" spans="1:241" s="91" customFormat="1" ht="24" customHeight="1">
      <c r="A282" s="82" t="s">
        <v>363</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301</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305</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302</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306</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303</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304</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364</v>
      </c>
      <c r="B292" s="88"/>
      <c r="C292" s="88"/>
      <c r="D292" s="89"/>
      <c r="E292" s="89">
        <f>E294*E298</f>
        <v>4065000</v>
      </c>
      <c r="F292" s="89">
        <f>F294*F298</f>
        <v>4065000</v>
      </c>
      <c r="G292" s="89"/>
      <c r="H292" s="89">
        <v>4482000</v>
      </c>
      <c r="I292" s="89"/>
      <c r="J292" s="89">
        <v>4482000</v>
      </c>
      <c r="K292" s="89">
        <f>K294*K298-4</f>
        <v>-4</v>
      </c>
      <c r="L292" s="89">
        <f>L294*L298-4</f>
        <v>-4</v>
      </c>
      <c r="M292" s="89">
        <f>M294*M298-4</f>
        <v>-4</v>
      </c>
      <c r="N292" s="89"/>
      <c r="O292" s="89">
        <f>O294*O298+O295*O299+45000+O296*O300</f>
        <v>18736199.99999</v>
      </c>
      <c r="P292" s="89">
        <f>N292+O292</f>
        <v>18736199.99999</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7</v>
      </c>
      <c r="P294" s="62">
        <f>O294</f>
        <v>7</v>
      </c>
      <c r="IB294" s="50"/>
      <c r="IC294" s="50"/>
      <c r="ID294" s="50"/>
      <c r="IE294" s="50"/>
      <c r="IF294" s="50"/>
      <c r="IG294" s="50"/>
    </row>
    <row r="295" spans="1:241" s="49" customFormat="1" ht="25.5" customHeight="1">
      <c r="A295" s="55" t="s">
        <v>287</v>
      </c>
      <c r="B295" s="59"/>
      <c r="C295" s="59"/>
      <c r="D295" s="62"/>
      <c r="E295" s="14"/>
      <c r="F295" s="62"/>
      <c r="G295" s="62"/>
      <c r="H295" s="62"/>
      <c r="I295" s="62"/>
      <c r="J295" s="62"/>
      <c r="K295" s="63"/>
      <c r="L295" s="63"/>
      <c r="M295" s="63"/>
      <c r="N295" s="62"/>
      <c r="O295" s="62">
        <v>2</v>
      </c>
      <c r="P295" s="62">
        <f>O295</f>
        <v>2</v>
      </c>
      <c r="IB295" s="50"/>
      <c r="IC295" s="50"/>
      <c r="ID295" s="50"/>
      <c r="IE295" s="50"/>
      <c r="IF295" s="50"/>
      <c r="IG295" s="50"/>
    </row>
    <row r="296" spans="1:241" s="49" customFormat="1" ht="25.5" customHeight="1">
      <c r="A296" s="55" t="s">
        <v>399</v>
      </c>
      <c r="B296" s="59"/>
      <c r="C296" s="59"/>
      <c r="D296" s="62"/>
      <c r="E296" s="14"/>
      <c r="F296" s="62"/>
      <c r="G296" s="62"/>
      <c r="H296" s="62"/>
      <c r="I296" s="62"/>
      <c r="J296" s="62"/>
      <c r="K296" s="63"/>
      <c r="L296" s="63"/>
      <c r="M296" s="63"/>
      <c r="N296" s="62"/>
      <c r="O296" s="62">
        <v>4</v>
      </c>
      <c r="P296" s="62">
        <f>O296</f>
        <v>4</v>
      </c>
      <c r="IB296" s="50"/>
      <c r="IC296" s="50"/>
      <c r="ID296" s="50"/>
      <c r="IE296" s="50"/>
      <c r="IF296" s="50"/>
      <c r="IG296" s="50"/>
    </row>
    <row r="297" spans="1:241" s="49" customFormat="1" ht="12">
      <c r="A297" s="54" t="s">
        <v>7</v>
      </c>
      <c r="B297" s="61"/>
      <c r="C297" s="61"/>
      <c r="D297" s="129"/>
      <c r="E297" s="129"/>
      <c r="F297" s="62"/>
      <c r="G297" s="129"/>
      <c r="H297" s="129"/>
      <c r="I297" s="129"/>
      <c r="J297" s="62"/>
      <c r="K297" s="63"/>
      <c r="L297" s="63"/>
      <c r="M297" s="63"/>
      <c r="N297" s="129"/>
      <c r="O297" s="129"/>
      <c r="P297" s="62"/>
      <c r="IB297" s="50"/>
      <c r="IC297" s="50"/>
      <c r="ID297" s="50"/>
      <c r="IE297" s="50"/>
      <c r="IF297" s="50"/>
      <c r="IG297" s="50"/>
    </row>
    <row r="298" spans="1:241" s="49" customFormat="1" ht="26.25" customHeight="1">
      <c r="A298" s="55" t="s">
        <v>169</v>
      </c>
      <c r="B298" s="59"/>
      <c r="C298" s="59"/>
      <c r="D298" s="62"/>
      <c r="E298" s="62">
        <v>169375</v>
      </c>
      <c r="F298" s="62">
        <f>E298</f>
        <v>169375</v>
      </c>
      <c r="G298" s="62"/>
      <c r="H298" s="62">
        <v>154553</v>
      </c>
      <c r="I298" s="62"/>
      <c r="J298" s="62">
        <v>154553</v>
      </c>
      <c r="K298" s="63"/>
      <c r="L298" s="63"/>
      <c r="M298" s="63"/>
      <c r="N298" s="62"/>
      <c r="O298" s="62">
        <v>2028571.42857</v>
      </c>
      <c r="P298" s="62">
        <f>O298</f>
        <v>2028571.42857</v>
      </c>
      <c r="IB298" s="50"/>
      <c r="IC298" s="50"/>
      <c r="ID298" s="50"/>
      <c r="IE298" s="50"/>
      <c r="IF298" s="50"/>
      <c r="IG298" s="50"/>
    </row>
    <row r="299" spans="1:241" s="49" customFormat="1" ht="26.25" customHeight="1">
      <c r="A299" s="55" t="s">
        <v>288</v>
      </c>
      <c r="B299" s="59"/>
      <c r="C299" s="59"/>
      <c r="D299" s="62"/>
      <c r="E299" s="62"/>
      <c r="F299" s="62"/>
      <c r="G299" s="62"/>
      <c r="H299" s="114"/>
      <c r="I299" s="62"/>
      <c r="J299" s="62"/>
      <c r="K299" s="63"/>
      <c r="L299" s="63"/>
      <c r="M299" s="63"/>
      <c r="N299" s="62"/>
      <c r="O299" s="62">
        <v>1545600</v>
      </c>
      <c r="P299" s="62">
        <f>O299</f>
        <v>1545600</v>
      </c>
      <c r="IB299" s="50"/>
      <c r="IC299" s="50"/>
      <c r="ID299" s="50"/>
      <c r="IE299" s="50"/>
      <c r="IF299" s="50"/>
      <c r="IG299" s="50"/>
    </row>
    <row r="300" spans="1:241" s="49" customFormat="1" ht="26.25" customHeight="1">
      <c r="A300" s="55" t="s">
        <v>400</v>
      </c>
      <c r="B300" s="59"/>
      <c r="C300" s="59"/>
      <c r="D300" s="62"/>
      <c r="E300" s="62"/>
      <c r="F300" s="62"/>
      <c r="G300" s="62"/>
      <c r="H300" s="114"/>
      <c r="I300" s="62"/>
      <c r="J300" s="62"/>
      <c r="K300" s="63"/>
      <c r="L300" s="63"/>
      <c r="M300" s="63"/>
      <c r="N300" s="62"/>
      <c r="O300" s="62">
        <v>350000</v>
      </c>
      <c r="P300" s="62">
        <f>O300</f>
        <v>350000</v>
      </c>
      <c r="IB300" s="50"/>
      <c r="IC300" s="50"/>
      <c r="ID300" s="50"/>
      <c r="IE300" s="50"/>
      <c r="IF300" s="50"/>
      <c r="IG300" s="50"/>
    </row>
    <row r="301" spans="1:241" s="49" customFormat="1" ht="12">
      <c r="A301" s="54" t="s">
        <v>6</v>
      </c>
      <c r="B301" s="59"/>
      <c r="C301" s="59"/>
      <c r="D301" s="62"/>
      <c r="E301" s="62"/>
      <c r="F301" s="62"/>
      <c r="G301" s="62"/>
      <c r="H301" s="62"/>
      <c r="I301" s="62"/>
      <c r="J301" s="62"/>
      <c r="K301" s="63"/>
      <c r="L301" s="63"/>
      <c r="M301" s="63"/>
      <c r="N301" s="62"/>
      <c r="O301" s="62"/>
      <c r="P301" s="62"/>
      <c r="IB301" s="50"/>
      <c r="IC301" s="50"/>
      <c r="ID301" s="50"/>
      <c r="IE301" s="50"/>
      <c r="IF301" s="50"/>
      <c r="IG301" s="50"/>
    </row>
    <row r="302" spans="1:241" s="49" customFormat="1" ht="35.25" customHeight="1">
      <c r="A302" s="55" t="s">
        <v>170</v>
      </c>
      <c r="B302" s="59"/>
      <c r="C302" s="59"/>
      <c r="D302" s="62"/>
      <c r="E302" s="62"/>
      <c r="F302" s="62"/>
      <c r="G302" s="62"/>
      <c r="H302" s="62">
        <f>H298/E298*100</f>
        <v>91.2490036900369</v>
      </c>
      <c r="I302" s="62"/>
      <c r="J302" s="62">
        <v>58.5</v>
      </c>
      <c r="K302" s="63"/>
      <c r="L302" s="63"/>
      <c r="M302" s="63"/>
      <c r="N302" s="62"/>
      <c r="O302" s="62">
        <f>O298/H298*100</f>
        <v>1312.5409591337598</v>
      </c>
      <c r="P302" s="62">
        <f>O302</f>
        <v>1312.5409591337598</v>
      </c>
      <c r="IB302" s="50"/>
      <c r="IC302" s="50"/>
      <c r="ID302" s="50"/>
      <c r="IE302" s="50"/>
      <c r="IF302" s="50"/>
      <c r="IG302" s="50"/>
    </row>
    <row r="303" spans="1:235" s="85" customFormat="1" ht="15" customHeight="1">
      <c r="A303" s="201" t="s">
        <v>444</v>
      </c>
      <c r="B303" s="108"/>
      <c r="C303" s="108"/>
      <c r="D303" s="119"/>
      <c r="E303" s="119">
        <f>E305+E361</f>
        <v>27028000</v>
      </c>
      <c r="F303" s="119">
        <f>F305+F361</f>
        <v>27028000</v>
      </c>
      <c r="G303" s="119">
        <f>G305</f>
        <v>584999.9999982599</v>
      </c>
      <c r="H303" s="119">
        <f>H305+H361</f>
        <v>98971999.99997011</v>
      </c>
      <c r="I303" s="119"/>
      <c r="J303" s="119">
        <f>G303+H303</f>
        <v>99556999.99996836</v>
      </c>
      <c r="K303" s="119">
        <f>K305+K361</f>
        <v>79609.3631410829</v>
      </c>
      <c r="L303" s="119">
        <f>L305+L361</f>
        <v>2</v>
      </c>
      <c r="M303" s="119">
        <f>M305+M361</f>
        <v>2</v>
      </c>
      <c r="N303" s="119">
        <f>N305</f>
        <v>700000.0000000001</v>
      </c>
      <c r="O303" s="119">
        <f>O305+O361</f>
        <v>155799999.999977</v>
      </c>
      <c r="P303" s="119">
        <f>N303+O303</f>
        <v>156499999.999977</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5" customFormat="1" ht="22.5" customHeight="1">
      <c r="A305" s="82" t="s">
        <v>192</v>
      </c>
      <c r="B305" s="77"/>
      <c r="C305" s="77"/>
      <c r="D305" s="78"/>
      <c r="E305" s="89">
        <f>E306+E322+E315+E343</f>
        <v>26028000</v>
      </c>
      <c r="F305" s="89">
        <f>F306+F322+F315+F343</f>
        <v>26028000</v>
      </c>
      <c r="G305" s="89">
        <f>G306+G322+G315</f>
        <v>584999.9999982599</v>
      </c>
      <c r="H305" s="89">
        <f>H306+H322+H315+H343+H352</f>
        <v>91971999.99997011</v>
      </c>
      <c r="I305" s="89">
        <f aca="true" t="shared" si="33" ref="I305:P305">I306+I322+I315+I343+I352</f>
        <v>0</v>
      </c>
      <c r="J305" s="89">
        <f t="shared" si="33"/>
        <v>92556999.99996836</v>
      </c>
      <c r="K305" s="89">
        <f t="shared" si="33"/>
        <v>79609.3631410829</v>
      </c>
      <c r="L305" s="89">
        <f t="shared" si="33"/>
        <v>2</v>
      </c>
      <c r="M305" s="89">
        <f t="shared" si="33"/>
        <v>2</v>
      </c>
      <c r="N305" s="89">
        <f t="shared" si="33"/>
        <v>700000.0000000001</v>
      </c>
      <c r="O305" s="89">
        <f t="shared" si="33"/>
        <v>138899999.999977</v>
      </c>
      <c r="P305" s="89">
        <f t="shared" si="33"/>
        <v>139599999.999977</v>
      </c>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row>
    <row r="306" spans="1:235" s="92" customFormat="1" ht="22.5">
      <c r="A306" s="82" t="s">
        <v>365</v>
      </c>
      <c r="B306" s="88"/>
      <c r="C306" s="88"/>
      <c r="D306" s="89"/>
      <c r="E306" s="89">
        <f>E310*E312-20</f>
        <v>2500000</v>
      </c>
      <c r="F306" s="89">
        <f>E306</f>
        <v>2500000</v>
      </c>
      <c r="G306" s="89"/>
      <c r="H306" s="89">
        <f>H310*H312</f>
        <v>19901999.999997</v>
      </c>
      <c r="I306" s="89"/>
      <c r="J306" s="89">
        <f>H306</f>
        <v>19901999.999997</v>
      </c>
      <c r="K306" s="89">
        <f>K310*K312</f>
        <v>79607.3631410829</v>
      </c>
      <c r="L306" s="89">
        <f>L310*L312</f>
        <v>0</v>
      </c>
      <c r="M306" s="89">
        <f>M310*M312</f>
        <v>0</v>
      </c>
      <c r="N306" s="89"/>
      <c r="O306" s="89">
        <f>O310*O312</f>
        <v>28289999.999988</v>
      </c>
      <c r="P306" s="89">
        <f>N306+O306</f>
        <v>28289999.999988</v>
      </c>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row>
    <row r="307" spans="1:16" ht="11.25">
      <c r="A307" s="20" t="s">
        <v>4</v>
      </c>
      <c r="B307" s="5"/>
      <c r="C307" s="5"/>
      <c r="D307" s="17"/>
      <c r="E307" s="13"/>
      <c r="F307" s="13"/>
      <c r="G307" s="17"/>
      <c r="H307" s="13"/>
      <c r="I307" s="13"/>
      <c r="J307" s="13"/>
      <c r="K307" s="17"/>
      <c r="L307" s="10"/>
      <c r="M307" s="10"/>
      <c r="N307" s="17"/>
      <c r="O307" s="13"/>
      <c r="P307" s="13"/>
    </row>
    <row r="308" spans="1:16" ht="22.5">
      <c r="A308" s="55" t="s">
        <v>172</v>
      </c>
      <c r="B308" s="59"/>
      <c r="C308" s="59"/>
      <c r="D308" s="62"/>
      <c r="E308" s="62">
        <v>1172</v>
      </c>
      <c r="F308" s="62">
        <f>E308</f>
        <v>1172</v>
      </c>
      <c r="G308" s="62"/>
      <c r="H308" s="62">
        <f>F308</f>
        <v>1172</v>
      </c>
      <c r="I308" s="62"/>
      <c r="J308" s="62">
        <f>H308</f>
        <v>1172</v>
      </c>
      <c r="K308" s="62"/>
      <c r="L308" s="64"/>
      <c r="M308" s="64"/>
      <c r="N308" s="62"/>
      <c r="O308" s="62">
        <f>H308</f>
        <v>1172</v>
      </c>
      <c r="P308" s="62">
        <f>O308</f>
        <v>1172</v>
      </c>
    </row>
    <row r="309" spans="1:16" ht="11.25">
      <c r="A309" s="54" t="s">
        <v>5</v>
      </c>
      <c r="B309" s="61"/>
      <c r="C309" s="61"/>
      <c r="D309" s="62"/>
      <c r="E309" s="129"/>
      <c r="F309" s="129"/>
      <c r="G309" s="62"/>
      <c r="H309" s="129"/>
      <c r="I309" s="129"/>
      <c r="J309" s="129"/>
      <c r="K309" s="62" t="e">
        <f>H309/E309*100</f>
        <v>#DIV/0!</v>
      </c>
      <c r="L309" s="129"/>
      <c r="M309" s="129"/>
      <c r="N309" s="62"/>
      <c r="O309" s="129"/>
      <c r="P309" s="129"/>
    </row>
    <row r="310" spans="1:16" ht="22.5">
      <c r="A310" s="55" t="s">
        <v>173</v>
      </c>
      <c r="B310" s="59"/>
      <c r="C310" s="59"/>
      <c r="D310" s="62"/>
      <c r="E310" s="62">
        <v>19</v>
      </c>
      <c r="F310" s="62">
        <f>E310</f>
        <v>19</v>
      </c>
      <c r="G310" s="62"/>
      <c r="H310" s="62">
        <f>132+3</f>
        <v>135</v>
      </c>
      <c r="I310" s="62"/>
      <c r="J310" s="62">
        <f>H310</f>
        <v>135</v>
      </c>
      <c r="K310" s="62">
        <f>H310/E310*100</f>
        <v>710.5263157894738</v>
      </c>
      <c r="L310" s="62"/>
      <c r="M310" s="62"/>
      <c r="N310" s="62"/>
      <c r="O310" s="62">
        <v>180</v>
      </c>
      <c r="P310" s="62">
        <f>O310</f>
        <v>180</v>
      </c>
    </row>
    <row r="311" spans="1:16" ht="11.25">
      <c r="A311" s="54" t="s">
        <v>7</v>
      </c>
      <c r="B311" s="61"/>
      <c r="C311" s="61"/>
      <c r="D311" s="62"/>
      <c r="E311" s="129"/>
      <c r="F311" s="129"/>
      <c r="G311" s="62"/>
      <c r="H311" s="129"/>
      <c r="I311" s="129"/>
      <c r="J311" s="129"/>
      <c r="K311" s="62" t="e">
        <f>H311/E311*100</f>
        <v>#DIV/0!</v>
      </c>
      <c r="L311" s="129"/>
      <c r="M311" s="129"/>
      <c r="N311" s="62"/>
      <c r="O311" s="129"/>
      <c r="P311" s="129"/>
    </row>
    <row r="312" spans="1:16" ht="24" customHeight="1">
      <c r="A312" s="55" t="s">
        <v>174</v>
      </c>
      <c r="B312" s="59"/>
      <c r="C312" s="59"/>
      <c r="D312" s="62"/>
      <c r="E312" s="62">
        <v>131580</v>
      </c>
      <c r="F312" s="62">
        <f>E312</f>
        <v>131580</v>
      </c>
      <c r="G312" s="62"/>
      <c r="H312" s="62">
        <f>147422.2222222</f>
        <v>147422.2222222</v>
      </c>
      <c r="I312" s="62"/>
      <c r="J312" s="62">
        <f>H312</f>
        <v>147422.2222222</v>
      </c>
      <c r="K312" s="62">
        <f>H312/E312*100</f>
        <v>112.03999256893147</v>
      </c>
      <c r="L312" s="62"/>
      <c r="M312" s="62"/>
      <c r="N312" s="62"/>
      <c r="O312" s="62">
        <v>157166.6666666</v>
      </c>
      <c r="P312" s="62">
        <f>O312</f>
        <v>157166.6666666</v>
      </c>
    </row>
    <row r="313" spans="1:16" ht="11.25">
      <c r="A313" s="54" t="s">
        <v>6</v>
      </c>
      <c r="B313" s="61"/>
      <c r="C313" s="61"/>
      <c r="D313" s="62"/>
      <c r="E313" s="62"/>
      <c r="F313" s="62"/>
      <c r="G313" s="62"/>
      <c r="H313" s="62"/>
      <c r="I313" s="62"/>
      <c r="J313" s="62"/>
      <c r="K313" s="62"/>
      <c r="L313" s="62"/>
      <c r="M313" s="62"/>
      <c r="N313" s="62"/>
      <c r="O313" s="62"/>
      <c r="P313" s="62"/>
    </row>
    <row r="314" spans="1:16" ht="50.25" customHeight="1">
      <c r="A314" s="55" t="s">
        <v>175</v>
      </c>
      <c r="B314" s="59"/>
      <c r="C314" s="59"/>
      <c r="D314" s="62"/>
      <c r="E314" s="62"/>
      <c r="F314" s="62"/>
      <c r="G314" s="62"/>
      <c r="H314" s="62">
        <f>H310/H308*100</f>
        <v>11.518771331058021</v>
      </c>
      <c r="I314" s="62"/>
      <c r="J314" s="62">
        <f>J310/J308*100</f>
        <v>11.518771331058021</v>
      </c>
      <c r="K314" s="62" t="e">
        <f>K310/K308*100</f>
        <v>#DIV/0!</v>
      </c>
      <c r="L314" s="62" t="e">
        <f>L310/L308*100</f>
        <v>#DIV/0!</v>
      </c>
      <c r="M314" s="62" t="e">
        <f>M310/M308*100</f>
        <v>#DIV/0!</v>
      </c>
      <c r="N314" s="62"/>
      <c r="O314" s="62">
        <f>O310/O308*100</f>
        <v>15.358361774744028</v>
      </c>
      <c r="P314" s="62">
        <f>P310/P308*100</f>
        <v>15.358361774744028</v>
      </c>
    </row>
    <row r="315" spans="1:235" s="92" customFormat="1" ht="29.25" customHeight="1">
      <c r="A315" s="82" t="s">
        <v>366</v>
      </c>
      <c r="B315" s="88"/>
      <c r="C315" s="88"/>
      <c r="D315" s="89"/>
      <c r="E315" s="89">
        <f>5000000</f>
        <v>5000000</v>
      </c>
      <c r="F315" s="89">
        <f>E315</f>
        <v>5000000</v>
      </c>
      <c r="G315" s="89"/>
      <c r="H315" s="89">
        <f>H319*H321</f>
        <v>32499999.999971997</v>
      </c>
      <c r="I315" s="89"/>
      <c r="J315" s="89">
        <f>H315</f>
        <v>32499999.999971997</v>
      </c>
      <c r="K315" s="89"/>
      <c r="L315" s="89"/>
      <c r="M315" s="89"/>
      <c r="N315" s="89"/>
      <c r="O315" s="89">
        <f>O319*O321</f>
        <v>46209999.999989994</v>
      </c>
      <c r="P315" s="89">
        <f>N315+O315</f>
        <v>46209999.999989994</v>
      </c>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row>
    <row r="316" spans="1:235" s="70" customFormat="1" ht="11.25">
      <c r="A316" s="20" t="s">
        <v>4</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5.5" customHeight="1">
      <c r="A317" s="21" t="s">
        <v>255</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5</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8.5" customHeight="1">
      <c r="A319" s="21" t="s">
        <v>256</v>
      </c>
      <c r="B319" s="7"/>
      <c r="C319" s="7"/>
      <c r="D319" s="14"/>
      <c r="E319" s="14">
        <v>35</v>
      </c>
      <c r="F319" s="14">
        <v>35</v>
      </c>
      <c r="G319" s="14"/>
      <c r="H319" s="14">
        <v>228</v>
      </c>
      <c r="I319" s="14"/>
      <c r="J319" s="14">
        <v>140</v>
      </c>
      <c r="K319" s="14"/>
      <c r="L319" s="14"/>
      <c r="M319" s="14"/>
      <c r="N319" s="14"/>
      <c r="O319" s="14">
        <v>300</v>
      </c>
      <c r="P319" s="14">
        <v>41</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70" customFormat="1" ht="11.25">
      <c r="A320" s="20" t="s">
        <v>7</v>
      </c>
      <c r="B320" s="7"/>
      <c r="C320" s="7"/>
      <c r="D320" s="14"/>
      <c r="E320" s="14"/>
      <c r="F320" s="14"/>
      <c r="G320" s="14"/>
      <c r="H320" s="14"/>
      <c r="I320" s="14"/>
      <c r="J320" s="14"/>
      <c r="K320" s="14"/>
      <c r="L320" s="14"/>
      <c r="M320" s="14"/>
      <c r="N320" s="14"/>
      <c r="O320" s="14"/>
      <c r="P320" s="14"/>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row>
    <row r="321" spans="1:235" s="70"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row>
    <row r="322" spans="1:235" s="92" customFormat="1" ht="36.75" customHeight="1">
      <c r="A322" s="82" t="s">
        <v>368</v>
      </c>
      <c r="B322" s="88"/>
      <c r="C322" s="88"/>
      <c r="D322" s="89"/>
      <c r="E322" s="89">
        <f>(E329*E334)+(E330*E335)+(E331*E336)+(E332*E337)-1630000</f>
        <v>17148000</v>
      </c>
      <c r="F322" s="89">
        <f>(F329*F334)+(F330*F335)+(F331*F336)+(F332*F337)-1630000</f>
        <v>17148000</v>
      </c>
      <c r="G322" s="89">
        <f>G332*G337</f>
        <v>584999.9999982599</v>
      </c>
      <c r="H322" s="89">
        <f>(H329*H334)+(H330*H335)+(H331*H336)</f>
        <v>39320000.0000018</v>
      </c>
      <c r="I322" s="89"/>
      <c r="J322" s="89">
        <f>H322+G322</f>
        <v>39905000.00000006</v>
      </c>
      <c r="K322" s="89">
        <f>(K329*K334)+(K330*K335)+(K331*K336)+(K332*K337)</f>
        <v>0</v>
      </c>
      <c r="L322" s="89">
        <f>(L329*L334)+(L330*L335)+(L331*L336)+(L332*L337)</f>
        <v>0</v>
      </c>
      <c r="M322" s="89">
        <f>(M329*M334)+(M330*M335)+(M331*M336)+(M332*M337)</f>
        <v>0</v>
      </c>
      <c r="N322" s="89">
        <f>N332*N337+3.56</f>
        <v>700000.0000000001</v>
      </c>
      <c r="O322" s="89">
        <f>(O329*O334)+(O330*O335)+(O331*O336)+(O332*O337)-8348</f>
        <v>64000000</v>
      </c>
      <c r="P322" s="89">
        <f>N322+O322</f>
        <v>64700000</v>
      </c>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row>
    <row r="323" spans="1:16" ht="11.25">
      <c r="A323" s="54" t="s">
        <v>4</v>
      </c>
      <c r="B323" s="60"/>
      <c r="C323" s="60"/>
      <c r="D323" s="62"/>
      <c r="E323" s="64"/>
      <c r="F323" s="64"/>
      <c r="G323" s="62"/>
      <c r="H323" s="64"/>
      <c r="I323" s="64"/>
      <c r="J323" s="64"/>
      <c r="K323" s="64"/>
      <c r="L323" s="64"/>
      <c r="M323" s="64"/>
      <c r="N323" s="62"/>
      <c r="O323" s="64"/>
      <c r="P323" s="64"/>
    </row>
    <row r="324" spans="1:16" ht="16.5" customHeight="1">
      <c r="A324" s="55" t="s">
        <v>176</v>
      </c>
      <c r="B324" s="60"/>
      <c r="C324" s="60"/>
      <c r="D324" s="62"/>
      <c r="E324" s="62">
        <v>12</v>
      </c>
      <c r="F324" s="62">
        <f>E324</f>
        <v>12</v>
      </c>
      <c r="G324" s="62"/>
      <c r="H324" s="64"/>
      <c r="I324" s="64"/>
      <c r="J324" s="64"/>
      <c r="K324" s="64"/>
      <c r="L324" s="64"/>
      <c r="M324" s="64"/>
      <c r="N324" s="62"/>
      <c r="O324" s="64"/>
      <c r="P324" s="64"/>
    </row>
    <row r="325" spans="1:16" ht="22.5">
      <c r="A325" s="55" t="s">
        <v>177</v>
      </c>
      <c r="B325" s="60"/>
      <c r="C325" s="60"/>
      <c r="D325" s="62"/>
      <c r="E325" s="62">
        <v>700</v>
      </c>
      <c r="F325" s="62">
        <f>E325</f>
        <v>700</v>
      </c>
      <c r="G325" s="62"/>
      <c r="H325" s="62">
        <v>500</v>
      </c>
      <c r="I325" s="62"/>
      <c r="J325" s="62">
        <f>H325</f>
        <v>500</v>
      </c>
      <c r="K325" s="64"/>
      <c r="L325" s="64"/>
      <c r="M325" s="64"/>
      <c r="N325" s="62"/>
      <c r="O325" s="62">
        <v>500</v>
      </c>
      <c r="P325" s="62">
        <f>O325</f>
        <v>500</v>
      </c>
    </row>
    <row r="326" spans="1:16" ht="22.5">
      <c r="A326" s="55" t="s">
        <v>178</v>
      </c>
      <c r="B326" s="60"/>
      <c r="C326" s="60"/>
      <c r="D326" s="62"/>
      <c r="E326" s="62">
        <v>454</v>
      </c>
      <c r="F326" s="62">
        <v>454</v>
      </c>
      <c r="G326" s="62"/>
      <c r="H326" s="62">
        <v>500</v>
      </c>
      <c r="I326" s="64"/>
      <c r="J326" s="62">
        <f>H326</f>
        <v>500</v>
      </c>
      <c r="K326" s="64"/>
      <c r="L326" s="64"/>
      <c r="M326" s="64"/>
      <c r="N326" s="62"/>
      <c r="O326" s="62">
        <v>400</v>
      </c>
      <c r="P326" s="62">
        <f>O326</f>
        <v>400</v>
      </c>
    </row>
    <row r="327" spans="1:16" ht="28.5" customHeight="1">
      <c r="A327" s="55" t="s">
        <v>179</v>
      </c>
      <c r="B327" s="60"/>
      <c r="C327" s="60"/>
      <c r="D327" s="62"/>
      <c r="E327" s="62">
        <v>700</v>
      </c>
      <c r="F327" s="62">
        <f>E327</f>
        <v>700</v>
      </c>
      <c r="G327" s="62">
        <v>500</v>
      </c>
      <c r="H327" s="62"/>
      <c r="I327" s="62"/>
      <c r="J327" s="62">
        <f>G327</f>
        <v>500</v>
      </c>
      <c r="K327" s="62"/>
      <c r="L327" s="62"/>
      <c r="M327" s="62"/>
      <c r="N327" s="62">
        <v>600</v>
      </c>
      <c r="O327" s="62"/>
      <c r="P327" s="62">
        <v>400</v>
      </c>
    </row>
    <row r="328" spans="1:16" ht="11.25">
      <c r="A328" s="54" t="s">
        <v>5</v>
      </c>
      <c r="B328" s="61"/>
      <c r="C328" s="61"/>
      <c r="D328" s="62"/>
      <c r="E328" s="62"/>
      <c r="F328" s="62"/>
      <c r="G328" s="62"/>
      <c r="H328" s="129"/>
      <c r="I328" s="129"/>
      <c r="J328" s="129"/>
      <c r="K328" s="62" t="e">
        <f>H328/E328*100</f>
        <v>#DIV/0!</v>
      </c>
      <c r="L328" s="129"/>
      <c r="M328" s="129"/>
      <c r="N328" s="62"/>
      <c r="O328" s="129"/>
      <c r="P328" s="129"/>
    </row>
    <row r="329" spans="1:16" ht="16.5" customHeight="1">
      <c r="A329" s="55" t="s">
        <v>367</v>
      </c>
      <c r="B329" s="61"/>
      <c r="C329" s="61"/>
      <c r="D329" s="62"/>
      <c r="E329" s="62">
        <v>12</v>
      </c>
      <c r="F329" s="62">
        <f>E329</f>
        <v>12</v>
      </c>
      <c r="G329" s="62"/>
      <c r="H329" s="62">
        <v>20</v>
      </c>
      <c r="I329" s="62"/>
      <c r="J329" s="62">
        <v>20</v>
      </c>
      <c r="K329" s="62"/>
      <c r="L329" s="129"/>
      <c r="M329" s="129"/>
      <c r="N329" s="62"/>
      <c r="O329" s="129"/>
      <c r="P329" s="129"/>
    </row>
    <row r="330" spans="1:16" ht="22.5">
      <c r="A330" s="55" t="s">
        <v>186</v>
      </c>
      <c r="B330" s="61"/>
      <c r="C330" s="61"/>
      <c r="D330" s="62"/>
      <c r="E330" s="62">
        <v>200</v>
      </c>
      <c r="F330" s="62">
        <v>200</v>
      </c>
      <c r="G330" s="62"/>
      <c r="H330" s="62">
        <v>400</v>
      </c>
      <c r="I330" s="62"/>
      <c r="J330" s="62">
        <f>H330</f>
        <v>400</v>
      </c>
      <c r="K330" s="62"/>
      <c r="L330" s="62"/>
      <c r="M330" s="62"/>
      <c r="N330" s="62"/>
      <c r="O330" s="114">
        <v>298</v>
      </c>
      <c r="P330" s="62">
        <f>O330</f>
        <v>298</v>
      </c>
    </row>
    <row r="331" spans="1:16" ht="22.5">
      <c r="A331" s="55" t="s">
        <v>180</v>
      </c>
      <c r="B331" s="61"/>
      <c r="C331" s="61"/>
      <c r="D331" s="62"/>
      <c r="E331" s="62">
        <v>454</v>
      </c>
      <c r="F331" s="62">
        <f>E331</f>
        <v>454</v>
      </c>
      <c r="G331" s="62"/>
      <c r="H331" s="62">
        <v>460</v>
      </c>
      <c r="I331" s="62"/>
      <c r="J331" s="62">
        <v>460</v>
      </c>
      <c r="K331" s="62"/>
      <c r="L331" s="129"/>
      <c r="M331" s="129"/>
      <c r="N331" s="62"/>
      <c r="O331" s="114">
        <v>334</v>
      </c>
      <c r="P331" s="62">
        <f>O331</f>
        <v>334</v>
      </c>
    </row>
    <row r="332" spans="1:16" ht="33.75">
      <c r="A332" s="55" t="s">
        <v>181</v>
      </c>
      <c r="B332" s="61"/>
      <c r="C332" s="61"/>
      <c r="D332" s="62"/>
      <c r="E332" s="62">
        <v>200</v>
      </c>
      <c r="F332" s="62">
        <f>E332</f>
        <v>200</v>
      </c>
      <c r="G332" s="62">
        <v>374</v>
      </c>
      <c r="H332" s="62"/>
      <c r="I332" s="62"/>
      <c r="J332" s="62">
        <f>G332</f>
        <v>374</v>
      </c>
      <c r="K332" s="62"/>
      <c r="L332" s="62"/>
      <c r="M332" s="62"/>
      <c r="N332" s="114">
        <v>583</v>
      </c>
      <c r="O332" s="62"/>
      <c r="P332" s="62">
        <f>N332</f>
        <v>583</v>
      </c>
    </row>
    <row r="333" spans="1:16" ht="11.25">
      <c r="A333" s="54" t="s">
        <v>7</v>
      </c>
      <c r="B333" s="61"/>
      <c r="C333" s="61"/>
      <c r="D333" s="62"/>
      <c r="E333" s="129"/>
      <c r="F333" s="129"/>
      <c r="G333" s="62"/>
      <c r="H333" s="129"/>
      <c r="I333" s="129"/>
      <c r="J333" s="129"/>
      <c r="K333" s="62" t="e">
        <f>H333/E333*100</f>
        <v>#DIV/0!</v>
      </c>
      <c r="L333" s="129"/>
      <c r="M333" s="129"/>
      <c r="N333" s="114"/>
      <c r="O333" s="129"/>
      <c r="P333" s="129"/>
    </row>
    <row r="334" spans="1:16" ht="22.5">
      <c r="A334" s="55" t="s">
        <v>182</v>
      </c>
      <c r="B334" s="59"/>
      <c r="C334" s="59"/>
      <c r="D334" s="62"/>
      <c r="E334" s="62">
        <v>400000</v>
      </c>
      <c r="F334" s="62">
        <f>E334</f>
        <v>400000</v>
      </c>
      <c r="G334" s="62"/>
      <c r="H334" s="62">
        <v>250000</v>
      </c>
      <c r="I334" s="62"/>
      <c r="J334" s="62">
        <f>H334</f>
        <v>250000</v>
      </c>
      <c r="K334" s="62"/>
      <c r="L334" s="62"/>
      <c r="M334" s="62"/>
      <c r="N334" s="114"/>
      <c r="O334" s="62"/>
      <c r="P334" s="62"/>
    </row>
    <row r="335" spans="1:16" ht="22.5">
      <c r="A335" s="55" t="s">
        <v>183</v>
      </c>
      <c r="B335" s="59"/>
      <c r="C335" s="59"/>
      <c r="D335" s="62"/>
      <c r="E335" s="62">
        <v>52500</v>
      </c>
      <c r="F335" s="62">
        <f>E335</f>
        <v>52500</v>
      </c>
      <c r="G335" s="62"/>
      <c r="H335" s="62">
        <v>75000</v>
      </c>
      <c r="I335" s="62"/>
      <c r="J335" s="62">
        <f>H335</f>
        <v>75000</v>
      </c>
      <c r="K335" s="62"/>
      <c r="L335" s="62"/>
      <c r="M335" s="62"/>
      <c r="N335" s="114"/>
      <c r="O335" s="62">
        <v>201330</v>
      </c>
      <c r="P335" s="62">
        <f>O335</f>
        <v>201330</v>
      </c>
    </row>
    <row r="336" spans="1:16" ht="22.5">
      <c r="A336" s="55" t="s">
        <v>184</v>
      </c>
      <c r="B336" s="59"/>
      <c r="C336" s="59"/>
      <c r="D336" s="62"/>
      <c r="E336" s="62">
        <v>7000</v>
      </c>
      <c r="F336" s="62">
        <f>E336</f>
        <v>7000</v>
      </c>
      <c r="G336" s="62"/>
      <c r="H336" s="62">
        <v>9391.30434783</v>
      </c>
      <c r="I336" s="62"/>
      <c r="J336" s="62">
        <f>H336</f>
        <v>9391.30434783</v>
      </c>
      <c r="K336" s="62"/>
      <c r="L336" s="62"/>
      <c r="M336" s="62"/>
      <c r="N336" s="114"/>
      <c r="O336" s="62">
        <v>12012</v>
      </c>
      <c r="P336" s="62">
        <f>O336</f>
        <v>12012</v>
      </c>
    </row>
    <row r="337" spans="1:16" ht="33.75">
      <c r="A337" s="55" t="s">
        <v>185</v>
      </c>
      <c r="B337" s="59"/>
      <c r="C337" s="59"/>
      <c r="D337" s="62"/>
      <c r="E337" s="62">
        <v>1500</v>
      </c>
      <c r="F337" s="62">
        <f>E337</f>
        <v>1500</v>
      </c>
      <c r="G337" s="62">
        <v>1564.17112299</v>
      </c>
      <c r="H337" s="62"/>
      <c r="I337" s="62"/>
      <c r="J337" s="62">
        <f>G337</f>
        <v>1564.17112299</v>
      </c>
      <c r="K337" s="62"/>
      <c r="L337" s="62"/>
      <c r="M337" s="62"/>
      <c r="N337" s="114">
        <v>1200.68</v>
      </c>
      <c r="O337" s="62"/>
      <c r="P337" s="62">
        <f>N337</f>
        <v>1200.68</v>
      </c>
    </row>
    <row r="338" spans="1:16" ht="11.25">
      <c r="A338" s="54" t="s">
        <v>6</v>
      </c>
      <c r="B338" s="59"/>
      <c r="C338" s="59"/>
      <c r="D338" s="62"/>
      <c r="E338" s="62"/>
      <c r="F338" s="62"/>
      <c r="G338" s="62"/>
      <c r="H338" s="62"/>
      <c r="I338" s="62"/>
      <c r="J338" s="62"/>
      <c r="K338" s="62"/>
      <c r="L338" s="62"/>
      <c r="M338" s="62"/>
      <c r="N338" s="114"/>
      <c r="O338" s="62"/>
      <c r="P338" s="62"/>
    </row>
    <row r="339" spans="1:16" ht="33.75">
      <c r="A339" s="55" t="s">
        <v>187</v>
      </c>
      <c r="B339" s="59"/>
      <c r="C339" s="59"/>
      <c r="D339" s="62"/>
      <c r="E339" s="62">
        <f>E329/E324*100</f>
        <v>100</v>
      </c>
      <c r="F339" s="62">
        <f>E339</f>
        <v>100</v>
      </c>
      <c r="G339" s="62"/>
      <c r="H339" s="62"/>
      <c r="I339" s="62"/>
      <c r="J339" s="62"/>
      <c r="K339" s="62"/>
      <c r="L339" s="62"/>
      <c r="M339" s="62"/>
      <c r="N339" s="114"/>
      <c r="O339" s="62"/>
      <c r="P339" s="62"/>
    </row>
    <row r="340" spans="1:16" ht="45">
      <c r="A340" s="55" t="s">
        <v>188</v>
      </c>
      <c r="B340" s="59"/>
      <c r="C340" s="59"/>
      <c r="D340" s="62"/>
      <c r="E340" s="62">
        <f>E330/E325*100</f>
        <v>28.57142857142857</v>
      </c>
      <c r="F340" s="62">
        <f aca="true" t="shared" si="34" ref="F340:P340">F330/F325*100</f>
        <v>28.57142857142857</v>
      </c>
      <c r="G340" s="62"/>
      <c r="H340" s="62">
        <f t="shared" si="34"/>
        <v>80</v>
      </c>
      <c r="I340" s="62"/>
      <c r="J340" s="62">
        <f t="shared" si="34"/>
        <v>80</v>
      </c>
      <c r="K340" s="62" t="e">
        <f t="shared" si="34"/>
        <v>#DIV/0!</v>
      </c>
      <c r="L340" s="62" t="e">
        <f t="shared" si="34"/>
        <v>#DIV/0!</v>
      </c>
      <c r="M340" s="62" t="e">
        <f t="shared" si="34"/>
        <v>#DIV/0!</v>
      </c>
      <c r="N340" s="62"/>
      <c r="O340" s="62">
        <f t="shared" si="34"/>
        <v>59.599999999999994</v>
      </c>
      <c r="P340" s="62">
        <f t="shared" si="34"/>
        <v>59.599999999999994</v>
      </c>
    </row>
    <row r="341" spans="1:16" ht="45">
      <c r="A341" s="55" t="s">
        <v>189</v>
      </c>
      <c r="B341" s="59"/>
      <c r="C341" s="59"/>
      <c r="D341" s="62"/>
      <c r="E341" s="62">
        <f>E331/E326*100</f>
        <v>100</v>
      </c>
      <c r="F341" s="62">
        <f>E341</f>
        <v>100</v>
      </c>
      <c r="G341" s="62"/>
      <c r="H341" s="62"/>
      <c r="I341" s="62"/>
      <c r="J341" s="62"/>
      <c r="K341" s="62"/>
      <c r="L341" s="62"/>
      <c r="M341" s="62"/>
      <c r="N341" s="62"/>
      <c r="O341" s="62"/>
      <c r="P341" s="62"/>
    </row>
    <row r="342" spans="1:16" ht="56.25">
      <c r="A342" s="55" t="s">
        <v>190</v>
      </c>
      <c r="B342" s="59"/>
      <c r="C342" s="59"/>
      <c r="D342" s="62"/>
      <c r="E342" s="62">
        <f>E332/E325*100</f>
        <v>28.57142857142857</v>
      </c>
      <c r="F342" s="62">
        <f aca="true" t="shared" si="35" ref="F342:P342">F332/F325*100</f>
        <v>28.57142857142857</v>
      </c>
      <c r="G342" s="62">
        <f>G332/G327*100</f>
        <v>74.8</v>
      </c>
      <c r="H342" s="62"/>
      <c r="I342" s="62"/>
      <c r="J342" s="62">
        <f t="shared" si="35"/>
        <v>74.8</v>
      </c>
      <c r="K342" s="62" t="e">
        <f t="shared" si="35"/>
        <v>#DIV/0!</v>
      </c>
      <c r="L342" s="62" t="e">
        <f t="shared" si="35"/>
        <v>#DIV/0!</v>
      </c>
      <c r="M342" s="62" t="e">
        <f t="shared" si="35"/>
        <v>#DIV/0!</v>
      </c>
      <c r="N342" s="62"/>
      <c r="O342" s="62">
        <f t="shared" si="35"/>
        <v>0</v>
      </c>
      <c r="P342" s="62">
        <f t="shared" si="35"/>
        <v>116.6</v>
      </c>
    </row>
    <row r="343" spans="1:235" s="92" customFormat="1" ht="33.75">
      <c r="A343" s="82" t="s">
        <v>369</v>
      </c>
      <c r="B343" s="88"/>
      <c r="C343" s="88"/>
      <c r="D343" s="89"/>
      <c r="E343" s="89">
        <f>1630000-250000</f>
        <v>1380000</v>
      </c>
      <c r="F343" s="89">
        <f>E343</f>
        <v>1380000</v>
      </c>
      <c r="G343" s="89"/>
      <c r="H343" s="89">
        <f>H347*H349</f>
        <v>249999.9999993</v>
      </c>
      <c r="I343" s="89"/>
      <c r="J343" s="89">
        <f>H343</f>
        <v>249999.9999993</v>
      </c>
      <c r="K343" s="89">
        <f>K347*K349+1</f>
        <v>1</v>
      </c>
      <c r="L343" s="89">
        <f>L347*L349+1</f>
        <v>1</v>
      </c>
      <c r="M343" s="89">
        <f>M347*M349+1</f>
        <v>1</v>
      </c>
      <c r="N343" s="89"/>
      <c r="O343" s="89"/>
      <c r="P343" s="89"/>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row>
    <row r="344" spans="1:16" ht="9.75" customHeight="1">
      <c r="A344" s="54" t="s">
        <v>4</v>
      </c>
      <c r="B344" s="59"/>
      <c r="C344" s="59"/>
      <c r="D344" s="62"/>
      <c r="E344" s="62"/>
      <c r="F344" s="62"/>
      <c r="G344" s="62"/>
      <c r="H344" s="62"/>
      <c r="I344" s="62"/>
      <c r="J344" s="62"/>
      <c r="K344" s="62"/>
      <c r="L344" s="62"/>
      <c r="M344" s="62"/>
      <c r="N344" s="62"/>
      <c r="O344" s="62"/>
      <c r="P344" s="62"/>
    </row>
    <row r="345" spans="1:16" ht="33.75">
      <c r="A345" s="55" t="s">
        <v>268</v>
      </c>
      <c r="B345" s="59"/>
      <c r="C345" s="59"/>
      <c r="D345" s="62"/>
      <c r="E345" s="62">
        <v>48</v>
      </c>
      <c r="F345" s="62">
        <f>E345</f>
        <v>48</v>
      </c>
      <c r="G345" s="62"/>
      <c r="H345" s="62">
        <v>9</v>
      </c>
      <c r="I345" s="62"/>
      <c r="J345" s="62">
        <f>H345</f>
        <v>9</v>
      </c>
      <c r="K345" s="62"/>
      <c r="L345" s="62"/>
      <c r="M345" s="62"/>
      <c r="N345" s="62"/>
      <c r="O345" s="62"/>
      <c r="P345" s="62"/>
    </row>
    <row r="346" spans="1:16" ht="11.25">
      <c r="A346" s="54" t="s">
        <v>5</v>
      </c>
      <c r="B346" s="59"/>
      <c r="C346" s="59"/>
      <c r="D346" s="62"/>
      <c r="E346" s="62"/>
      <c r="F346" s="62"/>
      <c r="G346" s="62"/>
      <c r="H346" s="62"/>
      <c r="I346" s="62"/>
      <c r="J346" s="62"/>
      <c r="K346" s="62"/>
      <c r="L346" s="62"/>
      <c r="M346" s="62"/>
      <c r="N346" s="62"/>
      <c r="O346" s="62"/>
      <c r="P346" s="62"/>
    </row>
    <row r="347" spans="1:16" ht="27" customHeight="1">
      <c r="A347" s="55" t="s">
        <v>271</v>
      </c>
      <c r="B347" s="59"/>
      <c r="C347" s="59"/>
      <c r="D347" s="62"/>
      <c r="E347" s="62">
        <v>48</v>
      </c>
      <c r="F347" s="62">
        <v>48</v>
      </c>
      <c r="G347" s="62"/>
      <c r="H347" s="62">
        <v>9</v>
      </c>
      <c r="I347" s="62"/>
      <c r="J347" s="62">
        <v>48</v>
      </c>
      <c r="K347" s="62"/>
      <c r="L347" s="62"/>
      <c r="M347" s="62"/>
      <c r="N347" s="62"/>
      <c r="O347" s="62"/>
      <c r="P347" s="62"/>
    </row>
    <row r="348" spans="1:16" ht="11.25">
      <c r="A348" s="54" t="s">
        <v>7</v>
      </c>
      <c r="B348" s="59"/>
      <c r="C348" s="59"/>
      <c r="D348" s="62"/>
      <c r="E348" s="62"/>
      <c r="F348" s="62"/>
      <c r="G348" s="62"/>
      <c r="H348" s="62"/>
      <c r="I348" s="62"/>
      <c r="J348" s="62"/>
      <c r="K348" s="62"/>
      <c r="L348" s="62"/>
      <c r="M348" s="62"/>
      <c r="N348" s="62"/>
      <c r="O348" s="62"/>
      <c r="P348" s="62"/>
    </row>
    <row r="349" spans="1:16" ht="22.5">
      <c r="A349" s="55" t="s">
        <v>269</v>
      </c>
      <c r="B349" s="59"/>
      <c r="C349" s="59"/>
      <c r="D349" s="62"/>
      <c r="E349" s="62">
        <v>28103.5</v>
      </c>
      <c r="F349" s="62">
        <f>E349</f>
        <v>28103.5</v>
      </c>
      <c r="G349" s="62"/>
      <c r="H349" s="62">
        <v>27777.7777777</v>
      </c>
      <c r="I349" s="62"/>
      <c r="J349" s="62">
        <f>H349</f>
        <v>27777.7777777</v>
      </c>
      <c r="K349" s="62"/>
      <c r="L349" s="62"/>
      <c r="M349" s="62"/>
      <c r="N349" s="62"/>
      <c r="O349" s="62"/>
      <c r="P349" s="62"/>
    </row>
    <row r="350" spans="1:16" ht="11.25">
      <c r="A350" s="54" t="s">
        <v>6</v>
      </c>
      <c r="B350" s="60"/>
      <c r="C350" s="60"/>
      <c r="D350" s="62"/>
      <c r="E350" s="64"/>
      <c r="F350" s="64"/>
      <c r="G350" s="62"/>
      <c r="H350" s="64"/>
      <c r="I350" s="64"/>
      <c r="J350" s="64"/>
      <c r="K350" s="64"/>
      <c r="L350" s="64"/>
      <c r="M350" s="64"/>
      <c r="N350" s="62"/>
      <c r="O350" s="64"/>
      <c r="P350" s="64"/>
    </row>
    <row r="351" spans="1:16" ht="48.75" customHeight="1">
      <c r="A351" s="55" t="s">
        <v>270</v>
      </c>
      <c r="B351" s="61"/>
      <c r="C351" s="61"/>
      <c r="D351" s="129"/>
      <c r="E351" s="62">
        <f>E347/E345*100</f>
        <v>100</v>
      </c>
      <c r="F351" s="62">
        <f>E351</f>
        <v>100</v>
      </c>
      <c r="G351" s="62"/>
      <c r="H351" s="62">
        <f>H347/H345*100</f>
        <v>100</v>
      </c>
      <c r="I351" s="62"/>
      <c r="J351" s="62">
        <f>H351</f>
        <v>100</v>
      </c>
      <c r="K351" s="62" t="e">
        <f>(#REF!*#REF!)+(#REF!*#REF!)+(#REF!*#REF!)</f>
        <v>#REF!</v>
      </c>
      <c r="L351" s="62" t="e">
        <f>(#REF!*#REF!)+(#REF!*#REF!)+(#REF!*#REF!)</f>
        <v>#REF!</v>
      </c>
      <c r="M351" s="62" t="e">
        <f>(#REF!*#REF!)+(#REF!*#REF!)+(#REF!*#REF!)</f>
        <v>#REF!</v>
      </c>
      <c r="N351" s="62"/>
      <c r="O351" s="62"/>
      <c r="P351" s="62"/>
    </row>
    <row r="352" spans="1:235" s="92" customFormat="1" ht="22.5">
      <c r="A352" s="82" t="s">
        <v>394</v>
      </c>
      <c r="B352" s="88"/>
      <c r="C352" s="88"/>
      <c r="D352" s="89"/>
      <c r="E352" s="89"/>
      <c r="F352" s="89"/>
      <c r="G352" s="89"/>
      <c r="H352" s="89">
        <f>H356*H358</f>
        <v>0</v>
      </c>
      <c r="I352" s="89"/>
      <c r="J352" s="89">
        <f>H352</f>
        <v>0</v>
      </c>
      <c r="K352" s="89">
        <f>K356*K358+1</f>
        <v>1</v>
      </c>
      <c r="L352" s="89">
        <f>L356*L358+1</f>
        <v>1</v>
      </c>
      <c r="M352" s="89">
        <f>M356*M358+1</f>
        <v>1</v>
      </c>
      <c r="N352" s="89"/>
      <c r="O352" s="89">
        <f>O356*O358</f>
        <v>399999.999999</v>
      </c>
      <c r="P352" s="89">
        <f>N352+O352</f>
        <v>399999.999999</v>
      </c>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row>
    <row r="353" spans="1:16" ht="9.75" customHeight="1">
      <c r="A353" s="54" t="s">
        <v>4</v>
      </c>
      <c r="B353" s="59"/>
      <c r="C353" s="59"/>
      <c r="D353" s="62"/>
      <c r="E353" s="62"/>
      <c r="F353" s="62"/>
      <c r="G353" s="62"/>
      <c r="H353" s="62"/>
      <c r="I353" s="62"/>
      <c r="J353" s="62"/>
      <c r="K353" s="62"/>
      <c r="L353" s="62"/>
      <c r="M353" s="62"/>
      <c r="N353" s="62"/>
      <c r="O353" s="62"/>
      <c r="P353" s="62"/>
    </row>
    <row r="354" spans="1:16" ht="22.5">
      <c r="A354" s="55" t="s">
        <v>396</v>
      </c>
      <c r="B354" s="59"/>
      <c r="C354" s="59"/>
      <c r="D354" s="62"/>
      <c r="E354" s="62"/>
      <c r="F354" s="62"/>
      <c r="G354" s="62"/>
      <c r="H354" s="62"/>
      <c r="I354" s="62"/>
      <c r="J354" s="62"/>
      <c r="K354" s="62"/>
      <c r="L354" s="62"/>
      <c r="M354" s="62"/>
      <c r="N354" s="62"/>
      <c r="O354" s="62">
        <v>3</v>
      </c>
      <c r="P354" s="62">
        <f>N354+O354</f>
        <v>3</v>
      </c>
    </row>
    <row r="355" spans="1:16" ht="11.25">
      <c r="A355" s="54" t="s">
        <v>5</v>
      </c>
      <c r="B355" s="59"/>
      <c r="C355" s="59"/>
      <c r="D355" s="62"/>
      <c r="E355" s="62"/>
      <c r="F355" s="62"/>
      <c r="G355" s="62"/>
      <c r="H355" s="62"/>
      <c r="I355" s="62"/>
      <c r="J355" s="62"/>
      <c r="K355" s="62"/>
      <c r="L355" s="62"/>
      <c r="M355" s="62"/>
      <c r="N355" s="62"/>
      <c r="O355" s="62"/>
      <c r="P355" s="62"/>
    </row>
    <row r="356" spans="1:16" ht="22.5">
      <c r="A356" s="55" t="s">
        <v>395</v>
      </c>
      <c r="B356" s="59"/>
      <c r="C356" s="59"/>
      <c r="D356" s="62"/>
      <c r="E356" s="62"/>
      <c r="F356" s="62"/>
      <c r="G356" s="62"/>
      <c r="H356" s="62"/>
      <c r="I356" s="62"/>
      <c r="J356" s="62"/>
      <c r="K356" s="62"/>
      <c r="L356" s="62"/>
      <c r="M356" s="62"/>
      <c r="N356" s="62"/>
      <c r="O356" s="62">
        <v>3</v>
      </c>
      <c r="P356" s="62">
        <f>N356+O356</f>
        <v>3</v>
      </c>
    </row>
    <row r="357" spans="1:16" ht="11.25">
      <c r="A357" s="54" t="s">
        <v>7</v>
      </c>
      <c r="B357" s="59"/>
      <c r="C357" s="59"/>
      <c r="D357" s="62"/>
      <c r="E357" s="62"/>
      <c r="F357" s="62"/>
      <c r="G357" s="62"/>
      <c r="H357" s="62"/>
      <c r="I357" s="62"/>
      <c r="J357" s="62"/>
      <c r="K357" s="62"/>
      <c r="L357" s="62"/>
      <c r="M357" s="62"/>
      <c r="N357" s="62"/>
      <c r="O357" s="62"/>
      <c r="P357" s="62"/>
    </row>
    <row r="358" spans="1:16" ht="22.5">
      <c r="A358" s="55" t="s">
        <v>397</v>
      </c>
      <c r="B358" s="59"/>
      <c r="C358" s="59"/>
      <c r="D358" s="62"/>
      <c r="E358" s="62"/>
      <c r="F358" s="62"/>
      <c r="G358" s="62"/>
      <c r="H358" s="62"/>
      <c r="I358" s="62"/>
      <c r="J358" s="62"/>
      <c r="K358" s="62"/>
      <c r="L358" s="62"/>
      <c r="M358" s="62"/>
      <c r="N358" s="62"/>
      <c r="O358" s="62">
        <v>133333.333333</v>
      </c>
      <c r="P358" s="62">
        <f>N358+O358</f>
        <v>133333.333333</v>
      </c>
    </row>
    <row r="359" spans="1:16" ht="11.25">
      <c r="A359" s="54" t="s">
        <v>6</v>
      </c>
      <c r="B359" s="60"/>
      <c r="C359" s="60"/>
      <c r="D359" s="62"/>
      <c r="E359" s="64"/>
      <c r="F359" s="64"/>
      <c r="G359" s="62"/>
      <c r="H359" s="64"/>
      <c r="I359" s="64"/>
      <c r="J359" s="64"/>
      <c r="K359" s="64"/>
      <c r="L359" s="64"/>
      <c r="M359" s="64"/>
      <c r="N359" s="62"/>
      <c r="O359" s="64"/>
      <c r="P359" s="62"/>
    </row>
    <row r="360" spans="1:16" ht="39.75" customHeight="1">
      <c r="A360" s="55" t="s">
        <v>398</v>
      </c>
      <c r="B360" s="61"/>
      <c r="C360" s="61"/>
      <c r="D360" s="129"/>
      <c r="E360" s="62"/>
      <c r="F360" s="62"/>
      <c r="G360" s="62"/>
      <c r="H360" s="62"/>
      <c r="I360" s="62"/>
      <c r="J360" s="62"/>
      <c r="K360" s="62" t="e">
        <f>(#REF!*#REF!)+(#REF!*#REF!)+(#REF!*#REF!)</f>
        <v>#REF!</v>
      </c>
      <c r="L360" s="62" t="e">
        <f>(#REF!*#REF!)+(#REF!*#REF!)+(#REF!*#REF!)</f>
        <v>#REF!</v>
      </c>
      <c r="M360" s="62" t="e">
        <f>(#REF!*#REF!)+(#REF!*#REF!)+(#REF!*#REF!)</f>
        <v>#REF!</v>
      </c>
      <c r="N360" s="62"/>
      <c r="O360" s="62">
        <f>O356/O354*100</f>
        <v>100</v>
      </c>
      <c r="P360" s="62">
        <f>N360+O360</f>
        <v>100</v>
      </c>
    </row>
    <row r="361" spans="1:235" s="92" customFormat="1" ht="33.75">
      <c r="A361" s="82" t="s">
        <v>191</v>
      </c>
      <c r="B361" s="88"/>
      <c r="C361" s="88"/>
      <c r="D361" s="89"/>
      <c r="E361" s="89">
        <f>E362</f>
        <v>1000000</v>
      </c>
      <c r="F361" s="89">
        <f>E361</f>
        <v>1000000</v>
      </c>
      <c r="G361" s="89"/>
      <c r="H361" s="89">
        <f>H362+H384</f>
        <v>7000000</v>
      </c>
      <c r="I361" s="89"/>
      <c r="J361" s="89">
        <f>H361</f>
        <v>7000000</v>
      </c>
      <c r="K361" s="89"/>
      <c r="L361" s="89"/>
      <c r="M361" s="89"/>
      <c r="N361" s="89"/>
      <c r="O361" s="89">
        <f>O362+O384</f>
        <v>16900000</v>
      </c>
      <c r="P361" s="89">
        <f>O361</f>
        <v>16900000</v>
      </c>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row>
    <row r="362" spans="1:235" s="92" customFormat="1" ht="41.25" customHeight="1">
      <c r="A362" s="82" t="s">
        <v>402</v>
      </c>
      <c r="B362" s="88"/>
      <c r="C362" s="88"/>
      <c r="D362" s="89"/>
      <c r="E362" s="89">
        <f>E366*E368+1</f>
        <v>1000000</v>
      </c>
      <c r="F362" s="89">
        <f aca="true" t="shared" si="36" ref="F362:M362">F366*F368+1</f>
        <v>1000000</v>
      </c>
      <c r="G362" s="89"/>
      <c r="H362" s="89">
        <f>H366*H368</f>
        <v>6900000</v>
      </c>
      <c r="I362" s="89"/>
      <c r="J362" s="89">
        <f>H362</f>
        <v>6900000</v>
      </c>
      <c r="K362" s="89">
        <f t="shared" si="36"/>
        <v>1</v>
      </c>
      <c r="L362" s="89">
        <f t="shared" si="36"/>
        <v>1</v>
      </c>
      <c r="M362" s="89">
        <f t="shared" si="36"/>
        <v>1</v>
      </c>
      <c r="N362" s="89"/>
      <c r="O362" s="89">
        <f>O364</f>
        <v>15400000.000000002</v>
      </c>
      <c r="P362" s="89">
        <f>O362</f>
        <v>15400000.000000002</v>
      </c>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row>
    <row r="363" spans="1:16" ht="11.25">
      <c r="A363" s="54" t="s">
        <v>4</v>
      </c>
      <c r="B363" s="59"/>
      <c r="C363" s="59"/>
      <c r="D363" s="62"/>
      <c r="E363" s="62"/>
      <c r="F363" s="62"/>
      <c r="G363" s="62"/>
      <c r="H363" s="62"/>
      <c r="I363" s="62"/>
      <c r="J363" s="62"/>
      <c r="K363" s="62"/>
      <c r="L363" s="62"/>
      <c r="M363" s="62"/>
      <c r="N363" s="62"/>
      <c r="O363" s="62"/>
      <c r="P363" s="62"/>
    </row>
    <row r="364" spans="1:16" ht="22.5">
      <c r="A364" s="55" t="s">
        <v>387</v>
      </c>
      <c r="B364" s="59"/>
      <c r="C364" s="59"/>
      <c r="D364" s="62"/>
      <c r="E364" s="62">
        <v>10</v>
      </c>
      <c r="F364" s="62">
        <f>E364</f>
        <v>10</v>
      </c>
      <c r="G364" s="62"/>
      <c r="H364" s="62">
        <f>H366*H368</f>
        <v>6900000</v>
      </c>
      <c r="I364" s="62"/>
      <c r="J364" s="62">
        <f>H364</f>
        <v>6900000</v>
      </c>
      <c r="K364" s="62"/>
      <c r="L364" s="62"/>
      <c r="M364" s="62"/>
      <c r="N364" s="62"/>
      <c r="O364" s="62">
        <f>O366*O368+0.22</f>
        <v>15400000.000000002</v>
      </c>
      <c r="P364" s="62">
        <f>O364</f>
        <v>15400000.000000002</v>
      </c>
    </row>
    <row r="365" spans="1:16" ht="11.25">
      <c r="A365" s="54" t="s">
        <v>5</v>
      </c>
      <c r="B365" s="59"/>
      <c r="C365" s="59"/>
      <c r="D365" s="62"/>
      <c r="E365" s="62"/>
      <c r="F365" s="62"/>
      <c r="G365" s="62"/>
      <c r="H365" s="62"/>
      <c r="I365" s="62"/>
      <c r="J365" s="62"/>
      <c r="K365" s="62"/>
      <c r="L365" s="62"/>
      <c r="M365" s="62"/>
      <c r="N365" s="62"/>
      <c r="O365" s="62"/>
      <c r="P365" s="62"/>
    </row>
    <row r="366" spans="1:16" ht="22.5">
      <c r="A366" s="55" t="s">
        <v>386</v>
      </c>
      <c r="B366" s="59"/>
      <c r="C366" s="59"/>
      <c r="D366" s="62"/>
      <c r="E366" s="62">
        <v>3</v>
      </c>
      <c r="F366" s="62">
        <f>E366</f>
        <v>3</v>
      </c>
      <c r="G366" s="62"/>
      <c r="H366" s="62">
        <v>23</v>
      </c>
      <c r="I366" s="62"/>
      <c r="J366" s="62">
        <f>H366</f>
        <v>23</v>
      </c>
      <c r="K366" s="62"/>
      <c r="L366" s="62"/>
      <c r="M366" s="62"/>
      <c r="N366" s="62"/>
      <c r="O366" s="62">
        <v>51</v>
      </c>
      <c r="P366" s="62">
        <f>O366</f>
        <v>51</v>
      </c>
    </row>
    <row r="367" spans="1:16" ht="11.25">
      <c r="A367" s="54" t="s">
        <v>7</v>
      </c>
      <c r="B367" s="59"/>
      <c r="C367" s="59"/>
      <c r="D367" s="62"/>
      <c r="E367" s="62"/>
      <c r="F367" s="62"/>
      <c r="G367" s="62"/>
      <c r="H367" s="62"/>
      <c r="I367" s="62"/>
      <c r="J367" s="62"/>
      <c r="K367" s="62"/>
      <c r="L367" s="62"/>
      <c r="M367" s="62"/>
      <c r="N367" s="62"/>
      <c r="O367" s="62"/>
      <c r="P367" s="62"/>
    </row>
    <row r="368" spans="1:16" ht="22.5">
      <c r="A368" s="55" t="s">
        <v>174</v>
      </c>
      <c r="B368" s="59"/>
      <c r="C368" s="59"/>
      <c r="D368" s="62"/>
      <c r="E368" s="62">
        <v>333333</v>
      </c>
      <c r="F368" s="62">
        <f>E368</f>
        <v>333333</v>
      </c>
      <c r="G368" s="62"/>
      <c r="H368" s="62">
        <v>300000</v>
      </c>
      <c r="I368" s="62"/>
      <c r="J368" s="62">
        <f>H368</f>
        <v>300000</v>
      </c>
      <c r="K368" s="62"/>
      <c r="L368" s="62"/>
      <c r="M368" s="62"/>
      <c r="N368" s="62"/>
      <c r="O368" s="62">
        <v>301960.78</v>
      </c>
      <c r="P368" s="62">
        <f>O368</f>
        <v>301960.78</v>
      </c>
    </row>
    <row r="369" spans="1:16" ht="1.5" customHeight="1" hidden="1">
      <c r="A369" s="19" t="s">
        <v>266</v>
      </c>
      <c r="B369" s="26"/>
      <c r="C369" s="26"/>
      <c r="D369" s="25"/>
      <c r="E369" s="25">
        <f>E370</f>
        <v>1000000</v>
      </c>
      <c r="F369" s="25">
        <f>E369</f>
        <v>1000000</v>
      </c>
      <c r="G369" s="25"/>
      <c r="H369" s="25">
        <f>H370</f>
        <v>1320000</v>
      </c>
      <c r="I369" s="25"/>
      <c r="J369" s="25">
        <f>H369</f>
        <v>1320000</v>
      </c>
      <c r="K369" s="56"/>
      <c r="L369" s="56"/>
      <c r="M369" s="56"/>
      <c r="N369" s="25"/>
      <c r="O369" s="25">
        <f>O370</f>
        <v>1580000</v>
      </c>
      <c r="P369" s="25">
        <f>O369</f>
        <v>1580000</v>
      </c>
    </row>
    <row r="370" spans="1:16" ht="4.5" customHeight="1" hidden="1">
      <c r="A370" s="19" t="s">
        <v>267</v>
      </c>
      <c r="B370" s="26"/>
      <c r="C370" s="26"/>
      <c r="D370" s="25"/>
      <c r="E370" s="25">
        <f>E374*E376+1</f>
        <v>1000000</v>
      </c>
      <c r="F370" s="25">
        <f>F374*F376+1</f>
        <v>1000000</v>
      </c>
      <c r="G370" s="25"/>
      <c r="H370" s="25">
        <f>H374*H376</f>
        <v>1320000</v>
      </c>
      <c r="I370" s="25"/>
      <c r="J370" s="25">
        <f>H370</f>
        <v>1320000</v>
      </c>
      <c r="K370" s="25">
        <f>K374*K376+1</f>
        <v>1</v>
      </c>
      <c r="L370" s="25">
        <f>L374*L376+1</f>
        <v>1</v>
      </c>
      <c r="M370" s="25">
        <f>M374*M376+1</f>
        <v>1</v>
      </c>
      <c r="N370" s="25"/>
      <c r="O370" s="25">
        <f>O374*O376</f>
        <v>1580000</v>
      </c>
      <c r="P370" s="25">
        <f>O370</f>
        <v>1580000</v>
      </c>
    </row>
    <row r="371" spans="1:16" ht="16.5" customHeight="1" hidden="1">
      <c r="A371" s="54" t="s">
        <v>4</v>
      </c>
      <c r="B371" s="59"/>
      <c r="C371" s="59"/>
      <c r="D371" s="62"/>
      <c r="E371" s="62"/>
      <c r="F371" s="62"/>
      <c r="G371" s="62"/>
      <c r="H371" s="62"/>
      <c r="I371" s="62"/>
      <c r="J371" s="62"/>
      <c r="K371" s="62"/>
      <c r="L371" s="62"/>
      <c r="M371" s="62"/>
      <c r="N371" s="62"/>
      <c r="O371" s="62"/>
      <c r="P371" s="62"/>
    </row>
    <row r="372" spans="1:16" ht="24.75" customHeight="1" hidden="1">
      <c r="A372" s="55" t="s">
        <v>172</v>
      </c>
      <c r="B372" s="59"/>
      <c r="C372" s="59"/>
      <c r="D372" s="62"/>
      <c r="E372" s="62">
        <v>10</v>
      </c>
      <c r="F372" s="62">
        <f>E372</f>
        <v>10</v>
      </c>
      <c r="G372" s="62"/>
      <c r="H372" s="62">
        <v>10</v>
      </c>
      <c r="I372" s="62"/>
      <c r="J372" s="62">
        <f>H372</f>
        <v>10</v>
      </c>
      <c r="K372" s="62"/>
      <c r="L372" s="62"/>
      <c r="M372" s="62"/>
      <c r="N372" s="62"/>
      <c r="O372" s="62">
        <v>10</v>
      </c>
      <c r="P372" s="62">
        <f>O372</f>
        <v>10</v>
      </c>
    </row>
    <row r="373" spans="1:16" ht="15" customHeight="1" hidden="1">
      <c r="A373" s="54" t="s">
        <v>5</v>
      </c>
      <c r="B373" s="59"/>
      <c r="C373" s="59"/>
      <c r="D373" s="62"/>
      <c r="E373" s="62"/>
      <c r="F373" s="62"/>
      <c r="G373" s="62"/>
      <c r="H373" s="62"/>
      <c r="I373" s="62"/>
      <c r="J373" s="62"/>
      <c r="K373" s="62"/>
      <c r="L373" s="62"/>
      <c r="M373" s="62"/>
      <c r="N373" s="62"/>
      <c r="O373" s="62"/>
      <c r="P373" s="62"/>
    </row>
    <row r="374" spans="1:16" ht="12.75" customHeight="1" hidden="1">
      <c r="A374" s="55" t="s">
        <v>173</v>
      </c>
      <c r="B374" s="59"/>
      <c r="C374" s="59"/>
      <c r="D374" s="62"/>
      <c r="E374" s="62">
        <v>3</v>
      </c>
      <c r="F374" s="62">
        <f>E374</f>
        <v>3</v>
      </c>
      <c r="G374" s="62"/>
      <c r="H374" s="62">
        <v>3</v>
      </c>
      <c r="I374" s="62"/>
      <c r="J374" s="62">
        <f>H374</f>
        <v>3</v>
      </c>
      <c r="K374" s="62"/>
      <c r="L374" s="62"/>
      <c r="M374" s="62"/>
      <c r="N374" s="62"/>
      <c r="O374" s="62">
        <v>4</v>
      </c>
      <c r="P374" s="62">
        <f>O374</f>
        <v>4</v>
      </c>
    </row>
    <row r="375" spans="1:16" ht="16.5" customHeight="1" hidden="1">
      <c r="A375" s="54" t="s">
        <v>7</v>
      </c>
      <c r="B375" s="59"/>
      <c r="C375" s="59"/>
      <c r="D375" s="62"/>
      <c r="E375" s="62"/>
      <c r="F375" s="62"/>
      <c r="G375" s="62"/>
      <c r="H375" s="62"/>
      <c r="I375" s="62"/>
      <c r="J375" s="62"/>
      <c r="K375" s="62"/>
      <c r="L375" s="62"/>
      <c r="M375" s="62"/>
      <c r="N375" s="62"/>
      <c r="O375" s="62"/>
      <c r="P375" s="62"/>
    </row>
    <row r="376" spans="1:16" ht="30" customHeight="1" hidden="1">
      <c r="A376" s="55" t="s">
        <v>174</v>
      </c>
      <c r="B376" s="59"/>
      <c r="C376" s="59"/>
      <c r="D376" s="62"/>
      <c r="E376" s="62">
        <v>333333</v>
      </c>
      <c r="F376" s="62">
        <f>E376</f>
        <v>333333</v>
      </c>
      <c r="G376" s="62"/>
      <c r="H376" s="62">
        <v>440000</v>
      </c>
      <c r="I376" s="62"/>
      <c r="J376" s="62">
        <f>H376</f>
        <v>440000</v>
      </c>
      <c r="K376" s="62"/>
      <c r="L376" s="62"/>
      <c r="M376" s="62"/>
      <c r="N376" s="62"/>
      <c r="O376" s="62">
        <v>395000</v>
      </c>
      <c r="P376" s="62">
        <f>O376</f>
        <v>395000</v>
      </c>
    </row>
    <row r="377" spans="1:16" ht="15" customHeight="1" hidden="1">
      <c r="A377" s="54" t="s">
        <v>6</v>
      </c>
      <c r="B377" s="60"/>
      <c r="C377" s="60"/>
      <c r="D377" s="62"/>
      <c r="E377" s="64"/>
      <c r="F377" s="64"/>
      <c r="G377" s="62"/>
      <c r="H377" s="64"/>
      <c r="I377" s="64"/>
      <c r="J377" s="64"/>
      <c r="K377" s="64"/>
      <c r="L377" s="64"/>
      <c r="M377" s="64"/>
      <c r="N377" s="62"/>
      <c r="O377" s="64"/>
      <c r="P377" s="64"/>
    </row>
    <row r="378" spans="1:16" ht="53.25" customHeight="1" hidden="1">
      <c r="A378" s="55" t="s">
        <v>193</v>
      </c>
      <c r="B378" s="61"/>
      <c r="C378" s="61"/>
      <c r="D378" s="129"/>
      <c r="E378" s="62">
        <f>E374/E372*100</f>
        <v>30</v>
      </c>
      <c r="F378" s="62">
        <f>E378</f>
        <v>30</v>
      </c>
      <c r="G378" s="62"/>
      <c r="H378" s="62">
        <f>H374/H372*100</f>
        <v>30</v>
      </c>
      <c r="I378" s="62"/>
      <c r="J378" s="62">
        <f>H378</f>
        <v>30</v>
      </c>
      <c r="K378" s="62" t="e">
        <f>(#REF!*#REF!)+(#REF!*#REF!)+(#REF!*#REF!)</f>
        <v>#REF!</v>
      </c>
      <c r="L378" s="62" t="e">
        <f>(#REF!*#REF!)+(#REF!*#REF!)+(#REF!*#REF!)</f>
        <v>#REF!</v>
      </c>
      <c r="M378" s="62" t="e">
        <f>(#REF!*#REF!)+(#REF!*#REF!)+(#REF!*#REF!)</f>
        <v>#REF!</v>
      </c>
      <c r="N378" s="62"/>
      <c r="O378" s="62">
        <f>O374/O372*100</f>
        <v>40</v>
      </c>
      <c r="P378" s="62">
        <f>O378</f>
        <v>40</v>
      </c>
    </row>
    <row r="379" spans="1:16" ht="21.75" customHeight="1" hidden="1">
      <c r="A379" s="55"/>
      <c r="B379" s="61"/>
      <c r="C379" s="61"/>
      <c r="D379" s="129"/>
      <c r="E379" s="62"/>
      <c r="F379" s="62"/>
      <c r="G379" s="62"/>
      <c r="H379" s="62"/>
      <c r="I379" s="62"/>
      <c r="J379" s="62"/>
      <c r="K379" s="62"/>
      <c r="L379" s="62"/>
      <c r="M379" s="62"/>
      <c r="N379" s="62"/>
      <c r="O379" s="62"/>
      <c r="P379" s="62"/>
    </row>
    <row r="380" spans="1:16" ht="54" customHeight="1" hidden="1">
      <c r="A380" s="55"/>
      <c r="B380" s="61"/>
      <c r="C380" s="61"/>
      <c r="D380" s="129"/>
      <c r="E380" s="62"/>
      <c r="F380" s="62"/>
      <c r="G380" s="62"/>
      <c r="H380" s="62"/>
      <c r="I380" s="62"/>
      <c r="J380" s="62"/>
      <c r="K380" s="62"/>
      <c r="L380" s="62"/>
      <c r="M380" s="62"/>
      <c r="N380" s="62"/>
      <c r="O380" s="62"/>
      <c r="P380" s="62"/>
    </row>
    <row r="381" spans="1:16" ht="54" customHeight="1" hidden="1">
      <c r="A381" s="55"/>
      <c r="B381" s="61"/>
      <c r="C381" s="61"/>
      <c r="D381" s="129"/>
      <c r="E381" s="62"/>
      <c r="F381" s="62"/>
      <c r="G381" s="62"/>
      <c r="H381" s="62"/>
      <c r="I381" s="62"/>
      <c r="J381" s="62"/>
      <c r="K381" s="62"/>
      <c r="L381" s="62"/>
      <c r="M381" s="62"/>
      <c r="N381" s="62"/>
      <c r="O381" s="62"/>
      <c r="P381" s="62"/>
    </row>
    <row r="382" spans="1:16" ht="54" customHeight="1" hidden="1">
      <c r="A382" s="55"/>
      <c r="B382" s="61"/>
      <c r="C382" s="61"/>
      <c r="D382" s="129"/>
      <c r="E382" s="62"/>
      <c r="F382" s="62"/>
      <c r="G382" s="62"/>
      <c r="H382" s="62"/>
      <c r="I382" s="62"/>
      <c r="J382" s="62"/>
      <c r="K382" s="62"/>
      <c r="L382" s="62"/>
      <c r="M382" s="62"/>
      <c r="N382" s="62"/>
      <c r="O382" s="62"/>
      <c r="P382" s="62"/>
    </row>
    <row r="383" spans="1:16" ht="54" customHeight="1" hidden="1">
      <c r="A383" s="55"/>
      <c r="B383" s="61"/>
      <c r="C383" s="61"/>
      <c r="D383" s="129"/>
      <c r="E383" s="62"/>
      <c r="F383" s="62"/>
      <c r="G383" s="62"/>
      <c r="H383" s="62"/>
      <c r="I383" s="62"/>
      <c r="J383" s="62"/>
      <c r="K383" s="62"/>
      <c r="L383" s="62"/>
      <c r="M383" s="62"/>
      <c r="N383" s="62"/>
      <c r="O383" s="62"/>
      <c r="P383" s="62"/>
    </row>
    <row r="384" spans="1:16" ht="40.5" customHeight="1">
      <c r="A384" s="82" t="s">
        <v>403</v>
      </c>
      <c r="B384" s="170"/>
      <c r="C384" s="170"/>
      <c r="D384" s="151"/>
      <c r="E384" s="78"/>
      <c r="F384" s="78"/>
      <c r="G384" s="78"/>
      <c r="H384" s="151">
        <f>H386</f>
        <v>100000</v>
      </c>
      <c r="I384" s="151">
        <f aca="true" t="shared" si="37" ref="I384:P384">I386</f>
        <v>0</v>
      </c>
      <c r="J384" s="151">
        <f t="shared" si="37"/>
        <v>100000</v>
      </c>
      <c r="K384" s="151">
        <f t="shared" si="37"/>
        <v>0</v>
      </c>
      <c r="L384" s="151">
        <f t="shared" si="37"/>
        <v>0</v>
      </c>
      <c r="M384" s="151">
        <f t="shared" si="37"/>
        <v>0</v>
      </c>
      <c r="N384" s="151">
        <f t="shared" si="37"/>
        <v>0</v>
      </c>
      <c r="O384" s="151">
        <f t="shared" si="37"/>
        <v>1500000</v>
      </c>
      <c r="P384" s="151">
        <f t="shared" si="37"/>
        <v>1500000</v>
      </c>
    </row>
    <row r="385" spans="1:16" ht="24.75" customHeight="1">
      <c r="A385" s="54" t="s">
        <v>4</v>
      </c>
      <c r="B385" s="61"/>
      <c r="C385" s="61"/>
      <c r="D385" s="129"/>
      <c r="E385" s="62"/>
      <c r="F385" s="62"/>
      <c r="G385" s="62"/>
      <c r="H385" s="62"/>
      <c r="I385" s="62"/>
      <c r="J385" s="62"/>
      <c r="K385" s="62"/>
      <c r="L385" s="62"/>
      <c r="M385" s="62"/>
      <c r="N385" s="62"/>
      <c r="O385" s="62"/>
      <c r="P385" s="62"/>
    </row>
    <row r="386" spans="1:16" ht="25.5" customHeight="1">
      <c r="A386" s="55" t="s">
        <v>388</v>
      </c>
      <c r="B386" s="61"/>
      <c r="C386" s="61"/>
      <c r="D386" s="129"/>
      <c r="E386" s="62"/>
      <c r="F386" s="62"/>
      <c r="G386" s="62"/>
      <c r="H386" s="62">
        <f>H388*H390</f>
        <v>100000</v>
      </c>
      <c r="I386" s="62"/>
      <c r="J386" s="62">
        <f>H386</f>
        <v>100000</v>
      </c>
      <c r="K386" s="62"/>
      <c r="L386" s="62"/>
      <c r="M386" s="62"/>
      <c r="N386" s="62"/>
      <c r="O386" s="62">
        <v>1500000</v>
      </c>
      <c r="P386" s="62">
        <f>O386</f>
        <v>1500000</v>
      </c>
    </row>
    <row r="387" spans="1:16" ht="26.25" customHeight="1">
      <c r="A387" s="54" t="s">
        <v>5</v>
      </c>
      <c r="B387" s="61"/>
      <c r="C387" s="61"/>
      <c r="D387" s="129"/>
      <c r="E387" s="62"/>
      <c r="F387" s="62"/>
      <c r="G387" s="62"/>
      <c r="H387" s="62"/>
      <c r="I387" s="62"/>
      <c r="J387" s="62"/>
      <c r="K387" s="62"/>
      <c r="L387" s="62"/>
      <c r="M387" s="62"/>
      <c r="N387" s="62"/>
      <c r="O387" s="62"/>
      <c r="P387" s="62"/>
    </row>
    <row r="388" spans="1:16" ht="25.5" customHeight="1">
      <c r="A388" s="55" t="s">
        <v>173</v>
      </c>
      <c r="B388" s="61"/>
      <c r="C388" s="61"/>
      <c r="D388" s="129"/>
      <c r="E388" s="62"/>
      <c r="F388" s="62"/>
      <c r="G388" s="62"/>
      <c r="H388" s="62">
        <v>1</v>
      </c>
      <c r="I388" s="62"/>
      <c r="J388" s="62">
        <f>H388</f>
        <v>1</v>
      </c>
      <c r="K388" s="62"/>
      <c r="L388" s="62"/>
      <c r="M388" s="62"/>
      <c r="N388" s="62"/>
      <c r="O388" s="62">
        <v>16</v>
      </c>
      <c r="P388" s="62">
        <v>16</v>
      </c>
    </row>
    <row r="389" spans="1:16" ht="23.25" customHeight="1">
      <c r="A389" s="54" t="s">
        <v>7</v>
      </c>
      <c r="B389" s="61"/>
      <c r="C389" s="61"/>
      <c r="D389" s="129"/>
      <c r="E389" s="62"/>
      <c r="F389" s="62"/>
      <c r="G389" s="62"/>
      <c r="H389" s="62"/>
      <c r="I389" s="62"/>
      <c r="J389" s="62"/>
      <c r="K389" s="62"/>
      <c r="L389" s="62"/>
      <c r="M389" s="62"/>
      <c r="N389" s="62"/>
      <c r="O389" s="62"/>
      <c r="P389" s="62"/>
    </row>
    <row r="390" spans="1:16" ht="37.5" customHeight="1">
      <c r="A390" s="55" t="s">
        <v>389</v>
      </c>
      <c r="B390" s="61"/>
      <c r="C390" s="61"/>
      <c r="D390" s="129"/>
      <c r="E390" s="62"/>
      <c r="F390" s="62"/>
      <c r="G390" s="62"/>
      <c r="H390" s="62">
        <v>100000</v>
      </c>
      <c r="I390" s="62"/>
      <c r="J390" s="62">
        <f>H390</f>
        <v>100000</v>
      </c>
      <c r="K390" s="62"/>
      <c r="L390" s="62"/>
      <c r="M390" s="62"/>
      <c r="N390" s="62"/>
      <c r="O390" s="62">
        <f>300000*0.3</f>
        <v>90000</v>
      </c>
      <c r="P390" s="62">
        <f>300000*0.3</f>
        <v>90000</v>
      </c>
    </row>
    <row r="391" spans="1:235" s="85" customFormat="1" ht="16.5" customHeight="1">
      <c r="A391" s="108" t="s">
        <v>445</v>
      </c>
      <c r="B391" s="108"/>
      <c r="C391" s="108"/>
      <c r="D391" s="119">
        <f>D392+D393+D394</f>
        <v>1889680.002</v>
      </c>
      <c r="E391" s="119"/>
      <c r="F391" s="119">
        <f>F392+F393+F394</f>
        <v>1889680.002</v>
      </c>
      <c r="G391" s="119">
        <f aca="true" t="shared" si="38" ref="G391:N391">G392+G393+G394</f>
        <v>2339999.9981235997</v>
      </c>
      <c r="H391" s="119">
        <f t="shared" si="38"/>
        <v>0</v>
      </c>
      <c r="I391" s="119">
        <f t="shared" si="38"/>
        <v>0</v>
      </c>
      <c r="J391" s="119">
        <f t="shared" si="38"/>
        <v>2339999.9981235997</v>
      </c>
      <c r="K391" s="119" t="e">
        <f t="shared" si="38"/>
        <v>#REF!</v>
      </c>
      <c r="L391" s="119">
        <f t="shared" si="38"/>
        <v>0</v>
      </c>
      <c r="M391" s="119">
        <f t="shared" si="38"/>
        <v>0</v>
      </c>
      <c r="N391" s="119">
        <f t="shared" si="38"/>
        <v>2764213.19998632</v>
      </c>
      <c r="O391" s="119">
        <f>O392+O393+O394</f>
        <v>0</v>
      </c>
      <c r="P391" s="119">
        <f>P392+P393+P394</f>
        <v>2764213.19998632</v>
      </c>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row>
    <row r="392" spans="1:235" s="85" customFormat="1" ht="13.5" customHeight="1">
      <c r="A392" s="108" t="s">
        <v>86</v>
      </c>
      <c r="B392" s="108"/>
      <c r="C392" s="108"/>
      <c r="D392" s="119">
        <f>D396+D403+D448+D462</f>
        <v>1536000.002</v>
      </c>
      <c r="E392" s="119"/>
      <c r="F392" s="119">
        <f>F396+F403+F448+F462</f>
        <v>1536000.002</v>
      </c>
      <c r="G392" s="119">
        <f>G396+G403+G453+G462+G448</f>
        <v>2119999.9981255997</v>
      </c>
      <c r="H392" s="119">
        <f aca="true" t="shared" si="39" ref="H392:M392">H396+H403</f>
        <v>0</v>
      </c>
      <c r="I392" s="119">
        <f>I396+I403</f>
        <v>0</v>
      </c>
      <c r="J392" s="119">
        <f>J396+J403+J453+J462+J448</f>
        <v>2119999.9981255997</v>
      </c>
      <c r="K392" s="119" t="e">
        <f t="shared" si="39"/>
        <v>#REF!</v>
      </c>
      <c r="L392" s="119">
        <f t="shared" si="39"/>
        <v>0</v>
      </c>
      <c r="M392" s="119">
        <f t="shared" si="39"/>
        <v>0</v>
      </c>
      <c r="N392" s="119">
        <f>N396+N403+N453+N462+N448</f>
        <v>2344999.999987</v>
      </c>
      <c r="O392" s="119">
        <f>O396+O403</f>
        <v>0</v>
      </c>
      <c r="P392" s="119">
        <f>N392+O392</f>
        <v>2344999.999987</v>
      </c>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row>
    <row r="393" spans="1:235" s="85" customFormat="1" ht="12.75">
      <c r="A393" s="124" t="s">
        <v>340</v>
      </c>
      <c r="B393" s="108"/>
      <c r="C393" s="108"/>
      <c r="D393" s="119">
        <f>D412+D426</f>
        <v>353680</v>
      </c>
      <c r="E393" s="119">
        <f aca="true" t="shared" si="40" ref="E393:P393">E412+E426</f>
        <v>0</v>
      </c>
      <c r="F393" s="119">
        <f t="shared" si="40"/>
        <v>353680</v>
      </c>
      <c r="G393" s="119">
        <f t="shared" si="40"/>
        <v>0</v>
      </c>
      <c r="H393" s="119">
        <f t="shared" si="40"/>
        <v>0</v>
      </c>
      <c r="I393" s="119">
        <f t="shared" si="40"/>
        <v>0</v>
      </c>
      <c r="J393" s="119">
        <f t="shared" si="40"/>
        <v>0</v>
      </c>
      <c r="K393" s="119">
        <f t="shared" si="40"/>
        <v>0</v>
      </c>
      <c r="L393" s="119">
        <f t="shared" si="40"/>
        <v>0</v>
      </c>
      <c r="M393" s="119">
        <f t="shared" si="40"/>
        <v>0</v>
      </c>
      <c r="N393" s="119">
        <f t="shared" si="40"/>
        <v>0</v>
      </c>
      <c r="O393" s="119">
        <f>O412+O426</f>
        <v>0</v>
      </c>
      <c r="P393" s="119">
        <f t="shared" si="40"/>
        <v>0</v>
      </c>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row>
    <row r="394" spans="1:235" s="85" customFormat="1" ht="12.75">
      <c r="A394" s="124" t="s">
        <v>341</v>
      </c>
      <c r="B394" s="108"/>
      <c r="C394" s="108"/>
      <c r="D394" s="119">
        <f>D419+D437</f>
        <v>0</v>
      </c>
      <c r="E394" s="119">
        <f aca="true" t="shared" si="41" ref="E394:P394">E419+E437</f>
        <v>0</v>
      </c>
      <c r="F394" s="119">
        <f t="shared" si="41"/>
        <v>0</v>
      </c>
      <c r="G394" s="119">
        <f>G419+G437</f>
        <v>219999.99999799998</v>
      </c>
      <c r="H394" s="119">
        <f t="shared" si="41"/>
        <v>0</v>
      </c>
      <c r="I394" s="119">
        <f t="shared" si="41"/>
        <v>0</v>
      </c>
      <c r="J394" s="119">
        <f t="shared" si="41"/>
        <v>219999.99999799998</v>
      </c>
      <c r="K394" s="119">
        <f t="shared" si="41"/>
        <v>0</v>
      </c>
      <c r="L394" s="119">
        <f t="shared" si="41"/>
        <v>0</v>
      </c>
      <c r="M394" s="119">
        <f t="shared" si="41"/>
        <v>0</v>
      </c>
      <c r="N394" s="119">
        <f t="shared" si="41"/>
        <v>419213.19999932</v>
      </c>
      <c r="O394" s="119">
        <f>O419+O437</f>
        <v>0</v>
      </c>
      <c r="P394" s="119">
        <f t="shared" si="41"/>
        <v>419213.19999932</v>
      </c>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row>
    <row r="395" spans="1:16" ht="36" customHeight="1">
      <c r="A395" s="21" t="s">
        <v>194</v>
      </c>
      <c r="B395" s="7"/>
      <c r="C395" s="7"/>
      <c r="D395" s="13"/>
      <c r="E395" s="13"/>
      <c r="F395" s="13"/>
      <c r="G395" s="13"/>
      <c r="H395" s="13"/>
      <c r="I395" s="13"/>
      <c r="J395" s="13"/>
      <c r="K395" s="17"/>
      <c r="L395" s="10"/>
      <c r="M395" s="10"/>
      <c r="N395" s="13"/>
      <c r="O395" s="13"/>
      <c r="P395" s="13"/>
    </row>
    <row r="396" spans="1:235" s="92" customFormat="1" ht="22.5">
      <c r="A396" s="82" t="s">
        <v>370</v>
      </c>
      <c r="B396" s="88"/>
      <c r="C396" s="88"/>
      <c r="D396" s="89">
        <f>D398</f>
        <v>1385000</v>
      </c>
      <c r="E396" s="89"/>
      <c r="F396" s="89">
        <f>D396</f>
        <v>1385000</v>
      </c>
      <c r="G396" s="89">
        <f>G400*G402</f>
        <v>1659999.999996</v>
      </c>
      <c r="H396" s="89"/>
      <c r="I396" s="89"/>
      <c r="J396" s="89">
        <f>G396</f>
        <v>1659999.999996</v>
      </c>
      <c r="K396" s="89"/>
      <c r="L396" s="89"/>
      <c r="M396" s="89"/>
      <c r="N396" s="89">
        <f>N400*N402</f>
        <v>1989999.999999</v>
      </c>
      <c r="O396" s="89"/>
      <c r="P396" s="89">
        <f>N396</f>
        <v>1989999.999999</v>
      </c>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row>
    <row r="397" spans="1:16" ht="11.25">
      <c r="A397" s="20" t="s">
        <v>58</v>
      </c>
      <c r="B397" s="5"/>
      <c r="C397" s="5"/>
      <c r="D397" s="130"/>
      <c r="E397" s="130"/>
      <c r="F397" s="130"/>
      <c r="G397" s="130"/>
      <c r="H397" s="130"/>
      <c r="I397" s="130"/>
      <c r="J397" s="130"/>
      <c r="K397" s="17"/>
      <c r="L397" s="128"/>
      <c r="M397" s="128"/>
      <c r="N397" s="130"/>
      <c r="O397" s="130"/>
      <c r="P397" s="130"/>
    </row>
    <row r="398" spans="1:16" ht="12" customHeight="1">
      <c r="A398" s="21" t="s">
        <v>63</v>
      </c>
      <c r="B398" s="7"/>
      <c r="C398" s="7"/>
      <c r="D398" s="14">
        <v>1385000</v>
      </c>
      <c r="E398" s="14"/>
      <c r="F398" s="14">
        <f>D398</f>
        <v>1385000</v>
      </c>
      <c r="G398" s="14">
        <f>G400*G402</f>
        <v>1659999.999996</v>
      </c>
      <c r="H398" s="14"/>
      <c r="I398" s="14"/>
      <c r="J398" s="14">
        <f>G398</f>
        <v>1659999.999996</v>
      </c>
      <c r="K398" s="17">
        <f>G398/D398*100</f>
        <v>119.85559566758121</v>
      </c>
      <c r="L398" s="17"/>
      <c r="M398" s="17"/>
      <c r="N398" s="14">
        <f>N400*N402</f>
        <v>1989999.999999</v>
      </c>
      <c r="O398" s="14"/>
      <c r="P398" s="14">
        <f>N398</f>
        <v>1989999.999999</v>
      </c>
    </row>
    <row r="399" spans="1:16" ht="11.25">
      <c r="A399" s="20" t="s">
        <v>5</v>
      </c>
      <c r="B399" s="5"/>
      <c r="C399" s="5"/>
      <c r="D399" s="130"/>
      <c r="E399" s="130"/>
      <c r="F399" s="14"/>
      <c r="G399" s="130"/>
      <c r="H399" s="130"/>
      <c r="I399" s="130"/>
      <c r="J399" s="14"/>
      <c r="K399" s="17"/>
      <c r="L399" s="128"/>
      <c r="M399" s="128"/>
      <c r="N399" s="130"/>
      <c r="O399" s="130"/>
      <c r="P399" s="14"/>
    </row>
    <row r="400" spans="1:16" ht="22.5">
      <c r="A400" s="21" t="s">
        <v>195</v>
      </c>
      <c r="B400" s="7"/>
      <c r="C400" s="7"/>
      <c r="D400" s="14">
        <v>9</v>
      </c>
      <c r="E400" s="14"/>
      <c r="F400" s="14">
        <f>D400</f>
        <v>9</v>
      </c>
      <c r="G400" s="14">
        <v>9</v>
      </c>
      <c r="H400" s="14"/>
      <c r="I400" s="14"/>
      <c r="J400" s="14">
        <f>G400</f>
        <v>9</v>
      </c>
      <c r="K400" s="17">
        <f>G400/D400*100</f>
        <v>100</v>
      </c>
      <c r="L400" s="17"/>
      <c r="M400" s="17"/>
      <c r="N400" s="14">
        <v>9</v>
      </c>
      <c r="O400" s="14"/>
      <c r="P400" s="14">
        <f>N400</f>
        <v>9</v>
      </c>
    </row>
    <row r="401" spans="1:16" ht="11.25">
      <c r="A401" s="20" t="s">
        <v>7</v>
      </c>
      <c r="B401" s="5"/>
      <c r="C401" s="5"/>
      <c r="D401" s="130"/>
      <c r="E401" s="130"/>
      <c r="F401" s="14"/>
      <c r="G401" s="130"/>
      <c r="H401" s="130"/>
      <c r="I401" s="130"/>
      <c r="J401" s="14"/>
      <c r="K401" s="17"/>
      <c r="L401" s="128"/>
      <c r="M401" s="128"/>
      <c r="N401" s="130"/>
      <c r="O401" s="130"/>
      <c r="P401" s="14"/>
    </row>
    <row r="402" spans="1:16" ht="22.5">
      <c r="A402" s="21" t="s">
        <v>196</v>
      </c>
      <c r="B402" s="7"/>
      <c r="C402" s="7"/>
      <c r="D402" s="14">
        <f>D398/D400+0.11</f>
        <v>153888.99888888886</v>
      </c>
      <c r="E402" s="14"/>
      <c r="F402" s="14">
        <f>D402</f>
        <v>153888.99888888886</v>
      </c>
      <c r="G402" s="14">
        <v>184444.444444</v>
      </c>
      <c r="H402" s="14"/>
      <c r="I402" s="14"/>
      <c r="J402" s="14">
        <f>G402</f>
        <v>184444.444444</v>
      </c>
      <c r="K402" s="17">
        <f>G402/D402*100</f>
        <v>119.85550999468961</v>
      </c>
      <c r="L402" s="17"/>
      <c r="M402" s="17"/>
      <c r="N402" s="14">
        <v>221111.111111</v>
      </c>
      <c r="O402" s="14"/>
      <c r="P402" s="14">
        <f>N402</f>
        <v>221111.111111</v>
      </c>
    </row>
    <row r="403" spans="1:235" s="92" customFormat="1" ht="24" customHeight="1">
      <c r="A403" s="82" t="s">
        <v>371</v>
      </c>
      <c r="B403" s="88"/>
      <c r="C403" s="88"/>
      <c r="D403" s="131">
        <f>D407*D409-216</f>
        <v>99784</v>
      </c>
      <c r="E403" s="131"/>
      <c r="F403" s="131">
        <f>F407*F409-216</f>
        <v>99784</v>
      </c>
      <c r="G403" s="131">
        <f aca="true" t="shared" si="42" ref="G403:P403">G407*G409</f>
        <v>182699.99813</v>
      </c>
      <c r="H403" s="131"/>
      <c r="I403" s="131"/>
      <c r="J403" s="131">
        <f t="shared" si="42"/>
        <v>182699.99813</v>
      </c>
      <c r="K403" s="131" t="e">
        <f t="shared" si="42"/>
        <v>#REF!</v>
      </c>
      <c r="L403" s="131">
        <f t="shared" si="42"/>
        <v>0</v>
      </c>
      <c r="M403" s="131">
        <f t="shared" si="42"/>
        <v>0</v>
      </c>
      <c r="N403" s="131">
        <f t="shared" si="42"/>
        <v>100000</v>
      </c>
      <c r="O403" s="131"/>
      <c r="P403" s="131">
        <f t="shared" si="42"/>
        <v>100000</v>
      </c>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row>
    <row r="404" spans="1:16" ht="11.25">
      <c r="A404" s="20" t="s">
        <v>58</v>
      </c>
      <c r="B404" s="5"/>
      <c r="C404" s="5"/>
      <c r="D404" s="132"/>
      <c r="E404" s="132"/>
      <c r="F404" s="132"/>
      <c r="G404" s="130"/>
      <c r="H404" s="130"/>
      <c r="I404" s="130"/>
      <c r="J404" s="130"/>
      <c r="K404" s="17"/>
      <c r="L404" s="128"/>
      <c r="M404" s="128"/>
      <c r="N404" s="130"/>
      <c r="O404" s="130"/>
      <c r="P404" s="130"/>
    </row>
    <row r="405" spans="1:16" ht="23.25" customHeight="1">
      <c r="A405" s="21" t="s">
        <v>199</v>
      </c>
      <c r="B405" s="7"/>
      <c r="C405" s="7"/>
      <c r="D405" s="132">
        <v>1752</v>
      </c>
      <c r="E405" s="132"/>
      <c r="F405" s="132">
        <f>D405</f>
        <v>1752</v>
      </c>
      <c r="G405" s="132">
        <v>1752</v>
      </c>
      <c r="H405" s="132"/>
      <c r="I405" s="132"/>
      <c r="J405" s="132">
        <f>G405</f>
        <v>1752</v>
      </c>
      <c r="K405" s="17" t="e">
        <f>#REF!/G405*100</f>
        <v>#REF!</v>
      </c>
      <c r="L405" s="17"/>
      <c r="M405" s="17"/>
      <c r="N405" s="132">
        <v>1752</v>
      </c>
      <c r="O405" s="132"/>
      <c r="P405" s="132">
        <f>N405</f>
        <v>1752</v>
      </c>
    </row>
    <row r="406" spans="1:16" ht="11.25">
      <c r="A406" s="20" t="s">
        <v>5</v>
      </c>
      <c r="B406" s="5"/>
      <c r="C406" s="5"/>
      <c r="D406" s="132"/>
      <c r="E406" s="132"/>
      <c r="F406" s="132"/>
      <c r="G406" s="130"/>
      <c r="H406" s="130"/>
      <c r="I406" s="130"/>
      <c r="J406" s="14"/>
      <c r="K406" s="17"/>
      <c r="L406" s="128"/>
      <c r="M406" s="128"/>
      <c r="N406" s="130"/>
      <c r="O406" s="130"/>
      <c r="P406" s="14"/>
    </row>
    <row r="407" spans="1:16" ht="24" customHeight="1">
      <c r="A407" s="21" t="s">
        <v>197</v>
      </c>
      <c r="B407" s="7"/>
      <c r="C407" s="7"/>
      <c r="D407" s="132">
        <v>625</v>
      </c>
      <c r="E407" s="132"/>
      <c r="F407" s="132">
        <f>D407</f>
        <v>625</v>
      </c>
      <c r="G407" s="132">
        <v>751</v>
      </c>
      <c r="H407" s="132"/>
      <c r="I407" s="132"/>
      <c r="J407" s="132">
        <f>G407</f>
        <v>751</v>
      </c>
      <c r="K407" s="17" t="e">
        <f>#REF!/G407*100</f>
        <v>#REF!</v>
      </c>
      <c r="L407" s="17"/>
      <c r="M407" s="17"/>
      <c r="N407" s="132">
        <v>625</v>
      </c>
      <c r="O407" s="132"/>
      <c r="P407" s="132">
        <f>N407</f>
        <v>625</v>
      </c>
    </row>
    <row r="408" spans="1:16" ht="11.25">
      <c r="A408" s="20" t="s">
        <v>7</v>
      </c>
      <c r="B408" s="5"/>
      <c r="C408" s="5"/>
      <c r="D408" s="132"/>
      <c r="E408" s="132"/>
      <c r="F408" s="132"/>
      <c r="G408" s="132"/>
      <c r="H408" s="132"/>
      <c r="I408" s="132"/>
      <c r="J408" s="132"/>
      <c r="K408" s="17"/>
      <c r="L408" s="128"/>
      <c r="M408" s="128"/>
      <c r="N408" s="132"/>
      <c r="O408" s="132"/>
      <c r="P408" s="132"/>
    </row>
    <row r="409" spans="1:16" ht="24" customHeight="1">
      <c r="A409" s="21" t="s">
        <v>60</v>
      </c>
      <c r="B409" s="7"/>
      <c r="C409" s="7"/>
      <c r="D409" s="132">
        <v>160</v>
      </c>
      <c r="E409" s="132"/>
      <c r="F409" s="132">
        <f>D409</f>
        <v>160</v>
      </c>
      <c r="G409" s="132">
        <v>243.27563</v>
      </c>
      <c r="H409" s="132"/>
      <c r="I409" s="132"/>
      <c r="J409" s="132">
        <f>G409</f>
        <v>243.27563</v>
      </c>
      <c r="K409" s="17" t="e">
        <f>#REF!/G409*100</f>
        <v>#REF!</v>
      </c>
      <c r="L409" s="17"/>
      <c r="M409" s="17"/>
      <c r="N409" s="132">
        <v>160</v>
      </c>
      <c r="O409" s="132"/>
      <c r="P409" s="132">
        <f>N409</f>
        <v>160</v>
      </c>
    </row>
    <row r="410" spans="1:16" ht="11.25">
      <c r="A410" s="54" t="s">
        <v>6</v>
      </c>
      <c r="B410" s="53"/>
      <c r="C410" s="53"/>
      <c r="D410" s="132"/>
      <c r="E410" s="132"/>
      <c r="F410" s="132"/>
      <c r="G410" s="14"/>
      <c r="H410" s="14"/>
      <c r="I410" s="14"/>
      <c r="J410" s="14"/>
      <c r="K410" s="17"/>
      <c r="L410" s="17"/>
      <c r="M410" s="17"/>
      <c r="N410" s="14"/>
      <c r="O410" s="14"/>
      <c r="P410" s="14"/>
    </row>
    <row r="411" spans="1:16" ht="39" customHeight="1">
      <c r="A411" s="55" t="s">
        <v>198</v>
      </c>
      <c r="B411" s="53"/>
      <c r="C411" s="53"/>
      <c r="D411" s="132">
        <f>D407/D405*100</f>
        <v>35.67351598173516</v>
      </c>
      <c r="E411" s="132"/>
      <c r="F411" s="132">
        <f>D411</f>
        <v>35.67351598173516</v>
      </c>
      <c r="G411" s="132">
        <f>G407/G405*100</f>
        <v>42.86529680365297</v>
      </c>
      <c r="H411" s="132"/>
      <c r="I411" s="132"/>
      <c r="J411" s="132">
        <f>G411</f>
        <v>42.86529680365297</v>
      </c>
      <c r="K411" s="17"/>
      <c r="L411" s="17"/>
      <c r="M411" s="17"/>
      <c r="N411" s="132">
        <f>N407/N405*100</f>
        <v>35.67351598173516</v>
      </c>
      <c r="O411" s="132"/>
      <c r="P411" s="132">
        <f>N411</f>
        <v>35.67351598173516</v>
      </c>
    </row>
    <row r="412" spans="1:235" s="92" customFormat="1" ht="36.75" customHeight="1">
      <c r="A412" s="96" t="s">
        <v>372</v>
      </c>
      <c r="B412" s="96"/>
      <c r="C412" s="96"/>
      <c r="D412" s="133">
        <f>D416*D418</f>
        <v>60000</v>
      </c>
      <c r="E412" s="133"/>
      <c r="F412" s="133">
        <f>F416*F418</f>
        <v>60000</v>
      </c>
      <c r="G412" s="133">
        <f>G416*G418</f>
        <v>0</v>
      </c>
      <c r="H412" s="133"/>
      <c r="I412" s="133"/>
      <c r="J412" s="133">
        <f>G412+H412</f>
        <v>0</v>
      </c>
      <c r="K412" s="133"/>
      <c r="L412" s="133"/>
      <c r="M412" s="133"/>
      <c r="N412" s="133">
        <f>N416*N418</f>
        <v>0</v>
      </c>
      <c r="O412" s="133"/>
      <c r="P412" s="133">
        <f>N412</f>
        <v>0</v>
      </c>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row>
    <row r="413" spans="1:16" ht="11.25">
      <c r="A413" s="43" t="s">
        <v>4</v>
      </c>
      <c r="B413" s="32"/>
      <c r="C413" s="32"/>
      <c r="D413" s="134"/>
      <c r="E413" s="134"/>
      <c r="F413" s="134"/>
      <c r="G413" s="134"/>
      <c r="H413" s="134"/>
      <c r="I413" s="134"/>
      <c r="J413" s="134"/>
      <c r="K413" s="35"/>
      <c r="L413" s="134"/>
      <c r="M413" s="134"/>
      <c r="N413" s="134"/>
      <c r="O413" s="134"/>
      <c r="P413" s="134"/>
    </row>
    <row r="414" spans="1:16" ht="15" customHeight="1">
      <c r="A414" s="44" t="s">
        <v>65</v>
      </c>
      <c r="B414" s="34"/>
      <c r="C414" s="34"/>
      <c r="D414" s="36">
        <f>D412/D418</f>
        <v>4</v>
      </c>
      <c r="E414" s="36"/>
      <c r="F414" s="36">
        <f>D414</f>
        <v>4</v>
      </c>
      <c r="G414" s="36">
        <v>0</v>
      </c>
      <c r="H414" s="36"/>
      <c r="I414" s="36"/>
      <c r="J414" s="36">
        <f>G414+H414</f>
        <v>0</v>
      </c>
      <c r="K414" s="36">
        <f>G414/D414*100</f>
        <v>0</v>
      </c>
      <c r="L414" s="36"/>
      <c r="M414" s="36"/>
      <c r="N414" s="36">
        <v>0</v>
      </c>
      <c r="O414" s="36"/>
      <c r="P414" s="36">
        <f>N414</f>
        <v>0</v>
      </c>
    </row>
    <row r="415" spans="1:16" ht="11.25">
      <c r="A415" s="43" t="s">
        <v>5</v>
      </c>
      <c r="B415" s="32"/>
      <c r="C415" s="32"/>
      <c r="D415" s="135"/>
      <c r="E415" s="135"/>
      <c r="F415" s="36"/>
      <c r="G415" s="135"/>
      <c r="H415" s="135"/>
      <c r="I415" s="135"/>
      <c r="J415" s="36"/>
      <c r="K415" s="36"/>
      <c r="L415" s="135"/>
      <c r="M415" s="135"/>
      <c r="N415" s="135"/>
      <c r="O415" s="135"/>
      <c r="P415" s="36"/>
    </row>
    <row r="416" spans="1:16" ht="24" customHeight="1">
      <c r="A416" s="44" t="s">
        <v>66</v>
      </c>
      <c r="B416" s="34"/>
      <c r="C416" s="34"/>
      <c r="D416" s="36">
        <v>4</v>
      </c>
      <c r="E416" s="36"/>
      <c r="F416" s="36">
        <f>D416</f>
        <v>4</v>
      </c>
      <c r="G416" s="36">
        <v>0</v>
      </c>
      <c r="H416" s="36"/>
      <c r="I416" s="36"/>
      <c r="J416" s="36">
        <f>G416+H416</f>
        <v>0</v>
      </c>
      <c r="K416" s="36">
        <f>G416/D416*100</f>
        <v>0</v>
      </c>
      <c r="L416" s="36"/>
      <c r="M416" s="36"/>
      <c r="N416" s="36">
        <v>0</v>
      </c>
      <c r="O416" s="36"/>
      <c r="P416" s="36">
        <f>N416</f>
        <v>0</v>
      </c>
    </row>
    <row r="417" spans="1:16" ht="11.25">
      <c r="A417" s="43" t="s">
        <v>7</v>
      </c>
      <c r="B417" s="32"/>
      <c r="C417" s="32"/>
      <c r="D417" s="134"/>
      <c r="E417" s="134"/>
      <c r="F417" s="35"/>
      <c r="G417" s="134"/>
      <c r="H417" s="134"/>
      <c r="I417" s="134"/>
      <c r="J417" s="35"/>
      <c r="K417" s="35"/>
      <c r="L417" s="134"/>
      <c r="M417" s="134"/>
      <c r="N417" s="134"/>
      <c r="O417" s="134"/>
      <c r="P417" s="35"/>
    </row>
    <row r="418" spans="1:16" ht="24" customHeight="1">
      <c r="A418" s="44" t="s">
        <v>67</v>
      </c>
      <c r="B418" s="34"/>
      <c r="C418" s="34"/>
      <c r="D418" s="35">
        <v>15000</v>
      </c>
      <c r="E418" s="35"/>
      <c r="F418" s="35">
        <f>D418</f>
        <v>15000</v>
      </c>
      <c r="G418" s="35">
        <v>0</v>
      </c>
      <c r="H418" s="35"/>
      <c r="I418" s="35"/>
      <c r="J418" s="35">
        <f>G418</f>
        <v>0</v>
      </c>
      <c r="K418" s="35">
        <f>G418/D418*100</f>
        <v>0</v>
      </c>
      <c r="L418" s="35"/>
      <c r="M418" s="35"/>
      <c r="N418" s="35">
        <v>0</v>
      </c>
      <c r="O418" s="35"/>
      <c r="P418" s="35">
        <f>N418</f>
        <v>0</v>
      </c>
    </row>
    <row r="419" spans="1:235" s="92" customFormat="1" ht="36.75" customHeight="1">
      <c r="A419" s="96" t="s">
        <v>373</v>
      </c>
      <c r="B419" s="96"/>
      <c r="C419" s="96"/>
      <c r="D419" s="133">
        <f>D423*D425</f>
        <v>0</v>
      </c>
      <c r="E419" s="133"/>
      <c r="F419" s="133">
        <f>F423*F425</f>
        <v>0</v>
      </c>
      <c r="G419" s="133">
        <f>G423*G425</f>
        <v>119999.9999996</v>
      </c>
      <c r="H419" s="133"/>
      <c r="I419" s="133"/>
      <c r="J419" s="133">
        <f>G419+H419</f>
        <v>119999.9999996</v>
      </c>
      <c r="K419" s="133"/>
      <c r="L419" s="133"/>
      <c r="M419" s="133"/>
      <c r="N419" s="133">
        <f>N423*N425</f>
        <v>119999.9999996</v>
      </c>
      <c r="O419" s="133"/>
      <c r="P419" s="133">
        <f>N419</f>
        <v>119999.9999996</v>
      </c>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row>
    <row r="420" spans="1:16" ht="11.25">
      <c r="A420" s="43" t="s">
        <v>4</v>
      </c>
      <c r="B420" s="32"/>
      <c r="C420" s="32"/>
      <c r="D420" s="134"/>
      <c r="E420" s="134"/>
      <c r="F420" s="134"/>
      <c r="G420" s="134"/>
      <c r="H420" s="134"/>
      <c r="I420" s="134"/>
      <c r="J420" s="134"/>
      <c r="K420" s="35"/>
      <c r="L420" s="134"/>
      <c r="M420" s="134"/>
      <c r="N420" s="134"/>
      <c r="O420" s="134"/>
      <c r="P420" s="134"/>
    </row>
    <row r="421" spans="1:16" ht="15" customHeight="1">
      <c r="A421" s="44" t="s">
        <v>65</v>
      </c>
      <c r="B421" s="34"/>
      <c r="C421" s="34"/>
      <c r="D421" s="36">
        <v>0</v>
      </c>
      <c r="E421" s="36"/>
      <c r="F421" s="36">
        <f>D421</f>
        <v>0</v>
      </c>
      <c r="G421" s="36">
        <v>7</v>
      </c>
      <c r="H421" s="36"/>
      <c r="I421" s="36"/>
      <c r="J421" s="36">
        <f>G421+H421</f>
        <v>7</v>
      </c>
      <c r="K421" s="36" t="e">
        <f>G421/D421*100</f>
        <v>#DIV/0!</v>
      </c>
      <c r="L421" s="36"/>
      <c r="M421" s="36"/>
      <c r="N421" s="36">
        <v>7</v>
      </c>
      <c r="O421" s="36"/>
      <c r="P421" s="36">
        <f>N421</f>
        <v>7</v>
      </c>
    </row>
    <row r="422" spans="1:16" ht="11.25">
      <c r="A422" s="43" t="s">
        <v>5</v>
      </c>
      <c r="B422" s="32"/>
      <c r="C422" s="32"/>
      <c r="D422" s="135"/>
      <c r="E422" s="135"/>
      <c r="F422" s="36"/>
      <c r="G422" s="135"/>
      <c r="H422" s="135"/>
      <c r="I422" s="135"/>
      <c r="J422" s="36"/>
      <c r="K422" s="36"/>
      <c r="L422" s="135"/>
      <c r="M422" s="135"/>
      <c r="N422" s="135"/>
      <c r="O422" s="135"/>
      <c r="P422" s="36"/>
    </row>
    <row r="423" spans="1:16" ht="24" customHeight="1">
      <c r="A423" s="44" t="s">
        <v>66</v>
      </c>
      <c r="B423" s="34"/>
      <c r="C423" s="34"/>
      <c r="D423" s="36">
        <v>0</v>
      </c>
      <c r="E423" s="36"/>
      <c r="F423" s="36">
        <f>D423</f>
        <v>0</v>
      </c>
      <c r="G423" s="36">
        <v>7</v>
      </c>
      <c r="H423" s="36"/>
      <c r="I423" s="36"/>
      <c r="J423" s="36">
        <f>G423+H423</f>
        <v>7</v>
      </c>
      <c r="K423" s="36" t="e">
        <f>G423/D423*100</f>
        <v>#DIV/0!</v>
      </c>
      <c r="L423" s="36"/>
      <c r="M423" s="36"/>
      <c r="N423" s="36">
        <v>7</v>
      </c>
      <c r="O423" s="36"/>
      <c r="P423" s="36">
        <f>N423</f>
        <v>7</v>
      </c>
    </row>
    <row r="424" spans="1:16" ht="11.25">
      <c r="A424" s="43" t="s">
        <v>7</v>
      </c>
      <c r="B424" s="32"/>
      <c r="C424" s="32"/>
      <c r="D424" s="134"/>
      <c r="E424" s="134"/>
      <c r="F424" s="35"/>
      <c r="G424" s="134"/>
      <c r="H424" s="134"/>
      <c r="I424" s="134"/>
      <c r="J424" s="35"/>
      <c r="K424" s="35"/>
      <c r="L424" s="134"/>
      <c r="M424" s="134"/>
      <c r="N424" s="134"/>
      <c r="O424" s="134"/>
      <c r="P424" s="35"/>
    </row>
    <row r="425" spans="1:16" ht="24" customHeight="1">
      <c r="A425" s="44" t="s">
        <v>67</v>
      </c>
      <c r="B425" s="34"/>
      <c r="C425" s="34"/>
      <c r="D425" s="35">
        <v>0</v>
      </c>
      <c r="E425" s="35"/>
      <c r="F425" s="35">
        <f>D425</f>
        <v>0</v>
      </c>
      <c r="G425" s="35">
        <v>17142.8571428</v>
      </c>
      <c r="H425" s="35"/>
      <c r="I425" s="35"/>
      <c r="J425" s="35">
        <f>G425</f>
        <v>17142.8571428</v>
      </c>
      <c r="K425" s="35" t="e">
        <f>G425/D425*100</f>
        <v>#DIV/0!</v>
      </c>
      <c r="L425" s="35"/>
      <c r="M425" s="35"/>
      <c r="N425" s="35">
        <v>17142.8571428</v>
      </c>
      <c r="O425" s="35"/>
      <c r="P425" s="35">
        <f>N425</f>
        <v>17142.8571428</v>
      </c>
    </row>
    <row r="426" spans="1:235" s="92" customFormat="1" ht="33.75">
      <c r="A426" s="96" t="s">
        <v>374</v>
      </c>
      <c r="B426" s="96"/>
      <c r="C426" s="96"/>
      <c r="D426" s="100">
        <f>(D430*D435)+(D431*D436)+2.8</f>
        <v>293680</v>
      </c>
      <c r="E426" s="100"/>
      <c r="F426" s="100">
        <f>D426</f>
        <v>293680</v>
      </c>
      <c r="G426" s="100"/>
      <c r="H426" s="100"/>
      <c r="I426" s="100"/>
      <c r="J426" s="100"/>
      <c r="K426" s="100"/>
      <c r="L426" s="100"/>
      <c r="M426" s="100"/>
      <c r="N426" s="100"/>
      <c r="O426" s="100"/>
      <c r="P426" s="100"/>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200</v>
      </c>
      <c r="B428" s="34"/>
      <c r="C428" s="34"/>
      <c r="D428" s="36"/>
      <c r="E428" s="36"/>
      <c r="F428" s="36">
        <v>230</v>
      </c>
      <c r="G428" s="36"/>
      <c r="H428" s="36"/>
      <c r="I428" s="36"/>
      <c r="J428" s="36"/>
      <c r="K428" s="36"/>
      <c r="L428" s="36"/>
      <c r="M428" s="36"/>
      <c r="N428" s="36"/>
      <c r="O428" s="36"/>
      <c r="P428" s="36"/>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201</v>
      </c>
      <c r="B430" s="34"/>
      <c r="C430" s="34"/>
      <c r="D430" s="36">
        <v>180</v>
      </c>
      <c r="E430" s="36"/>
      <c r="F430" s="36">
        <f>D430</f>
        <v>180</v>
      </c>
      <c r="G430" s="36"/>
      <c r="H430" s="36"/>
      <c r="I430" s="36"/>
      <c r="J430" s="36"/>
      <c r="K430" s="36"/>
      <c r="L430" s="36"/>
      <c r="M430" s="36"/>
      <c r="N430" s="36"/>
      <c r="O430" s="36"/>
      <c r="P430" s="36"/>
    </row>
    <row r="431" spans="1:16" ht="27" customHeight="1">
      <c r="A431" s="44" t="s">
        <v>202</v>
      </c>
      <c r="B431" s="34"/>
      <c r="C431" s="34"/>
      <c r="D431" s="36">
        <v>540</v>
      </c>
      <c r="E431" s="36"/>
      <c r="F431" s="36">
        <f>D431</f>
        <v>540</v>
      </c>
      <c r="G431" s="36"/>
      <c r="H431" s="36"/>
      <c r="I431" s="36"/>
      <c r="J431" s="36"/>
      <c r="K431" s="36"/>
      <c r="L431" s="36"/>
      <c r="M431" s="36"/>
      <c r="N431" s="36"/>
      <c r="O431" s="36"/>
      <c r="P431" s="36"/>
    </row>
    <row r="432" spans="1:16" ht="11.25">
      <c r="A432" s="43" t="s">
        <v>7</v>
      </c>
      <c r="B432" s="32"/>
      <c r="C432" s="32"/>
      <c r="D432" s="135"/>
      <c r="E432" s="135"/>
      <c r="F432" s="36"/>
      <c r="G432" s="135"/>
      <c r="H432" s="135"/>
      <c r="I432" s="135"/>
      <c r="J432" s="36"/>
      <c r="K432" s="37"/>
      <c r="L432" s="103"/>
      <c r="M432" s="103"/>
      <c r="N432" s="135"/>
      <c r="O432" s="135"/>
      <c r="P432" s="36"/>
    </row>
    <row r="433" spans="1:16" ht="35.25" customHeight="1">
      <c r="A433" s="44" t="s">
        <v>203</v>
      </c>
      <c r="B433" s="34"/>
      <c r="C433" s="34"/>
      <c r="D433" s="36"/>
      <c r="E433" s="36"/>
      <c r="F433" s="36">
        <f>D433</f>
        <v>0</v>
      </c>
      <c r="G433" s="36"/>
      <c r="H433" s="36"/>
      <c r="I433" s="36"/>
      <c r="J433" s="36"/>
      <c r="K433" s="37"/>
      <c r="L433" s="37"/>
      <c r="M433" s="37"/>
      <c r="N433" s="36"/>
      <c r="O433" s="36"/>
      <c r="P433" s="36"/>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201</v>
      </c>
      <c r="B435" s="34"/>
      <c r="C435" s="34"/>
      <c r="D435" s="36">
        <v>122.96</v>
      </c>
      <c r="E435" s="36"/>
      <c r="F435" s="36">
        <f>D435</f>
        <v>122.96</v>
      </c>
      <c r="G435" s="36"/>
      <c r="H435" s="36"/>
      <c r="I435" s="36"/>
      <c r="J435" s="36"/>
      <c r="K435" s="38"/>
      <c r="L435" s="38"/>
      <c r="M435" s="38"/>
      <c r="N435" s="36"/>
      <c r="O435" s="36"/>
      <c r="P435" s="36"/>
    </row>
    <row r="436" spans="1:16" ht="24" customHeight="1">
      <c r="A436" s="44" t="s">
        <v>202</v>
      </c>
      <c r="B436" s="34"/>
      <c r="C436" s="34"/>
      <c r="D436" s="36">
        <v>502.86</v>
      </c>
      <c r="E436" s="36"/>
      <c r="F436" s="36">
        <f>D436</f>
        <v>502.86</v>
      </c>
      <c r="G436" s="36"/>
      <c r="H436" s="36"/>
      <c r="I436" s="36"/>
      <c r="J436" s="36"/>
      <c r="K436" s="38"/>
      <c r="L436" s="38"/>
      <c r="M436" s="38"/>
      <c r="N436" s="36"/>
      <c r="O436" s="36"/>
      <c r="P436" s="36"/>
    </row>
    <row r="437" spans="1:235" s="92" customFormat="1" ht="33.75">
      <c r="A437" s="96" t="s">
        <v>375</v>
      </c>
      <c r="B437" s="96"/>
      <c r="C437" s="96"/>
      <c r="D437" s="100"/>
      <c r="E437" s="100"/>
      <c r="F437" s="100"/>
      <c r="G437" s="100">
        <f>G441*G446+G442*G447</f>
        <v>99999.9999984</v>
      </c>
      <c r="H437" s="100"/>
      <c r="I437" s="100"/>
      <c r="J437" s="100">
        <f>G437+H437</f>
        <v>99999.9999984</v>
      </c>
      <c r="K437" s="100"/>
      <c r="L437" s="100"/>
      <c r="M437" s="100"/>
      <c r="N437" s="100">
        <f>(N441*N446)+(N442*N447)</f>
        <v>299213.19999972</v>
      </c>
      <c r="O437" s="100"/>
      <c r="P437" s="100">
        <f>N437</f>
        <v>299213.19999972</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1.25">
      <c r="A438" s="43" t="s">
        <v>5</v>
      </c>
      <c r="B438" s="32"/>
      <c r="C438" s="32"/>
      <c r="D438" s="134"/>
      <c r="E438" s="134"/>
      <c r="F438" s="35"/>
      <c r="G438" s="134"/>
      <c r="H438" s="134"/>
      <c r="I438" s="134"/>
      <c r="J438" s="35"/>
      <c r="K438" s="38"/>
      <c r="L438" s="136"/>
      <c r="M438" s="136"/>
      <c r="N438" s="134"/>
      <c r="O438" s="134"/>
      <c r="P438" s="35"/>
    </row>
    <row r="439" spans="1:16" ht="24" customHeight="1">
      <c r="A439" s="44" t="s">
        <v>200</v>
      </c>
      <c r="B439" s="34"/>
      <c r="C439" s="34"/>
      <c r="D439" s="36"/>
      <c r="E439" s="36"/>
      <c r="F439" s="36"/>
      <c r="G439" s="36">
        <v>270</v>
      </c>
      <c r="H439" s="36"/>
      <c r="I439" s="36"/>
      <c r="J439" s="36">
        <v>257</v>
      </c>
      <c r="K439" s="36" t="e">
        <f>G439/D439*100</f>
        <v>#DIV/0!</v>
      </c>
      <c r="L439" s="36"/>
      <c r="M439" s="36"/>
      <c r="N439" s="36">
        <v>765</v>
      </c>
      <c r="O439" s="36"/>
      <c r="P439" s="36">
        <v>765</v>
      </c>
    </row>
    <row r="440" spans="1:16" ht="13.5" customHeight="1">
      <c r="A440" s="44" t="s">
        <v>68</v>
      </c>
      <c r="B440" s="34"/>
      <c r="C440" s="34"/>
      <c r="D440" s="36"/>
      <c r="E440" s="36"/>
      <c r="F440" s="36"/>
      <c r="G440" s="36"/>
      <c r="H440" s="36"/>
      <c r="I440" s="36"/>
      <c r="J440" s="36"/>
      <c r="K440" s="36"/>
      <c r="L440" s="36"/>
      <c r="M440" s="36"/>
      <c r="N440" s="36"/>
      <c r="O440" s="36"/>
      <c r="P440" s="36"/>
    </row>
    <row r="441" spans="1:16" ht="23.25" customHeight="1">
      <c r="A441" s="44" t="s">
        <v>201</v>
      </c>
      <c r="B441" s="34"/>
      <c r="C441" s="34"/>
      <c r="D441" s="36"/>
      <c r="E441" s="36"/>
      <c r="F441" s="36"/>
      <c r="G441" s="36">
        <v>77</v>
      </c>
      <c r="H441" s="36"/>
      <c r="I441" s="36"/>
      <c r="J441" s="36">
        <f>G441+H441</f>
        <v>77</v>
      </c>
      <c r="K441" s="36"/>
      <c r="L441" s="36"/>
      <c r="M441" s="36"/>
      <c r="N441" s="36">
        <v>225</v>
      </c>
      <c r="O441" s="36"/>
      <c r="P441" s="36">
        <f>N441</f>
        <v>225</v>
      </c>
    </row>
    <row r="442" spans="1:16" ht="27" customHeight="1">
      <c r="A442" s="44" t="s">
        <v>202</v>
      </c>
      <c r="B442" s="34"/>
      <c r="C442" s="34"/>
      <c r="D442" s="36"/>
      <c r="E442" s="36"/>
      <c r="F442" s="36"/>
      <c r="G442" s="36">
        <v>180</v>
      </c>
      <c r="H442" s="36"/>
      <c r="I442" s="36"/>
      <c r="J442" s="36">
        <f>G442+H442</f>
        <v>180</v>
      </c>
      <c r="K442" s="36"/>
      <c r="L442" s="36"/>
      <c r="M442" s="36"/>
      <c r="N442" s="36">
        <v>540</v>
      </c>
      <c r="O442" s="36"/>
      <c r="P442" s="36">
        <f>N442</f>
        <v>540</v>
      </c>
    </row>
    <row r="443" spans="1:16" ht="11.25">
      <c r="A443" s="43" t="s">
        <v>7</v>
      </c>
      <c r="B443" s="32"/>
      <c r="C443" s="32"/>
      <c r="D443" s="135"/>
      <c r="E443" s="135"/>
      <c r="F443" s="36"/>
      <c r="G443" s="135"/>
      <c r="H443" s="135"/>
      <c r="I443" s="135"/>
      <c r="J443" s="36"/>
      <c r="K443" s="37"/>
      <c r="L443" s="103"/>
      <c r="M443" s="103"/>
      <c r="N443" s="135"/>
      <c r="O443" s="135"/>
      <c r="P443" s="36"/>
    </row>
    <row r="444" spans="1:16" ht="36" customHeight="1">
      <c r="A444" s="44" t="s">
        <v>203</v>
      </c>
      <c r="B444" s="34"/>
      <c r="C444" s="34"/>
      <c r="D444" s="36"/>
      <c r="E444" s="36"/>
      <c r="F444" s="36"/>
      <c r="G444" s="36"/>
      <c r="H444" s="36"/>
      <c r="I444" s="36"/>
      <c r="J444" s="36">
        <f>G444</f>
        <v>0</v>
      </c>
      <c r="K444" s="37" t="e">
        <f>G444/D444*100</f>
        <v>#DIV/0!</v>
      </c>
      <c r="L444" s="37"/>
      <c r="M444" s="37"/>
      <c r="N444" s="36"/>
      <c r="O444" s="36"/>
      <c r="P444" s="36">
        <f>N444</f>
        <v>0</v>
      </c>
    </row>
    <row r="445" spans="1:16" ht="11.25">
      <c r="A445" s="44" t="s">
        <v>68</v>
      </c>
      <c r="B445" s="34"/>
      <c r="C445" s="34"/>
      <c r="D445" s="35"/>
      <c r="E445" s="35"/>
      <c r="F445" s="35"/>
      <c r="G445" s="35"/>
      <c r="H445" s="35"/>
      <c r="I445" s="35"/>
      <c r="J445" s="35"/>
      <c r="K445" s="38"/>
      <c r="L445" s="38"/>
      <c r="M445" s="38"/>
      <c r="N445" s="35"/>
      <c r="O445" s="35"/>
      <c r="P445" s="35"/>
    </row>
    <row r="446" spans="1:16" ht="23.25" customHeight="1">
      <c r="A446" s="44" t="s">
        <v>201</v>
      </c>
      <c r="B446" s="34"/>
      <c r="C446" s="34"/>
      <c r="D446" s="36"/>
      <c r="E446" s="36"/>
      <c r="F446" s="36"/>
      <c r="G446" s="36">
        <v>123</v>
      </c>
      <c r="H446" s="36"/>
      <c r="I446" s="36"/>
      <c r="J446" s="36">
        <f>G446</f>
        <v>123</v>
      </c>
      <c r="K446" s="38"/>
      <c r="L446" s="38"/>
      <c r="M446" s="38"/>
      <c r="N446" s="36">
        <v>123</v>
      </c>
      <c r="O446" s="36"/>
      <c r="P446" s="36">
        <f>N446</f>
        <v>123</v>
      </c>
    </row>
    <row r="447" spans="1:16" ht="24" customHeight="1">
      <c r="A447" s="44" t="s">
        <v>202</v>
      </c>
      <c r="B447" s="34"/>
      <c r="C447" s="34"/>
      <c r="D447" s="36"/>
      <c r="E447" s="36"/>
      <c r="F447" s="36"/>
      <c r="G447" s="36">
        <v>502.93888888</v>
      </c>
      <c r="H447" s="36"/>
      <c r="I447" s="36"/>
      <c r="J447" s="36">
        <f>G447</f>
        <v>502.93888888</v>
      </c>
      <c r="K447" s="38"/>
      <c r="L447" s="38"/>
      <c r="M447" s="38"/>
      <c r="N447" s="36">
        <v>502.848518518</v>
      </c>
      <c r="O447" s="36"/>
      <c r="P447" s="36">
        <f>N447</f>
        <v>502.848518518</v>
      </c>
    </row>
    <row r="448" spans="1:235" s="92" customFormat="1" ht="24" customHeight="1">
      <c r="A448" s="96" t="s">
        <v>376</v>
      </c>
      <c r="B448" s="96"/>
      <c r="C448" s="96"/>
      <c r="D448" s="100">
        <f>(D450*D452)+0.02</f>
        <v>51000.002</v>
      </c>
      <c r="E448" s="100"/>
      <c r="F448" s="100">
        <f>D448</f>
        <v>51000.002</v>
      </c>
      <c r="G448" s="100">
        <v>75000</v>
      </c>
      <c r="H448" s="100"/>
      <c r="I448" s="100"/>
      <c r="J448" s="100">
        <f>G448</f>
        <v>75000</v>
      </c>
      <c r="K448" s="100"/>
      <c r="L448" s="100"/>
      <c r="M448" s="100"/>
      <c r="N448" s="100">
        <v>75000</v>
      </c>
      <c r="O448" s="100"/>
      <c r="P448" s="100">
        <f>N448</f>
        <v>75000</v>
      </c>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row>
    <row r="449" spans="1:16" ht="12.75" customHeight="1">
      <c r="A449" s="43" t="s">
        <v>235</v>
      </c>
      <c r="B449" s="65"/>
      <c r="C449" s="65"/>
      <c r="D449" s="39"/>
      <c r="E449" s="39"/>
      <c r="F449" s="39"/>
      <c r="G449" s="39"/>
      <c r="H449" s="39"/>
      <c r="I449" s="39"/>
      <c r="J449" s="39"/>
      <c r="K449" s="137"/>
      <c r="L449" s="39"/>
      <c r="M449" s="39"/>
      <c r="N449" s="39"/>
      <c r="O449" s="39"/>
      <c r="P449" s="39"/>
    </row>
    <row r="450" spans="1:16" ht="24" customHeight="1">
      <c r="A450" s="55" t="s">
        <v>234</v>
      </c>
      <c r="B450" s="34"/>
      <c r="C450" s="34"/>
      <c r="D450" s="36">
        <v>6600</v>
      </c>
      <c r="E450" s="36"/>
      <c r="F450" s="36">
        <f>D450</f>
        <v>6600</v>
      </c>
      <c r="G450" s="36">
        <v>7200</v>
      </c>
      <c r="H450" s="36"/>
      <c r="I450" s="36"/>
      <c r="J450" s="36">
        <f>G450</f>
        <v>7200</v>
      </c>
      <c r="K450" s="38"/>
      <c r="L450" s="38"/>
      <c r="M450" s="38"/>
      <c r="N450" s="36">
        <v>7200</v>
      </c>
      <c r="O450" s="36"/>
      <c r="P450" s="36">
        <f>N450</f>
        <v>7200</v>
      </c>
    </row>
    <row r="451" spans="1:16" ht="11.25">
      <c r="A451" s="43" t="s">
        <v>7</v>
      </c>
      <c r="B451" s="34"/>
      <c r="C451" s="34"/>
      <c r="D451" s="36"/>
      <c r="E451" s="36"/>
      <c r="F451" s="36"/>
      <c r="G451" s="36"/>
      <c r="H451" s="36"/>
      <c r="I451" s="36"/>
      <c r="J451" s="36"/>
      <c r="K451" s="38"/>
      <c r="L451" s="38"/>
      <c r="M451" s="38"/>
      <c r="N451" s="36"/>
      <c r="O451" s="36"/>
      <c r="P451" s="36"/>
    </row>
    <row r="452" spans="1:16" ht="24" customHeight="1">
      <c r="A452" s="44" t="s">
        <v>236</v>
      </c>
      <c r="B452" s="34"/>
      <c r="C452" s="34"/>
      <c r="D452" s="36">
        <f>7727.27/1000</f>
        <v>7.727270000000001</v>
      </c>
      <c r="E452" s="36"/>
      <c r="F452" s="36">
        <f>D452</f>
        <v>7.727270000000001</v>
      </c>
      <c r="G452" s="36">
        <f>G448/G450</f>
        <v>10.416666666666666</v>
      </c>
      <c r="H452" s="36"/>
      <c r="I452" s="36"/>
      <c r="J452" s="36">
        <f>G452</f>
        <v>10.416666666666666</v>
      </c>
      <c r="K452" s="38"/>
      <c r="L452" s="38"/>
      <c r="M452" s="38"/>
      <c r="N452" s="36">
        <f>N448/N450</f>
        <v>10.416666666666666</v>
      </c>
      <c r="O452" s="36"/>
      <c r="P452" s="36">
        <f>N452</f>
        <v>10.416666666666666</v>
      </c>
    </row>
    <row r="453" spans="1:235" s="92" customFormat="1" ht="38.25" customHeight="1">
      <c r="A453" s="96" t="s">
        <v>377</v>
      </c>
      <c r="B453" s="96"/>
      <c r="C453" s="96"/>
      <c r="D453" s="100"/>
      <c r="E453" s="100"/>
      <c r="F453" s="100"/>
      <c r="G453" s="100">
        <f>G455*G457</f>
        <v>168999.9999996</v>
      </c>
      <c r="H453" s="100"/>
      <c r="I453" s="100"/>
      <c r="J453" s="100">
        <f>G453</f>
        <v>168999.9999996</v>
      </c>
      <c r="K453" s="103"/>
      <c r="L453" s="103"/>
      <c r="M453" s="103"/>
      <c r="N453" s="100">
        <f>N455*N457</f>
        <v>169999.999992</v>
      </c>
      <c r="O453" s="100"/>
      <c r="P453" s="100">
        <f>N453</f>
        <v>169999.999992</v>
      </c>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row>
    <row r="454" spans="1:16" ht="11.25">
      <c r="A454" s="43" t="s">
        <v>235</v>
      </c>
      <c r="B454" s="65"/>
      <c r="C454" s="65"/>
      <c r="D454" s="39"/>
      <c r="E454" s="39"/>
      <c r="F454" s="39"/>
      <c r="G454" s="39"/>
      <c r="H454" s="39"/>
      <c r="I454" s="39"/>
      <c r="J454" s="39"/>
      <c r="K454" s="38"/>
      <c r="L454" s="38"/>
      <c r="M454" s="38"/>
      <c r="N454" s="36"/>
      <c r="O454" s="36"/>
      <c r="P454" s="36"/>
    </row>
    <row r="455" spans="1:16" ht="45">
      <c r="A455" s="55" t="s">
        <v>289</v>
      </c>
      <c r="B455" s="34"/>
      <c r="C455" s="34"/>
      <c r="D455" s="36"/>
      <c r="E455" s="36"/>
      <c r="F455" s="36"/>
      <c r="G455" s="36">
        <v>12</v>
      </c>
      <c r="H455" s="36"/>
      <c r="I455" s="36"/>
      <c r="J455" s="36">
        <f>G455</f>
        <v>12</v>
      </c>
      <c r="K455" s="38"/>
      <c r="L455" s="38"/>
      <c r="M455" s="38"/>
      <c r="N455" s="36">
        <v>12</v>
      </c>
      <c r="O455" s="36"/>
      <c r="P455" s="36">
        <f>N455</f>
        <v>12</v>
      </c>
    </row>
    <row r="456" spans="1:16" ht="11.25">
      <c r="A456" s="43" t="s">
        <v>7</v>
      </c>
      <c r="B456" s="34"/>
      <c r="C456" s="34"/>
      <c r="D456" s="36"/>
      <c r="E456" s="36"/>
      <c r="F456" s="36"/>
      <c r="G456" s="36"/>
      <c r="H456" s="36"/>
      <c r="I456" s="36"/>
      <c r="J456" s="36"/>
      <c r="K456" s="38"/>
      <c r="L456" s="38"/>
      <c r="M456" s="38"/>
      <c r="N456" s="36"/>
      <c r="O456" s="36"/>
      <c r="P456" s="36"/>
    </row>
    <row r="457" spans="1:16" ht="56.25" customHeight="1">
      <c r="A457" s="44" t="s">
        <v>290</v>
      </c>
      <c r="B457" s="34"/>
      <c r="C457" s="34"/>
      <c r="D457" s="36"/>
      <c r="E457" s="36"/>
      <c r="F457" s="36"/>
      <c r="G457" s="36">
        <v>14083.3333333</v>
      </c>
      <c r="H457" s="36"/>
      <c r="I457" s="36"/>
      <c r="J457" s="36">
        <f>G457</f>
        <v>14083.3333333</v>
      </c>
      <c r="K457" s="38"/>
      <c r="L457" s="38"/>
      <c r="M457" s="38"/>
      <c r="N457" s="36">
        <v>14166.666666</v>
      </c>
      <c r="O457" s="36"/>
      <c r="P457" s="36">
        <f>N457</f>
        <v>14166.666666</v>
      </c>
    </row>
    <row r="458" spans="1:16" ht="2.25" customHeight="1" hidden="1">
      <c r="A458" s="44"/>
      <c r="B458" s="34"/>
      <c r="C458" s="34"/>
      <c r="D458" s="36"/>
      <c r="E458" s="36"/>
      <c r="F458" s="36"/>
      <c r="G458" s="36"/>
      <c r="H458" s="36"/>
      <c r="I458" s="36"/>
      <c r="J458" s="36"/>
      <c r="K458" s="38"/>
      <c r="L458" s="38"/>
      <c r="M458" s="38"/>
      <c r="N458" s="36"/>
      <c r="O458" s="36"/>
      <c r="P458" s="36"/>
    </row>
    <row r="459" spans="1:16" ht="24" customHeight="1" hidden="1">
      <c r="A459" s="44"/>
      <c r="B459" s="34"/>
      <c r="C459" s="34"/>
      <c r="D459" s="36"/>
      <c r="E459" s="36"/>
      <c r="F459" s="36"/>
      <c r="G459" s="36"/>
      <c r="H459" s="36"/>
      <c r="I459" s="36"/>
      <c r="J459" s="36"/>
      <c r="K459" s="38"/>
      <c r="L459" s="38"/>
      <c r="M459" s="38"/>
      <c r="N459" s="36"/>
      <c r="O459" s="36"/>
      <c r="P459" s="36"/>
    </row>
    <row r="460" spans="1:16" ht="24" customHeight="1" hidden="1">
      <c r="A460" s="44"/>
      <c r="B460" s="34"/>
      <c r="C460" s="34"/>
      <c r="D460" s="36"/>
      <c r="E460" s="36"/>
      <c r="F460" s="36"/>
      <c r="G460" s="36"/>
      <c r="H460" s="36"/>
      <c r="I460" s="36"/>
      <c r="J460" s="36"/>
      <c r="K460" s="38"/>
      <c r="L460" s="38"/>
      <c r="M460" s="38"/>
      <c r="N460" s="36"/>
      <c r="O460" s="36"/>
      <c r="P460" s="36"/>
    </row>
    <row r="461" spans="1:16" ht="24" customHeight="1" hidden="1">
      <c r="A461" s="44"/>
      <c r="B461" s="34"/>
      <c r="C461" s="34"/>
      <c r="D461" s="36"/>
      <c r="E461" s="36"/>
      <c r="F461" s="36"/>
      <c r="G461" s="36"/>
      <c r="H461" s="36"/>
      <c r="I461" s="36"/>
      <c r="J461" s="36"/>
      <c r="K461" s="38"/>
      <c r="L461" s="38"/>
      <c r="M461" s="38"/>
      <c r="N461" s="36"/>
      <c r="O461" s="36"/>
      <c r="P461" s="36"/>
    </row>
    <row r="462" spans="1:235" s="92" customFormat="1" ht="33.75">
      <c r="A462" s="96" t="s">
        <v>378</v>
      </c>
      <c r="B462" s="96"/>
      <c r="C462" s="96"/>
      <c r="D462" s="100">
        <v>216</v>
      </c>
      <c r="E462" s="100"/>
      <c r="F462" s="100">
        <f>D462</f>
        <v>216</v>
      </c>
      <c r="G462" s="100">
        <f>G464*G466</f>
        <v>33300</v>
      </c>
      <c r="H462" s="100"/>
      <c r="I462" s="100"/>
      <c r="J462" s="100">
        <f>G462</f>
        <v>33300</v>
      </c>
      <c r="K462" s="103"/>
      <c r="L462" s="103"/>
      <c r="M462" s="103"/>
      <c r="N462" s="100">
        <f>N464*N466</f>
        <v>9999.999996</v>
      </c>
      <c r="O462" s="100"/>
      <c r="P462" s="100">
        <f>N462</f>
        <v>9999.999996</v>
      </c>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row>
    <row r="463" spans="1:16" ht="11.25">
      <c r="A463" s="43" t="s">
        <v>235</v>
      </c>
      <c r="B463" s="65"/>
      <c r="C463" s="65"/>
      <c r="D463" s="39"/>
      <c r="E463" s="39"/>
      <c r="F463" s="39"/>
      <c r="G463" s="39"/>
      <c r="H463" s="39"/>
      <c r="I463" s="39"/>
      <c r="J463" s="39"/>
      <c r="K463" s="38"/>
      <c r="L463" s="38"/>
      <c r="M463" s="38"/>
      <c r="N463" s="36"/>
      <c r="O463" s="36"/>
      <c r="P463" s="36"/>
    </row>
    <row r="464" spans="1:16" ht="39" customHeight="1">
      <c r="A464" s="55" t="s">
        <v>291</v>
      </c>
      <c r="B464" s="34"/>
      <c r="C464" s="34"/>
      <c r="D464" s="36">
        <v>2</v>
      </c>
      <c r="E464" s="36"/>
      <c r="F464" s="36">
        <f>D464</f>
        <v>2</v>
      </c>
      <c r="G464" s="36">
        <v>12</v>
      </c>
      <c r="H464" s="36"/>
      <c r="I464" s="36"/>
      <c r="J464" s="36">
        <f>G464</f>
        <v>12</v>
      </c>
      <c r="K464" s="38"/>
      <c r="L464" s="38"/>
      <c r="M464" s="38"/>
      <c r="N464" s="36">
        <v>12</v>
      </c>
      <c r="O464" s="36"/>
      <c r="P464" s="36">
        <f>N464</f>
        <v>12</v>
      </c>
    </row>
    <row r="465" spans="1:16" ht="11.25">
      <c r="A465" s="43" t="s">
        <v>7</v>
      </c>
      <c r="B465" s="34"/>
      <c r="C465" s="34"/>
      <c r="D465" s="36"/>
      <c r="E465" s="36"/>
      <c r="F465" s="36"/>
      <c r="G465" s="36"/>
      <c r="H465" s="36"/>
      <c r="I465" s="36"/>
      <c r="J465" s="36"/>
      <c r="K465" s="38"/>
      <c r="L465" s="38"/>
      <c r="M465" s="38"/>
      <c r="N465" s="36"/>
      <c r="O465" s="36"/>
      <c r="P465" s="36"/>
    </row>
    <row r="466" spans="1:16" ht="33.75" customHeight="1">
      <c r="A466" s="44" t="s">
        <v>292</v>
      </c>
      <c r="B466" s="34"/>
      <c r="C466" s="34"/>
      <c r="D466" s="36">
        <f>D462/D464</f>
        <v>108</v>
      </c>
      <c r="E466" s="36"/>
      <c r="F466" s="36">
        <f>D466</f>
        <v>108</v>
      </c>
      <c r="G466" s="36">
        <v>2775</v>
      </c>
      <c r="H466" s="36"/>
      <c r="I466" s="36"/>
      <c r="J466" s="36">
        <f>G466</f>
        <v>2775</v>
      </c>
      <c r="K466" s="38"/>
      <c r="L466" s="38"/>
      <c r="M466" s="38"/>
      <c r="N466" s="36">
        <v>833.333333</v>
      </c>
      <c r="O466" s="36"/>
      <c r="P466" s="36">
        <f>N466</f>
        <v>833.333333</v>
      </c>
    </row>
    <row r="467" spans="1:235" s="85" customFormat="1" ht="12">
      <c r="A467" s="125" t="s">
        <v>446</v>
      </c>
      <c r="B467" s="122"/>
      <c r="C467" s="122"/>
      <c r="D467" s="123"/>
      <c r="E467" s="123">
        <f>E472+E480+E485</f>
        <v>534080</v>
      </c>
      <c r="F467" s="123">
        <f>E467</f>
        <v>534080</v>
      </c>
      <c r="G467" s="123">
        <f>G468+G469+G470</f>
        <v>0</v>
      </c>
      <c r="H467" s="123">
        <f>H472+H480+H485+H499+H506+H492+H470</f>
        <v>1116509.9999997</v>
      </c>
      <c r="I467" s="123"/>
      <c r="J467" s="123">
        <f>J468+J469+J470</f>
        <v>1116509.9999997</v>
      </c>
      <c r="K467" s="138"/>
      <c r="L467" s="139"/>
      <c r="M467" s="139"/>
      <c r="N467" s="123">
        <f>N468+N469+N470</f>
        <v>0</v>
      </c>
      <c r="O467" s="123">
        <f>O472+O480+O485+O492+O470</f>
        <v>5649509.9999997</v>
      </c>
      <c r="P467" s="123">
        <f>O467+N467</f>
        <v>5649509.9999997</v>
      </c>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row>
    <row r="468" spans="1:235" s="85" customFormat="1" ht="12">
      <c r="A468" s="125" t="s">
        <v>340</v>
      </c>
      <c r="B468" s="122"/>
      <c r="C468" s="122"/>
      <c r="D468" s="123"/>
      <c r="E468" s="123">
        <f>E472+E480+E485</f>
        <v>534080</v>
      </c>
      <c r="F468" s="123">
        <f aca="true" t="shared" si="43" ref="F468:N468">F472+F480+F485</f>
        <v>534080</v>
      </c>
      <c r="G468" s="123">
        <f t="shared" si="43"/>
        <v>0</v>
      </c>
      <c r="H468" s="123">
        <f>33.5026841552*H477</f>
        <v>64399.99999992592</v>
      </c>
      <c r="I468" s="123"/>
      <c r="J468" s="123">
        <f>33.5026841552*J477</f>
        <v>64399.99999992592</v>
      </c>
      <c r="K468" s="123">
        <f t="shared" si="43"/>
        <v>0</v>
      </c>
      <c r="L468" s="123">
        <f t="shared" si="43"/>
        <v>0</v>
      </c>
      <c r="M468" s="123">
        <f t="shared" si="43"/>
        <v>0</v>
      </c>
      <c r="N468" s="123">
        <f t="shared" si="43"/>
        <v>0</v>
      </c>
      <c r="O468" s="123">
        <v>0</v>
      </c>
      <c r="P468" s="123">
        <v>0</v>
      </c>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row>
    <row r="469" spans="1:235" s="85" customFormat="1" ht="12">
      <c r="A469" s="125" t="s">
        <v>341</v>
      </c>
      <c r="B469" s="122"/>
      <c r="C469" s="122"/>
      <c r="D469" s="123"/>
      <c r="E469" s="123">
        <f>E492+E499+E506</f>
        <v>0</v>
      </c>
      <c r="F469" s="123">
        <f>F492+F499+F506</f>
        <v>0</v>
      </c>
      <c r="G469" s="123">
        <f>G492+G499+G506</f>
        <v>0</v>
      </c>
      <c r="H469" s="123">
        <f>H472-H468+H480+H492+H499+H506</f>
        <v>814109.999999774</v>
      </c>
      <c r="I469" s="123"/>
      <c r="J469" s="123">
        <f aca="true" t="shared" si="44" ref="J469:P469">J472-J468+J480+J492+J499+J506</f>
        <v>814109.999999774</v>
      </c>
      <c r="K469" s="123">
        <f t="shared" si="44"/>
        <v>0</v>
      </c>
      <c r="L469" s="123">
        <f t="shared" si="44"/>
        <v>0</v>
      </c>
      <c r="M469" s="123">
        <f t="shared" si="44"/>
        <v>0</v>
      </c>
      <c r="N469" s="123">
        <f t="shared" si="44"/>
        <v>0</v>
      </c>
      <c r="O469" s="123">
        <f t="shared" si="44"/>
        <v>569509.9999997</v>
      </c>
      <c r="P469" s="123">
        <f t="shared" si="44"/>
        <v>569509.9999997</v>
      </c>
      <c r="Q469" s="123">
        <f>Q492+Q499+Q506</f>
        <v>0</v>
      </c>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row>
    <row r="470" spans="1:235" s="85" customFormat="1" ht="12">
      <c r="A470" s="125" t="s">
        <v>424</v>
      </c>
      <c r="B470" s="122"/>
      <c r="C470" s="122"/>
      <c r="D470" s="123"/>
      <c r="E470" s="123"/>
      <c r="F470" s="123"/>
      <c r="G470" s="123">
        <f>G513</f>
        <v>0</v>
      </c>
      <c r="H470" s="123">
        <f>H513</f>
        <v>238000</v>
      </c>
      <c r="I470" s="123"/>
      <c r="J470" s="123">
        <f>G470+H470</f>
        <v>238000</v>
      </c>
      <c r="K470" s="123"/>
      <c r="L470" s="123"/>
      <c r="M470" s="123"/>
      <c r="N470" s="123">
        <f>N513</f>
        <v>0</v>
      </c>
      <c r="O470" s="123">
        <f>O513</f>
        <v>5080000</v>
      </c>
      <c r="P470" s="123">
        <f>O470+N470</f>
        <v>5080000</v>
      </c>
      <c r="Q470" s="185"/>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row>
    <row r="471" spans="1:16" ht="108" customHeight="1">
      <c r="A471" s="45" t="s">
        <v>441</v>
      </c>
      <c r="B471" s="41"/>
      <c r="C471" s="41"/>
      <c r="D471" s="39"/>
      <c r="E471" s="39"/>
      <c r="F471" s="39"/>
      <c r="G471" s="39"/>
      <c r="H471" s="39"/>
      <c r="I471" s="39"/>
      <c r="J471" s="39"/>
      <c r="K471" s="140"/>
      <c r="L471" s="40"/>
      <c r="M471" s="40"/>
      <c r="N471" s="39"/>
      <c r="O471" s="39"/>
      <c r="P471" s="39"/>
    </row>
    <row r="472" spans="1:235" s="85" customFormat="1" ht="24.75" customHeight="1">
      <c r="A472" s="96" t="s">
        <v>379</v>
      </c>
      <c r="B472" s="96"/>
      <c r="C472" s="96"/>
      <c r="D472" s="100"/>
      <c r="E472" s="100">
        <f>E475*E477+1.32</f>
        <v>180690</v>
      </c>
      <c r="F472" s="100">
        <f>E472</f>
        <v>180690</v>
      </c>
      <c r="G472" s="100"/>
      <c r="H472" s="100">
        <f>H475*H477</f>
        <v>180689.9999997</v>
      </c>
      <c r="I472" s="100"/>
      <c r="J472" s="100">
        <f>H472</f>
        <v>180689.9999997</v>
      </c>
      <c r="K472" s="138"/>
      <c r="L472" s="100"/>
      <c r="M472" s="100"/>
      <c r="N472" s="100"/>
      <c r="O472" s="100">
        <f>O475*O477</f>
        <v>180689.9999997</v>
      </c>
      <c r="P472" s="100">
        <f>O472</f>
        <v>180689.9999997</v>
      </c>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row>
    <row r="473" spans="1:16" ht="11.25">
      <c r="A473" s="43" t="s">
        <v>5</v>
      </c>
      <c r="B473" s="31"/>
      <c r="C473" s="31"/>
      <c r="D473" s="134"/>
      <c r="E473" s="134"/>
      <c r="F473" s="35"/>
      <c r="G473" s="134"/>
      <c r="H473" s="134"/>
      <c r="I473" s="134"/>
      <c r="J473" s="35"/>
      <c r="K473" s="35"/>
      <c r="L473" s="134"/>
      <c r="M473" s="134"/>
      <c r="N473" s="134"/>
      <c r="O473" s="134"/>
      <c r="P473" s="35"/>
    </row>
    <row r="474" spans="1:16" ht="26.25" customHeight="1">
      <c r="A474" s="44" t="s">
        <v>204</v>
      </c>
      <c r="B474" s="33"/>
      <c r="C474" s="33"/>
      <c r="D474" s="36"/>
      <c r="E474" s="36">
        <v>33</v>
      </c>
      <c r="F474" s="36">
        <f>E474</f>
        <v>33</v>
      </c>
      <c r="G474" s="36"/>
      <c r="H474" s="36">
        <v>33</v>
      </c>
      <c r="I474" s="36"/>
      <c r="J474" s="36">
        <f>H474</f>
        <v>33</v>
      </c>
      <c r="K474" s="36" t="e">
        <f>G474/D474*100</f>
        <v>#DIV/0!</v>
      </c>
      <c r="L474" s="36"/>
      <c r="M474" s="36"/>
      <c r="N474" s="36"/>
      <c r="O474" s="36">
        <v>33</v>
      </c>
      <c r="P474" s="36">
        <f>O474</f>
        <v>33</v>
      </c>
    </row>
    <row r="475" spans="1:16" ht="26.25" customHeight="1">
      <c r="A475" s="44" t="s">
        <v>69</v>
      </c>
      <c r="B475" s="33"/>
      <c r="C475" s="33"/>
      <c r="D475" s="36"/>
      <c r="E475" s="36">
        <v>94</v>
      </c>
      <c r="F475" s="36">
        <v>94</v>
      </c>
      <c r="G475" s="36"/>
      <c r="H475" s="36">
        <v>94</v>
      </c>
      <c r="I475" s="36"/>
      <c r="J475" s="36">
        <v>94</v>
      </c>
      <c r="K475" s="36"/>
      <c r="L475" s="36"/>
      <c r="M475" s="36"/>
      <c r="N475" s="36"/>
      <c r="O475" s="36">
        <v>94</v>
      </c>
      <c r="P475" s="36">
        <v>94</v>
      </c>
    </row>
    <row r="476" spans="1:16" ht="11.25">
      <c r="A476" s="43" t="s">
        <v>7</v>
      </c>
      <c r="B476" s="31"/>
      <c r="C476" s="31"/>
      <c r="D476" s="134"/>
      <c r="E476" s="134"/>
      <c r="F476" s="35"/>
      <c r="G476" s="134"/>
      <c r="H476" s="134"/>
      <c r="I476" s="134"/>
      <c r="J476" s="35"/>
      <c r="K476" s="35"/>
      <c r="L476" s="134"/>
      <c r="M476" s="134"/>
      <c r="N476" s="134"/>
      <c r="O476" s="134"/>
      <c r="P476" s="35"/>
    </row>
    <row r="477" spans="1:16" ht="23.25" customHeight="1">
      <c r="A477" s="44" t="s">
        <v>70</v>
      </c>
      <c r="B477" s="33"/>
      <c r="C477" s="33"/>
      <c r="D477" s="35"/>
      <c r="E477" s="35">
        <v>1922.22</v>
      </c>
      <c r="F477" s="35">
        <f>E477</f>
        <v>1922.22</v>
      </c>
      <c r="G477" s="35"/>
      <c r="H477" s="35">
        <v>1922.23404255</v>
      </c>
      <c r="I477" s="35"/>
      <c r="J477" s="35">
        <f>H477</f>
        <v>1922.23404255</v>
      </c>
      <c r="K477" s="35" t="e">
        <f>G477/D477*100</f>
        <v>#DIV/0!</v>
      </c>
      <c r="L477" s="35"/>
      <c r="M477" s="35"/>
      <c r="N477" s="35"/>
      <c r="O477" s="35">
        <v>1922.23404255</v>
      </c>
      <c r="P477" s="35">
        <f>O477</f>
        <v>1922.23404255</v>
      </c>
    </row>
    <row r="478" spans="1:16" ht="11.25">
      <c r="A478" s="54" t="s">
        <v>6</v>
      </c>
      <c r="B478" s="33"/>
      <c r="C478" s="33"/>
      <c r="D478" s="35"/>
      <c r="E478" s="35"/>
      <c r="F478" s="35"/>
      <c r="G478" s="35"/>
      <c r="H478" s="35"/>
      <c r="I478" s="35"/>
      <c r="J478" s="35"/>
      <c r="K478" s="35"/>
      <c r="L478" s="35"/>
      <c r="M478" s="35"/>
      <c r="N478" s="35"/>
      <c r="O478" s="35"/>
      <c r="P478" s="35"/>
    </row>
    <row r="479" spans="1:16" ht="29.25" customHeight="1">
      <c r="A479" s="55" t="s">
        <v>205</v>
      </c>
      <c r="B479" s="33"/>
      <c r="C479" s="33"/>
      <c r="D479" s="35"/>
      <c r="E479" s="35"/>
      <c r="F479" s="35"/>
      <c r="G479" s="35"/>
      <c r="H479" s="35"/>
      <c r="I479" s="35"/>
      <c r="J479" s="35"/>
      <c r="K479" s="35"/>
      <c r="L479" s="35"/>
      <c r="M479" s="35"/>
      <c r="N479" s="35"/>
      <c r="O479" s="35"/>
      <c r="P479" s="35"/>
    </row>
    <row r="480" spans="1:235" s="92" customFormat="1" ht="33.75" customHeight="1">
      <c r="A480" s="96" t="s">
        <v>380</v>
      </c>
      <c r="B480" s="96"/>
      <c r="C480" s="96"/>
      <c r="D480" s="100"/>
      <c r="E480" s="100">
        <f>E484</f>
        <v>162140</v>
      </c>
      <c r="F480" s="100">
        <f>E480</f>
        <v>162140</v>
      </c>
      <c r="G480" s="100"/>
      <c r="H480" s="100">
        <f>H484</f>
        <v>257570</v>
      </c>
      <c r="I480" s="100"/>
      <c r="J480" s="100">
        <f>H480</f>
        <v>257570</v>
      </c>
      <c r="K480" s="100"/>
      <c r="L480" s="100"/>
      <c r="M480" s="100"/>
      <c r="N480" s="100"/>
      <c r="O480" s="100">
        <f>O484</f>
        <v>257570</v>
      </c>
      <c r="P480" s="100">
        <f>O480</f>
        <v>257570</v>
      </c>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row>
    <row r="481" spans="1:16" ht="11.25">
      <c r="A481" s="43" t="s">
        <v>5</v>
      </c>
      <c r="B481" s="31"/>
      <c r="C481" s="31"/>
      <c r="D481" s="134"/>
      <c r="E481" s="134"/>
      <c r="F481" s="35"/>
      <c r="G481" s="134"/>
      <c r="H481" s="134"/>
      <c r="I481" s="134"/>
      <c r="J481" s="35"/>
      <c r="K481" s="35"/>
      <c r="L481" s="134"/>
      <c r="M481" s="134"/>
      <c r="N481" s="134"/>
      <c r="O481" s="134"/>
      <c r="P481" s="35"/>
    </row>
    <row r="482" spans="1:16" ht="24" customHeight="1">
      <c r="A482" s="44" t="s">
        <v>206</v>
      </c>
      <c r="B482" s="33"/>
      <c r="C482" s="33"/>
      <c r="D482" s="36"/>
      <c r="E482" s="36">
        <v>236</v>
      </c>
      <c r="F482" s="36">
        <f>E482</f>
        <v>236</v>
      </c>
      <c r="G482" s="36"/>
      <c r="H482" s="36">
        <v>236</v>
      </c>
      <c r="I482" s="36"/>
      <c r="J482" s="36">
        <f>H482</f>
        <v>236</v>
      </c>
      <c r="K482" s="36" t="e">
        <f>G482/D482*100</f>
        <v>#DIV/0!</v>
      </c>
      <c r="L482" s="36"/>
      <c r="M482" s="36"/>
      <c r="N482" s="36"/>
      <c r="O482" s="36">
        <v>236</v>
      </c>
      <c r="P482" s="36">
        <f>O482</f>
        <v>236</v>
      </c>
    </row>
    <row r="483" spans="1:16" ht="11.25">
      <c r="A483" s="43" t="s">
        <v>7</v>
      </c>
      <c r="B483" s="31"/>
      <c r="C483" s="31"/>
      <c r="D483" s="141"/>
      <c r="E483" s="141"/>
      <c r="F483" s="80"/>
      <c r="G483" s="141"/>
      <c r="H483" s="141"/>
      <c r="I483" s="141"/>
      <c r="J483" s="80"/>
      <c r="K483" s="80"/>
      <c r="L483" s="141"/>
      <c r="M483" s="141"/>
      <c r="N483" s="141"/>
      <c r="O483" s="141"/>
      <c r="P483" s="80"/>
    </row>
    <row r="484" spans="1:16" ht="24" customHeight="1">
      <c r="A484" s="46" t="s">
        <v>207</v>
      </c>
      <c r="B484" s="47"/>
      <c r="C484" s="76"/>
      <c r="D484" s="75"/>
      <c r="E484" s="75">
        <v>162140</v>
      </c>
      <c r="F484" s="75">
        <f>E484</f>
        <v>162140</v>
      </c>
      <c r="G484" s="75"/>
      <c r="H484" s="75">
        <v>257570</v>
      </c>
      <c r="I484" s="75"/>
      <c r="J484" s="75">
        <f>H484</f>
        <v>257570</v>
      </c>
      <c r="K484" s="75" t="e">
        <f>G484/D484*100</f>
        <v>#DIV/0!</v>
      </c>
      <c r="L484" s="75"/>
      <c r="M484" s="75"/>
      <c r="N484" s="75"/>
      <c r="O484" s="75">
        <v>257570</v>
      </c>
      <c r="P484" s="75">
        <f>O484</f>
        <v>257570</v>
      </c>
    </row>
    <row r="485" spans="1:235" s="92" customFormat="1" ht="33.75">
      <c r="A485" s="96" t="s">
        <v>381</v>
      </c>
      <c r="B485" s="96"/>
      <c r="C485" s="97"/>
      <c r="D485" s="105"/>
      <c r="E485" s="105">
        <v>191250</v>
      </c>
      <c r="F485" s="105">
        <f>E485</f>
        <v>191250</v>
      </c>
      <c r="G485" s="105"/>
      <c r="H485" s="105"/>
      <c r="I485" s="105"/>
      <c r="J485" s="105"/>
      <c r="K485" s="105"/>
      <c r="L485" s="105"/>
      <c r="M485" s="105"/>
      <c r="N485" s="105"/>
      <c r="O485" s="105"/>
      <c r="P485" s="105"/>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row>
    <row r="486" spans="1:16" ht="11.25">
      <c r="A486" s="43" t="s">
        <v>4</v>
      </c>
      <c r="B486" s="32"/>
      <c r="C486" s="32"/>
      <c r="D486" s="142"/>
      <c r="E486" s="142"/>
      <c r="F486" s="142"/>
      <c r="G486" s="142"/>
      <c r="H486" s="142"/>
      <c r="I486" s="142"/>
      <c r="J486" s="142"/>
      <c r="K486" s="143"/>
      <c r="L486" s="142"/>
      <c r="M486" s="142"/>
      <c r="N486" s="142"/>
      <c r="O486" s="142"/>
      <c r="P486" s="142"/>
    </row>
    <row r="487" spans="1:16" ht="11.25">
      <c r="A487" s="44" t="s">
        <v>65</v>
      </c>
      <c r="B487" s="34"/>
      <c r="C487" s="34"/>
      <c r="D487" s="36"/>
      <c r="E487" s="36">
        <f>E485/E491</f>
        <v>11.417910447761194</v>
      </c>
      <c r="F487" s="36">
        <f>E487</f>
        <v>11.417910447761194</v>
      </c>
      <c r="G487" s="36"/>
      <c r="H487" s="36"/>
      <c r="I487" s="36"/>
      <c r="J487" s="36"/>
      <c r="K487" s="36"/>
      <c r="L487" s="36"/>
      <c r="M487" s="36"/>
      <c r="N487" s="36"/>
      <c r="O487" s="36"/>
      <c r="P487" s="36"/>
    </row>
    <row r="488" spans="1:16" ht="11.25">
      <c r="A488" s="43" t="s">
        <v>5</v>
      </c>
      <c r="B488" s="32"/>
      <c r="C488" s="32"/>
      <c r="D488" s="135"/>
      <c r="E488" s="135"/>
      <c r="F488" s="36"/>
      <c r="G488" s="135"/>
      <c r="H488" s="135"/>
      <c r="I488" s="135"/>
      <c r="J488" s="36"/>
      <c r="K488" s="36"/>
      <c r="L488" s="135"/>
      <c r="M488" s="135"/>
      <c r="N488" s="135"/>
      <c r="O488" s="135"/>
      <c r="P488" s="36"/>
    </row>
    <row r="489" spans="1:16" ht="24" customHeight="1">
      <c r="A489" s="44" t="s">
        <v>66</v>
      </c>
      <c r="B489" s="34"/>
      <c r="C489" s="34"/>
      <c r="D489" s="36"/>
      <c r="E489" s="36">
        <v>11</v>
      </c>
      <c r="F489" s="36">
        <f>E489</f>
        <v>11</v>
      </c>
      <c r="G489" s="36"/>
      <c r="H489" s="36"/>
      <c r="I489" s="36"/>
      <c r="J489" s="36"/>
      <c r="K489" s="36"/>
      <c r="L489" s="36"/>
      <c r="M489" s="36"/>
      <c r="N489" s="36"/>
      <c r="O489" s="36"/>
      <c r="P489" s="36"/>
    </row>
    <row r="490" spans="1:16" ht="11.25">
      <c r="A490" s="43" t="s">
        <v>7</v>
      </c>
      <c r="B490" s="32"/>
      <c r="C490" s="32"/>
      <c r="D490" s="134"/>
      <c r="E490" s="134"/>
      <c r="F490" s="35"/>
      <c r="G490" s="134"/>
      <c r="H490" s="134"/>
      <c r="I490" s="134"/>
      <c r="J490" s="35"/>
      <c r="K490" s="35"/>
      <c r="L490" s="134"/>
      <c r="M490" s="134"/>
      <c r="N490" s="134"/>
      <c r="O490" s="134"/>
      <c r="P490" s="35"/>
    </row>
    <row r="491" spans="1:16" ht="24" customHeight="1">
      <c r="A491" s="46" t="s">
        <v>67</v>
      </c>
      <c r="B491" s="79"/>
      <c r="C491" s="79"/>
      <c r="D491" s="80"/>
      <c r="E491" s="80">
        <v>16750</v>
      </c>
      <c r="F491" s="80">
        <f>E491</f>
        <v>16750</v>
      </c>
      <c r="G491" s="80"/>
      <c r="H491" s="80"/>
      <c r="I491" s="80"/>
      <c r="J491" s="80"/>
      <c r="K491" s="80"/>
      <c r="L491" s="80"/>
      <c r="M491" s="80"/>
      <c r="N491" s="80"/>
      <c r="O491" s="80"/>
      <c r="P491" s="80"/>
    </row>
    <row r="492" spans="1:235" s="92" customFormat="1" ht="33.75">
      <c r="A492" s="96" t="s">
        <v>382</v>
      </c>
      <c r="B492" s="96"/>
      <c r="C492" s="97"/>
      <c r="D492" s="105"/>
      <c r="E492" s="105"/>
      <c r="F492" s="105"/>
      <c r="G492" s="105"/>
      <c r="H492" s="105">
        <f>H496*H498</f>
        <v>131250</v>
      </c>
      <c r="I492" s="105">
        <f aca="true" t="shared" si="45" ref="I492:Q492">I496*I498</f>
        <v>0</v>
      </c>
      <c r="J492" s="105">
        <f t="shared" si="45"/>
        <v>131250</v>
      </c>
      <c r="K492" s="105">
        <f t="shared" si="45"/>
        <v>0</v>
      </c>
      <c r="L492" s="105">
        <f t="shared" si="45"/>
        <v>0</v>
      </c>
      <c r="M492" s="105">
        <f t="shared" si="45"/>
        <v>0</v>
      </c>
      <c r="N492" s="105">
        <f t="shared" si="45"/>
        <v>0</v>
      </c>
      <c r="O492" s="105">
        <f t="shared" si="45"/>
        <v>131250</v>
      </c>
      <c r="P492" s="105">
        <f t="shared" si="45"/>
        <v>131250</v>
      </c>
      <c r="Q492" s="98">
        <f t="shared" si="45"/>
        <v>0</v>
      </c>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row>
    <row r="493" spans="1:16" ht="11.25">
      <c r="A493" s="43" t="s">
        <v>4</v>
      </c>
      <c r="B493" s="32"/>
      <c r="C493" s="32"/>
      <c r="D493" s="142"/>
      <c r="E493" s="142"/>
      <c r="F493" s="142"/>
      <c r="G493" s="142"/>
      <c r="H493" s="142"/>
      <c r="I493" s="142"/>
      <c r="J493" s="142"/>
      <c r="K493" s="143"/>
      <c r="L493" s="142"/>
      <c r="M493" s="142"/>
      <c r="N493" s="142"/>
      <c r="O493" s="142"/>
      <c r="P493" s="142"/>
    </row>
    <row r="494" spans="1:16" ht="11.25">
      <c r="A494" s="44" t="s">
        <v>65</v>
      </c>
      <c r="B494" s="34"/>
      <c r="C494" s="34"/>
      <c r="D494" s="36"/>
      <c r="E494" s="36"/>
      <c r="F494" s="36"/>
      <c r="G494" s="36"/>
      <c r="H494" s="36">
        <v>8</v>
      </c>
      <c r="I494" s="36"/>
      <c r="J494" s="36">
        <v>8</v>
      </c>
      <c r="K494" s="36"/>
      <c r="L494" s="36"/>
      <c r="M494" s="36"/>
      <c r="N494" s="36"/>
      <c r="O494" s="36">
        <v>8</v>
      </c>
      <c r="P494" s="36">
        <v>8</v>
      </c>
    </row>
    <row r="495" spans="1:16" ht="11.25">
      <c r="A495" s="43" t="s">
        <v>5</v>
      </c>
      <c r="B495" s="32"/>
      <c r="C495" s="32"/>
      <c r="D495" s="135"/>
      <c r="E495" s="135"/>
      <c r="F495" s="36"/>
      <c r="G495" s="135"/>
      <c r="H495" s="135"/>
      <c r="I495" s="135"/>
      <c r="J495" s="36"/>
      <c r="K495" s="36"/>
      <c r="L495" s="135"/>
      <c r="M495" s="135"/>
      <c r="N495" s="135"/>
      <c r="O495" s="135"/>
      <c r="P495" s="36"/>
    </row>
    <row r="496" spans="1:16" ht="24" customHeight="1">
      <c r="A496" s="44" t="s">
        <v>66</v>
      </c>
      <c r="B496" s="34"/>
      <c r="C496" s="34"/>
      <c r="D496" s="36"/>
      <c r="E496" s="36"/>
      <c r="F496" s="36"/>
      <c r="G496" s="36"/>
      <c r="H496" s="36">
        <v>8</v>
      </c>
      <c r="I496" s="36"/>
      <c r="J496" s="36">
        <v>8</v>
      </c>
      <c r="K496" s="36"/>
      <c r="L496" s="36"/>
      <c r="M496" s="36"/>
      <c r="N496" s="36"/>
      <c r="O496" s="36">
        <v>8</v>
      </c>
      <c r="P496" s="36">
        <v>8</v>
      </c>
    </row>
    <row r="497" spans="1:16" ht="11.25">
      <c r="A497" s="43" t="s">
        <v>7</v>
      </c>
      <c r="B497" s="32"/>
      <c r="C497" s="32"/>
      <c r="D497" s="134"/>
      <c r="E497" s="134"/>
      <c r="F497" s="35"/>
      <c r="G497" s="134"/>
      <c r="H497" s="134"/>
      <c r="I497" s="134"/>
      <c r="J497" s="35"/>
      <c r="K497" s="35"/>
      <c r="L497" s="134"/>
      <c r="M497" s="134"/>
      <c r="N497" s="134"/>
      <c r="O497" s="134"/>
      <c r="P497" s="35"/>
    </row>
    <row r="498" spans="1:16" ht="24" customHeight="1">
      <c r="A498" s="46" t="s">
        <v>67</v>
      </c>
      <c r="B498" s="79"/>
      <c r="C498" s="79"/>
      <c r="D498" s="80"/>
      <c r="E498" s="80"/>
      <c r="F498" s="80"/>
      <c r="G498" s="80"/>
      <c r="H498" s="80">
        <v>16406.25</v>
      </c>
      <c r="I498" s="80"/>
      <c r="J498" s="80">
        <v>16406.25</v>
      </c>
      <c r="K498" s="80"/>
      <c r="L498" s="80"/>
      <c r="M498" s="80"/>
      <c r="N498" s="80"/>
      <c r="O498" s="80">
        <v>16406.25</v>
      </c>
      <c r="P498" s="80">
        <v>16406.25</v>
      </c>
    </row>
    <row r="499" spans="1:235" s="92" customFormat="1" ht="35.25" customHeight="1">
      <c r="A499" s="96" t="s">
        <v>383</v>
      </c>
      <c r="B499" s="104"/>
      <c r="C499" s="104"/>
      <c r="D499" s="105"/>
      <c r="E499" s="105"/>
      <c r="F499" s="105"/>
      <c r="G499" s="105"/>
      <c r="H499" s="105">
        <f>H503*H505</f>
        <v>110000</v>
      </c>
      <c r="I499" s="105"/>
      <c r="J499" s="105">
        <f>H499</f>
        <v>110000</v>
      </c>
      <c r="K499" s="105"/>
      <c r="L499" s="105"/>
      <c r="M499" s="105"/>
      <c r="N499" s="105"/>
      <c r="O499" s="105"/>
      <c r="P499" s="105"/>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row>
    <row r="500" spans="1:16" ht="11.25">
      <c r="A500" s="43" t="s">
        <v>4</v>
      </c>
      <c r="B500" s="81"/>
      <c r="C500" s="81"/>
      <c r="D500" s="75"/>
      <c r="E500" s="75"/>
      <c r="F500" s="75"/>
      <c r="G500" s="75"/>
      <c r="H500" s="75"/>
      <c r="I500" s="75"/>
      <c r="J500" s="75"/>
      <c r="K500" s="75"/>
      <c r="L500" s="75"/>
      <c r="M500" s="75"/>
      <c r="N500" s="75"/>
      <c r="O500" s="75"/>
      <c r="P500" s="75"/>
    </row>
    <row r="501" spans="1:16" ht="33.75">
      <c r="A501" s="44" t="s">
        <v>308</v>
      </c>
      <c r="B501" s="81"/>
      <c r="C501" s="81"/>
      <c r="D501" s="75"/>
      <c r="E501" s="75"/>
      <c r="F501" s="75"/>
      <c r="G501" s="75"/>
      <c r="H501" s="75">
        <v>110000</v>
      </c>
      <c r="I501" s="75"/>
      <c r="J501" s="75">
        <f>H501</f>
        <v>110000</v>
      </c>
      <c r="K501" s="75"/>
      <c r="L501" s="75"/>
      <c r="M501" s="75"/>
      <c r="N501" s="75"/>
      <c r="O501" s="75"/>
      <c r="P501" s="75"/>
    </row>
    <row r="502" spans="1:16" ht="11.25">
      <c r="A502" s="43" t="s">
        <v>5</v>
      </c>
      <c r="B502" s="81"/>
      <c r="C502" s="81"/>
      <c r="D502" s="75"/>
      <c r="E502" s="75"/>
      <c r="F502" s="75"/>
      <c r="G502" s="75"/>
      <c r="H502" s="75"/>
      <c r="I502" s="75"/>
      <c r="J502" s="75"/>
      <c r="K502" s="75"/>
      <c r="L502" s="75"/>
      <c r="M502" s="75"/>
      <c r="N502" s="75"/>
      <c r="O502" s="75"/>
      <c r="P502" s="75"/>
    </row>
    <row r="503" spans="1:16" ht="45">
      <c r="A503" s="107" t="s">
        <v>324</v>
      </c>
      <c r="B503" s="81"/>
      <c r="C503" s="81"/>
      <c r="D503" s="75"/>
      <c r="E503" s="75"/>
      <c r="F503" s="75"/>
      <c r="G503" s="75"/>
      <c r="H503" s="75">
        <v>1</v>
      </c>
      <c r="I503" s="75"/>
      <c r="J503" s="75">
        <v>1</v>
      </c>
      <c r="K503" s="75"/>
      <c r="L503" s="75"/>
      <c r="M503" s="75"/>
      <c r="N503" s="75"/>
      <c r="O503" s="75"/>
      <c r="P503" s="75"/>
    </row>
    <row r="504" spans="1:16" ht="11.25">
      <c r="A504" s="43" t="s">
        <v>7</v>
      </c>
      <c r="B504" s="81"/>
      <c r="C504" s="81"/>
      <c r="D504" s="75"/>
      <c r="E504" s="75"/>
      <c r="F504" s="75"/>
      <c r="G504" s="75"/>
      <c r="H504" s="75"/>
      <c r="I504" s="75"/>
      <c r="J504" s="75"/>
      <c r="K504" s="75"/>
      <c r="L504" s="75"/>
      <c r="M504" s="75"/>
      <c r="N504" s="75"/>
      <c r="O504" s="75"/>
      <c r="P504" s="75"/>
    </row>
    <row r="505" spans="1:16" ht="39" customHeight="1">
      <c r="A505" s="46" t="s">
        <v>309</v>
      </c>
      <c r="B505" s="81"/>
      <c r="C505" s="81"/>
      <c r="D505" s="75"/>
      <c r="E505" s="75"/>
      <c r="F505" s="75"/>
      <c r="G505" s="75"/>
      <c r="H505" s="75">
        <v>110000</v>
      </c>
      <c r="I505" s="75"/>
      <c r="J505" s="75">
        <f>J501/H503</f>
        <v>110000</v>
      </c>
      <c r="K505" s="75"/>
      <c r="L505" s="75"/>
      <c r="M505" s="75"/>
      <c r="N505" s="75"/>
      <c r="O505" s="75"/>
      <c r="P505" s="75"/>
    </row>
    <row r="506" spans="1:235" s="92" customFormat="1" ht="39" customHeight="1">
      <c r="A506" s="99" t="s">
        <v>384</v>
      </c>
      <c r="B506" s="104"/>
      <c r="C506" s="104"/>
      <c r="D506" s="105"/>
      <c r="E506" s="105"/>
      <c r="F506" s="105"/>
      <c r="G506" s="105"/>
      <c r="H506" s="105">
        <f>H508*H512</f>
        <v>199000</v>
      </c>
      <c r="I506" s="105"/>
      <c r="J506" s="105">
        <f>G506+H506</f>
        <v>199000</v>
      </c>
      <c r="K506" s="105"/>
      <c r="L506" s="105"/>
      <c r="M506" s="105"/>
      <c r="N506" s="105"/>
      <c r="O506" s="105"/>
      <c r="P506" s="105"/>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row>
    <row r="507" spans="1:16" ht="11.25">
      <c r="A507" s="87" t="s">
        <v>314</v>
      </c>
      <c r="B507" s="81"/>
      <c r="C507" s="81"/>
      <c r="D507" s="75"/>
      <c r="E507" s="75"/>
      <c r="F507" s="75"/>
      <c r="G507" s="75"/>
      <c r="H507" s="75"/>
      <c r="I507" s="75"/>
      <c r="J507" s="75"/>
      <c r="K507" s="75"/>
      <c r="L507" s="75"/>
      <c r="M507" s="75"/>
      <c r="N507" s="75"/>
      <c r="O507" s="75"/>
      <c r="P507" s="75"/>
    </row>
    <row r="508" spans="1:16" ht="33.75">
      <c r="A508" s="86" t="s">
        <v>315</v>
      </c>
      <c r="B508" s="81"/>
      <c r="C508" s="81"/>
      <c r="D508" s="75"/>
      <c r="E508" s="75"/>
      <c r="F508" s="75"/>
      <c r="G508" s="75"/>
      <c r="H508" s="75">
        <v>1</v>
      </c>
      <c r="I508" s="75"/>
      <c r="J508" s="75">
        <f>H508+G508</f>
        <v>1</v>
      </c>
      <c r="K508" s="75"/>
      <c r="L508" s="75"/>
      <c r="M508" s="75"/>
      <c r="N508" s="75"/>
      <c r="O508" s="75"/>
      <c r="P508" s="75"/>
    </row>
    <row r="509" spans="1:16" ht="11.25">
      <c r="A509" s="87" t="s">
        <v>316</v>
      </c>
      <c r="B509" s="81"/>
      <c r="C509" s="81"/>
      <c r="D509" s="75"/>
      <c r="E509" s="75"/>
      <c r="F509" s="75"/>
      <c r="G509" s="75"/>
      <c r="H509" s="75"/>
      <c r="I509" s="75"/>
      <c r="J509" s="75"/>
      <c r="K509" s="75"/>
      <c r="L509" s="75"/>
      <c r="M509" s="75"/>
      <c r="N509" s="75"/>
      <c r="O509" s="75"/>
      <c r="P509" s="75"/>
    </row>
    <row r="510" spans="1:16" ht="33.75">
      <c r="A510" s="86" t="s">
        <v>317</v>
      </c>
      <c r="B510" s="81"/>
      <c r="C510" s="81"/>
      <c r="D510" s="75"/>
      <c r="E510" s="75"/>
      <c r="F510" s="75"/>
      <c r="G510" s="75"/>
      <c r="H510" s="75">
        <v>199000</v>
      </c>
      <c r="I510" s="75"/>
      <c r="J510" s="75">
        <f>G510+H510</f>
        <v>199000</v>
      </c>
      <c r="K510" s="75"/>
      <c r="L510" s="75"/>
      <c r="M510" s="75"/>
      <c r="N510" s="75"/>
      <c r="O510" s="75"/>
      <c r="P510" s="75"/>
    </row>
    <row r="511" spans="1:16" ht="11.25">
      <c r="A511" s="87" t="s">
        <v>318</v>
      </c>
      <c r="B511" s="81"/>
      <c r="C511" s="81"/>
      <c r="D511" s="75"/>
      <c r="E511" s="75"/>
      <c r="F511" s="75"/>
      <c r="G511" s="75"/>
      <c r="H511" s="75"/>
      <c r="I511" s="75"/>
      <c r="J511" s="75"/>
      <c r="K511" s="75"/>
      <c r="L511" s="75"/>
      <c r="M511" s="75"/>
      <c r="N511" s="75"/>
      <c r="O511" s="75"/>
      <c r="P511" s="75"/>
    </row>
    <row r="512" spans="1:16" ht="37.5" customHeight="1">
      <c r="A512" s="86" t="s">
        <v>319</v>
      </c>
      <c r="B512" s="81"/>
      <c r="C512" s="81"/>
      <c r="D512" s="75"/>
      <c r="E512" s="75"/>
      <c r="F512" s="75"/>
      <c r="G512" s="75"/>
      <c r="H512" s="75">
        <v>199000</v>
      </c>
      <c r="I512" s="75"/>
      <c r="J512" s="75">
        <f>G512+H512</f>
        <v>199000</v>
      </c>
      <c r="K512" s="75"/>
      <c r="L512" s="75"/>
      <c r="M512" s="75"/>
      <c r="N512" s="75"/>
      <c r="O512" s="75"/>
      <c r="P512" s="75"/>
    </row>
    <row r="513" spans="1:16" ht="38.25" customHeight="1">
      <c r="A513" s="82" t="s">
        <v>411</v>
      </c>
      <c r="B513" s="186"/>
      <c r="C513" s="186"/>
      <c r="D513" s="187"/>
      <c r="E513" s="187"/>
      <c r="F513" s="187"/>
      <c r="G513" s="105"/>
      <c r="H513" s="105">
        <f>H515+H516</f>
        <v>238000</v>
      </c>
      <c r="I513" s="105"/>
      <c r="J513" s="105">
        <f>G513+H513</f>
        <v>238000</v>
      </c>
      <c r="K513" s="105"/>
      <c r="L513" s="105"/>
      <c r="M513" s="105"/>
      <c r="N513" s="105">
        <f>N515</f>
        <v>0</v>
      </c>
      <c r="O513" s="105">
        <f>O516+O515</f>
        <v>5080000</v>
      </c>
      <c r="P513" s="105">
        <f>O513+N513</f>
        <v>5080000</v>
      </c>
    </row>
    <row r="514" spans="1:16" ht="22.5" customHeight="1">
      <c r="A514" s="43" t="s">
        <v>4</v>
      </c>
      <c r="B514" s="81"/>
      <c r="C514" s="81"/>
      <c r="D514" s="75"/>
      <c r="E514" s="75"/>
      <c r="F514" s="75"/>
      <c r="G514" s="75"/>
      <c r="H514" s="75"/>
      <c r="I514" s="75"/>
      <c r="J514" s="75"/>
      <c r="K514" s="75"/>
      <c r="L514" s="75"/>
      <c r="M514" s="75"/>
      <c r="N514" s="75"/>
      <c r="O514" s="75"/>
      <c r="P514" s="75"/>
    </row>
    <row r="515" spans="1:16" ht="24.75" customHeight="1">
      <c r="A515" s="44" t="s">
        <v>405</v>
      </c>
      <c r="B515" s="81"/>
      <c r="C515" s="81"/>
      <c r="D515" s="75"/>
      <c r="E515" s="75"/>
      <c r="F515" s="75"/>
      <c r="H515" s="75">
        <f>163000+75000</f>
        <v>238000</v>
      </c>
      <c r="J515" s="75">
        <f>H515+H516</f>
        <v>238000</v>
      </c>
      <c r="K515" s="75"/>
      <c r="L515" s="75"/>
      <c r="M515" s="75"/>
      <c r="N515" s="75"/>
      <c r="O515" s="75">
        <v>80000</v>
      </c>
      <c r="P515" s="75">
        <f>N515</f>
        <v>0</v>
      </c>
    </row>
    <row r="516" spans="1:16" ht="24.75" customHeight="1">
      <c r="A516" s="44" t="s">
        <v>412</v>
      </c>
      <c r="B516" s="81"/>
      <c r="C516" s="81"/>
      <c r="D516" s="75"/>
      <c r="E516" s="75"/>
      <c r="F516" s="75"/>
      <c r="G516" s="75"/>
      <c r="H516" s="75"/>
      <c r="I516" s="75"/>
      <c r="J516" s="75"/>
      <c r="K516" s="75"/>
      <c r="L516" s="75"/>
      <c r="M516" s="75"/>
      <c r="N516" s="75"/>
      <c r="O516" s="75">
        <v>5000000</v>
      </c>
      <c r="P516" s="75">
        <f>O516</f>
        <v>5000000</v>
      </c>
    </row>
    <row r="517" spans="1:16" ht="15.75" customHeight="1">
      <c r="A517" s="43" t="s">
        <v>5</v>
      </c>
      <c r="B517" s="81"/>
      <c r="C517" s="81"/>
      <c r="D517" s="75"/>
      <c r="E517" s="75"/>
      <c r="F517" s="75"/>
      <c r="G517" s="75"/>
      <c r="H517" s="75"/>
      <c r="I517" s="75"/>
      <c r="J517" s="75"/>
      <c r="K517" s="75"/>
      <c r="L517" s="75"/>
      <c r="M517" s="75"/>
      <c r="N517" s="75"/>
      <c r="O517" s="75"/>
      <c r="P517" s="75"/>
    </row>
    <row r="518" spans="1:16" ht="31.5" customHeight="1">
      <c r="A518" s="200" t="s">
        <v>442</v>
      </c>
      <c r="B518" s="81"/>
      <c r="C518" s="81"/>
      <c r="D518" s="75"/>
      <c r="E518" s="75"/>
      <c r="F518" s="75"/>
      <c r="G518" s="75"/>
      <c r="H518" s="196">
        <v>500</v>
      </c>
      <c r="I518" s="75"/>
      <c r="J518" s="75"/>
      <c r="K518" s="75"/>
      <c r="L518" s="75"/>
      <c r="M518" s="75"/>
      <c r="N518" s="75"/>
      <c r="O518" s="197">
        <v>533</v>
      </c>
      <c r="P518" s="75">
        <f>O518</f>
        <v>533</v>
      </c>
    </row>
    <row r="519" spans="1:16" ht="31.5" customHeight="1">
      <c r="A519" s="198" t="s">
        <v>408</v>
      </c>
      <c r="B519" s="81"/>
      <c r="C519" s="81"/>
      <c r="D519" s="199"/>
      <c r="E519" s="75"/>
      <c r="F519" s="75"/>
      <c r="G519" s="75"/>
      <c r="H519" s="75">
        <v>6</v>
      </c>
      <c r="I519" s="75"/>
      <c r="J519" s="75"/>
      <c r="K519" s="75"/>
      <c r="L519" s="75"/>
      <c r="M519" s="75"/>
      <c r="N519" s="75"/>
      <c r="O519" s="75"/>
      <c r="P519" s="75"/>
    </row>
    <row r="520" spans="1:16" ht="26.25" customHeight="1">
      <c r="A520" s="107" t="s">
        <v>409</v>
      </c>
      <c r="B520" s="81"/>
      <c r="C520" s="81"/>
      <c r="D520" s="75"/>
      <c r="E520" s="75"/>
      <c r="F520" s="75"/>
      <c r="G520" s="75"/>
      <c r="H520" s="75"/>
      <c r="I520" s="75"/>
      <c r="J520" s="75"/>
      <c r="K520" s="75"/>
      <c r="L520" s="75"/>
      <c r="M520" s="75"/>
      <c r="N520" s="75"/>
      <c r="O520" s="197">
        <v>50</v>
      </c>
      <c r="P520" s="75">
        <f>O520</f>
        <v>50</v>
      </c>
    </row>
    <row r="521" spans="1:16" ht="23.25" customHeight="1">
      <c r="A521" s="43" t="s">
        <v>7</v>
      </c>
      <c r="B521" s="81"/>
      <c r="C521" s="81"/>
      <c r="D521" s="75"/>
      <c r="E521" s="75"/>
      <c r="F521" s="75"/>
      <c r="G521" s="75"/>
      <c r="H521" s="75"/>
      <c r="I521" s="75"/>
      <c r="J521" s="75"/>
      <c r="K521" s="75"/>
      <c r="L521" s="75"/>
      <c r="M521" s="75"/>
      <c r="N521" s="75"/>
      <c r="O521" s="75"/>
      <c r="P521" s="75"/>
    </row>
    <row r="522" spans="1:16" ht="37.5" customHeight="1">
      <c r="A522" s="46" t="s">
        <v>406</v>
      </c>
      <c r="B522" s="81"/>
      <c r="C522" s="81"/>
      <c r="D522" s="75"/>
      <c r="E522" s="75"/>
      <c r="F522" s="75"/>
      <c r="G522" s="75"/>
      <c r="H522" s="75">
        <f>75000/H518</f>
        <v>150</v>
      </c>
      <c r="I522" s="75"/>
      <c r="J522" s="75">
        <f>H522</f>
        <v>150</v>
      </c>
      <c r="K522" s="75"/>
      <c r="L522" s="75"/>
      <c r="M522" s="75"/>
      <c r="N522" s="75"/>
      <c r="O522" s="75">
        <f>O515/O518</f>
        <v>150.093808630394</v>
      </c>
      <c r="P522" s="75">
        <f>O522</f>
        <v>150.093808630394</v>
      </c>
    </row>
    <row r="523" spans="1:16" ht="37.5" customHeight="1">
      <c r="A523" s="46" t="s">
        <v>407</v>
      </c>
      <c r="B523" s="81"/>
      <c r="C523" s="81"/>
      <c r="D523" s="75"/>
      <c r="E523" s="75"/>
      <c r="F523" s="75"/>
      <c r="G523" s="75"/>
      <c r="H523" s="75">
        <f>163000/H519</f>
        <v>27166.666666666668</v>
      </c>
      <c r="I523" s="75"/>
      <c r="J523" s="75">
        <f>I523</f>
        <v>0</v>
      </c>
      <c r="K523" s="75"/>
      <c r="L523" s="75"/>
      <c r="M523" s="75"/>
      <c r="N523" s="75"/>
      <c r="O523" s="75"/>
      <c r="P523" s="75"/>
    </row>
    <row r="524" spans="1:16" ht="37.5" customHeight="1">
      <c r="A524" s="107" t="s">
        <v>410</v>
      </c>
      <c r="B524" s="81"/>
      <c r="C524" s="81"/>
      <c r="D524" s="75"/>
      <c r="E524" s="75"/>
      <c r="F524" s="75"/>
      <c r="G524" s="75"/>
      <c r="H524" s="75"/>
      <c r="I524" s="75"/>
      <c r="J524" s="75"/>
      <c r="K524" s="75"/>
      <c r="L524" s="75"/>
      <c r="M524" s="75"/>
      <c r="N524" s="75"/>
      <c r="O524" s="75">
        <f>O516/O520</f>
        <v>100000</v>
      </c>
      <c r="P524" s="75">
        <f>O524</f>
        <v>100000</v>
      </c>
    </row>
    <row r="525" spans="1:235" s="85" customFormat="1" ht="16.5" customHeight="1">
      <c r="A525" s="108" t="s">
        <v>447</v>
      </c>
      <c r="B525" s="108"/>
      <c r="C525" s="108"/>
      <c r="D525" s="119">
        <f>D526</f>
        <v>2172800</v>
      </c>
      <c r="E525" s="119">
        <f>E534</f>
        <v>13000</v>
      </c>
      <c r="F525" s="119">
        <f>D525+E525</f>
        <v>2185800</v>
      </c>
      <c r="G525" s="119">
        <f>G526</f>
        <v>298340</v>
      </c>
      <c r="H525" s="119"/>
      <c r="I525" s="119">
        <f>I526</f>
        <v>0</v>
      </c>
      <c r="J525" s="119">
        <f>G525</f>
        <v>298340</v>
      </c>
      <c r="K525" s="119" t="e">
        <f>#REF!+K526</f>
        <v>#REF!</v>
      </c>
      <c r="L525" s="119" t="e">
        <f>#REF!+L526</f>
        <v>#REF!</v>
      </c>
      <c r="M525" s="119" t="e">
        <f>#REF!+M526</f>
        <v>#REF!</v>
      </c>
      <c r="N525" s="119">
        <f>N526</f>
        <v>94700</v>
      </c>
      <c r="O525" s="119">
        <f>O526</f>
        <v>0</v>
      </c>
      <c r="P525" s="119">
        <f>N525</f>
        <v>94700</v>
      </c>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c r="EC525" s="121"/>
      <c r="ED525" s="121"/>
      <c r="EE525" s="121"/>
      <c r="EF525" s="121"/>
      <c r="EG525" s="121"/>
      <c r="EH525" s="121"/>
      <c r="EI525" s="121"/>
      <c r="EJ525" s="121"/>
      <c r="EK525" s="121"/>
      <c r="EL525" s="121"/>
      <c r="EM525" s="121"/>
      <c r="EN525" s="121"/>
      <c r="EO525" s="121"/>
      <c r="EP525" s="121"/>
      <c r="EQ525" s="121"/>
      <c r="ER525" s="121"/>
      <c r="ES525" s="121"/>
      <c r="ET525" s="121"/>
      <c r="EU525" s="121"/>
      <c r="EV525" s="121"/>
      <c r="EW525" s="121"/>
      <c r="EX525" s="121"/>
      <c r="EY525" s="121"/>
      <c r="EZ525" s="121"/>
      <c r="FA525" s="121"/>
      <c r="FB525" s="121"/>
      <c r="FC525" s="121"/>
      <c r="FD525" s="121"/>
      <c r="FE525" s="121"/>
      <c r="FF525" s="121"/>
      <c r="FG525" s="121"/>
      <c r="FH525" s="121"/>
      <c r="FI525" s="121"/>
      <c r="FJ525" s="121"/>
      <c r="FK525" s="121"/>
      <c r="FL525" s="121"/>
      <c r="FM525" s="121"/>
      <c r="FN525" s="121"/>
      <c r="FO525" s="121"/>
      <c r="FP525" s="121"/>
      <c r="FQ525" s="121"/>
      <c r="FR525" s="121"/>
      <c r="FS525" s="121"/>
      <c r="FT525" s="121"/>
      <c r="FU525" s="121"/>
      <c r="FV525" s="121"/>
      <c r="FW525" s="121"/>
      <c r="FX525" s="121"/>
      <c r="FY525" s="121"/>
      <c r="FZ525" s="121"/>
      <c r="GA525" s="121"/>
      <c r="GB525" s="121"/>
      <c r="GC525" s="121"/>
      <c r="GD525" s="121"/>
      <c r="GE525" s="121"/>
      <c r="GF525" s="121"/>
      <c r="GG525" s="121"/>
      <c r="GH525" s="121"/>
      <c r="GI525" s="121"/>
      <c r="GJ525" s="121"/>
      <c r="GK525" s="121"/>
      <c r="GL525" s="121"/>
      <c r="GM525" s="121"/>
      <c r="GN525" s="121"/>
      <c r="GO525" s="121"/>
      <c r="GP525" s="121"/>
      <c r="GQ525" s="121"/>
      <c r="GR525" s="121"/>
      <c r="GS525" s="121"/>
      <c r="GT525" s="121"/>
      <c r="GU525" s="121"/>
      <c r="GV525" s="121"/>
      <c r="GW525" s="121"/>
      <c r="GX525" s="121"/>
      <c r="GY525" s="121"/>
      <c r="GZ525" s="121"/>
      <c r="HA525" s="121"/>
      <c r="HB525" s="121"/>
      <c r="HC525" s="121"/>
      <c r="HD525" s="121"/>
      <c r="HE525" s="121"/>
      <c r="HF525" s="121"/>
      <c r="HG525" s="121"/>
      <c r="HH525" s="121"/>
      <c r="HI525" s="121"/>
      <c r="HJ525" s="121"/>
      <c r="HK525" s="121"/>
      <c r="HL525" s="121"/>
      <c r="HM525" s="121"/>
      <c r="HN525" s="121"/>
      <c r="HO525" s="121"/>
      <c r="HP525" s="121"/>
      <c r="HQ525" s="121"/>
      <c r="HR525" s="121"/>
      <c r="HS525" s="121"/>
      <c r="HT525" s="121"/>
      <c r="HU525" s="121"/>
      <c r="HV525" s="121"/>
      <c r="HW525" s="121"/>
      <c r="HX525" s="121"/>
      <c r="HY525" s="121"/>
      <c r="HZ525" s="121"/>
      <c r="IA525" s="121"/>
    </row>
    <row r="526" spans="1:235" s="92" customFormat="1" ht="29.25" customHeight="1">
      <c r="A526" s="82" t="s">
        <v>413</v>
      </c>
      <c r="B526" s="88"/>
      <c r="C526" s="88"/>
      <c r="D526" s="89">
        <f>D529</f>
        <v>2172800</v>
      </c>
      <c r="E526" s="89"/>
      <c r="F526" s="89">
        <f>D526</f>
        <v>2172800</v>
      </c>
      <c r="G526" s="89">
        <f>G529</f>
        <v>298340</v>
      </c>
      <c r="H526" s="89"/>
      <c r="I526" s="89">
        <f>I529</f>
        <v>0</v>
      </c>
      <c r="J526" s="89">
        <f>G526</f>
        <v>298340</v>
      </c>
      <c r="K526" s="89"/>
      <c r="L526" s="89"/>
      <c r="M526" s="89"/>
      <c r="N526" s="89">
        <f>N529</f>
        <v>94700</v>
      </c>
      <c r="O526" s="89">
        <f>O529</f>
        <v>0</v>
      </c>
      <c r="P526" s="89">
        <f>N526</f>
        <v>94700</v>
      </c>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row>
    <row r="527" spans="1:16" ht="26.25" customHeight="1">
      <c r="A527" s="45" t="s">
        <v>208</v>
      </c>
      <c r="B527" s="7"/>
      <c r="C527" s="7"/>
      <c r="D527" s="130"/>
      <c r="E527" s="130"/>
      <c r="F527" s="130"/>
      <c r="G527" s="130"/>
      <c r="H527" s="130"/>
      <c r="I527" s="130"/>
      <c r="J527" s="130"/>
      <c r="K527" s="14"/>
      <c r="L527" s="14"/>
      <c r="M527" s="14"/>
      <c r="N527" s="130"/>
      <c r="O527" s="130"/>
      <c r="P527" s="130"/>
    </row>
    <row r="528" spans="1:16" ht="11.25">
      <c r="A528" s="20" t="s">
        <v>4</v>
      </c>
      <c r="B528" s="7"/>
      <c r="C528" s="7"/>
      <c r="D528" s="14"/>
      <c r="E528" s="14"/>
      <c r="F528" s="14"/>
      <c r="G528" s="14"/>
      <c r="H528" s="14"/>
      <c r="I528" s="14"/>
      <c r="J528" s="14"/>
      <c r="K528" s="14"/>
      <c r="L528" s="14"/>
      <c r="M528" s="14"/>
      <c r="N528" s="14"/>
      <c r="O528" s="14"/>
      <c r="P528" s="14"/>
    </row>
    <row r="529" spans="1:16" ht="35.25" customHeight="1">
      <c r="A529" s="55" t="s">
        <v>263</v>
      </c>
      <c r="B529" s="59"/>
      <c r="C529" s="59"/>
      <c r="D529" s="62">
        <f>458700+125100+1589000</f>
        <v>2172800</v>
      </c>
      <c r="E529" s="62"/>
      <c r="F529" s="62">
        <f>D529</f>
        <v>2172800</v>
      </c>
      <c r="G529" s="14">
        <f>221340+30000+96800-49800</f>
        <v>298340</v>
      </c>
      <c r="H529" s="14"/>
      <c r="I529" s="14"/>
      <c r="J529" s="14">
        <f>G529</f>
        <v>298340</v>
      </c>
      <c r="K529" s="14"/>
      <c r="L529" s="14"/>
      <c r="M529" s="14"/>
      <c r="N529" s="14">
        <f>N531*N533</f>
        <v>94700</v>
      </c>
      <c r="O529" s="14"/>
      <c r="P529" s="14">
        <f>N529</f>
        <v>94700</v>
      </c>
    </row>
    <row r="530" spans="1:16" ht="11.25">
      <c r="A530" s="54" t="s">
        <v>5</v>
      </c>
      <c r="B530" s="59"/>
      <c r="C530" s="59"/>
      <c r="D530" s="62"/>
      <c r="E530" s="62"/>
      <c r="F530" s="62"/>
      <c r="G530" s="14"/>
      <c r="H530" s="14"/>
      <c r="I530" s="14"/>
      <c r="J530" s="14"/>
      <c r="K530" s="14"/>
      <c r="L530" s="14"/>
      <c r="M530" s="14"/>
      <c r="N530" s="14"/>
      <c r="O530" s="14"/>
      <c r="P530" s="14"/>
    </row>
    <row r="531" spans="1:16" ht="27" customHeight="1">
      <c r="A531" s="55" t="s">
        <v>237</v>
      </c>
      <c r="B531" s="59"/>
      <c r="C531" s="59"/>
      <c r="D531" s="62">
        <v>3</v>
      </c>
      <c r="E531" s="62"/>
      <c r="F531" s="62">
        <f>D531</f>
        <v>3</v>
      </c>
      <c r="G531" s="14">
        <v>6</v>
      </c>
      <c r="H531" s="14"/>
      <c r="I531" s="14"/>
      <c r="J531" s="14">
        <v>6</v>
      </c>
      <c r="K531" s="14"/>
      <c r="L531" s="14"/>
      <c r="M531" s="14"/>
      <c r="N531" s="14">
        <v>1</v>
      </c>
      <c r="O531" s="14"/>
      <c r="P531" s="14">
        <f>N531</f>
        <v>1</v>
      </c>
    </row>
    <row r="532" spans="1:16" ht="11.25">
      <c r="A532" s="54" t="s">
        <v>7</v>
      </c>
      <c r="B532" s="59"/>
      <c r="C532" s="59"/>
      <c r="D532" s="62"/>
      <c r="E532" s="62"/>
      <c r="F532" s="62"/>
      <c r="G532" s="14"/>
      <c r="H532" s="14"/>
      <c r="I532" s="14"/>
      <c r="J532" s="14"/>
      <c r="K532" s="14"/>
      <c r="L532" s="14"/>
      <c r="M532" s="14"/>
      <c r="N532" s="14"/>
      <c r="O532" s="14"/>
      <c r="P532" s="14"/>
    </row>
    <row r="533" spans="1:16" ht="24.75" customHeight="1">
      <c r="A533" s="21" t="s">
        <v>211</v>
      </c>
      <c r="B533" s="7"/>
      <c r="C533" s="7"/>
      <c r="D533" s="62">
        <f>D529/D531</f>
        <v>724266.6666666666</v>
      </c>
      <c r="E533" s="62"/>
      <c r="F533" s="62">
        <f>F529/F531</f>
        <v>724266.6666666666</v>
      </c>
      <c r="G533" s="14">
        <f>G529/G531</f>
        <v>49723.333333333336</v>
      </c>
      <c r="H533" s="14"/>
      <c r="I533" s="14"/>
      <c r="J533" s="14">
        <f>J529/J531</f>
        <v>49723.333333333336</v>
      </c>
      <c r="K533" s="14"/>
      <c r="L533" s="14"/>
      <c r="M533" s="14"/>
      <c r="N533" s="14">
        <v>94700</v>
      </c>
      <c r="O533" s="14"/>
      <c r="P533" s="14">
        <f>P529/P531</f>
        <v>94700</v>
      </c>
    </row>
    <row r="534" spans="1:235" s="92" customFormat="1" ht="33.75">
      <c r="A534" s="82" t="s">
        <v>414</v>
      </c>
      <c r="B534" s="88"/>
      <c r="C534" s="88"/>
      <c r="D534" s="89" t="str">
        <f>D536</f>
        <v> </v>
      </c>
      <c r="E534" s="89">
        <f>E536</f>
        <v>13000</v>
      </c>
      <c r="F534" s="89">
        <f>E534</f>
        <v>13000</v>
      </c>
      <c r="G534" s="89"/>
      <c r="H534" s="89"/>
      <c r="I534" s="89"/>
      <c r="J534" s="89"/>
      <c r="K534" s="89"/>
      <c r="L534" s="89"/>
      <c r="M534" s="89"/>
      <c r="N534" s="89"/>
      <c r="O534" s="89"/>
      <c r="P534" s="89"/>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1.25">
      <c r="A535" s="54" t="s">
        <v>4</v>
      </c>
      <c r="B535" s="7"/>
      <c r="C535" s="7"/>
      <c r="D535" s="14"/>
      <c r="E535" s="14"/>
      <c r="F535" s="14"/>
      <c r="G535" s="14"/>
      <c r="H535" s="14"/>
      <c r="I535" s="14"/>
      <c r="J535" s="14"/>
      <c r="K535" s="14"/>
      <c r="L535" s="14"/>
      <c r="M535" s="14"/>
      <c r="N535" s="14"/>
      <c r="O535" s="14"/>
      <c r="P535" s="14"/>
    </row>
    <row r="536" spans="1:16" ht="15" customHeight="1">
      <c r="A536" s="55" t="s">
        <v>63</v>
      </c>
      <c r="B536" s="7"/>
      <c r="C536" s="7"/>
      <c r="D536" s="14" t="s">
        <v>264</v>
      </c>
      <c r="E536" s="14">
        <v>13000</v>
      </c>
      <c r="F536" s="14">
        <f>E536</f>
        <v>13000</v>
      </c>
      <c r="G536" s="14"/>
      <c r="H536" s="14"/>
      <c r="I536" s="14"/>
      <c r="J536" s="14"/>
      <c r="K536" s="14"/>
      <c r="L536" s="14"/>
      <c r="M536" s="14"/>
      <c r="N536" s="14"/>
      <c r="O536" s="14"/>
      <c r="P536" s="14"/>
    </row>
    <row r="537" spans="1:16" ht="11.25">
      <c r="A537" s="54" t="s">
        <v>5</v>
      </c>
      <c r="B537" s="7"/>
      <c r="C537" s="7"/>
      <c r="D537" s="14"/>
      <c r="E537" s="14"/>
      <c r="F537" s="14"/>
      <c r="G537" s="14"/>
      <c r="H537" s="14"/>
      <c r="I537" s="14"/>
      <c r="J537" s="14"/>
      <c r="K537" s="14"/>
      <c r="L537" s="14"/>
      <c r="M537" s="14"/>
      <c r="N537" s="14"/>
      <c r="O537" s="14"/>
      <c r="P537" s="14"/>
    </row>
    <row r="538" spans="1:16" ht="41.25" customHeight="1">
      <c r="A538" s="55" t="s">
        <v>253</v>
      </c>
      <c r="B538" s="7"/>
      <c r="C538" s="7"/>
      <c r="D538" s="14" t="s">
        <v>264</v>
      </c>
      <c r="E538" s="14">
        <v>1</v>
      </c>
      <c r="F538" s="14">
        <f>E538</f>
        <v>1</v>
      </c>
      <c r="G538" s="14"/>
      <c r="H538" s="14"/>
      <c r="I538" s="14"/>
      <c r="J538" s="14"/>
      <c r="K538" s="14"/>
      <c r="L538" s="14"/>
      <c r="M538" s="14"/>
      <c r="N538" s="14"/>
      <c r="O538" s="14"/>
      <c r="P538" s="14"/>
    </row>
    <row r="539" spans="1:16" ht="11.25">
      <c r="A539" s="54" t="s">
        <v>7</v>
      </c>
      <c r="B539" s="7"/>
      <c r="C539" s="7"/>
      <c r="D539" s="14"/>
      <c r="E539" s="14"/>
      <c r="F539" s="14"/>
      <c r="G539" s="14"/>
      <c r="H539" s="14"/>
      <c r="I539" s="14"/>
      <c r="J539" s="14"/>
      <c r="K539" s="14"/>
      <c r="L539" s="14"/>
      <c r="M539" s="14"/>
      <c r="N539" s="14"/>
      <c r="O539" s="14"/>
      <c r="P539" s="14"/>
    </row>
    <row r="540" spans="1:16" ht="35.25" customHeight="1">
      <c r="A540" s="55" t="s">
        <v>254</v>
      </c>
      <c r="B540" s="7"/>
      <c r="C540" s="7"/>
      <c r="D540" s="14" t="s">
        <v>264</v>
      </c>
      <c r="E540" s="14">
        <v>13000</v>
      </c>
      <c r="F540" s="14">
        <f>E540</f>
        <v>13000</v>
      </c>
      <c r="G540" s="14"/>
      <c r="H540" s="14"/>
      <c r="I540" s="14"/>
      <c r="J540" s="14"/>
      <c r="K540" s="14"/>
      <c r="L540" s="14"/>
      <c r="M540" s="14"/>
      <c r="N540" s="14"/>
      <c r="O540" s="14"/>
      <c r="P540" s="14"/>
    </row>
    <row r="541" spans="1:235" s="85" customFormat="1" ht="15" customHeight="1">
      <c r="A541" s="108" t="s">
        <v>448</v>
      </c>
      <c r="B541" s="77"/>
      <c r="C541" s="77"/>
      <c r="D541" s="89">
        <f>D543+D550+D557+D566+D573</f>
        <v>2702500</v>
      </c>
      <c r="E541" s="89"/>
      <c r="F541" s="89">
        <f>D541</f>
        <v>2702500</v>
      </c>
      <c r="G541" s="89">
        <f aca="true" t="shared" si="46" ref="G541:Q541">G543+G550+G566+G580+G587+G557+G573+G594+G601</f>
        <v>6206810</v>
      </c>
      <c r="H541" s="89">
        <f t="shared" si="46"/>
        <v>4700000</v>
      </c>
      <c r="I541" s="89">
        <f t="shared" si="46"/>
        <v>0</v>
      </c>
      <c r="J541" s="89">
        <f t="shared" si="46"/>
        <v>10906810</v>
      </c>
      <c r="K541" s="89">
        <f t="shared" si="46"/>
        <v>0</v>
      </c>
      <c r="L541" s="89">
        <f t="shared" si="46"/>
        <v>0</v>
      </c>
      <c r="M541" s="89">
        <f t="shared" si="46"/>
        <v>0</v>
      </c>
      <c r="N541" s="89">
        <f t="shared" si="46"/>
        <v>6399560</v>
      </c>
      <c r="O541" s="89">
        <f t="shared" si="46"/>
        <v>0</v>
      </c>
      <c r="P541" s="89">
        <f t="shared" si="46"/>
        <v>6399560</v>
      </c>
      <c r="Q541" s="89">
        <f t="shared" si="46"/>
        <v>0</v>
      </c>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121"/>
      <c r="FH541" s="121"/>
      <c r="FI541" s="121"/>
      <c r="FJ541" s="121"/>
      <c r="FK541" s="121"/>
      <c r="FL541" s="121"/>
      <c r="FM541" s="121"/>
      <c r="FN541" s="121"/>
      <c r="FO541" s="121"/>
      <c r="FP541" s="121"/>
      <c r="FQ541" s="121"/>
      <c r="FR541" s="121"/>
      <c r="FS541" s="121"/>
      <c r="FT541" s="121"/>
      <c r="FU541" s="121"/>
      <c r="FV541" s="121"/>
      <c r="FW541" s="121"/>
      <c r="FX541" s="121"/>
      <c r="FY541" s="121"/>
      <c r="FZ541" s="121"/>
      <c r="GA541" s="121"/>
      <c r="GB541" s="121"/>
      <c r="GC541" s="121"/>
      <c r="GD541" s="121"/>
      <c r="GE541" s="121"/>
      <c r="GF541" s="121"/>
      <c r="GG541" s="121"/>
      <c r="GH541" s="121"/>
      <c r="GI541" s="121"/>
      <c r="GJ541" s="121"/>
      <c r="GK541" s="121"/>
      <c r="GL541" s="121"/>
      <c r="GM541" s="121"/>
      <c r="GN541" s="121"/>
      <c r="GO541" s="121"/>
      <c r="GP541" s="121"/>
      <c r="GQ541" s="121"/>
      <c r="GR541" s="121"/>
      <c r="GS541" s="121"/>
      <c r="GT541" s="121"/>
      <c r="GU541" s="121"/>
      <c r="GV541" s="121"/>
      <c r="GW541" s="121"/>
      <c r="GX541" s="121"/>
      <c r="GY541" s="121"/>
      <c r="GZ541" s="121"/>
      <c r="HA541" s="121"/>
      <c r="HB541" s="121"/>
      <c r="HC541" s="121"/>
      <c r="HD541" s="121"/>
      <c r="HE541" s="121"/>
      <c r="HF541" s="121"/>
      <c r="HG541" s="121"/>
      <c r="HH541" s="121"/>
      <c r="HI541" s="121"/>
      <c r="HJ541" s="121"/>
      <c r="HK541" s="121"/>
      <c r="HL541" s="121"/>
      <c r="HM541" s="121"/>
      <c r="HN541" s="121"/>
      <c r="HO541" s="121"/>
      <c r="HP541" s="121"/>
      <c r="HQ541" s="121"/>
      <c r="HR541" s="121"/>
      <c r="HS541" s="121"/>
      <c r="HT541" s="121"/>
      <c r="HU541" s="121"/>
      <c r="HV541" s="121"/>
      <c r="HW541" s="121"/>
      <c r="HX541" s="121"/>
      <c r="HY541" s="121"/>
      <c r="HZ541" s="121"/>
      <c r="IA541" s="121"/>
    </row>
    <row r="542" spans="1:16" ht="23.25" customHeight="1">
      <c r="A542" s="21" t="s">
        <v>209</v>
      </c>
      <c r="B542" s="7"/>
      <c r="C542" s="7"/>
      <c r="D542" s="14"/>
      <c r="E542" s="14"/>
      <c r="F542" s="14"/>
      <c r="G542" s="14"/>
      <c r="H542" s="14"/>
      <c r="I542" s="14"/>
      <c r="J542" s="14"/>
      <c r="K542" s="14"/>
      <c r="L542" s="14"/>
      <c r="M542" s="14"/>
      <c r="N542" s="14"/>
      <c r="O542" s="14"/>
      <c r="P542" s="14"/>
    </row>
    <row r="543" spans="1:235" s="92" customFormat="1" ht="27.75" customHeight="1">
      <c r="A543" s="82" t="s">
        <v>415</v>
      </c>
      <c r="B543" s="88"/>
      <c r="C543" s="88"/>
      <c r="D543" s="89">
        <f>D545</f>
        <v>2200000</v>
      </c>
      <c r="E543" s="89"/>
      <c r="F543" s="89">
        <f>D543</f>
        <v>2200000</v>
      </c>
      <c r="G543" s="89">
        <f>G547*G549</f>
        <v>5886610</v>
      </c>
      <c r="H543" s="89"/>
      <c r="I543" s="89"/>
      <c r="J543" s="89">
        <f>G543</f>
        <v>5886610</v>
      </c>
      <c r="K543" s="89"/>
      <c r="L543" s="89"/>
      <c r="M543" s="89"/>
      <c r="N543" s="89">
        <f>N547*N549</f>
        <v>6169560</v>
      </c>
      <c r="O543" s="89">
        <f>O547*O549</f>
        <v>0</v>
      </c>
      <c r="P543" s="89">
        <f>N543</f>
        <v>6169560</v>
      </c>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c r="DH543" s="91"/>
      <c r="DI543" s="91"/>
      <c r="DJ543" s="91"/>
      <c r="DK543" s="91"/>
      <c r="DL543" s="91"/>
      <c r="DM543" s="91"/>
      <c r="DN543" s="91"/>
      <c r="DO543" s="91"/>
      <c r="DP543" s="91"/>
      <c r="DQ543" s="91"/>
      <c r="DR543" s="91"/>
      <c r="DS543" s="91"/>
      <c r="DT543" s="91"/>
      <c r="DU543" s="91"/>
      <c r="DV543" s="91"/>
      <c r="DW543" s="91"/>
      <c r="DX543" s="91"/>
      <c r="DY543" s="91"/>
      <c r="DZ543" s="91"/>
      <c r="EA543" s="91"/>
      <c r="EB543" s="91"/>
      <c r="EC543" s="91"/>
      <c r="ED543" s="91"/>
      <c r="EE543" s="91"/>
      <c r="EF543" s="91"/>
      <c r="EG543" s="91"/>
      <c r="EH543" s="91"/>
      <c r="EI543" s="91"/>
      <c r="EJ543" s="91"/>
      <c r="EK543" s="91"/>
      <c r="EL543" s="91"/>
      <c r="EM543" s="91"/>
      <c r="EN543" s="91"/>
      <c r="EO543" s="91"/>
      <c r="EP543" s="91"/>
      <c r="EQ543" s="91"/>
      <c r="ER543" s="91"/>
      <c r="ES543" s="91"/>
      <c r="ET543" s="91"/>
      <c r="EU543" s="91"/>
      <c r="EV543" s="91"/>
      <c r="EW543" s="91"/>
      <c r="EX543" s="91"/>
      <c r="EY543" s="91"/>
      <c r="EZ543" s="91"/>
      <c r="FA543" s="91"/>
      <c r="FB543" s="91"/>
      <c r="FC543" s="91"/>
      <c r="FD543" s="91"/>
      <c r="FE543" s="91"/>
      <c r="FF543" s="91"/>
      <c r="FG543" s="91"/>
      <c r="FH543" s="91"/>
      <c r="FI543" s="91"/>
      <c r="FJ543" s="91"/>
      <c r="FK543" s="91"/>
      <c r="FL543" s="91"/>
      <c r="FM543" s="91"/>
      <c r="FN543" s="91"/>
      <c r="FO543" s="91"/>
      <c r="FP543" s="91"/>
      <c r="FQ543" s="91"/>
      <c r="FR543" s="91"/>
      <c r="FS543" s="91"/>
      <c r="FT543" s="91"/>
      <c r="FU543" s="91"/>
      <c r="FV543" s="91"/>
      <c r="FW543" s="91"/>
      <c r="FX543" s="91"/>
      <c r="FY543" s="91"/>
      <c r="FZ543" s="91"/>
      <c r="GA543" s="91"/>
      <c r="GB543" s="91"/>
      <c r="GC543" s="91"/>
      <c r="GD543" s="91"/>
      <c r="GE543" s="91"/>
      <c r="GF543" s="91"/>
      <c r="GG543" s="91"/>
      <c r="GH543" s="91"/>
      <c r="GI543" s="91"/>
      <c r="GJ543" s="91"/>
      <c r="GK543" s="91"/>
      <c r="GL543" s="91"/>
      <c r="GM543" s="91"/>
      <c r="GN543" s="91"/>
      <c r="GO543" s="91"/>
      <c r="GP543" s="91"/>
      <c r="GQ543" s="91"/>
      <c r="GR543" s="91"/>
      <c r="GS543" s="91"/>
      <c r="GT543" s="91"/>
      <c r="GU543" s="91"/>
      <c r="GV543" s="91"/>
      <c r="GW543" s="91"/>
      <c r="GX543" s="91"/>
      <c r="GY543" s="91"/>
      <c r="GZ543" s="91"/>
      <c r="HA543" s="91"/>
      <c r="HB543" s="91"/>
      <c r="HC543" s="91"/>
      <c r="HD543" s="91"/>
      <c r="HE543" s="91"/>
      <c r="HF543" s="91"/>
      <c r="HG543" s="91"/>
      <c r="HH543" s="91"/>
      <c r="HI543" s="91"/>
      <c r="HJ543" s="91"/>
      <c r="HK543" s="91"/>
      <c r="HL543" s="91"/>
      <c r="HM543" s="91"/>
      <c r="HN543" s="91"/>
      <c r="HO543" s="91"/>
      <c r="HP543" s="91"/>
      <c r="HQ543" s="91"/>
      <c r="HR543" s="91"/>
      <c r="HS543" s="91"/>
      <c r="HT543" s="91"/>
      <c r="HU543" s="91"/>
      <c r="HV543" s="91"/>
      <c r="HW543" s="91"/>
      <c r="HX543" s="91"/>
      <c r="HY543" s="91"/>
      <c r="HZ543" s="91"/>
      <c r="IA543" s="91"/>
    </row>
    <row r="544" spans="1:16" ht="12" customHeight="1">
      <c r="A544" s="20" t="s">
        <v>4</v>
      </c>
      <c r="B544" s="7"/>
      <c r="C544" s="7"/>
      <c r="D544" s="14"/>
      <c r="E544" s="14"/>
      <c r="F544" s="14"/>
      <c r="G544" s="14"/>
      <c r="H544" s="14"/>
      <c r="I544" s="14"/>
      <c r="J544" s="14"/>
      <c r="K544" s="14"/>
      <c r="L544" s="14"/>
      <c r="M544" s="14"/>
      <c r="N544" s="14"/>
      <c r="O544" s="14"/>
      <c r="P544" s="14"/>
    </row>
    <row r="545" spans="1:16" ht="13.5" customHeight="1">
      <c r="A545" s="21" t="s">
        <v>63</v>
      </c>
      <c r="B545" s="7"/>
      <c r="C545" s="7"/>
      <c r="D545" s="14">
        <v>2200000</v>
      </c>
      <c r="E545" s="14"/>
      <c r="F545" s="14">
        <f>D545</f>
        <v>2200000</v>
      </c>
      <c r="G545" s="14">
        <f>G547*G549</f>
        <v>5886610</v>
      </c>
      <c r="H545" s="14"/>
      <c r="I545" s="14"/>
      <c r="J545" s="14">
        <f>G545</f>
        <v>5886610</v>
      </c>
      <c r="K545" s="14"/>
      <c r="L545" s="14"/>
      <c r="M545" s="14"/>
      <c r="N545" s="14">
        <f>N547*N549</f>
        <v>6169560</v>
      </c>
      <c r="O545" s="14"/>
      <c r="P545" s="14">
        <f>N545</f>
        <v>6169560</v>
      </c>
    </row>
    <row r="546" spans="1:16" ht="12" customHeight="1">
      <c r="A546" s="20" t="s">
        <v>5</v>
      </c>
      <c r="B546" s="7"/>
      <c r="C546" s="7"/>
      <c r="D546" s="14"/>
      <c r="E546" s="14"/>
      <c r="F546" s="14"/>
      <c r="G546" s="14"/>
      <c r="H546" s="14"/>
      <c r="I546" s="14"/>
      <c r="J546" s="14"/>
      <c r="K546" s="14"/>
      <c r="L546" s="14"/>
      <c r="M546" s="14"/>
      <c r="N546" s="14"/>
      <c r="O546" s="14"/>
      <c r="P546" s="14"/>
    </row>
    <row r="547" spans="1:16" ht="33" customHeight="1">
      <c r="A547" s="21" t="s">
        <v>64</v>
      </c>
      <c r="B547" s="7"/>
      <c r="C547" s="7"/>
      <c r="D547" s="14">
        <v>1</v>
      </c>
      <c r="E547" s="14"/>
      <c r="F547" s="14">
        <v>1</v>
      </c>
      <c r="G547" s="14">
        <v>1</v>
      </c>
      <c r="H547" s="14"/>
      <c r="I547" s="14"/>
      <c r="J547" s="14">
        <v>1</v>
      </c>
      <c r="K547" s="14"/>
      <c r="L547" s="14"/>
      <c r="M547" s="14"/>
      <c r="N547" s="14">
        <v>1</v>
      </c>
      <c r="O547" s="14"/>
      <c r="P547" s="14">
        <f>N547</f>
        <v>1</v>
      </c>
    </row>
    <row r="548" spans="1:16" ht="11.25">
      <c r="A548" s="20" t="s">
        <v>7</v>
      </c>
      <c r="B548" s="7"/>
      <c r="C548" s="7"/>
      <c r="D548" s="14"/>
      <c r="E548" s="14"/>
      <c r="F548" s="14"/>
      <c r="G548" s="14"/>
      <c r="H548" s="14"/>
      <c r="I548" s="14"/>
      <c r="J548" s="14"/>
      <c r="K548" s="14"/>
      <c r="L548" s="14"/>
      <c r="M548" s="14"/>
      <c r="N548" s="14"/>
      <c r="O548" s="14"/>
      <c r="P548" s="14"/>
    </row>
    <row r="549" spans="1:16" ht="21" customHeight="1">
      <c r="A549" s="21" t="s">
        <v>211</v>
      </c>
      <c r="B549" s="7"/>
      <c r="C549" s="7"/>
      <c r="D549" s="14">
        <f>D545/D547</f>
        <v>2200000</v>
      </c>
      <c r="E549" s="14"/>
      <c r="F549" s="14">
        <f>D549</f>
        <v>2200000</v>
      </c>
      <c r="G549" s="14">
        <f>4829000+1057610</f>
        <v>5886610</v>
      </c>
      <c r="H549" s="14"/>
      <c r="I549" s="14"/>
      <c r="J549" s="14">
        <f>G549</f>
        <v>5886610</v>
      </c>
      <c r="K549" s="14"/>
      <c r="L549" s="14"/>
      <c r="M549" s="14"/>
      <c r="N549" s="14">
        <v>6169560</v>
      </c>
      <c r="O549" s="14"/>
      <c r="P549" s="14">
        <f>N549</f>
        <v>6169560</v>
      </c>
    </row>
    <row r="550" spans="1:235" s="92" customFormat="1" ht="25.5" customHeight="1">
      <c r="A550" s="82" t="s">
        <v>416</v>
      </c>
      <c r="B550" s="88"/>
      <c r="C550" s="88"/>
      <c r="D550" s="89"/>
      <c r="E550" s="89"/>
      <c r="F550" s="89"/>
      <c r="G550" s="89">
        <f>G554*G556</f>
        <v>70000</v>
      </c>
      <c r="H550" s="89"/>
      <c r="I550" s="89"/>
      <c r="J550" s="89">
        <f>G550</f>
        <v>70000</v>
      </c>
      <c r="K550" s="89"/>
      <c r="L550" s="89"/>
      <c r="M550" s="89"/>
      <c r="N550" s="89">
        <f>N556*N554</f>
        <v>50000</v>
      </c>
      <c r="O550" s="89"/>
      <c r="P550" s="89">
        <f>N550</f>
        <v>50000</v>
      </c>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c r="EJ550" s="91"/>
      <c r="EK550" s="91"/>
      <c r="EL550" s="91"/>
      <c r="EM550" s="91"/>
      <c r="EN550" s="91"/>
      <c r="EO550" s="91"/>
      <c r="EP550" s="91"/>
      <c r="EQ550" s="91"/>
      <c r="ER550" s="91"/>
      <c r="ES550" s="91"/>
      <c r="ET550" s="91"/>
      <c r="EU550" s="91"/>
      <c r="EV550" s="91"/>
      <c r="EW550" s="91"/>
      <c r="EX550" s="91"/>
      <c r="EY550" s="91"/>
      <c r="EZ550" s="91"/>
      <c r="FA550" s="91"/>
      <c r="FB550" s="91"/>
      <c r="FC550" s="91"/>
      <c r="FD550" s="91"/>
      <c r="FE550" s="91"/>
      <c r="FF550" s="91"/>
      <c r="FG550" s="91"/>
      <c r="FH550" s="91"/>
      <c r="FI550" s="91"/>
      <c r="FJ550" s="91"/>
      <c r="FK550" s="91"/>
      <c r="FL550" s="91"/>
      <c r="FM550" s="91"/>
      <c r="FN550" s="91"/>
      <c r="FO550" s="91"/>
      <c r="FP550" s="91"/>
      <c r="FQ550" s="91"/>
      <c r="FR550" s="91"/>
      <c r="FS550" s="91"/>
      <c r="FT550" s="91"/>
      <c r="FU550" s="91"/>
      <c r="FV550" s="91"/>
      <c r="FW550" s="91"/>
      <c r="FX550" s="91"/>
      <c r="FY550" s="91"/>
      <c r="FZ550" s="91"/>
      <c r="GA550" s="91"/>
      <c r="GB550" s="91"/>
      <c r="GC550" s="91"/>
      <c r="GD550" s="91"/>
      <c r="GE550" s="91"/>
      <c r="GF550" s="91"/>
      <c r="GG550" s="91"/>
      <c r="GH550" s="91"/>
      <c r="GI550" s="91"/>
      <c r="GJ550" s="91"/>
      <c r="GK550" s="91"/>
      <c r="GL550" s="91"/>
      <c r="GM550" s="91"/>
      <c r="GN550" s="91"/>
      <c r="GO550" s="91"/>
      <c r="GP550" s="91"/>
      <c r="GQ550" s="91"/>
      <c r="GR550" s="91"/>
      <c r="GS550" s="91"/>
      <c r="GT550" s="91"/>
      <c r="GU550" s="91"/>
      <c r="GV550" s="91"/>
      <c r="GW550" s="91"/>
      <c r="GX550" s="91"/>
      <c r="GY550" s="91"/>
      <c r="GZ550" s="91"/>
      <c r="HA550" s="91"/>
      <c r="HB550" s="91"/>
      <c r="HC550" s="91"/>
      <c r="HD550" s="91"/>
      <c r="HE550" s="91"/>
      <c r="HF550" s="91"/>
      <c r="HG550" s="91"/>
      <c r="HH550" s="91"/>
      <c r="HI550" s="91"/>
      <c r="HJ550" s="91"/>
      <c r="HK550" s="91"/>
      <c r="HL550" s="91"/>
      <c r="HM550" s="91"/>
      <c r="HN550" s="91"/>
      <c r="HO550" s="91"/>
      <c r="HP550" s="91"/>
      <c r="HQ550" s="91"/>
      <c r="HR550" s="91"/>
      <c r="HS550" s="91"/>
      <c r="HT550" s="91"/>
      <c r="HU550" s="91"/>
      <c r="HV550" s="91"/>
      <c r="HW550" s="91"/>
      <c r="HX550" s="91"/>
      <c r="HY550" s="91"/>
      <c r="HZ550" s="91"/>
      <c r="IA550" s="91"/>
    </row>
    <row r="551" spans="1:16" ht="11.25">
      <c r="A551" s="20" t="s">
        <v>4</v>
      </c>
      <c r="B551" s="7"/>
      <c r="C551" s="7"/>
      <c r="D551" s="14"/>
      <c r="E551" s="14"/>
      <c r="F551" s="14"/>
      <c r="G551" s="14"/>
      <c r="H551" s="14"/>
      <c r="I551" s="14"/>
      <c r="J551" s="14"/>
      <c r="K551" s="14"/>
      <c r="L551" s="14"/>
      <c r="M551" s="14"/>
      <c r="N551" s="14"/>
      <c r="O551" s="14"/>
      <c r="P551" s="14"/>
    </row>
    <row r="552" spans="1:16" ht="14.25" customHeight="1">
      <c r="A552" s="21" t="s">
        <v>63</v>
      </c>
      <c r="B552" s="7"/>
      <c r="C552" s="7"/>
      <c r="D552" s="14"/>
      <c r="E552" s="14"/>
      <c r="F552" s="14"/>
      <c r="G552" s="14">
        <v>70000</v>
      </c>
      <c r="H552" s="14"/>
      <c r="I552" s="14"/>
      <c r="J552" s="14">
        <f>G552</f>
        <v>70000</v>
      </c>
      <c r="K552" s="14"/>
      <c r="L552" s="14"/>
      <c r="M552" s="14"/>
      <c r="N552" s="14">
        <v>50000</v>
      </c>
      <c r="O552" s="14"/>
      <c r="P552" s="14">
        <v>50000</v>
      </c>
    </row>
    <row r="553" spans="1:16" ht="11.25">
      <c r="A553" s="20" t="s">
        <v>5</v>
      </c>
      <c r="B553" s="7"/>
      <c r="C553" s="7"/>
      <c r="D553" s="14"/>
      <c r="E553" s="14"/>
      <c r="F553" s="14"/>
      <c r="G553" s="14"/>
      <c r="H553" s="14"/>
      <c r="I553" s="14"/>
      <c r="J553" s="14"/>
      <c r="K553" s="14"/>
      <c r="L553" s="14"/>
      <c r="M553" s="14"/>
      <c r="N553" s="14"/>
      <c r="O553" s="14"/>
      <c r="P553" s="14"/>
    </row>
    <row r="554" spans="1:16" ht="23.25" customHeight="1">
      <c r="A554" s="21" t="s">
        <v>210</v>
      </c>
      <c r="B554" s="7"/>
      <c r="C554" s="7"/>
      <c r="D554" s="14"/>
      <c r="E554" s="14"/>
      <c r="F554" s="14"/>
      <c r="G554" s="14">
        <v>2</v>
      </c>
      <c r="H554" s="14"/>
      <c r="I554" s="14"/>
      <c r="J554" s="14">
        <v>2</v>
      </c>
      <c r="K554" s="14"/>
      <c r="L554" s="14"/>
      <c r="M554" s="14"/>
      <c r="N554" s="14">
        <v>1</v>
      </c>
      <c r="O554" s="14"/>
      <c r="P554" s="14">
        <v>1</v>
      </c>
    </row>
    <row r="555" spans="1:16" ht="11.25">
      <c r="A555" s="20" t="s">
        <v>7</v>
      </c>
      <c r="B555" s="7"/>
      <c r="C555" s="7"/>
      <c r="D555" s="14"/>
      <c r="E555" s="14"/>
      <c r="F555" s="14"/>
      <c r="G555" s="14"/>
      <c r="H555" s="14"/>
      <c r="I555" s="14"/>
      <c r="J555" s="14"/>
      <c r="K555" s="14"/>
      <c r="L555" s="14"/>
      <c r="M555" s="14"/>
      <c r="N555" s="14"/>
      <c r="O555" s="14"/>
      <c r="P555" s="14"/>
    </row>
    <row r="556" spans="1:16" ht="24.75" customHeight="1">
      <c r="A556" s="21" t="s">
        <v>212</v>
      </c>
      <c r="B556" s="7"/>
      <c r="C556" s="7"/>
      <c r="D556" s="14"/>
      <c r="E556" s="14"/>
      <c r="F556" s="14"/>
      <c r="G556" s="14">
        <v>35000</v>
      </c>
      <c r="H556" s="14"/>
      <c r="I556" s="14"/>
      <c r="J556" s="14">
        <f>G556</f>
        <v>35000</v>
      </c>
      <c r="K556" s="14"/>
      <c r="L556" s="14"/>
      <c r="M556" s="14"/>
      <c r="N556" s="14">
        <v>50000</v>
      </c>
      <c r="O556" s="14"/>
      <c r="P556" s="14">
        <v>50000</v>
      </c>
    </row>
    <row r="557" spans="1:235" s="92" customFormat="1" ht="15" customHeight="1">
      <c r="A557" s="82" t="s">
        <v>417</v>
      </c>
      <c r="B557" s="88"/>
      <c r="C557" s="88"/>
      <c r="D557" s="89">
        <f>D559</f>
        <v>150400</v>
      </c>
      <c r="E557" s="89"/>
      <c r="F557" s="89">
        <f>D557</f>
        <v>150400</v>
      </c>
      <c r="G557" s="89"/>
      <c r="H557" s="89"/>
      <c r="I557" s="89"/>
      <c r="J557" s="89"/>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2" customHeight="1">
      <c r="A558" s="20" t="s">
        <v>4</v>
      </c>
      <c r="B558" s="7"/>
      <c r="C558" s="7"/>
      <c r="D558" s="14"/>
      <c r="E558" s="14"/>
      <c r="F558" s="14"/>
      <c r="G558" s="14"/>
      <c r="H558" s="14"/>
      <c r="I558" s="14"/>
      <c r="J558" s="14"/>
      <c r="K558" s="14"/>
      <c r="L558" s="14"/>
      <c r="M558" s="14"/>
      <c r="N558" s="14"/>
      <c r="O558" s="14"/>
      <c r="P558" s="14"/>
    </row>
    <row r="559" spans="1:16" ht="12" customHeight="1">
      <c r="A559" s="21" t="s">
        <v>63</v>
      </c>
      <c r="B559" s="7"/>
      <c r="C559" s="7"/>
      <c r="D559" s="14">
        <f>(D561*D564)+(D562*D565)-0.03</f>
        <v>150400</v>
      </c>
      <c r="E559" s="14"/>
      <c r="F559" s="14">
        <f>D559</f>
        <v>150400</v>
      </c>
      <c r="G559" s="14"/>
      <c r="H559" s="14"/>
      <c r="I559" s="14"/>
      <c r="J559" s="14"/>
      <c r="K559" s="14"/>
      <c r="L559" s="14"/>
      <c r="M559" s="14"/>
      <c r="N559" s="14"/>
      <c r="O559" s="14"/>
      <c r="P559" s="14"/>
    </row>
    <row r="560" spans="1:16" ht="12" customHeight="1">
      <c r="A560" s="20" t="s">
        <v>5</v>
      </c>
      <c r="B560" s="7"/>
      <c r="C560" s="7"/>
      <c r="D560" s="14"/>
      <c r="E560" s="14"/>
      <c r="F560" s="14"/>
      <c r="G560" s="14"/>
      <c r="H560" s="14"/>
      <c r="I560" s="14"/>
      <c r="J560" s="14"/>
      <c r="K560" s="14"/>
      <c r="L560" s="14"/>
      <c r="M560" s="14"/>
      <c r="N560" s="14"/>
      <c r="O560" s="14"/>
      <c r="P560" s="14"/>
    </row>
    <row r="561" spans="1:16" ht="24.75" customHeight="1">
      <c r="A561" s="21" t="s">
        <v>240</v>
      </c>
      <c r="B561" s="7"/>
      <c r="C561" s="7"/>
      <c r="D561" s="14">
        <v>57</v>
      </c>
      <c r="E561" s="14"/>
      <c r="F561" s="14">
        <v>57</v>
      </c>
      <c r="G561" s="14"/>
      <c r="H561" s="14"/>
      <c r="I561" s="14"/>
      <c r="J561" s="14"/>
      <c r="K561" s="14"/>
      <c r="L561" s="14"/>
      <c r="M561" s="14"/>
      <c r="N561" s="14"/>
      <c r="O561" s="14"/>
      <c r="P561" s="14"/>
    </row>
    <row r="562" spans="1:16" ht="15.75" customHeight="1">
      <c r="A562" s="21" t="s">
        <v>238</v>
      </c>
      <c r="B562" s="7"/>
      <c r="C562" s="7"/>
      <c r="D562" s="14">
        <v>145</v>
      </c>
      <c r="E562" s="14"/>
      <c r="F562" s="14">
        <f>D562</f>
        <v>145</v>
      </c>
      <c r="G562" s="14"/>
      <c r="H562" s="14"/>
      <c r="I562" s="14"/>
      <c r="J562" s="14"/>
      <c r="K562" s="14"/>
      <c r="L562" s="14"/>
      <c r="M562" s="14"/>
      <c r="N562" s="14"/>
      <c r="O562" s="14"/>
      <c r="P562" s="14"/>
    </row>
    <row r="563" spans="1:16" ht="12.75" customHeight="1">
      <c r="A563" s="20" t="s">
        <v>7</v>
      </c>
      <c r="B563" s="7"/>
      <c r="C563" s="7"/>
      <c r="D563" s="14"/>
      <c r="E563" s="14"/>
      <c r="F563" s="14"/>
      <c r="G563" s="14"/>
      <c r="H563" s="14"/>
      <c r="I563" s="14"/>
      <c r="J563" s="14"/>
      <c r="K563" s="14"/>
      <c r="L563" s="14"/>
      <c r="M563" s="14"/>
      <c r="N563" s="14"/>
      <c r="O563" s="14"/>
      <c r="P563" s="14"/>
    </row>
    <row r="564" spans="1:16" ht="24.75" customHeight="1">
      <c r="A564" s="21" t="s">
        <v>239</v>
      </c>
      <c r="B564" s="7"/>
      <c r="C564" s="7"/>
      <c r="D564" s="14">
        <v>1950.89</v>
      </c>
      <c r="E564" s="14"/>
      <c r="F564" s="14">
        <f>D564</f>
        <v>1950.89</v>
      </c>
      <c r="G564" s="14"/>
      <c r="H564" s="14"/>
      <c r="I564" s="14"/>
      <c r="J564" s="14"/>
      <c r="K564" s="14"/>
      <c r="L564" s="14"/>
      <c r="M564" s="14"/>
      <c r="N564" s="14"/>
      <c r="O564" s="14"/>
      <c r="P564" s="14"/>
    </row>
    <row r="565" spans="1:16" ht="24.75" customHeight="1">
      <c r="A565" s="21" t="s">
        <v>241</v>
      </c>
      <c r="B565" s="7"/>
      <c r="C565" s="7"/>
      <c r="D565" s="14">
        <v>270.34</v>
      </c>
      <c r="E565" s="14"/>
      <c r="F565" s="14">
        <f>D565</f>
        <v>270.34</v>
      </c>
      <c r="G565" s="14"/>
      <c r="H565" s="14"/>
      <c r="I565" s="14"/>
      <c r="J565" s="14"/>
      <c r="K565" s="14"/>
      <c r="L565" s="14"/>
      <c r="M565" s="14"/>
      <c r="N565" s="14"/>
      <c r="O565" s="14"/>
      <c r="P565" s="14"/>
    </row>
    <row r="566" spans="1:235" s="92" customFormat="1" ht="41.25" customHeight="1">
      <c r="A566" s="82" t="s">
        <v>418</v>
      </c>
      <c r="B566" s="88"/>
      <c r="C566" s="88"/>
      <c r="D566" s="89">
        <v>127900</v>
      </c>
      <c r="E566" s="89"/>
      <c r="F566" s="89">
        <f>D566</f>
        <v>127900</v>
      </c>
      <c r="G566" s="89">
        <f>G570*G572</f>
        <v>130000</v>
      </c>
      <c r="H566" s="89"/>
      <c r="I566" s="89"/>
      <c r="J566" s="89">
        <f>G566</f>
        <v>130000</v>
      </c>
      <c r="K566" s="89"/>
      <c r="L566" s="89"/>
      <c r="M566" s="89"/>
      <c r="N566" s="89"/>
      <c r="O566" s="89"/>
      <c r="P566" s="89"/>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c r="DH566" s="91"/>
      <c r="DI566" s="91"/>
      <c r="DJ566" s="91"/>
      <c r="DK566" s="91"/>
      <c r="DL566" s="91"/>
      <c r="DM566" s="91"/>
      <c r="DN566" s="91"/>
      <c r="DO566" s="91"/>
      <c r="DP566" s="91"/>
      <c r="DQ566" s="91"/>
      <c r="DR566" s="91"/>
      <c r="DS566" s="91"/>
      <c r="DT566" s="91"/>
      <c r="DU566" s="91"/>
      <c r="DV566" s="91"/>
      <c r="DW566" s="91"/>
      <c r="DX566" s="91"/>
      <c r="DY566" s="91"/>
      <c r="DZ566" s="91"/>
      <c r="EA566" s="91"/>
      <c r="EB566" s="91"/>
      <c r="EC566" s="91"/>
      <c r="ED566" s="91"/>
      <c r="EE566" s="91"/>
      <c r="EF566" s="91"/>
      <c r="EG566" s="91"/>
      <c r="EH566" s="91"/>
      <c r="EI566" s="91"/>
      <c r="EJ566" s="91"/>
      <c r="EK566" s="91"/>
      <c r="EL566" s="91"/>
      <c r="EM566" s="91"/>
      <c r="EN566" s="91"/>
      <c r="EO566" s="91"/>
      <c r="EP566" s="91"/>
      <c r="EQ566" s="91"/>
      <c r="ER566" s="91"/>
      <c r="ES566" s="91"/>
      <c r="ET566" s="91"/>
      <c r="EU566" s="91"/>
      <c r="EV566" s="91"/>
      <c r="EW566" s="91"/>
      <c r="EX566" s="91"/>
      <c r="EY566" s="91"/>
      <c r="EZ566" s="91"/>
      <c r="FA566" s="91"/>
      <c r="FB566" s="91"/>
      <c r="FC566" s="91"/>
      <c r="FD566" s="91"/>
      <c r="FE566" s="91"/>
      <c r="FF566" s="91"/>
      <c r="FG566" s="91"/>
      <c r="FH566" s="91"/>
      <c r="FI566" s="91"/>
      <c r="FJ566" s="91"/>
      <c r="FK566" s="91"/>
      <c r="FL566" s="91"/>
      <c r="FM566" s="91"/>
      <c r="FN566" s="91"/>
      <c r="FO566" s="91"/>
      <c r="FP566" s="91"/>
      <c r="FQ566" s="91"/>
      <c r="FR566" s="91"/>
      <c r="FS566" s="91"/>
      <c r="FT566" s="91"/>
      <c r="FU566" s="91"/>
      <c r="FV566" s="91"/>
      <c r="FW566" s="91"/>
      <c r="FX566" s="91"/>
      <c r="FY566" s="91"/>
      <c r="FZ566" s="91"/>
      <c r="GA566" s="91"/>
      <c r="GB566" s="91"/>
      <c r="GC566" s="91"/>
      <c r="GD566" s="91"/>
      <c r="GE566" s="91"/>
      <c r="GF566" s="91"/>
      <c r="GG566" s="91"/>
      <c r="GH566" s="91"/>
      <c r="GI566" s="91"/>
      <c r="GJ566" s="91"/>
      <c r="GK566" s="91"/>
      <c r="GL566" s="91"/>
      <c r="GM566" s="91"/>
      <c r="GN566" s="91"/>
      <c r="GO566" s="91"/>
      <c r="GP566" s="91"/>
      <c r="GQ566" s="91"/>
      <c r="GR566" s="91"/>
      <c r="GS566" s="91"/>
      <c r="GT566" s="91"/>
      <c r="GU566" s="91"/>
      <c r="GV566" s="91"/>
      <c r="GW566" s="91"/>
      <c r="GX566" s="91"/>
      <c r="GY566" s="91"/>
      <c r="GZ566" s="91"/>
      <c r="HA566" s="91"/>
      <c r="HB566" s="91"/>
      <c r="HC566" s="91"/>
      <c r="HD566" s="91"/>
      <c r="HE566" s="91"/>
      <c r="HF566" s="91"/>
      <c r="HG566" s="91"/>
      <c r="HH566" s="91"/>
      <c r="HI566" s="91"/>
      <c r="HJ566" s="91"/>
      <c r="HK566" s="91"/>
      <c r="HL566" s="91"/>
      <c r="HM566" s="91"/>
      <c r="HN566" s="91"/>
      <c r="HO566" s="91"/>
      <c r="HP566" s="91"/>
      <c r="HQ566" s="91"/>
      <c r="HR566" s="91"/>
      <c r="HS566" s="91"/>
      <c r="HT566" s="91"/>
      <c r="HU566" s="91"/>
      <c r="HV566" s="91"/>
      <c r="HW566" s="91"/>
      <c r="HX566" s="91"/>
      <c r="HY566" s="91"/>
      <c r="HZ566" s="91"/>
      <c r="IA566" s="91"/>
    </row>
    <row r="567" spans="1:16" ht="11.25" customHeight="1">
      <c r="A567" s="20" t="s">
        <v>4</v>
      </c>
      <c r="B567" s="7"/>
      <c r="C567" s="7"/>
      <c r="D567" s="14"/>
      <c r="E567" s="14"/>
      <c r="F567" s="14"/>
      <c r="G567" s="14"/>
      <c r="H567" s="14"/>
      <c r="I567" s="14"/>
      <c r="J567" s="14"/>
      <c r="K567" s="14"/>
      <c r="L567" s="14"/>
      <c r="M567" s="14"/>
      <c r="N567" s="14"/>
      <c r="O567" s="14"/>
      <c r="P567" s="14"/>
    </row>
    <row r="568" spans="1:16" ht="14.25" customHeight="1">
      <c r="A568" s="21" t="s">
        <v>63</v>
      </c>
      <c r="B568" s="7"/>
      <c r="C568" s="7"/>
      <c r="D568" s="62">
        <f>D566</f>
        <v>127900</v>
      </c>
      <c r="E568" s="14"/>
      <c r="F568" s="14">
        <f>D568</f>
        <v>127900</v>
      </c>
      <c r="G568" s="14">
        <v>130000</v>
      </c>
      <c r="H568" s="14"/>
      <c r="I568" s="14"/>
      <c r="J568" s="14">
        <f>G568</f>
        <v>130000</v>
      </c>
      <c r="K568" s="14"/>
      <c r="L568" s="14"/>
      <c r="M568" s="14"/>
      <c r="N568" s="14"/>
      <c r="O568" s="14"/>
      <c r="P568" s="14"/>
    </row>
    <row r="569" spans="1:16" ht="10.5" customHeight="1">
      <c r="A569" s="20" t="s">
        <v>5</v>
      </c>
      <c r="B569" s="7"/>
      <c r="C569" s="7"/>
      <c r="D569" s="62"/>
      <c r="E569" s="14"/>
      <c r="F569" s="14"/>
      <c r="G569" s="14"/>
      <c r="H569" s="14"/>
      <c r="I569" s="14"/>
      <c r="J569" s="14"/>
      <c r="K569" s="14"/>
      <c r="L569" s="14"/>
      <c r="M569" s="14"/>
      <c r="N569" s="14"/>
      <c r="O569" s="14"/>
      <c r="P569" s="14"/>
    </row>
    <row r="570" spans="1:16" ht="24.75" customHeight="1">
      <c r="A570" s="21" t="s">
        <v>245</v>
      </c>
      <c r="B570" s="7"/>
      <c r="C570" s="7"/>
      <c r="D570" s="62">
        <v>4</v>
      </c>
      <c r="E570" s="14"/>
      <c r="F570" s="14">
        <f>D570</f>
        <v>4</v>
      </c>
      <c r="G570" s="14">
        <v>4</v>
      </c>
      <c r="H570" s="14"/>
      <c r="I570" s="14"/>
      <c r="J570" s="14">
        <v>4</v>
      </c>
      <c r="K570" s="14"/>
      <c r="L570" s="14"/>
      <c r="M570" s="14"/>
      <c r="N570" s="14"/>
      <c r="O570" s="14"/>
      <c r="P570" s="14"/>
    </row>
    <row r="571" spans="1:16" ht="11.25">
      <c r="A571" s="20" t="s">
        <v>7</v>
      </c>
      <c r="B571" s="7"/>
      <c r="C571" s="7"/>
      <c r="D571" s="62"/>
      <c r="E571" s="14"/>
      <c r="F571" s="14"/>
      <c r="G571" s="14"/>
      <c r="H571" s="14"/>
      <c r="I571" s="14"/>
      <c r="J571" s="14"/>
      <c r="K571" s="14"/>
      <c r="L571" s="14"/>
      <c r="M571" s="14"/>
      <c r="N571" s="14"/>
      <c r="O571" s="14"/>
      <c r="P571" s="14"/>
    </row>
    <row r="572" spans="1:16" ht="24.75" customHeight="1">
      <c r="A572" s="21" t="s">
        <v>244</v>
      </c>
      <c r="B572" s="7"/>
      <c r="C572" s="7"/>
      <c r="D572" s="62">
        <f>D566/D570</f>
        <v>31975</v>
      </c>
      <c r="E572" s="14"/>
      <c r="F572" s="14">
        <f>D572</f>
        <v>31975</v>
      </c>
      <c r="G572" s="14">
        <v>32500</v>
      </c>
      <c r="H572" s="14"/>
      <c r="I572" s="14"/>
      <c r="J572" s="14">
        <f>G572</f>
        <v>32500</v>
      </c>
      <c r="K572" s="14"/>
      <c r="L572" s="14"/>
      <c r="M572" s="14"/>
      <c r="N572" s="14"/>
      <c r="O572" s="14"/>
      <c r="P572" s="14"/>
    </row>
    <row r="573" spans="1:235" s="92" customFormat="1" ht="25.5" customHeight="1">
      <c r="A573" s="82" t="s">
        <v>419</v>
      </c>
      <c r="B573" s="88"/>
      <c r="C573" s="88"/>
      <c r="D573" s="89">
        <v>224200</v>
      </c>
      <c r="E573" s="89"/>
      <c r="F573" s="89">
        <f>D573</f>
        <v>224200</v>
      </c>
      <c r="G573" s="89"/>
      <c r="H573" s="89"/>
      <c r="I573" s="89"/>
      <c r="J573" s="89"/>
      <c r="K573" s="89"/>
      <c r="L573" s="89"/>
      <c r="M573" s="89"/>
      <c r="N573" s="89"/>
      <c r="O573" s="89"/>
      <c r="P573" s="89"/>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c r="DH573" s="91"/>
      <c r="DI573" s="91"/>
      <c r="DJ573" s="91"/>
      <c r="DK573" s="91"/>
      <c r="DL573" s="91"/>
      <c r="DM573" s="91"/>
      <c r="DN573" s="91"/>
      <c r="DO573" s="91"/>
      <c r="DP573" s="91"/>
      <c r="DQ573" s="91"/>
      <c r="DR573" s="91"/>
      <c r="DS573" s="91"/>
      <c r="DT573" s="91"/>
      <c r="DU573" s="91"/>
      <c r="DV573" s="91"/>
      <c r="DW573" s="91"/>
      <c r="DX573" s="91"/>
      <c r="DY573" s="91"/>
      <c r="DZ573" s="91"/>
      <c r="EA573" s="91"/>
      <c r="EB573" s="91"/>
      <c r="EC573" s="91"/>
      <c r="ED573" s="91"/>
      <c r="EE573" s="91"/>
      <c r="EF573" s="91"/>
      <c r="EG573" s="91"/>
      <c r="EH573" s="91"/>
      <c r="EI573" s="91"/>
      <c r="EJ573" s="91"/>
      <c r="EK573" s="91"/>
      <c r="EL573" s="91"/>
      <c r="EM573" s="91"/>
      <c r="EN573" s="91"/>
      <c r="EO573" s="91"/>
      <c r="EP573" s="91"/>
      <c r="EQ573" s="91"/>
      <c r="ER573" s="91"/>
      <c r="ES573" s="91"/>
      <c r="ET573" s="91"/>
      <c r="EU573" s="91"/>
      <c r="EV573" s="91"/>
      <c r="EW573" s="91"/>
      <c r="EX573" s="91"/>
      <c r="EY573" s="91"/>
      <c r="EZ573" s="91"/>
      <c r="FA573" s="91"/>
      <c r="FB573" s="91"/>
      <c r="FC573" s="91"/>
      <c r="FD573" s="91"/>
      <c r="FE573" s="91"/>
      <c r="FF573" s="91"/>
      <c r="FG573" s="91"/>
      <c r="FH573" s="91"/>
      <c r="FI573" s="91"/>
      <c r="FJ573" s="91"/>
      <c r="FK573" s="91"/>
      <c r="FL573" s="91"/>
      <c r="FM573" s="91"/>
      <c r="FN573" s="91"/>
      <c r="FO573" s="91"/>
      <c r="FP573" s="91"/>
      <c r="FQ573" s="91"/>
      <c r="FR573" s="91"/>
      <c r="FS573" s="91"/>
      <c r="FT573" s="91"/>
      <c r="FU573" s="91"/>
      <c r="FV573" s="91"/>
      <c r="FW573" s="91"/>
      <c r="FX573" s="91"/>
      <c r="FY573" s="91"/>
      <c r="FZ573" s="91"/>
      <c r="GA573" s="91"/>
      <c r="GB573" s="91"/>
      <c r="GC573" s="91"/>
      <c r="GD573" s="91"/>
      <c r="GE573" s="91"/>
      <c r="GF573" s="91"/>
      <c r="GG573" s="91"/>
      <c r="GH573" s="91"/>
      <c r="GI573" s="91"/>
      <c r="GJ573" s="91"/>
      <c r="GK573" s="91"/>
      <c r="GL573" s="91"/>
      <c r="GM573" s="91"/>
      <c r="GN573" s="91"/>
      <c r="GO573" s="91"/>
      <c r="GP573" s="91"/>
      <c r="GQ573" s="91"/>
      <c r="GR573" s="91"/>
      <c r="GS573" s="91"/>
      <c r="GT573" s="91"/>
      <c r="GU573" s="91"/>
      <c r="GV573" s="91"/>
      <c r="GW573" s="91"/>
      <c r="GX573" s="91"/>
      <c r="GY573" s="91"/>
      <c r="GZ573" s="91"/>
      <c r="HA573" s="91"/>
      <c r="HB573" s="91"/>
      <c r="HC573" s="91"/>
      <c r="HD573" s="91"/>
      <c r="HE573" s="91"/>
      <c r="HF573" s="91"/>
      <c r="HG573" s="91"/>
      <c r="HH573" s="91"/>
      <c r="HI573" s="91"/>
      <c r="HJ573" s="91"/>
      <c r="HK573" s="91"/>
      <c r="HL573" s="91"/>
      <c r="HM573" s="91"/>
      <c r="HN573" s="91"/>
      <c r="HO573" s="91"/>
      <c r="HP573" s="91"/>
      <c r="HQ573" s="91"/>
      <c r="HR573" s="91"/>
      <c r="HS573" s="91"/>
      <c r="HT573" s="91"/>
      <c r="HU573" s="91"/>
      <c r="HV573" s="91"/>
      <c r="HW573" s="91"/>
      <c r="HX573" s="91"/>
      <c r="HY573" s="91"/>
      <c r="HZ573" s="91"/>
      <c r="IA573" s="91"/>
    </row>
    <row r="574" spans="1:16" ht="11.25" customHeight="1">
      <c r="A574" s="20" t="s">
        <v>4</v>
      </c>
      <c r="B574" s="7"/>
      <c r="C574" s="7"/>
      <c r="D574" s="14"/>
      <c r="E574" s="14"/>
      <c r="F574" s="14"/>
      <c r="G574" s="14"/>
      <c r="H574" s="14"/>
      <c r="I574" s="14"/>
      <c r="J574" s="14"/>
      <c r="K574" s="14"/>
      <c r="L574" s="14"/>
      <c r="M574" s="14"/>
      <c r="N574" s="14"/>
      <c r="O574" s="14"/>
      <c r="P574" s="14"/>
    </row>
    <row r="575" spans="1:16" ht="14.25" customHeight="1">
      <c r="A575" s="21" t="s">
        <v>63</v>
      </c>
      <c r="B575" s="7"/>
      <c r="C575" s="7"/>
      <c r="D575" s="62">
        <f>D573</f>
        <v>224200</v>
      </c>
      <c r="E575" s="14"/>
      <c r="F575" s="14">
        <v>224200</v>
      </c>
      <c r="G575" s="14"/>
      <c r="H575" s="14"/>
      <c r="I575" s="14"/>
      <c r="J575" s="14"/>
      <c r="K575" s="14"/>
      <c r="L575" s="14"/>
      <c r="M575" s="14"/>
      <c r="N575" s="14"/>
      <c r="O575" s="14"/>
      <c r="P575" s="14"/>
    </row>
    <row r="576" spans="1:16" ht="10.5" customHeight="1">
      <c r="A576" s="20" t="s">
        <v>5</v>
      </c>
      <c r="B576" s="7"/>
      <c r="C576" s="7"/>
      <c r="D576" s="62"/>
      <c r="E576" s="14"/>
      <c r="F576" s="14"/>
      <c r="G576" s="14"/>
      <c r="H576" s="14"/>
      <c r="I576" s="14"/>
      <c r="J576" s="14"/>
      <c r="K576" s="14"/>
      <c r="L576" s="14"/>
      <c r="M576" s="14"/>
      <c r="N576" s="14"/>
      <c r="O576" s="14"/>
      <c r="P576" s="14"/>
    </row>
    <row r="577" spans="1:16" ht="24.75" customHeight="1">
      <c r="A577" s="21" t="s">
        <v>258</v>
      </c>
      <c r="B577" s="7"/>
      <c r="C577" s="7"/>
      <c r="D577" s="62">
        <v>398</v>
      </c>
      <c r="E577" s="14"/>
      <c r="F577" s="14">
        <f>D577</f>
        <v>398</v>
      </c>
      <c r="G577" s="14"/>
      <c r="H577" s="14"/>
      <c r="I577" s="14"/>
      <c r="J577" s="14"/>
      <c r="K577" s="14"/>
      <c r="L577" s="14"/>
      <c r="M577" s="14"/>
      <c r="N577" s="14"/>
      <c r="O577" s="14"/>
      <c r="P577" s="14"/>
    </row>
    <row r="578" spans="1:16" ht="11.25">
      <c r="A578" s="20" t="s">
        <v>7</v>
      </c>
      <c r="B578" s="7"/>
      <c r="C578" s="7"/>
      <c r="D578" s="62"/>
      <c r="E578" s="14"/>
      <c r="F578" s="14"/>
      <c r="G578" s="14"/>
      <c r="H578" s="14"/>
      <c r="I578" s="14"/>
      <c r="J578" s="14"/>
      <c r="K578" s="14"/>
      <c r="L578" s="14"/>
      <c r="M578" s="14"/>
      <c r="N578" s="14"/>
      <c r="O578" s="14"/>
      <c r="P578" s="14"/>
    </row>
    <row r="579" spans="1:16" ht="24.75" customHeight="1">
      <c r="A579" s="21" t="s">
        <v>259</v>
      </c>
      <c r="B579" s="7"/>
      <c r="C579" s="7"/>
      <c r="D579" s="62">
        <f>D573/D577</f>
        <v>563.3165829145729</v>
      </c>
      <c r="E579" s="14"/>
      <c r="F579" s="14">
        <f>D579</f>
        <v>563.3165829145729</v>
      </c>
      <c r="G579" s="14"/>
      <c r="H579" s="14"/>
      <c r="I579" s="14"/>
      <c r="J579" s="14"/>
      <c r="K579" s="14"/>
      <c r="L579" s="14"/>
      <c r="M579" s="14"/>
      <c r="N579" s="14"/>
      <c r="O579" s="14"/>
      <c r="P579" s="14"/>
    </row>
    <row r="580" spans="1:235" s="92" customFormat="1" ht="45.75" customHeight="1">
      <c r="A580" s="82" t="s">
        <v>420</v>
      </c>
      <c r="B580" s="88"/>
      <c r="C580" s="88"/>
      <c r="D580" s="89"/>
      <c r="E580" s="89"/>
      <c r="F580" s="89"/>
      <c r="G580" s="89">
        <f>G584*G586</f>
        <v>70100</v>
      </c>
      <c r="H580" s="89"/>
      <c r="I580" s="89"/>
      <c r="J580" s="89">
        <f>G580</f>
        <v>70100</v>
      </c>
      <c r="K580" s="89"/>
      <c r="L580" s="89"/>
      <c r="M580" s="89"/>
      <c r="N580" s="89"/>
      <c r="O580" s="89"/>
      <c r="P580" s="89"/>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c r="DH580" s="91"/>
      <c r="DI580" s="91"/>
      <c r="DJ580" s="91"/>
      <c r="DK580" s="91"/>
      <c r="DL580" s="91"/>
      <c r="DM580" s="91"/>
      <c r="DN580" s="91"/>
      <c r="DO580" s="91"/>
      <c r="DP580" s="91"/>
      <c r="DQ580" s="91"/>
      <c r="DR580" s="91"/>
      <c r="DS580" s="91"/>
      <c r="DT580" s="91"/>
      <c r="DU580" s="91"/>
      <c r="DV580" s="91"/>
      <c r="DW580" s="91"/>
      <c r="DX580" s="91"/>
      <c r="DY580" s="91"/>
      <c r="DZ580" s="91"/>
      <c r="EA580" s="91"/>
      <c r="EB580" s="91"/>
      <c r="EC580" s="91"/>
      <c r="ED580" s="91"/>
      <c r="EE580" s="91"/>
      <c r="EF580" s="91"/>
      <c r="EG580" s="91"/>
      <c r="EH580" s="91"/>
      <c r="EI580" s="91"/>
      <c r="EJ580" s="91"/>
      <c r="EK580" s="91"/>
      <c r="EL580" s="91"/>
      <c r="EM580" s="91"/>
      <c r="EN580" s="91"/>
      <c r="EO580" s="91"/>
      <c r="EP580" s="91"/>
      <c r="EQ580" s="91"/>
      <c r="ER580" s="91"/>
      <c r="ES580" s="91"/>
      <c r="ET580" s="91"/>
      <c r="EU580" s="91"/>
      <c r="EV580" s="91"/>
      <c r="EW580" s="91"/>
      <c r="EX580" s="91"/>
      <c r="EY580" s="91"/>
      <c r="EZ580" s="91"/>
      <c r="FA580" s="91"/>
      <c r="FB580" s="91"/>
      <c r="FC580" s="91"/>
      <c r="FD580" s="91"/>
      <c r="FE580" s="91"/>
      <c r="FF580" s="91"/>
      <c r="FG580" s="91"/>
      <c r="FH580" s="91"/>
      <c r="FI580" s="91"/>
      <c r="FJ580" s="91"/>
      <c r="FK580" s="91"/>
      <c r="FL580" s="91"/>
      <c r="FM580" s="91"/>
      <c r="FN580" s="91"/>
      <c r="FO580" s="91"/>
      <c r="FP580" s="91"/>
      <c r="FQ580" s="91"/>
      <c r="FR580" s="91"/>
      <c r="FS580" s="91"/>
      <c r="FT580" s="91"/>
      <c r="FU580" s="91"/>
      <c r="FV580" s="91"/>
      <c r="FW580" s="91"/>
      <c r="FX580" s="91"/>
      <c r="FY580" s="91"/>
      <c r="FZ580" s="91"/>
      <c r="GA580" s="91"/>
      <c r="GB580" s="91"/>
      <c r="GC580" s="91"/>
      <c r="GD580" s="91"/>
      <c r="GE580" s="91"/>
      <c r="GF580" s="91"/>
      <c r="GG580" s="91"/>
      <c r="GH580" s="91"/>
      <c r="GI580" s="91"/>
      <c r="GJ580" s="91"/>
      <c r="GK580" s="91"/>
      <c r="GL580" s="91"/>
      <c r="GM580" s="91"/>
      <c r="GN580" s="91"/>
      <c r="GO580" s="91"/>
      <c r="GP580" s="91"/>
      <c r="GQ580" s="91"/>
      <c r="GR580" s="91"/>
      <c r="GS580" s="91"/>
      <c r="GT580" s="91"/>
      <c r="GU580" s="91"/>
      <c r="GV580" s="91"/>
      <c r="GW580" s="91"/>
      <c r="GX580" s="91"/>
      <c r="GY580" s="91"/>
      <c r="GZ580" s="91"/>
      <c r="HA580" s="91"/>
      <c r="HB580" s="91"/>
      <c r="HC580" s="91"/>
      <c r="HD580" s="91"/>
      <c r="HE580" s="91"/>
      <c r="HF580" s="91"/>
      <c r="HG580" s="91"/>
      <c r="HH580" s="91"/>
      <c r="HI580" s="91"/>
      <c r="HJ580" s="91"/>
      <c r="HK580" s="91"/>
      <c r="HL580" s="91"/>
      <c r="HM580" s="91"/>
      <c r="HN580" s="91"/>
      <c r="HO580" s="91"/>
      <c r="HP580" s="91"/>
      <c r="HQ580" s="91"/>
      <c r="HR580" s="91"/>
      <c r="HS580" s="91"/>
      <c r="HT580" s="91"/>
      <c r="HU580" s="91"/>
      <c r="HV580" s="91"/>
      <c r="HW580" s="91"/>
      <c r="HX580" s="91"/>
      <c r="HY580" s="91"/>
      <c r="HZ580" s="91"/>
      <c r="IA580" s="91"/>
    </row>
    <row r="581" spans="1:16" ht="12.75" customHeight="1">
      <c r="A581" s="20" t="s">
        <v>4</v>
      </c>
      <c r="B581" s="7"/>
      <c r="C581" s="7"/>
      <c r="D581" s="62"/>
      <c r="E581" s="14"/>
      <c r="F581" s="14"/>
      <c r="G581" s="14"/>
      <c r="H581" s="14"/>
      <c r="I581" s="14"/>
      <c r="J581" s="14"/>
      <c r="K581" s="14"/>
      <c r="L581" s="14"/>
      <c r="M581" s="14"/>
      <c r="N581" s="14"/>
      <c r="O581" s="14"/>
      <c r="P581" s="14"/>
    </row>
    <row r="582" spans="1:16" ht="11.25">
      <c r="A582" s="21" t="s">
        <v>63</v>
      </c>
      <c r="B582" s="7"/>
      <c r="C582" s="7"/>
      <c r="D582" s="62"/>
      <c r="E582" s="14"/>
      <c r="F582" s="14"/>
      <c r="G582" s="14">
        <v>70100</v>
      </c>
      <c r="H582" s="14"/>
      <c r="I582" s="14"/>
      <c r="J582" s="14">
        <f>G582</f>
        <v>70100</v>
      </c>
      <c r="K582" s="14"/>
      <c r="L582" s="14"/>
      <c r="M582" s="14"/>
      <c r="N582" s="14"/>
      <c r="O582" s="14"/>
      <c r="P582" s="14"/>
    </row>
    <row r="583" spans="1:16" ht="11.25">
      <c r="A583" s="20" t="s">
        <v>5</v>
      </c>
      <c r="B583" s="7"/>
      <c r="C583" s="7"/>
      <c r="D583" s="62"/>
      <c r="E583" s="14"/>
      <c r="F583" s="14"/>
      <c r="G583" s="14"/>
      <c r="H583" s="14"/>
      <c r="I583" s="14"/>
      <c r="J583" s="14"/>
      <c r="K583" s="14"/>
      <c r="L583" s="14"/>
      <c r="M583" s="14"/>
      <c r="N583" s="14"/>
      <c r="O583" s="14"/>
      <c r="P583" s="14"/>
    </row>
    <row r="584" spans="1:16" ht="15" customHeight="1">
      <c r="A584" s="21" t="s">
        <v>297</v>
      </c>
      <c r="B584" s="7"/>
      <c r="C584" s="7"/>
      <c r="D584" s="62"/>
      <c r="E584" s="14"/>
      <c r="F584" s="14"/>
      <c r="G584" s="14">
        <v>1</v>
      </c>
      <c r="H584" s="14"/>
      <c r="I584" s="14"/>
      <c r="J584" s="14">
        <v>1</v>
      </c>
      <c r="K584" s="14"/>
      <c r="L584" s="14"/>
      <c r="M584" s="14"/>
      <c r="N584" s="14"/>
      <c r="O584" s="14"/>
      <c r="P584" s="14"/>
    </row>
    <row r="585" spans="1:16" ht="11.25">
      <c r="A585" s="20" t="s">
        <v>7</v>
      </c>
      <c r="B585" s="7"/>
      <c r="C585" s="7"/>
      <c r="D585" s="62"/>
      <c r="E585" s="14"/>
      <c r="F585" s="14"/>
      <c r="G585" s="14"/>
      <c r="H585" s="14"/>
      <c r="I585" s="14"/>
      <c r="J585" s="14"/>
      <c r="K585" s="14"/>
      <c r="L585" s="14"/>
      <c r="M585" s="14"/>
      <c r="N585" s="14"/>
      <c r="O585" s="14"/>
      <c r="P585" s="14"/>
    </row>
    <row r="586" spans="1:16" ht="22.5">
      <c r="A586" s="21" t="s">
        <v>298</v>
      </c>
      <c r="B586" s="7"/>
      <c r="C586" s="7"/>
      <c r="D586" s="62"/>
      <c r="E586" s="14"/>
      <c r="F586" s="14"/>
      <c r="G586" s="14">
        <v>70100</v>
      </c>
      <c r="H586" s="14"/>
      <c r="I586" s="14"/>
      <c r="J586" s="14">
        <f>G586</f>
        <v>70100</v>
      </c>
      <c r="K586" s="14"/>
      <c r="L586" s="14"/>
      <c r="M586" s="14"/>
      <c r="N586" s="14"/>
      <c r="O586" s="14"/>
      <c r="P586" s="14"/>
    </row>
    <row r="587" spans="1:235" s="92" customFormat="1" ht="24.75" customHeight="1">
      <c r="A587" s="82" t="s">
        <v>421</v>
      </c>
      <c r="B587" s="88"/>
      <c r="C587" s="88"/>
      <c r="D587" s="89"/>
      <c r="E587" s="89"/>
      <c r="F587" s="89"/>
      <c r="G587" s="89">
        <f>G591*G593</f>
        <v>50100</v>
      </c>
      <c r="H587" s="89"/>
      <c r="I587" s="89"/>
      <c r="J587" s="89">
        <f>G587</f>
        <v>50100</v>
      </c>
      <c r="K587" s="89"/>
      <c r="L587" s="89"/>
      <c r="M587" s="89"/>
      <c r="N587" s="89"/>
      <c r="O587" s="89"/>
      <c r="P587" s="89"/>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c r="DH587" s="91"/>
      <c r="DI587" s="91"/>
      <c r="DJ587" s="91"/>
      <c r="DK587" s="91"/>
      <c r="DL587" s="91"/>
      <c r="DM587" s="91"/>
      <c r="DN587" s="91"/>
      <c r="DO587" s="91"/>
      <c r="DP587" s="91"/>
      <c r="DQ587" s="91"/>
      <c r="DR587" s="91"/>
      <c r="DS587" s="91"/>
      <c r="DT587" s="91"/>
      <c r="DU587" s="91"/>
      <c r="DV587" s="91"/>
      <c r="DW587" s="91"/>
      <c r="DX587" s="91"/>
      <c r="DY587" s="91"/>
      <c r="DZ587" s="91"/>
      <c r="EA587" s="91"/>
      <c r="EB587" s="91"/>
      <c r="EC587" s="91"/>
      <c r="ED587" s="91"/>
      <c r="EE587" s="91"/>
      <c r="EF587" s="91"/>
      <c r="EG587" s="91"/>
      <c r="EH587" s="91"/>
      <c r="EI587" s="91"/>
      <c r="EJ587" s="91"/>
      <c r="EK587" s="91"/>
      <c r="EL587" s="91"/>
      <c r="EM587" s="91"/>
      <c r="EN587" s="91"/>
      <c r="EO587" s="91"/>
      <c r="EP587" s="91"/>
      <c r="EQ587" s="91"/>
      <c r="ER587" s="91"/>
      <c r="ES587" s="91"/>
      <c r="ET587" s="91"/>
      <c r="EU587" s="91"/>
      <c r="EV587" s="91"/>
      <c r="EW587" s="91"/>
      <c r="EX587" s="91"/>
      <c r="EY587" s="91"/>
      <c r="EZ587" s="91"/>
      <c r="FA587" s="91"/>
      <c r="FB587" s="91"/>
      <c r="FC587" s="91"/>
      <c r="FD587" s="91"/>
      <c r="FE587" s="91"/>
      <c r="FF587" s="91"/>
      <c r="FG587" s="91"/>
      <c r="FH587" s="91"/>
      <c r="FI587" s="91"/>
      <c r="FJ587" s="91"/>
      <c r="FK587" s="91"/>
      <c r="FL587" s="91"/>
      <c r="FM587" s="91"/>
      <c r="FN587" s="91"/>
      <c r="FO587" s="91"/>
      <c r="FP587" s="91"/>
      <c r="FQ587" s="91"/>
      <c r="FR587" s="91"/>
      <c r="FS587" s="91"/>
      <c r="FT587" s="91"/>
      <c r="FU587" s="91"/>
      <c r="FV587" s="91"/>
      <c r="FW587" s="91"/>
      <c r="FX587" s="91"/>
      <c r="FY587" s="91"/>
      <c r="FZ587" s="91"/>
      <c r="GA587" s="91"/>
      <c r="GB587" s="91"/>
      <c r="GC587" s="91"/>
      <c r="GD587" s="91"/>
      <c r="GE587" s="91"/>
      <c r="GF587" s="91"/>
      <c r="GG587" s="91"/>
      <c r="GH587" s="91"/>
      <c r="GI587" s="91"/>
      <c r="GJ587" s="91"/>
      <c r="GK587" s="91"/>
      <c r="GL587" s="91"/>
      <c r="GM587" s="91"/>
      <c r="GN587" s="91"/>
      <c r="GO587" s="91"/>
      <c r="GP587" s="91"/>
      <c r="GQ587" s="91"/>
      <c r="GR587" s="91"/>
      <c r="GS587" s="91"/>
      <c r="GT587" s="91"/>
      <c r="GU587" s="91"/>
      <c r="GV587" s="91"/>
      <c r="GW587" s="91"/>
      <c r="GX587" s="91"/>
      <c r="GY587" s="91"/>
      <c r="GZ587" s="91"/>
      <c r="HA587" s="91"/>
      <c r="HB587" s="91"/>
      <c r="HC587" s="91"/>
      <c r="HD587" s="91"/>
      <c r="HE587" s="91"/>
      <c r="HF587" s="91"/>
      <c r="HG587" s="91"/>
      <c r="HH587" s="91"/>
      <c r="HI587" s="91"/>
      <c r="HJ587" s="91"/>
      <c r="HK587" s="91"/>
      <c r="HL587" s="91"/>
      <c r="HM587" s="91"/>
      <c r="HN587" s="91"/>
      <c r="HO587" s="91"/>
      <c r="HP587" s="91"/>
      <c r="HQ587" s="91"/>
      <c r="HR587" s="91"/>
      <c r="HS587" s="91"/>
      <c r="HT587" s="91"/>
      <c r="HU587" s="91"/>
      <c r="HV587" s="91"/>
      <c r="HW587" s="91"/>
      <c r="HX587" s="91"/>
      <c r="HY587" s="91"/>
      <c r="HZ587" s="91"/>
      <c r="IA587" s="91"/>
    </row>
    <row r="588" spans="1:16" ht="11.25">
      <c r="A588" s="20" t="s">
        <v>4</v>
      </c>
      <c r="B588" s="7"/>
      <c r="C588" s="7"/>
      <c r="D588" s="62"/>
      <c r="E588" s="14"/>
      <c r="F588" s="14"/>
      <c r="G588" s="14"/>
      <c r="H588" s="14"/>
      <c r="I588" s="14"/>
      <c r="J588" s="14"/>
      <c r="K588" s="14"/>
      <c r="L588" s="14"/>
      <c r="M588" s="14"/>
      <c r="N588" s="14"/>
      <c r="O588" s="14"/>
      <c r="P588" s="14"/>
    </row>
    <row r="589" spans="1:16" ht="11.25">
      <c r="A589" s="21" t="s">
        <v>63</v>
      </c>
      <c r="B589" s="7"/>
      <c r="C589" s="7"/>
      <c r="D589" s="62"/>
      <c r="E589" s="14"/>
      <c r="F589" s="14"/>
      <c r="G589" s="14">
        <v>50100</v>
      </c>
      <c r="H589" s="14"/>
      <c r="I589" s="14"/>
      <c r="J589" s="14">
        <f>G589</f>
        <v>50100</v>
      </c>
      <c r="K589" s="14"/>
      <c r="L589" s="14"/>
      <c r="M589" s="14"/>
      <c r="N589" s="14"/>
      <c r="O589" s="14"/>
      <c r="P589" s="14"/>
    </row>
    <row r="590" spans="1:16" ht="11.25">
      <c r="A590" s="20" t="s">
        <v>5</v>
      </c>
      <c r="B590" s="7"/>
      <c r="C590" s="7"/>
      <c r="D590" s="62"/>
      <c r="E590" s="14"/>
      <c r="F590" s="14"/>
      <c r="G590" s="14"/>
      <c r="H590" s="14"/>
      <c r="I590" s="14"/>
      <c r="J590" s="14"/>
      <c r="K590" s="14"/>
      <c r="L590" s="14"/>
      <c r="M590" s="14"/>
      <c r="N590" s="14"/>
      <c r="O590" s="14"/>
      <c r="P590" s="14"/>
    </row>
    <row r="591" spans="1:16" ht="14.25" customHeight="1">
      <c r="A591" s="21" t="s">
        <v>401</v>
      </c>
      <c r="B591" s="7"/>
      <c r="C591" s="7"/>
      <c r="D591" s="62"/>
      <c r="E591" s="14"/>
      <c r="F591" s="14"/>
      <c r="G591" s="14">
        <v>1</v>
      </c>
      <c r="H591" s="14"/>
      <c r="I591" s="14"/>
      <c r="J591" s="14">
        <v>1</v>
      </c>
      <c r="K591" s="14"/>
      <c r="L591" s="14"/>
      <c r="M591" s="14"/>
      <c r="N591" s="14"/>
      <c r="O591" s="14"/>
      <c r="P591" s="14"/>
    </row>
    <row r="592" spans="1:16" ht="12" customHeight="1">
      <c r="A592" s="20" t="s">
        <v>7</v>
      </c>
      <c r="B592" s="7"/>
      <c r="C592" s="7"/>
      <c r="D592" s="62"/>
      <c r="E592" s="14"/>
      <c r="F592" s="14"/>
      <c r="G592" s="14"/>
      <c r="H592" s="14"/>
      <c r="I592" s="14"/>
      <c r="J592" s="14"/>
      <c r="K592" s="14"/>
      <c r="L592" s="14"/>
      <c r="M592" s="14"/>
      <c r="N592" s="14"/>
      <c r="O592" s="14"/>
      <c r="P592" s="14"/>
    </row>
    <row r="593" spans="1:16" ht="24.75" customHeight="1">
      <c r="A593" s="21" t="s">
        <v>298</v>
      </c>
      <c r="B593" s="7"/>
      <c r="C593" s="7"/>
      <c r="D593" s="62"/>
      <c r="E593" s="14"/>
      <c r="F593" s="14"/>
      <c r="G593" s="14">
        <v>50100</v>
      </c>
      <c r="H593" s="14"/>
      <c r="I593" s="14"/>
      <c r="J593" s="14">
        <f>G593</f>
        <v>50100</v>
      </c>
      <c r="K593" s="14"/>
      <c r="L593" s="14"/>
      <c r="M593" s="14"/>
      <c r="N593" s="14"/>
      <c r="O593" s="14"/>
      <c r="P593" s="14"/>
    </row>
    <row r="594" spans="1:235" s="92" customFormat="1" ht="24.75" customHeight="1">
      <c r="A594" s="82" t="s">
        <v>422</v>
      </c>
      <c r="B594" s="88"/>
      <c r="C594" s="88"/>
      <c r="D594" s="89"/>
      <c r="E594" s="89"/>
      <c r="F594" s="89"/>
      <c r="G594" s="89"/>
      <c r="H594" s="89">
        <f>H598*H600</f>
        <v>4700000</v>
      </c>
      <c r="I594" s="89"/>
      <c r="J594" s="89">
        <f>G594+H594</f>
        <v>4700000</v>
      </c>
      <c r="K594" s="89"/>
      <c r="L594" s="89"/>
      <c r="M594" s="89"/>
      <c r="N594" s="89"/>
      <c r="O594" s="89">
        <f>O598*O600</f>
        <v>0</v>
      </c>
      <c r="P594" s="89">
        <f>O594</f>
        <v>0</v>
      </c>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c r="EJ594" s="91"/>
      <c r="EK594" s="91"/>
      <c r="EL594" s="91"/>
      <c r="EM594" s="91"/>
      <c r="EN594" s="91"/>
      <c r="EO594" s="91"/>
      <c r="EP594" s="91"/>
      <c r="EQ594" s="91"/>
      <c r="ER594" s="91"/>
      <c r="ES594" s="91"/>
      <c r="ET594" s="91"/>
      <c r="EU594" s="91"/>
      <c r="EV594" s="91"/>
      <c r="EW594" s="91"/>
      <c r="EX594" s="91"/>
      <c r="EY594" s="91"/>
      <c r="EZ594" s="91"/>
      <c r="FA594" s="91"/>
      <c r="FB594" s="91"/>
      <c r="FC594" s="91"/>
      <c r="FD594" s="91"/>
      <c r="FE594" s="91"/>
      <c r="FF594" s="91"/>
      <c r="FG594" s="91"/>
      <c r="FH594" s="91"/>
      <c r="FI594" s="91"/>
      <c r="FJ594" s="91"/>
      <c r="FK594" s="91"/>
      <c r="FL594" s="91"/>
      <c r="FM594" s="91"/>
      <c r="FN594" s="91"/>
      <c r="FO594" s="91"/>
      <c r="FP594" s="91"/>
      <c r="FQ594" s="91"/>
      <c r="FR594" s="91"/>
      <c r="FS594" s="91"/>
      <c r="FT594" s="91"/>
      <c r="FU594" s="91"/>
      <c r="FV594" s="91"/>
      <c r="FW594" s="91"/>
      <c r="FX594" s="91"/>
      <c r="FY594" s="91"/>
      <c r="FZ594" s="91"/>
      <c r="GA594" s="91"/>
      <c r="GB594" s="91"/>
      <c r="GC594" s="91"/>
      <c r="GD594" s="91"/>
      <c r="GE594" s="91"/>
      <c r="GF594" s="91"/>
      <c r="GG594" s="91"/>
      <c r="GH594" s="91"/>
      <c r="GI594" s="91"/>
      <c r="GJ594" s="91"/>
      <c r="GK594" s="91"/>
      <c r="GL594" s="91"/>
      <c r="GM594" s="91"/>
      <c r="GN594" s="91"/>
      <c r="GO594" s="91"/>
      <c r="GP594" s="91"/>
      <c r="GQ594" s="91"/>
      <c r="GR594" s="91"/>
      <c r="GS594" s="91"/>
      <c r="GT594" s="91"/>
      <c r="GU594" s="91"/>
      <c r="GV594" s="91"/>
      <c r="GW594" s="91"/>
      <c r="GX594" s="91"/>
      <c r="GY594" s="91"/>
      <c r="GZ594" s="91"/>
      <c r="HA594" s="91"/>
      <c r="HB594" s="91"/>
      <c r="HC594" s="91"/>
      <c r="HD594" s="91"/>
      <c r="HE594" s="91"/>
      <c r="HF594" s="91"/>
      <c r="HG594" s="91"/>
      <c r="HH594" s="91"/>
      <c r="HI594" s="91"/>
      <c r="HJ594" s="91"/>
      <c r="HK594" s="91"/>
      <c r="HL594" s="91"/>
      <c r="HM594" s="91"/>
      <c r="HN594" s="91"/>
      <c r="HO594" s="91"/>
      <c r="HP594" s="91"/>
      <c r="HQ594" s="91"/>
      <c r="HR594" s="91"/>
      <c r="HS594" s="91"/>
      <c r="HT594" s="91"/>
      <c r="HU594" s="91"/>
      <c r="HV594" s="91"/>
      <c r="HW594" s="91"/>
      <c r="HX594" s="91"/>
      <c r="HY594" s="91"/>
      <c r="HZ594" s="91"/>
      <c r="IA594" s="91"/>
    </row>
    <row r="595" spans="1:16" ht="11.25">
      <c r="A595" s="20" t="s">
        <v>4</v>
      </c>
      <c r="B595" s="7"/>
      <c r="C595" s="7"/>
      <c r="D595" s="62"/>
      <c r="E595" s="14"/>
      <c r="F595" s="14"/>
      <c r="G595" s="14"/>
      <c r="H595" s="14"/>
      <c r="I595" s="14"/>
      <c r="J595" s="14"/>
      <c r="K595" s="14"/>
      <c r="L595" s="14"/>
      <c r="M595" s="14"/>
      <c r="N595" s="14"/>
      <c r="O595" s="14"/>
      <c r="P595" s="14"/>
    </row>
    <row r="596" spans="1:16" ht="11.25">
      <c r="A596" s="21" t="s">
        <v>63</v>
      </c>
      <c r="B596" s="7"/>
      <c r="C596" s="7"/>
      <c r="D596" s="62"/>
      <c r="E596" s="14"/>
      <c r="F596" s="14"/>
      <c r="G596" s="14"/>
      <c r="H596" s="14">
        <f>3129500+300702+664532+174600+200666</f>
        <v>4470000</v>
      </c>
      <c r="I596" s="14"/>
      <c r="J596" s="14">
        <f>G596+H596</f>
        <v>4470000</v>
      </c>
      <c r="K596" s="14"/>
      <c r="L596" s="14"/>
      <c r="M596" s="14"/>
      <c r="N596" s="14"/>
      <c r="O596" s="14">
        <f>O598*O600</f>
        <v>0</v>
      </c>
      <c r="P596" s="14">
        <f>O596</f>
        <v>0</v>
      </c>
    </row>
    <row r="597" spans="1:16" ht="11.25">
      <c r="A597" s="20" t="s">
        <v>5</v>
      </c>
      <c r="B597" s="7"/>
      <c r="C597" s="7"/>
      <c r="D597" s="62"/>
      <c r="E597" s="14"/>
      <c r="F597" s="14"/>
      <c r="G597" s="14"/>
      <c r="H597" s="14"/>
      <c r="I597" s="14"/>
      <c r="J597" s="14"/>
      <c r="K597" s="14"/>
      <c r="L597" s="14"/>
      <c r="M597" s="14"/>
      <c r="N597" s="14"/>
      <c r="O597" s="14"/>
      <c r="P597" s="14"/>
    </row>
    <row r="598" spans="1:16" ht="22.5">
      <c r="A598" s="93" t="s">
        <v>320</v>
      </c>
      <c r="B598" s="7"/>
      <c r="C598" s="7"/>
      <c r="D598" s="62"/>
      <c r="E598" s="14"/>
      <c r="F598" s="14"/>
      <c r="G598" s="14"/>
      <c r="H598" s="14">
        <v>10</v>
      </c>
      <c r="I598" s="14"/>
      <c r="J598" s="14">
        <f>G598+H598</f>
        <v>10</v>
      </c>
      <c r="K598" s="14"/>
      <c r="L598" s="14"/>
      <c r="M598" s="14"/>
      <c r="N598" s="14"/>
      <c r="O598" s="14">
        <v>10</v>
      </c>
      <c r="P598" s="14">
        <f>O598</f>
        <v>10</v>
      </c>
    </row>
    <row r="599" spans="1:16" ht="11.25">
      <c r="A599" s="20" t="s">
        <v>7</v>
      </c>
      <c r="B599" s="7"/>
      <c r="C599" s="7"/>
      <c r="D599" s="62"/>
      <c r="E599" s="14"/>
      <c r="F599" s="14"/>
      <c r="G599" s="14"/>
      <c r="H599" s="14"/>
      <c r="I599" s="14"/>
      <c r="J599" s="14"/>
      <c r="K599" s="14"/>
      <c r="L599" s="14"/>
      <c r="M599" s="14"/>
      <c r="N599" s="14"/>
      <c r="O599" s="14"/>
      <c r="P599" s="14"/>
    </row>
    <row r="600" spans="1:16" ht="22.5">
      <c r="A600" s="55" t="s">
        <v>174</v>
      </c>
      <c r="B600" s="7"/>
      <c r="C600" s="7"/>
      <c r="D600" s="62"/>
      <c r="E600" s="14"/>
      <c r="F600" s="14"/>
      <c r="G600" s="14"/>
      <c r="H600" s="14">
        <v>470000</v>
      </c>
      <c r="I600" s="14"/>
      <c r="J600" s="14">
        <f>G600+H600</f>
        <v>470000</v>
      </c>
      <c r="K600" s="14"/>
      <c r="L600" s="14"/>
      <c r="M600" s="14"/>
      <c r="N600" s="14"/>
      <c r="O600" s="14"/>
      <c r="P600" s="14">
        <f>O600</f>
        <v>0</v>
      </c>
    </row>
    <row r="601" spans="1:235" s="92" customFormat="1" ht="24.75" customHeight="1">
      <c r="A601" s="82" t="s">
        <v>423</v>
      </c>
      <c r="B601" s="88"/>
      <c r="C601" s="88"/>
      <c r="D601" s="89"/>
      <c r="E601" s="89"/>
      <c r="F601" s="89"/>
      <c r="G601" s="89">
        <f>G605*G607</f>
        <v>0</v>
      </c>
      <c r="H601" s="89"/>
      <c r="I601" s="89"/>
      <c r="J601" s="89">
        <f>G601</f>
        <v>0</v>
      </c>
      <c r="K601" s="89"/>
      <c r="L601" s="89"/>
      <c r="M601" s="89"/>
      <c r="N601" s="89">
        <f>N607*N605</f>
        <v>180000</v>
      </c>
      <c r="O601" s="89">
        <f>O607*O605</f>
        <v>0</v>
      </c>
      <c r="P601" s="89">
        <f>P607*P605</f>
        <v>180000</v>
      </c>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c r="DH601" s="91"/>
      <c r="DI601" s="91"/>
      <c r="DJ601" s="91"/>
      <c r="DK601" s="91"/>
      <c r="DL601" s="91"/>
      <c r="DM601" s="91"/>
      <c r="DN601" s="91"/>
      <c r="DO601" s="91"/>
      <c r="DP601" s="91"/>
      <c r="DQ601" s="91"/>
      <c r="DR601" s="91"/>
      <c r="DS601" s="91"/>
      <c r="DT601" s="91"/>
      <c r="DU601" s="91"/>
      <c r="DV601" s="91"/>
      <c r="DW601" s="91"/>
      <c r="DX601" s="91"/>
      <c r="DY601" s="91"/>
      <c r="DZ601" s="91"/>
      <c r="EA601" s="91"/>
      <c r="EB601" s="91"/>
      <c r="EC601" s="91"/>
      <c r="ED601" s="91"/>
      <c r="EE601" s="91"/>
      <c r="EF601" s="91"/>
      <c r="EG601" s="91"/>
      <c r="EH601" s="91"/>
      <c r="EI601" s="91"/>
      <c r="EJ601" s="91"/>
      <c r="EK601" s="91"/>
      <c r="EL601" s="91"/>
      <c r="EM601" s="91"/>
      <c r="EN601" s="91"/>
      <c r="EO601" s="91"/>
      <c r="EP601" s="91"/>
      <c r="EQ601" s="91"/>
      <c r="ER601" s="91"/>
      <c r="ES601" s="91"/>
      <c r="ET601" s="91"/>
      <c r="EU601" s="91"/>
      <c r="EV601" s="91"/>
      <c r="EW601" s="91"/>
      <c r="EX601" s="91"/>
      <c r="EY601" s="91"/>
      <c r="EZ601" s="91"/>
      <c r="FA601" s="91"/>
      <c r="FB601" s="91"/>
      <c r="FC601" s="91"/>
      <c r="FD601" s="91"/>
      <c r="FE601" s="91"/>
      <c r="FF601" s="91"/>
      <c r="FG601" s="91"/>
      <c r="FH601" s="91"/>
      <c r="FI601" s="91"/>
      <c r="FJ601" s="91"/>
      <c r="FK601" s="91"/>
      <c r="FL601" s="91"/>
      <c r="FM601" s="91"/>
      <c r="FN601" s="91"/>
      <c r="FO601" s="91"/>
      <c r="FP601" s="91"/>
      <c r="FQ601" s="91"/>
      <c r="FR601" s="91"/>
      <c r="FS601" s="91"/>
      <c r="FT601" s="91"/>
      <c r="FU601" s="91"/>
      <c r="FV601" s="91"/>
      <c r="FW601" s="91"/>
      <c r="FX601" s="91"/>
      <c r="FY601" s="91"/>
      <c r="FZ601" s="91"/>
      <c r="GA601" s="91"/>
      <c r="GB601" s="91"/>
      <c r="GC601" s="91"/>
      <c r="GD601" s="91"/>
      <c r="GE601" s="91"/>
      <c r="GF601" s="91"/>
      <c r="GG601" s="91"/>
      <c r="GH601" s="91"/>
      <c r="GI601" s="91"/>
      <c r="GJ601" s="91"/>
      <c r="GK601" s="91"/>
      <c r="GL601" s="91"/>
      <c r="GM601" s="91"/>
      <c r="GN601" s="91"/>
      <c r="GO601" s="91"/>
      <c r="GP601" s="91"/>
      <c r="GQ601" s="91"/>
      <c r="GR601" s="91"/>
      <c r="GS601" s="91"/>
      <c r="GT601" s="91"/>
      <c r="GU601" s="91"/>
      <c r="GV601" s="91"/>
      <c r="GW601" s="91"/>
      <c r="GX601" s="91"/>
      <c r="GY601" s="91"/>
      <c r="GZ601" s="91"/>
      <c r="HA601" s="91"/>
      <c r="HB601" s="91"/>
      <c r="HC601" s="91"/>
      <c r="HD601" s="91"/>
      <c r="HE601" s="91"/>
      <c r="HF601" s="91"/>
      <c r="HG601" s="91"/>
      <c r="HH601" s="91"/>
      <c r="HI601" s="91"/>
      <c r="HJ601" s="91"/>
      <c r="HK601" s="91"/>
      <c r="HL601" s="91"/>
      <c r="HM601" s="91"/>
      <c r="HN601" s="91"/>
      <c r="HO601" s="91"/>
      <c r="HP601" s="91"/>
      <c r="HQ601" s="91"/>
      <c r="HR601" s="91"/>
      <c r="HS601" s="91"/>
      <c r="HT601" s="91"/>
      <c r="HU601" s="91"/>
      <c r="HV601" s="91"/>
      <c r="HW601" s="91"/>
      <c r="HX601" s="91"/>
      <c r="HY601" s="91"/>
      <c r="HZ601" s="91"/>
      <c r="IA601" s="91"/>
    </row>
    <row r="602" spans="1:16" ht="11.25">
      <c r="A602" s="20" t="s">
        <v>4</v>
      </c>
      <c r="B602" s="7"/>
      <c r="C602" s="7"/>
      <c r="D602" s="62"/>
      <c r="E602" s="14"/>
      <c r="F602" s="14"/>
      <c r="G602" s="14"/>
      <c r="H602" s="14"/>
      <c r="I602" s="14"/>
      <c r="J602" s="14"/>
      <c r="K602" s="14"/>
      <c r="L602" s="14"/>
      <c r="M602" s="14"/>
      <c r="N602" s="14"/>
      <c r="O602" s="14"/>
      <c r="P602" s="14"/>
    </row>
    <row r="603" spans="1:16" ht="11.25">
      <c r="A603" s="21" t="s">
        <v>63</v>
      </c>
      <c r="B603" s="7"/>
      <c r="C603" s="7"/>
      <c r="D603" s="62"/>
      <c r="E603" s="14"/>
      <c r="F603" s="14"/>
      <c r="G603" s="14"/>
      <c r="H603" s="14"/>
      <c r="I603" s="14"/>
      <c r="J603" s="14"/>
      <c r="K603" s="14"/>
      <c r="L603" s="14"/>
      <c r="M603" s="14"/>
      <c r="N603" s="14">
        <v>180000</v>
      </c>
      <c r="O603" s="14"/>
      <c r="P603" s="14">
        <f>N603+O603</f>
        <v>180000</v>
      </c>
    </row>
    <row r="604" spans="1:16" ht="11.25">
      <c r="A604" s="20" t="s">
        <v>5</v>
      </c>
      <c r="B604" s="7"/>
      <c r="C604" s="7"/>
      <c r="D604" s="62"/>
      <c r="E604" s="14"/>
      <c r="F604" s="14"/>
      <c r="G604" s="14"/>
      <c r="H604" s="14"/>
      <c r="I604" s="14"/>
      <c r="J604" s="14"/>
      <c r="K604" s="14"/>
      <c r="L604" s="14"/>
      <c r="M604" s="14"/>
      <c r="N604" s="14"/>
      <c r="O604" s="14"/>
      <c r="P604" s="14"/>
    </row>
    <row r="605" spans="1:16" ht="14.25" customHeight="1">
      <c r="A605" s="21" t="s">
        <v>401</v>
      </c>
      <c r="B605" s="7"/>
      <c r="C605" s="7"/>
      <c r="D605" s="62"/>
      <c r="E605" s="14"/>
      <c r="F605" s="14"/>
      <c r="G605" s="14"/>
      <c r="H605" s="14"/>
      <c r="I605" s="14"/>
      <c r="J605" s="14"/>
      <c r="K605" s="14"/>
      <c r="L605" s="14"/>
      <c r="M605" s="14"/>
      <c r="N605" s="14">
        <v>18</v>
      </c>
      <c r="O605" s="14"/>
      <c r="P605" s="14">
        <f>N605+O605</f>
        <v>18</v>
      </c>
    </row>
    <row r="606" spans="1:16" ht="12" customHeight="1">
      <c r="A606" s="20" t="s">
        <v>7</v>
      </c>
      <c r="B606" s="7"/>
      <c r="C606" s="7"/>
      <c r="D606" s="62"/>
      <c r="E606" s="14"/>
      <c r="F606" s="14"/>
      <c r="G606" s="14"/>
      <c r="H606" s="14"/>
      <c r="I606" s="14"/>
      <c r="J606" s="14"/>
      <c r="K606" s="14"/>
      <c r="L606" s="14"/>
      <c r="M606" s="14"/>
      <c r="N606" s="14"/>
      <c r="O606" s="14"/>
      <c r="P606" s="14"/>
    </row>
    <row r="607" spans="1:16" ht="24.75" customHeight="1">
      <c r="A607" s="21" t="s">
        <v>298</v>
      </c>
      <c r="B607" s="7"/>
      <c r="C607" s="7"/>
      <c r="D607" s="62"/>
      <c r="E607" s="14"/>
      <c r="F607" s="14"/>
      <c r="G607" s="14"/>
      <c r="H607" s="14"/>
      <c r="I607" s="14"/>
      <c r="J607" s="14"/>
      <c r="K607" s="14"/>
      <c r="L607" s="14"/>
      <c r="M607" s="14"/>
      <c r="N607" s="14">
        <f>N603/N605</f>
        <v>10000</v>
      </c>
      <c r="O607" s="14"/>
      <c r="P607" s="14">
        <f>N607+O607</f>
        <v>10000</v>
      </c>
    </row>
    <row r="608" spans="1:235" s="85" customFormat="1" ht="13.5" customHeight="1">
      <c r="A608" s="108" t="s">
        <v>449</v>
      </c>
      <c r="B608" s="77"/>
      <c r="C608" s="77"/>
      <c r="D608" s="89">
        <f>D611</f>
        <v>6000</v>
      </c>
      <c r="E608" s="89">
        <v>0</v>
      </c>
      <c r="F608" s="89">
        <f>D608</f>
        <v>6000</v>
      </c>
      <c r="G608" s="89">
        <f>G611</f>
        <v>495500</v>
      </c>
      <c r="H608" s="89">
        <f>H611</f>
        <v>0</v>
      </c>
      <c r="I608" s="89">
        <f>I611</f>
        <v>0</v>
      </c>
      <c r="J608" s="89">
        <f>J611</f>
        <v>495500</v>
      </c>
      <c r="K608" s="89"/>
      <c r="L608" s="89"/>
      <c r="M608" s="89"/>
      <c r="N608" s="89">
        <f>N611</f>
        <v>7800000</v>
      </c>
      <c r="O608" s="89">
        <f>O611</f>
        <v>0</v>
      </c>
      <c r="P608" s="89">
        <f>P611</f>
        <v>7800000</v>
      </c>
      <c r="Q608" s="89">
        <v>5500</v>
      </c>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c r="DL608" s="121"/>
      <c r="DM608" s="121"/>
      <c r="DN608" s="121"/>
      <c r="DO608" s="121"/>
      <c r="DP608" s="121"/>
      <c r="DQ608" s="121"/>
      <c r="DR608" s="121"/>
      <c r="DS608" s="121"/>
      <c r="DT608" s="121"/>
      <c r="DU608" s="121"/>
      <c r="DV608" s="121"/>
      <c r="DW608" s="121"/>
      <c r="DX608" s="121"/>
      <c r="DY608" s="121"/>
      <c r="DZ608" s="121"/>
      <c r="EA608" s="121"/>
      <c r="EB608" s="121"/>
      <c r="EC608" s="121"/>
      <c r="ED608" s="121"/>
      <c r="EE608" s="121"/>
      <c r="EF608" s="121"/>
      <c r="EG608" s="121"/>
      <c r="EH608" s="121"/>
      <c r="EI608" s="121"/>
      <c r="EJ608" s="121"/>
      <c r="EK608" s="121"/>
      <c r="EL608" s="121"/>
      <c r="EM608" s="121"/>
      <c r="EN608" s="121"/>
      <c r="EO608" s="121"/>
      <c r="EP608" s="121"/>
      <c r="EQ608" s="121"/>
      <c r="ER608" s="121"/>
      <c r="ES608" s="121"/>
      <c r="ET608" s="121"/>
      <c r="EU608" s="121"/>
      <c r="EV608" s="121"/>
      <c r="EW608" s="121"/>
      <c r="EX608" s="121"/>
      <c r="EY608" s="121"/>
      <c r="EZ608" s="121"/>
      <c r="FA608" s="121"/>
      <c r="FB608" s="121"/>
      <c r="FC608" s="121"/>
      <c r="FD608" s="121"/>
      <c r="FE608" s="121"/>
      <c r="FF608" s="121"/>
      <c r="FG608" s="121"/>
      <c r="FH608" s="121"/>
      <c r="FI608" s="121"/>
      <c r="FJ608" s="121"/>
      <c r="FK608" s="121"/>
      <c r="FL608" s="121"/>
      <c r="FM608" s="121"/>
      <c r="FN608" s="121"/>
      <c r="FO608" s="121"/>
      <c r="FP608" s="121"/>
      <c r="FQ608" s="121"/>
      <c r="FR608" s="121"/>
      <c r="FS608" s="121"/>
      <c r="FT608" s="121"/>
      <c r="FU608" s="121"/>
      <c r="FV608" s="121"/>
      <c r="FW608" s="121"/>
      <c r="FX608" s="121"/>
      <c r="FY608" s="121"/>
      <c r="FZ608" s="121"/>
      <c r="GA608" s="121"/>
      <c r="GB608" s="121"/>
      <c r="GC608" s="121"/>
      <c r="GD608" s="121"/>
      <c r="GE608" s="121"/>
      <c r="GF608" s="121"/>
      <c r="GG608" s="121"/>
      <c r="GH608" s="121"/>
      <c r="GI608" s="121"/>
      <c r="GJ608" s="121"/>
      <c r="GK608" s="121"/>
      <c r="GL608" s="121"/>
      <c r="GM608" s="121"/>
      <c r="GN608" s="121"/>
      <c r="GO608" s="121"/>
      <c r="GP608" s="121"/>
      <c r="GQ608" s="121"/>
      <c r="GR608" s="121"/>
      <c r="GS608" s="121"/>
      <c r="GT608" s="121"/>
      <c r="GU608" s="121"/>
      <c r="GV608" s="121"/>
      <c r="GW608" s="121"/>
      <c r="GX608" s="121"/>
      <c r="GY608" s="121"/>
      <c r="GZ608" s="121"/>
      <c r="HA608" s="121"/>
      <c r="HB608" s="121"/>
      <c r="HC608" s="121"/>
      <c r="HD608" s="121"/>
      <c r="HE608" s="121"/>
      <c r="HF608" s="121"/>
      <c r="HG608" s="121"/>
      <c r="HH608" s="121"/>
      <c r="HI608" s="121"/>
      <c r="HJ608" s="121"/>
      <c r="HK608" s="121"/>
      <c r="HL608" s="121"/>
      <c r="HM608" s="121"/>
      <c r="HN608" s="121"/>
      <c r="HO608" s="121"/>
      <c r="HP608" s="121"/>
      <c r="HQ608" s="121"/>
      <c r="HR608" s="121"/>
      <c r="HS608" s="121"/>
      <c r="HT608" s="121"/>
      <c r="HU608" s="121"/>
      <c r="HV608" s="121"/>
      <c r="HW608" s="121"/>
      <c r="HX608" s="121"/>
      <c r="HY608" s="121"/>
      <c r="HZ608" s="121"/>
      <c r="IA608" s="121"/>
    </row>
    <row r="609" spans="1:17" ht="35.25" customHeight="1">
      <c r="A609" s="22" t="s">
        <v>246</v>
      </c>
      <c r="B609" s="7"/>
      <c r="C609" s="7"/>
      <c r="D609" s="14"/>
      <c r="E609" s="14"/>
      <c r="F609" s="14"/>
      <c r="G609" s="14"/>
      <c r="H609" s="14"/>
      <c r="I609" s="14"/>
      <c r="J609" s="14"/>
      <c r="K609" s="14"/>
      <c r="L609" s="14"/>
      <c r="M609" s="14"/>
      <c r="N609" s="14"/>
      <c r="O609" s="14"/>
      <c r="P609" s="14"/>
      <c r="Q609" s="6"/>
    </row>
    <row r="610" spans="1:17" ht="24.75" customHeight="1">
      <c r="A610" s="21" t="s">
        <v>243</v>
      </c>
      <c r="B610" s="7"/>
      <c r="C610" s="7"/>
      <c r="D610" s="62"/>
      <c r="E610" s="14"/>
      <c r="F610" s="14"/>
      <c r="G610" s="14"/>
      <c r="H610" s="14"/>
      <c r="I610" s="14"/>
      <c r="J610" s="14"/>
      <c r="K610" s="14"/>
      <c r="L610" s="14"/>
      <c r="M610" s="14"/>
      <c r="N610" s="14"/>
      <c r="O610" s="14"/>
      <c r="P610" s="14"/>
      <c r="Q610" s="6"/>
    </row>
    <row r="611" spans="1:235" s="92" customFormat="1" ht="15" customHeight="1">
      <c r="A611" s="82" t="s">
        <v>425</v>
      </c>
      <c r="B611" s="88"/>
      <c r="C611" s="88"/>
      <c r="D611" s="144">
        <f>D613</f>
        <v>6000</v>
      </c>
      <c r="E611" s="144"/>
      <c r="F611" s="144">
        <f>D611</f>
        <v>6000</v>
      </c>
      <c r="G611" s="89">
        <f>G613</f>
        <v>495500</v>
      </c>
      <c r="H611" s="89">
        <v>0</v>
      </c>
      <c r="I611" s="89">
        <f>I613</f>
        <v>0</v>
      </c>
      <c r="J611" s="89">
        <f>J613</f>
        <v>495500</v>
      </c>
      <c r="K611" s="89"/>
      <c r="L611" s="89"/>
      <c r="M611" s="89"/>
      <c r="N611" s="89">
        <f>N613</f>
        <v>7800000</v>
      </c>
      <c r="O611" s="89"/>
      <c r="P611" s="89">
        <f>N611</f>
        <v>7800000</v>
      </c>
      <c r="Q611" s="90">
        <v>5500</v>
      </c>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c r="DH611" s="91"/>
      <c r="DI611" s="91"/>
      <c r="DJ611" s="91"/>
      <c r="DK611" s="91"/>
      <c r="DL611" s="91"/>
      <c r="DM611" s="91"/>
      <c r="DN611" s="91"/>
      <c r="DO611" s="91"/>
      <c r="DP611" s="91"/>
      <c r="DQ611" s="91"/>
      <c r="DR611" s="91"/>
      <c r="DS611" s="91"/>
      <c r="DT611" s="91"/>
      <c r="DU611" s="91"/>
      <c r="DV611" s="91"/>
      <c r="DW611" s="91"/>
      <c r="DX611" s="91"/>
      <c r="DY611" s="91"/>
      <c r="DZ611" s="91"/>
      <c r="EA611" s="91"/>
      <c r="EB611" s="91"/>
      <c r="EC611" s="91"/>
      <c r="ED611" s="91"/>
      <c r="EE611" s="91"/>
      <c r="EF611" s="91"/>
      <c r="EG611" s="91"/>
      <c r="EH611" s="91"/>
      <c r="EI611" s="91"/>
      <c r="EJ611" s="91"/>
      <c r="EK611" s="91"/>
      <c r="EL611" s="91"/>
      <c r="EM611" s="91"/>
      <c r="EN611" s="91"/>
      <c r="EO611" s="91"/>
      <c r="EP611" s="91"/>
      <c r="EQ611" s="91"/>
      <c r="ER611" s="91"/>
      <c r="ES611" s="91"/>
      <c r="ET611" s="91"/>
      <c r="EU611" s="91"/>
      <c r="EV611" s="91"/>
      <c r="EW611" s="91"/>
      <c r="EX611" s="91"/>
      <c r="EY611" s="91"/>
      <c r="EZ611" s="91"/>
      <c r="FA611" s="91"/>
      <c r="FB611" s="91"/>
      <c r="FC611" s="91"/>
      <c r="FD611" s="91"/>
      <c r="FE611" s="91"/>
      <c r="FF611" s="91"/>
      <c r="FG611" s="91"/>
      <c r="FH611" s="91"/>
      <c r="FI611" s="91"/>
      <c r="FJ611" s="91"/>
      <c r="FK611" s="91"/>
      <c r="FL611" s="91"/>
      <c r="FM611" s="91"/>
      <c r="FN611" s="91"/>
      <c r="FO611" s="91"/>
      <c r="FP611" s="91"/>
      <c r="FQ611" s="91"/>
      <c r="FR611" s="91"/>
      <c r="FS611" s="91"/>
      <c r="FT611" s="91"/>
      <c r="FU611" s="91"/>
      <c r="FV611" s="91"/>
      <c r="FW611" s="91"/>
      <c r="FX611" s="91"/>
      <c r="FY611" s="91"/>
      <c r="FZ611" s="91"/>
      <c r="GA611" s="91"/>
      <c r="GB611" s="91"/>
      <c r="GC611" s="91"/>
      <c r="GD611" s="91"/>
      <c r="GE611" s="91"/>
      <c r="GF611" s="91"/>
      <c r="GG611" s="91"/>
      <c r="GH611" s="91"/>
      <c r="GI611" s="91"/>
      <c r="GJ611" s="91"/>
      <c r="GK611" s="91"/>
      <c r="GL611" s="91"/>
      <c r="GM611" s="91"/>
      <c r="GN611" s="91"/>
      <c r="GO611" s="91"/>
      <c r="GP611" s="91"/>
      <c r="GQ611" s="91"/>
      <c r="GR611" s="91"/>
      <c r="GS611" s="91"/>
      <c r="GT611" s="91"/>
      <c r="GU611" s="91"/>
      <c r="GV611" s="91"/>
      <c r="GW611" s="91"/>
      <c r="GX611" s="91"/>
      <c r="GY611" s="91"/>
      <c r="GZ611" s="91"/>
      <c r="HA611" s="91"/>
      <c r="HB611" s="91"/>
      <c r="HC611" s="91"/>
      <c r="HD611" s="91"/>
      <c r="HE611" s="91"/>
      <c r="HF611" s="91"/>
      <c r="HG611" s="91"/>
      <c r="HH611" s="91"/>
      <c r="HI611" s="91"/>
      <c r="HJ611" s="91"/>
      <c r="HK611" s="91"/>
      <c r="HL611" s="91"/>
      <c r="HM611" s="91"/>
      <c r="HN611" s="91"/>
      <c r="HO611" s="91"/>
      <c r="HP611" s="91"/>
      <c r="HQ611" s="91"/>
      <c r="HR611" s="91"/>
      <c r="HS611" s="91"/>
      <c r="HT611" s="91"/>
      <c r="HU611" s="91"/>
      <c r="HV611" s="91"/>
      <c r="HW611" s="91"/>
      <c r="HX611" s="91"/>
      <c r="HY611" s="91"/>
      <c r="HZ611" s="91"/>
      <c r="IA611" s="91"/>
    </row>
    <row r="612" spans="1:17" ht="12" customHeight="1">
      <c r="A612" s="20" t="s">
        <v>4</v>
      </c>
      <c r="B612" s="7"/>
      <c r="C612" s="7"/>
      <c r="D612" s="145"/>
      <c r="E612" s="146"/>
      <c r="F612" s="146"/>
      <c r="G612" s="14"/>
      <c r="H612" s="14"/>
      <c r="I612" s="14"/>
      <c r="J612" s="14"/>
      <c r="K612" s="14"/>
      <c r="L612" s="14"/>
      <c r="M612" s="14"/>
      <c r="N612" s="14"/>
      <c r="O612" s="14"/>
      <c r="P612" s="14"/>
      <c r="Q612" s="6"/>
    </row>
    <row r="613" spans="1:17" ht="12" customHeight="1">
      <c r="A613" s="21" t="s">
        <v>63</v>
      </c>
      <c r="B613" s="7"/>
      <c r="C613" s="7"/>
      <c r="D613" s="145">
        <f>(D615*D620)+(D616*D621)</f>
        <v>6000</v>
      </c>
      <c r="E613" s="146"/>
      <c r="F613" s="146">
        <f>D613</f>
        <v>6000</v>
      </c>
      <c r="G613" s="14">
        <v>495500</v>
      </c>
      <c r="H613" s="14"/>
      <c r="I613" s="14"/>
      <c r="J613" s="14">
        <f>J617*J622-1.6</f>
        <v>495500</v>
      </c>
      <c r="K613" s="14"/>
      <c r="L613" s="14"/>
      <c r="M613" s="14"/>
      <c r="N613" s="14">
        <f>N617*N622+65658</f>
        <v>7800000</v>
      </c>
      <c r="O613" s="14"/>
      <c r="P613" s="14">
        <f>N613</f>
        <v>7800000</v>
      </c>
      <c r="Q613" s="6">
        <v>5500</v>
      </c>
    </row>
    <row r="614" spans="1:17" ht="12.75" customHeight="1">
      <c r="A614" s="20" t="s">
        <v>5</v>
      </c>
      <c r="B614" s="7"/>
      <c r="C614" s="7"/>
      <c r="D614" s="145"/>
      <c r="E614" s="146"/>
      <c r="F614" s="146"/>
      <c r="G614" s="14"/>
      <c r="H614" s="14"/>
      <c r="I614" s="14"/>
      <c r="J614" s="14"/>
      <c r="K614" s="14"/>
      <c r="L614" s="14"/>
      <c r="M614" s="14"/>
      <c r="N614" s="14"/>
      <c r="O614" s="14"/>
      <c r="P614" s="14"/>
      <c r="Q614" s="6"/>
    </row>
    <row r="615" spans="1:17" ht="23.25" customHeight="1">
      <c r="A615" s="21" t="s">
        <v>248</v>
      </c>
      <c r="B615" s="7"/>
      <c r="C615" s="7"/>
      <c r="D615" s="145">
        <v>1</v>
      </c>
      <c r="E615" s="146"/>
      <c r="F615" s="146">
        <f>D615</f>
        <v>1</v>
      </c>
      <c r="G615" s="14"/>
      <c r="H615" s="14"/>
      <c r="I615" s="14"/>
      <c r="J615" s="14"/>
      <c r="K615" s="14"/>
      <c r="L615" s="14"/>
      <c r="M615" s="14"/>
      <c r="N615" s="14"/>
      <c r="O615" s="14"/>
      <c r="P615" s="14"/>
      <c r="Q615" s="9">
        <v>1</v>
      </c>
    </row>
    <row r="616" spans="1:17" ht="22.5">
      <c r="A616" s="21" t="s">
        <v>261</v>
      </c>
      <c r="B616" s="7"/>
      <c r="C616" s="7"/>
      <c r="D616" s="145">
        <v>1</v>
      </c>
      <c r="E616" s="146"/>
      <c r="F616" s="146">
        <v>1</v>
      </c>
      <c r="G616" s="14"/>
      <c r="H616" s="14"/>
      <c r="I616" s="14"/>
      <c r="J616" s="14"/>
      <c r="K616" s="14"/>
      <c r="L616" s="14"/>
      <c r="M616" s="14"/>
      <c r="N616" s="14"/>
      <c r="O616" s="14"/>
      <c r="P616" s="14"/>
      <c r="Q616" s="9"/>
    </row>
    <row r="617" spans="1:17" ht="22.5">
      <c r="A617" s="21" t="s">
        <v>295</v>
      </c>
      <c r="B617" s="7"/>
      <c r="C617" s="7"/>
      <c r="D617" s="145"/>
      <c r="E617" s="146"/>
      <c r="F617" s="146"/>
      <c r="G617" s="184">
        <v>165</v>
      </c>
      <c r="H617" s="14"/>
      <c r="I617" s="14"/>
      <c r="J617" s="14">
        <v>165</v>
      </c>
      <c r="K617" s="14"/>
      <c r="L617" s="14"/>
      <c r="M617" s="14"/>
      <c r="N617" s="14">
        <v>1155</v>
      </c>
      <c r="O617" s="14"/>
      <c r="P617" s="14">
        <f>N617</f>
        <v>1155</v>
      </c>
      <c r="Q617" s="9"/>
    </row>
    <row r="618" spans="1:17" ht="11.25">
      <c r="A618" s="21" t="s">
        <v>391</v>
      </c>
      <c r="B618" s="7"/>
      <c r="C618" s="7"/>
      <c r="D618" s="145"/>
      <c r="E618" s="146"/>
      <c r="F618" s="146"/>
      <c r="G618" s="184"/>
      <c r="H618" s="14"/>
      <c r="I618" s="14"/>
      <c r="J618" s="14"/>
      <c r="K618" s="14"/>
      <c r="L618" s="14"/>
      <c r="M618" s="14"/>
      <c r="N618" s="14"/>
      <c r="O618" s="14"/>
      <c r="P618" s="14"/>
      <c r="Q618" s="9"/>
    </row>
    <row r="619" spans="1:17" ht="12.75" customHeight="1">
      <c r="A619" s="20" t="s">
        <v>7</v>
      </c>
      <c r="B619" s="7"/>
      <c r="C619" s="7"/>
      <c r="D619" s="145"/>
      <c r="E619" s="146"/>
      <c r="F619" s="146"/>
      <c r="G619" s="14"/>
      <c r="H619" s="14"/>
      <c r="I619" s="14"/>
      <c r="J619" s="14"/>
      <c r="K619" s="14"/>
      <c r="L619" s="14"/>
      <c r="M619" s="14"/>
      <c r="N619" s="14"/>
      <c r="O619" s="14"/>
      <c r="P619" s="14"/>
      <c r="Q619" s="6"/>
    </row>
    <row r="620" spans="1:17" ht="24" customHeight="1">
      <c r="A620" s="21" t="s">
        <v>247</v>
      </c>
      <c r="B620" s="7"/>
      <c r="C620" s="7"/>
      <c r="D620" s="145">
        <v>3000</v>
      </c>
      <c r="E620" s="146"/>
      <c r="F620" s="146">
        <f>D620</f>
        <v>3000</v>
      </c>
      <c r="G620" s="14"/>
      <c r="H620" s="14"/>
      <c r="I620" s="14"/>
      <c r="J620" s="14"/>
      <c r="K620" s="14"/>
      <c r="L620" s="14"/>
      <c r="M620" s="14"/>
      <c r="N620" s="14"/>
      <c r="O620" s="14"/>
      <c r="P620" s="14"/>
      <c r="Q620" s="6"/>
    </row>
    <row r="621" spans="1:17" ht="26.25" customHeight="1">
      <c r="A621" s="21" t="s">
        <v>262</v>
      </c>
      <c r="B621" s="7"/>
      <c r="C621" s="7"/>
      <c r="D621" s="147">
        <v>3000</v>
      </c>
      <c r="E621" s="132"/>
      <c r="F621" s="132">
        <f>D621</f>
        <v>3000</v>
      </c>
      <c r="G621" s="14"/>
      <c r="H621" s="14"/>
      <c r="I621" s="14"/>
      <c r="J621" s="14"/>
      <c r="K621" s="14"/>
      <c r="L621" s="14"/>
      <c r="M621" s="14"/>
      <c r="N621" s="14"/>
      <c r="O621" s="14"/>
      <c r="P621" s="14"/>
      <c r="Q621" s="6">
        <v>5500</v>
      </c>
    </row>
    <row r="622" spans="1:17" ht="22.5">
      <c r="A622" s="21" t="s">
        <v>296</v>
      </c>
      <c r="B622" s="7"/>
      <c r="C622" s="7"/>
      <c r="D622" s="147"/>
      <c r="E622" s="132"/>
      <c r="F622" s="132"/>
      <c r="G622" s="14">
        <v>3003.03</v>
      </c>
      <c r="H622" s="14"/>
      <c r="I622" s="14"/>
      <c r="J622" s="14">
        <v>3003.04</v>
      </c>
      <c r="K622" s="14"/>
      <c r="L622" s="14"/>
      <c r="M622" s="14"/>
      <c r="N622" s="14">
        <v>6696.4</v>
      </c>
      <c r="O622" s="14"/>
      <c r="P622" s="14">
        <f>N622</f>
        <v>6696.4</v>
      </c>
      <c r="Q622" s="73"/>
    </row>
    <row r="623" spans="1:17" ht="11.25">
      <c r="A623" s="21" t="s">
        <v>392</v>
      </c>
      <c r="B623" s="7"/>
      <c r="C623" s="7"/>
      <c r="D623" s="147"/>
      <c r="E623" s="132"/>
      <c r="F623" s="132"/>
      <c r="G623" s="14"/>
      <c r="H623" s="14"/>
      <c r="I623" s="14"/>
      <c r="J623" s="14"/>
      <c r="K623" s="14"/>
      <c r="L623" s="14"/>
      <c r="M623" s="14"/>
      <c r="N623" s="14"/>
      <c r="O623" s="14"/>
      <c r="P623" s="14"/>
      <c r="Q623" s="73"/>
    </row>
    <row r="624" spans="1:235" s="85" customFormat="1" ht="12">
      <c r="A624" s="108" t="s">
        <v>450</v>
      </c>
      <c r="B624" s="77"/>
      <c r="C624" s="77"/>
      <c r="D624" s="89">
        <f>D627</f>
        <v>1214000</v>
      </c>
      <c r="E624" s="89">
        <v>0</v>
      </c>
      <c r="F624" s="89">
        <f>D624</f>
        <v>1214000</v>
      </c>
      <c r="G624" s="89">
        <f>G627</f>
        <v>8080000</v>
      </c>
      <c r="H624" s="89"/>
      <c r="I624" s="89">
        <f>I627</f>
        <v>0</v>
      </c>
      <c r="J624" s="89">
        <f>J627</f>
        <v>8080000</v>
      </c>
      <c r="K624" s="89"/>
      <c r="L624" s="89"/>
      <c r="M624" s="89"/>
      <c r="N624" s="89">
        <f>N627</f>
        <v>12000000</v>
      </c>
      <c r="O624" s="89"/>
      <c r="P624" s="89">
        <f>N624</f>
        <v>12000000</v>
      </c>
      <c r="Q624" s="84"/>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c r="DL624" s="121"/>
      <c r="DM624" s="121"/>
      <c r="DN624" s="121"/>
      <c r="DO624" s="121"/>
      <c r="DP624" s="121"/>
      <c r="DQ624" s="121"/>
      <c r="DR624" s="121"/>
      <c r="DS624" s="121"/>
      <c r="DT624" s="121"/>
      <c r="DU624" s="121"/>
      <c r="DV624" s="121"/>
      <c r="DW624" s="121"/>
      <c r="DX624" s="121"/>
      <c r="DY624" s="121"/>
      <c r="DZ624" s="121"/>
      <c r="EA624" s="121"/>
      <c r="EB624" s="121"/>
      <c r="EC624" s="121"/>
      <c r="ED624" s="121"/>
      <c r="EE624" s="121"/>
      <c r="EF624" s="121"/>
      <c r="EG624" s="121"/>
      <c r="EH624" s="121"/>
      <c r="EI624" s="121"/>
      <c r="EJ624" s="121"/>
      <c r="EK624" s="121"/>
      <c r="EL624" s="121"/>
      <c r="EM624" s="121"/>
      <c r="EN624" s="121"/>
      <c r="EO624" s="121"/>
      <c r="EP624" s="121"/>
      <c r="EQ624" s="121"/>
      <c r="ER624" s="121"/>
      <c r="ES624" s="121"/>
      <c r="ET624" s="121"/>
      <c r="EU624" s="121"/>
      <c r="EV624" s="121"/>
      <c r="EW624" s="121"/>
      <c r="EX624" s="121"/>
      <c r="EY624" s="121"/>
      <c r="EZ624" s="121"/>
      <c r="FA624" s="121"/>
      <c r="FB624" s="121"/>
      <c r="FC624" s="121"/>
      <c r="FD624" s="121"/>
      <c r="FE624" s="121"/>
      <c r="FF624" s="121"/>
      <c r="FG624" s="121"/>
      <c r="FH624" s="121"/>
      <c r="FI624" s="121"/>
      <c r="FJ624" s="121"/>
      <c r="FK624" s="121"/>
      <c r="FL624" s="121"/>
      <c r="FM624" s="121"/>
      <c r="FN624" s="121"/>
      <c r="FO624" s="121"/>
      <c r="FP624" s="121"/>
      <c r="FQ624" s="121"/>
      <c r="FR624" s="121"/>
      <c r="FS624" s="121"/>
      <c r="FT624" s="121"/>
      <c r="FU624" s="121"/>
      <c r="FV624" s="121"/>
      <c r="FW624" s="121"/>
      <c r="FX624" s="121"/>
      <c r="FY624" s="121"/>
      <c r="FZ624" s="121"/>
      <c r="GA624" s="121"/>
      <c r="GB624" s="121"/>
      <c r="GC624" s="121"/>
      <c r="GD624" s="121"/>
      <c r="GE624" s="121"/>
      <c r="GF624" s="121"/>
      <c r="GG624" s="121"/>
      <c r="GH624" s="121"/>
      <c r="GI624" s="121"/>
      <c r="GJ624" s="121"/>
      <c r="GK624" s="121"/>
      <c r="GL624" s="121"/>
      <c r="GM624" s="121"/>
      <c r="GN624" s="121"/>
      <c r="GO624" s="121"/>
      <c r="GP624" s="121"/>
      <c r="GQ624" s="121"/>
      <c r="GR624" s="121"/>
      <c r="GS624" s="121"/>
      <c r="GT624" s="121"/>
      <c r="GU624" s="121"/>
      <c r="GV624" s="121"/>
      <c r="GW624" s="121"/>
      <c r="GX624" s="121"/>
      <c r="GY624" s="121"/>
      <c r="GZ624" s="121"/>
      <c r="HA624" s="121"/>
      <c r="HB624" s="121"/>
      <c r="HC624" s="121"/>
      <c r="HD624" s="121"/>
      <c r="HE624" s="121"/>
      <c r="HF624" s="121"/>
      <c r="HG624" s="121"/>
      <c r="HH624" s="121"/>
      <c r="HI624" s="121"/>
      <c r="HJ624" s="121"/>
      <c r="HK624" s="121"/>
      <c r="HL624" s="121"/>
      <c r="HM624" s="121"/>
      <c r="HN624" s="121"/>
      <c r="HO624" s="121"/>
      <c r="HP624" s="121"/>
      <c r="HQ624" s="121"/>
      <c r="HR624" s="121"/>
      <c r="HS624" s="121"/>
      <c r="HT624" s="121"/>
      <c r="HU624" s="121"/>
      <c r="HV624" s="121"/>
      <c r="HW624" s="121"/>
      <c r="HX624" s="121"/>
      <c r="HY624" s="121"/>
      <c r="HZ624" s="121"/>
      <c r="IA624" s="121"/>
    </row>
    <row r="625" spans="1:17" ht="33.75">
      <c r="A625" s="22" t="s">
        <v>246</v>
      </c>
      <c r="B625" s="7"/>
      <c r="C625" s="7"/>
      <c r="D625" s="14"/>
      <c r="E625" s="14"/>
      <c r="F625" s="14"/>
      <c r="G625" s="14"/>
      <c r="H625" s="14"/>
      <c r="I625" s="14"/>
      <c r="J625" s="14"/>
      <c r="K625" s="14"/>
      <c r="L625" s="14"/>
      <c r="M625" s="14"/>
      <c r="N625" s="14"/>
      <c r="O625" s="14"/>
      <c r="P625" s="14"/>
      <c r="Q625" s="73"/>
    </row>
    <row r="626" spans="1:17" ht="67.5">
      <c r="A626" s="21" t="s">
        <v>321</v>
      </c>
      <c r="B626" s="7"/>
      <c r="C626" s="7"/>
      <c r="D626" s="62"/>
      <c r="E626" s="14"/>
      <c r="F626" s="14"/>
      <c r="G626" s="14"/>
      <c r="H626" s="14"/>
      <c r="I626" s="14"/>
      <c r="J626" s="14"/>
      <c r="K626" s="14"/>
      <c r="L626" s="14"/>
      <c r="M626" s="14"/>
      <c r="N626" s="14"/>
      <c r="O626" s="14"/>
      <c r="P626" s="14"/>
      <c r="Q626" s="73"/>
    </row>
    <row r="627" spans="1:17" ht="102.75" customHeight="1">
      <c r="A627" s="19" t="s">
        <v>426</v>
      </c>
      <c r="B627" s="26"/>
      <c r="C627" s="26"/>
      <c r="D627" s="131">
        <f>D629</f>
        <v>1214000</v>
      </c>
      <c r="E627" s="131"/>
      <c r="F627" s="131">
        <f>D627</f>
        <v>1214000</v>
      </c>
      <c r="G627" s="25">
        <f>G629</f>
        <v>8080000</v>
      </c>
      <c r="H627" s="25"/>
      <c r="I627" s="25"/>
      <c r="J627" s="25">
        <f>J629</f>
        <v>8080000</v>
      </c>
      <c r="K627" s="25"/>
      <c r="L627" s="25"/>
      <c r="M627" s="25"/>
      <c r="N627" s="25">
        <f>N629</f>
        <v>12000000</v>
      </c>
      <c r="O627" s="25"/>
      <c r="P627" s="25">
        <f>N627</f>
        <v>12000000</v>
      </c>
      <c r="Q627" s="73"/>
    </row>
    <row r="628" spans="1:17" ht="11.25">
      <c r="A628" s="20" t="s">
        <v>4</v>
      </c>
      <c r="B628" s="7"/>
      <c r="C628" s="7"/>
      <c r="D628" s="145"/>
      <c r="E628" s="146"/>
      <c r="F628" s="146"/>
      <c r="G628" s="14"/>
      <c r="H628" s="14"/>
      <c r="I628" s="14"/>
      <c r="J628" s="14"/>
      <c r="K628" s="14"/>
      <c r="L628" s="14"/>
      <c r="M628" s="14"/>
      <c r="N628" s="14"/>
      <c r="O628" s="14"/>
      <c r="P628" s="14"/>
      <c r="Q628" s="73"/>
    </row>
    <row r="629" spans="1:17" ht="11.25">
      <c r="A629" s="21" t="s">
        <v>63</v>
      </c>
      <c r="B629" s="7"/>
      <c r="C629" s="7"/>
      <c r="D629" s="145">
        <f>D634*D631</f>
        <v>1214000</v>
      </c>
      <c r="E629" s="146"/>
      <c r="F629" s="146">
        <f>D629</f>
        <v>1214000</v>
      </c>
      <c r="G629" s="14">
        <f>G634*G631</f>
        <v>8080000</v>
      </c>
      <c r="H629" s="14"/>
      <c r="I629" s="14"/>
      <c r="J629" s="14">
        <f>G629</f>
        <v>8080000</v>
      </c>
      <c r="K629" s="14"/>
      <c r="L629" s="14"/>
      <c r="M629" s="14"/>
      <c r="N629" s="14">
        <f>N631*N634</f>
        <v>12000000</v>
      </c>
      <c r="O629" s="14"/>
      <c r="P629" s="14">
        <f>N629</f>
        <v>12000000</v>
      </c>
      <c r="Q629" s="73"/>
    </row>
    <row r="630" spans="1:17" ht="11.25">
      <c r="A630" s="20" t="s">
        <v>5</v>
      </c>
      <c r="B630" s="7"/>
      <c r="C630" s="7"/>
      <c r="D630" s="145"/>
      <c r="E630" s="146"/>
      <c r="F630" s="146"/>
      <c r="G630" s="14"/>
      <c r="H630" s="14"/>
      <c r="I630" s="14"/>
      <c r="J630" s="14"/>
      <c r="K630" s="14"/>
      <c r="L630" s="14"/>
      <c r="M630" s="14"/>
      <c r="N630" s="14"/>
      <c r="O630" s="14"/>
      <c r="P630" s="14"/>
      <c r="Q630" s="73"/>
    </row>
    <row r="631" spans="1:17" ht="22.5">
      <c r="A631" s="21" t="s">
        <v>312</v>
      </c>
      <c r="B631" s="7"/>
      <c r="C631" s="7"/>
      <c r="D631" s="145">
        <v>2</v>
      </c>
      <c r="E631" s="146"/>
      <c r="F631" s="146">
        <v>2</v>
      </c>
      <c r="G631" s="14">
        <v>2</v>
      </c>
      <c r="H631" s="14"/>
      <c r="I631" s="14"/>
      <c r="J631" s="14">
        <f>G631</f>
        <v>2</v>
      </c>
      <c r="K631" s="14"/>
      <c r="L631" s="14"/>
      <c r="M631" s="14"/>
      <c r="N631" s="14">
        <v>1</v>
      </c>
      <c r="O631" s="14"/>
      <c r="P631" s="14">
        <v>1</v>
      </c>
      <c r="Q631" s="73"/>
    </row>
    <row r="632" spans="1:17" ht="22.5" hidden="1">
      <c r="A632" s="21" t="s">
        <v>261</v>
      </c>
      <c r="B632" s="7"/>
      <c r="C632" s="7"/>
      <c r="D632" s="145"/>
      <c r="E632" s="146"/>
      <c r="F632" s="146"/>
      <c r="G632" s="14"/>
      <c r="H632" s="14"/>
      <c r="I632" s="14"/>
      <c r="J632" s="14"/>
      <c r="K632" s="14"/>
      <c r="L632" s="14"/>
      <c r="M632" s="14"/>
      <c r="N632" s="14"/>
      <c r="O632" s="14"/>
      <c r="P632" s="14"/>
      <c r="Q632" s="73"/>
    </row>
    <row r="633" spans="1:17" ht="11.25">
      <c r="A633" s="20" t="s">
        <v>7</v>
      </c>
      <c r="B633" s="7"/>
      <c r="C633" s="7"/>
      <c r="D633" s="145"/>
      <c r="E633" s="146"/>
      <c r="F633" s="146"/>
      <c r="G633" s="14"/>
      <c r="H633" s="14"/>
      <c r="I633" s="14"/>
      <c r="J633" s="14"/>
      <c r="K633" s="14"/>
      <c r="L633" s="14"/>
      <c r="M633" s="14"/>
      <c r="N633" s="14"/>
      <c r="O633" s="14"/>
      <c r="P633" s="14"/>
      <c r="Q633" s="73"/>
    </row>
    <row r="634" spans="1:17" ht="22.5">
      <c r="A634" s="21" t="s">
        <v>313</v>
      </c>
      <c r="B634" s="7"/>
      <c r="C634" s="7"/>
      <c r="D634" s="145">
        <v>607000</v>
      </c>
      <c r="E634" s="146"/>
      <c r="F634" s="146">
        <f>D634</f>
        <v>607000</v>
      </c>
      <c r="G634" s="14">
        <v>4040000</v>
      </c>
      <c r="H634" s="14"/>
      <c r="I634" s="14"/>
      <c r="J634" s="14">
        <f>G634</f>
        <v>4040000</v>
      </c>
      <c r="K634" s="14"/>
      <c r="L634" s="14"/>
      <c r="M634" s="14"/>
      <c r="N634" s="14">
        <v>12000000</v>
      </c>
      <c r="O634" s="14"/>
      <c r="P634" s="14">
        <f>N634</f>
        <v>12000000</v>
      </c>
      <c r="Q634" s="73"/>
    </row>
    <row r="635" spans="1:235" ht="33.75" hidden="1">
      <c r="A635" s="21" t="s">
        <v>262</v>
      </c>
      <c r="B635" s="7"/>
      <c r="C635" s="7"/>
      <c r="D635" s="147"/>
      <c r="E635" s="132"/>
      <c r="F635" s="132"/>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85" customFormat="1" ht="12">
      <c r="A636" s="108" t="s">
        <v>451</v>
      </c>
      <c r="B636" s="77"/>
      <c r="C636" s="77"/>
      <c r="D636" s="89">
        <f>D639</f>
        <v>0</v>
      </c>
      <c r="E636" s="89">
        <v>0</v>
      </c>
      <c r="F636" s="89">
        <f>D636</f>
        <v>0</v>
      </c>
      <c r="G636" s="89">
        <f>G639</f>
        <v>1200000</v>
      </c>
      <c r="H636" s="89"/>
      <c r="I636" s="89">
        <f>I639</f>
        <v>0</v>
      </c>
      <c r="J636" s="89">
        <f>J639</f>
        <v>1200000</v>
      </c>
      <c r="K636" s="89"/>
      <c r="L636" s="89"/>
      <c r="M636" s="89"/>
      <c r="N636" s="89">
        <f>N639</f>
        <v>1000000</v>
      </c>
      <c r="O636" s="89"/>
      <c r="P636" s="89">
        <f>P639</f>
        <v>1000000</v>
      </c>
      <c r="Q636" s="84"/>
    </row>
    <row r="637" spans="1:235" ht="33.75">
      <c r="A637" s="22" t="s">
        <v>246</v>
      </c>
      <c r="B637" s="7"/>
      <c r="C637" s="7"/>
      <c r="D637" s="14"/>
      <c r="E637" s="14"/>
      <c r="F637" s="14"/>
      <c r="G637" s="14"/>
      <c r="H637" s="14"/>
      <c r="I637" s="14"/>
      <c r="J637" s="14"/>
      <c r="K637" s="14"/>
      <c r="L637" s="14"/>
      <c r="M637" s="14"/>
      <c r="N637" s="14"/>
      <c r="O637" s="14"/>
      <c r="P637" s="14"/>
      <c r="Q637" s="73"/>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row>
    <row r="638" spans="1:235" ht="54.75" customHeight="1">
      <c r="A638" s="21" t="s">
        <v>265</v>
      </c>
      <c r="B638" s="7"/>
      <c r="C638" s="7"/>
      <c r="D638" s="62"/>
      <c r="E638" s="14"/>
      <c r="F638" s="14"/>
      <c r="G638" s="14"/>
      <c r="H638" s="14"/>
      <c r="I638" s="14"/>
      <c r="J638" s="14"/>
      <c r="K638" s="14"/>
      <c r="L638" s="14"/>
      <c r="M638" s="14"/>
      <c r="N638" s="14"/>
      <c r="O638" s="14"/>
      <c r="P638" s="14"/>
      <c r="Q638" s="73"/>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17" s="173" customFormat="1" ht="21">
      <c r="A639" s="174" t="s">
        <v>427</v>
      </c>
      <c r="B639" s="170"/>
      <c r="C639" s="170"/>
      <c r="D639" s="171">
        <f>200000-200000</f>
        <v>0</v>
      </c>
      <c r="E639" s="171"/>
      <c r="F639" s="171">
        <f>D639</f>
        <v>0</v>
      </c>
      <c r="G639" s="151">
        <f>G640+G647</f>
        <v>1200000</v>
      </c>
      <c r="H639" s="151"/>
      <c r="I639" s="151"/>
      <c r="J639" s="151">
        <f>G639</f>
        <v>1200000</v>
      </c>
      <c r="K639" s="151"/>
      <c r="L639" s="151"/>
      <c r="M639" s="151"/>
      <c r="N639" s="151">
        <f>N640+N647</f>
        <v>1000000</v>
      </c>
      <c r="O639" s="151"/>
      <c r="P639" s="151">
        <f>N639</f>
        <v>1000000</v>
      </c>
      <c r="Q639" s="172"/>
    </row>
    <row r="640" spans="1:17" s="205" customFormat="1" ht="45">
      <c r="A640" s="206" t="s">
        <v>461</v>
      </c>
      <c r="B640" s="202"/>
      <c r="C640" s="202"/>
      <c r="D640" s="203"/>
      <c r="E640" s="203"/>
      <c r="F640" s="203"/>
      <c r="G640" s="169">
        <f>G644*G646</f>
        <v>1000000</v>
      </c>
      <c r="H640" s="169">
        <f aca="true" t="shared" si="47" ref="H640:P640">H644*H646</f>
        <v>0</v>
      </c>
      <c r="I640" s="169">
        <f t="shared" si="47"/>
        <v>0</v>
      </c>
      <c r="J640" s="169">
        <f>G640</f>
        <v>1000000</v>
      </c>
      <c r="K640" s="169">
        <f t="shared" si="47"/>
        <v>0</v>
      </c>
      <c r="L640" s="169">
        <f t="shared" si="47"/>
        <v>0</v>
      </c>
      <c r="M640" s="169">
        <f t="shared" si="47"/>
        <v>0</v>
      </c>
      <c r="N640" s="169">
        <f>N644*N646</f>
        <v>800000</v>
      </c>
      <c r="O640" s="169">
        <f t="shared" si="47"/>
        <v>0</v>
      </c>
      <c r="P640" s="169">
        <f t="shared" si="47"/>
        <v>800000</v>
      </c>
      <c r="Q640" s="204"/>
    </row>
    <row r="641" spans="1:17" s="205" customFormat="1" ht="11.25">
      <c r="A641" s="20" t="s">
        <v>4</v>
      </c>
      <c r="B641" s="202"/>
      <c r="C641" s="202"/>
      <c r="D641" s="203"/>
      <c r="E641" s="203"/>
      <c r="F641" s="203"/>
      <c r="G641" s="169"/>
      <c r="H641" s="169"/>
      <c r="I641" s="169"/>
      <c r="J641" s="169"/>
      <c r="K641" s="169"/>
      <c r="L641" s="169"/>
      <c r="M641" s="169"/>
      <c r="N641" s="169"/>
      <c r="O641" s="169"/>
      <c r="P641" s="169"/>
      <c r="Q641" s="204"/>
    </row>
    <row r="642" spans="1:17" s="205" customFormat="1" ht="33.75">
      <c r="A642" s="21" t="s">
        <v>272</v>
      </c>
      <c r="B642" s="202"/>
      <c r="C642" s="202"/>
      <c r="D642" s="203"/>
      <c r="E642" s="203"/>
      <c r="F642" s="203"/>
      <c r="G642" s="114">
        <v>100</v>
      </c>
      <c r="H642" s="169"/>
      <c r="I642" s="169"/>
      <c r="J642" s="114">
        <f>G642</f>
        <v>100</v>
      </c>
      <c r="K642" s="169"/>
      <c r="L642" s="169"/>
      <c r="M642" s="169"/>
      <c r="N642" s="114">
        <v>100</v>
      </c>
      <c r="O642" s="114"/>
      <c r="P642" s="114">
        <f>N642</f>
        <v>100</v>
      </c>
      <c r="Q642" s="204"/>
    </row>
    <row r="643" spans="1:17" s="205" customFormat="1" ht="11.25">
      <c r="A643" s="20" t="s">
        <v>5</v>
      </c>
      <c r="B643" s="202"/>
      <c r="C643" s="202"/>
      <c r="D643" s="203"/>
      <c r="E643" s="203"/>
      <c r="F643" s="203"/>
      <c r="G643" s="169"/>
      <c r="H643" s="169"/>
      <c r="I643" s="169"/>
      <c r="J643" s="169"/>
      <c r="K643" s="169"/>
      <c r="L643" s="169"/>
      <c r="M643" s="169"/>
      <c r="N643" s="169"/>
      <c r="O643" s="169"/>
      <c r="P643" s="169"/>
      <c r="Q643" s="204"/>
    </row>
    <row r="644" spans="1:17" s="205" customFormat="1" ht="22.5">
      <c r="A644" s="21" t="s">
        <v>273</v>
      </c>
      <c r="B644" s="202"/>
      <c r="C644" s="202"/>
      <c r="D644" s="203"/>
      <c r="E644" s="203"/>
      <c r="F644" s="203"/>
      <c r="G644" s="114">
        <f>G642</f>
        <v>100</v>
      </c>
      <c r="H644" s="114"/>
      <c r="I644" s="114"/>
      <c r="J644" s="114">
        <f>J642</f>
        <v>100</v>
      </c>
      <c r="K644" s="114">
        <f aca="true" t="shared" si="48" ref="K644:P644">K642</f>
        <v>0</v>
      </c>
      <c r="L644" s="114">
        <f t="shared" si="48"/>
        <v>0</v>
      </c>
      <c r="M644" s="114">
        <f t="shared" si="48"/>
        <v>0</v>
      </c>
      <c r="N644" s="114">
        <f t="shared" si="48"/>
        <v>100</v>
      </c>
      <c r="O644" s="114">
        <f t="shared" si="48"/>
        <v>0</v>
      </c>
      <c r="P644" s="114">
        <f t="shared" si="48"/>
        <v>100</v>
      </c>
      <c r="Q644" s="204"/>
    </row>
    <row r="645" spans="1:17" s="205" customFormat="1" ht="11.25">
      <c r="A645" s="20" t="s">
        <v>7</v>
      </c>
      <c r="B645" s="202"/>
      <c r="C645" s="202"/>
      <c r="D645" s="203"/>
      <c r="E645" s="203"/>
      <c r="F645" s="203"/>
      <c r="G645" s="169"/>
      <c r="H645" s="169"/>
      <c r="I645" s="169"/>
      <c r="J645" s="169"/>
      <c r="K645" s="169"/>
      <c r="L645" s="169"/>
      <c r="M645" s="169"/>
      <c r="N645" s="169"/>
      <c r="O645" s="169"/>
      <c r="P645" s="169"/>
      <c r="Q645" s="204"/>
    </row>
    <row r="646" spans="1:17" s="205" customFormat="1" ht="22.5">
      <c r="A646" s="21" t="s">
        <v>274</v>
      </c>
      <c r="B646" s="202"/>
      <c r="C646" s="202"/>
      <c r="D646" s="203"/>
      <c r="E646" s="203"/>
      <c r="F646" s="203"/>
      <c r="G646" s="114">
        <v>10000</v>
      </c>
      <c r="H646" s="169"/>
      <c r="I646" s="169"/>
      <c r="J646" s="169"/>
      <c r="K646" s="169"/>
      <c r="L646" s="169"/>
      <c r="M646" s="169"/>
      <c r="N646" s="114">
        <v>8000</v>
      </c>
      <c r="O646" s="114"/>
      <c r="P646" s="114">
        <v>8000</v>
      </c>
      <c r="Q646" s="204"/>
    </row>
    <row r="647" spans="1:17" s="205" customFormat="1" ht="67.5">
      <c r="A647" s="206" t="s">
        <v>462</v>
      </c>
      <c r="B647" s="202"/>
      <c r="C647" s="202"/>
      <c r="D647" s="203"/>
      <c r="E647" s="203"/>
      <c r="F647" s="203"/>
      <c r="G647" s="169">
        <f>G651*G654</f>
        <v>200000</v>
      </c>
      <c r="H647" s="169">
        <f aca="true" t="shared" si="49" ref="H647:P647">H651*H654</f>
        <v>0</v>
      </c>
      <c r="I647" s="169">
        <f t="shared" si="49"/>
        <v>0</v>
      </c>
      <c r="J647" s="169">
        <f t="shared" si="49"/>
        <v>200000</v>
      </c>
      <c r="K647" s="169">
        <f t="shared" si="49"/>
        <v>0</v>
      </c>
      <c r="L647" s="169">
        <f t="shared" si="49"/>
        <v>0</v>
      </c>
      <c r="M647" s="169">
        <f t="shared" si="49"/>
        <v>0</v>
      </c>
      <c r="N647" s="169">
        <f t="shared" si="49"/>
        <v>200000</v>
      </c>
      <c r="O647" s="169">
        <f t="shared" si="49"/>
        <v>0</v>
      </c>
      <c r="P647" s="169">
        <f t="shared" si="49"/>
        <v>200000</v>
      </c>
      <c r="Q647" s="204"/>
    </row>
    <row r="648" spans="1:235" ht="11.25">
      <c r="A648" s="20" t="s">
        <v>4</v>
      </c>
      <c r="B648" s="7"/>
      <c r="C648" s="7"/>
      <c r="D648" s="145"/>
      <c r="E648" s="146"/>
      <c r="F648" s="146"/>
      <c r="G648" s="14"/>
      <c r="H648" s="14"/>
      <c r="I648" s="14"/>
      <c r="J648" s="14"/>
      <c r="K648" s="14"/>
      <c r="L648" s="14"/>
      <c r="M648" s="14"/>
      <c r="N648" s="14"/>
      <c r="O648" s="14"/>
      <c r="P648" s="14"/>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33.75">
      <c r="A649" s="21" t="s">
        <v>272</v>
      </c>
      <c r="B649" s="7"/>
      <c r="C649" s="7"/>
      <c r="D649" s="145">
        <v>120</v>
      </c>
      <c r="E649" s="146"/>
      <c r="F649" s="146">
        <f>D649</f>
        <v>120</v>
      </c>
      <c r="G649" s="146">
        <v>20</v>
      </c>
      <c r="H649" s="146"/>
      <c r="I649" s="146"/>
      <c r="J649" s="146">
        <f>G649</f>
        <v>20</v>
      </c>
      <c r="K649" s="146">
        <f>H649</f>
        <v>0</v>
      </c>
      <c r="L649" s="146">
        <f>J649</f>
        <v>20</v>
      </c>
      <c r="M649" s="146">
        <f>K649</f>
        <v>0</v>
      </c>
      <c r="N649" s="146">
        <v>20</v>
      </c>
      <c r="O649" s="146"/>
      <c r="P649" s="146">
        <f>N649</f>
        <v>20</v>
      </c>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5</v>
      </c>
      <c r="B650" s="7"/>
      <c r="C650" s="7"/>
      <c r="D650" s="145"/>
      <c r="E650" s="146"/>
      <c r="F650" s="146"/>
      <c r="G650" s="14"/>
      <c r="H650" s="14"/>
      <c r="I650" s="14"/>
      <c r="J650" s="14"/>
      <c r="K650" s="14"/>
      <c r="L650" s="14"/>
      <c r="M650" s="14"/>
      <c r="N650" s="14"/>
      <c r="O650" s="14"/>
      <c r="P650" s="14"/>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32.25" customHeight="1">
      <c r="A651" s="21" t="s">
        <v>273</v>
      </c>
      <c r="B651" s="7"/>
      <c r="C651" s="7"/>
      <c r="D651" s="145">
        <v>120</v>
      </c>
      <c r="E651" s="146"/>
      <c r="F651" s="146">
        <v>120</v>
      </c>
      <c r="G651" s="14">
        <v>20</v>
      </c>
      <c r="H651" s="14"/>
      <c r="I651" s="14"/>
      <c r="J651" s="14">
        <f>G651</f>
        <v>20</v>
      </c>
      <c r="K651" s="14"/>
      <c r="L651" s="14"/>
      <c r="M651" s="14"/>
      <c r="N651" s="14">
        <v>20</v>
      </c>
      <c r="O651" s="14"/>
      <c r="P651" s="14">
        <f>N651</f>
        <v>20</v>
      </c>
      <c r="Q651" s="73"/>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22.5" hidden="1">
      <c r="A652" s="21" t="s">
        <v>261</v>
      </c>
      <c r="B652" s="7"/>
      <c r="C652" s="7"/>
      <c r="D652" s="145"/>
      <c r="E652" s="146"/>
      <c r="F652" s="146"/>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c r="A653" s="20" t="s">
        <v>7</v>
      </c>
      <c r="B653" s="7"/>
      <c r="C653" s="7"/>
      <c r="D653" s="145"/>
      <c r="E653" s="146"/>
      <c r="F653" s="146"/>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22.5">
      <c r="A654" s="21" t="s">
        <v>274</v>
      </c>
      <c r="B654" s="7"/>
      <c r="C654" s="7"/>
      <c r="D654" s="145">
        <f>D639/D651</f>
        <v>0</v>
      </c>
      <c r="E654" s="146"/>
      <c r="F654" s="146">
        <f>D654</f>
        <v>0</v>
      </c>
      <c r="G654" s="14">
        <v>10000</v>
      </c>
      <c r="H654" s="14"/>
      <c r="I654" s="14"/>
      <c r="J654" s="14">
        <f>G654</f>
        <v>10000</v>
      </c>
      <c r="K654" s="14"/>
      <c r="L654" s="14"/>
      <c r="M654" s="14"/>
      <c r="N654" s="14">
        <v>10000</v>
      </c>
      <c r="O654" s="14"/>
      <c r="P654" s="14">
        <f>N654</f>
        <v>10000</v>
      </c>
      <c r="Q654" s="73"/>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71"/>
      <c r="B655" s="53"/>
      <c r="C655" s="53"/>
      <c r="D655" s="148"/>
      <c r="E655" s="149"/>
      <c r="F655" s="149"/>
      <c r="G655" s="72"/>
      <c r="H655" s="72"/>
      <c r="I655" s="72"/>
      <c r="J655" s="72"/>
      <c r="K655" s="72"/>
      <c r="L655" s="72"/>
      <c r="M655" s="72"/>
      <c r="N655" s="72"/>
      <c r="O655" s="72"/>
      <c r="P655" s="72"/>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hidden="1">
      <c r="A656" s="71"/>
      <c r="B656" s="53"/>
      <c r="C656" s="53"/>
      <c r="D656" s="148"/>
      <c r="E656" s="149"/>
      <c r="F656" s="149"/>
      <c r="G656" s="72"/>
      <c r="H656" s="72"/>
      <c r="I656" s="72"/>
      <c r="J656" s="72"/>
      <c r="K656" s="72"/>
      <c r="L656" s="72"/>
      <c r="M656" s="72"/>
      <c r="N656" s="72"/>
      <c r="O656" s="72"/>
      <c r="P656" s="72"/>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hidden="1">
      <c r="A657" s="71"/>
      <c r="B657" s="53"/>
      <c r="C657" s="53"/>
      <c r="D657" s="148"/>
      <c r="E657" s="149"/>
      <c r="F657" s="149"/>
      <c r="G657" s="72"/>
      <c r="H657" s="72"/>
      <c r="I657" s="72"/>
      <c r="J657" s="72"/>
      <c r="K657" s="72"/>
      <c r="L657" s="72"/>
      <c r="M657" s="72"/>
      <c r="N657" s="72"/>
      <c r="O657" s="72"/>
      <c r="P657" s="72"/>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11.25" hidden="1">
      <c r="A658" s="71"/>
      <c r="B658" s="53"/>
      <c r="C658" s="53"/>
      <c r="D658" s="148"/>
      <c r="E658" s="149"/>
      <c r="F658" s="149"/>
      <c r="G658" s="72"/>
      <c r="H658" s="72"/>
      <c r="I658" s="72"/>
      <c r="J658" s="72"/>
      <c r="K658" s="72"/>
      <c r="L658" s="72"/>
      <c r="M658" s="72"/>
      <c r="N658" s="72"/>
      <c r="O658" s="72"/>
      <c r="P658" s="72"/>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85" customFormat="1" ht="12">
      <c r="A659" s="108" t="s">
        <v>452</v>
      </c>
      <c r="B659" s="77"/>
      <c r="C659" s="77"/>
      <c r="D659" s="89">
        <f>D662</f>
        <v>0</v>
      </c>
      <c r="E659" s="89">
        <f>E662</f>
        <v>1084420</v>
      </c>
      <c r="F659" s="89">
        <f>D659+E659</f>
        <v>1084420</v>
      </c>
      <c r="G659" s="89"/>
      <c r="H659" s="89">
        <f>H662</f>
        <v>3699999.9999893</v>
      </c>
      <c r="I659" s="89">
        <f>I662</f>
        <v>0</v>
      </c>
      <c r="J659" s="89">
        <f>J662</f>
        <v>3699999.9999893</v>
      </c>
      <c r="K659" s="89"/>
      <c r="L659" s="89"/>
      <c r="M659" s="89"/>
      <c r="N659" s="89"/>
      <c r="O659" s="89">
        <f>O662</f>
        <v>1000000</v>
      </c>
      <c r="P659" s="89">
        <f>O659</f>
        <v>1000000</v>
      </c>
      <c r="Q659" s="84"/>
    </row>
    <row r="660" spans="1:235" ht="33.75">
      <c r="A660" s="22" t="s">
        <v>246</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275</v>
      </c>
      <c r="B661" s="7"/>
      <c r="C661" s="7"/>
      <c r="D661" s="14"/>
      <c r="E661" s="14"/>
      <c r="F661" s="14"/>
      <c r="G661" s="14"/>
      <c r="H661" s="14"/>
      <c r="I661" s="14"/>
      <c r="J661" s="14"/>
      <c r="K661" s="14"/>
      <c r="L661" s="14"/>
      <c r="M661" s="14"/>
      <c r="N661" s="14"/>
      <c r="O661" s="14"/>
      <c r="P661" s="14"/>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17" s="92" customFormat="1" ht="22.5">
      <c r="A662" s="82" t="s">
        <v>428</v>
      </c>
      <c r="B662" s="88"/>
      <c r="C662" s="88"/>
      <c r="D662" s="89"/>
      <c r="E662" s="89">
        <v>1084420</v>
      </c>
      <c r="F662" s="89">
        <f>D662+E662</f>
        <v>1084420</v>
      </c>
      <c r="G662" s="89"/>
      <c r="H662" s="89">
        <f>H666*H669</f>
        <v>3699999.9999893</v>
      </c>
      <c r="I662" s="89"/>
      <c r="J662" s="89">
        <f>H662</f>
        <v>3699999.9999893</v>
      </c>
      <c r="K662" s="89"/>
      <c r="L662" s="89"/>
      <c r="M662" s="89"/>
      <c r="N662" s="89"/>
      <c r="O662" s="89">
        <f>O664</f>
        <v>1000000</v>
      </c>
      <c r="P662" s="89">
        <f>O662</f>
        <v>1000000</v>
      </c>
      <c r="Q662" s="106"/>
    </row>
    <row r="663" spans="1:235" ht="11.25">
      <c r="A663" s="20" t="s">
        <v>4</v>
      </c>
      <c r="B663" s="7"/>
      <c r="C663" s="7"/>
      <c r="D663" s="14"/>
      <c r="E663" s="14"/>
      <c r="F663" s="14"/>
      <c r="G663" s="14"/>
      <c r="H663" s="14"/>
      <c r="I663" s="14"/>
      <c r="J663" s="14"/>
      <c r="K663" s="14"/>
      <c r="L663" s="14"/>
      <c r="M663" s="14"/>
      <c r="N663" s="14"/>
      <c r="O663" s="14"/>
      <c r="P663" s="14"/>
      <c r="Q663" s="7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c r="A664" s="21" t="s">
        <v>63</v>
      </c>
      <c r="B664" s="7"/>
      <c r="C664" s="7"/>
      <c r="D664" s="14"/>
      <c r="E664" s="14">
        <f>E662</f>
        <v>1084420</v>
      </c>
      <c r="F664" s="14">
        <f>D664+E664</f>
        <v>1084420</v>
      </c>
      <c r="G664" s="14"/>
      <c r="H664" s="14">
        <f>H662</f>
        <v>3699999.9999893</v>
      </c>
      <c r="I664" s="14"/>
      <c r="J664" s="14">
        <f>H664</f>
        <v>3699999.9999893</v>
      </c>
      <c r="K664" s="14"/>
      <c r="L664" s="14"/>
      <c r="M664" s="14"/>
      <c r="O664" s="14">
        <v>1000000</v>
      </c>
      <c r="P664" s="14">
        <f>O664</f>
        <v>1000000</v>
      </c>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5</v>
      </c>
      <c r="B665" s="7"/>
      <c r="C665" s="7"/>
      <c r="D665" s="14"/>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6.25" customHeight="1">
      <c r="A666" s="21" t="s">
        <v>276</v>
      </c>
      <c r="B666" s="7"/>
      <c r="C666" s="7"/>
      <c r="D666" s="14"/>
      <c r="E666" s="14">
        <v>39</v>
      </c>
      <c r="F666" s="14">
        <f>D666+E666</f>
        <v>39</v>
      </c>
      <c r="G666" s="14"/>
      <c r="H666" s="14">
        <v>133</v>
      </c>
      <c r="I666" s="14"/>
      <c r="J666" s="14">
        <f>H666</f>
        <v>133</v>
      </c>
      <c r="K666" s="14"/>
      <c r="L666" s="14"/>
      <c r="M666" s="14"/>
      <c r="N666" s="14"/>
      <c r="O666" s="14">
        <v>28</v>
      </c>
      <c r="P666" s="14">
        <v>28</v>
      </c>
      <c r="Q666" s="73"/>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11.25" hidden="1">
      <c r="A667" s="21" t="s">
        <v>238</v>
      </c>
      <c r="B667" s="7"/>
      <c r="C667" s="7"/>
      <c r="D667" s="14">
        <v>145</v>
      </c>
      <c r="E667" s="14"/>
      <c r="F667" s="14">
        <f>D667</f>
        <v>145</v>
      </c>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1.25">
      <c r="A668" s="20" t="s">
        <v>7</v>
      </c>
      <c r="B668" s="7"/>
      <c r="C668" s="7"/>
      <c r="D668" s="14"/>
      <c r="E668" s="14"/>
      <c r="F668" s="14"/>
      <c r="G668" s="14"/>
      <c r="H668" s="14"/>
      <c r="I668" s="14"/>
      <c r="J668" s="14"/>
      <c r="K668" s="14"/>
      <c r="L668" s="14"/>
      <c r="M668" s="14"/>
      <c r="N668" s="14"/>
      <c r="O668" s="14"/>
      <c r="P668" s="14"/>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22.5">
      <c r="A669" s="21" t="s">
        <v>277</v>
      </c>
      <c r="B669" s="7"/>
      <c r="C669" s="7"/>
      <c r="D669" s="14"/>
      <c r="E669" s="14">
        <f>E664/E666</f>
        <v>27805.641025641027</v>
      </c>
      <c r="F669" s="14">
        <f>F664/F666</f>
        <v>27805.641025641027</v>
      </c>
      <c r="G669" s="14"/>
      <c r="H669" s="14">
        <v>27819.5488721</v>
      </c>
      <c r="I669" s="14"/>
      <c r="J669" s="14">
        <f>H669</f>
        <v>27819.5488721</v>
      </c>
      <c r="K669" s="14"/>
      <c r="L669" s="14"/>
      <c r="M669" s="14"/>
      <c r="N669" s="14"/>
      <c r="O669" s="14">
        <f>O664/O666</f>
        <v>35714.28571428572</v>
      </c>
      <c r="P669" s="14">
        <f>O669</f>
        <v>35714.28571428572</v>
      </c>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22.5" hidden="1">
      <c r="A670" s="21" t="s">
        <v>241</v>
      </c>
      <c r="B670" s="7"/>
      <c r="C670" s="7"/>
      <c r="D670" s="14">
        <v>270.34</v>
      </c>
      <c r="E670" s="14"/>
      <c r="F670" s="14">
        <f>D670</f>
        <v>270.34</v>
      </c>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85" customFormat="1" ht="12">
      <c r="A671" s="108" t="s">
        <v>453</v>
      </c>
      <c r="B671" s="77"/>
      <c r="C671" s="77"/>
      <c r="D671" s="89">
        <f>D674</f>
        <v>0</v>
      </c>
      <c r="E671" s="89">
        <v>0</v>
      </c>
      <c r="F671" s="89">
        <f>D671</f>
        <v>0</v>
      </c>
      <c r="G671" s="89">
        <f>G674+G689</f>
        <v>1198800</v>
      </c>
      <c r="H671" s="89"/>
      <c r="I671" s="89">
        <f>I674</f>
        <v>0</v>
      </c>
      <c r="J671" s="89">
        <f>J674+J689</f>
        <v>1198800</v>
      </c>
      <c r="K671" s="89"/>
      <c r="L671" s="89"/>
      <c r="M671" s="89"/>
      <c r="N671" s="89">
        <f>N674</f>
        <v>650000</v>
      </c>
      <c r="O671" s="89"/>
      <c r="P671" s="89">
        <f>P674</f>
        <v>650000</v>
      </c>
      <c r="Q671" s="84"/>
    </row>
    <row r="672" spans="1:235" ht="33.75">
      <c r="A672" s="22" t="s">
        <v>246</v>
      </c>
      <c r="B672" s="7"/>
      <c r="C672" s="7"/>
      <c r="D672" s="14"/>
      <c r="E672" s="14"/>
      <c r="F672" s="14"/>
      <c r="G672" s="14"/>
      <c r="H672" s="14"/>
      <c r="I672" s="14"/>
      <c r="J672" s="14"/>
      <c r="K672" s="14"/>
      <c r="L672" s="14"/>
      <c r="M672" s="14"/>
      <c r="N672" s="14"/>
      <c r="O672" s="14"/>
      <c r="P672" s="14"/>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1" t="s">
        <v>300</v>
      </c>
      <c r="B673" s="7"/>
      <c r="C673" s="7"/>
      <c r="D673" s="62"/>
      <c r="E673" s="14"/>
      <c r="F673" s="14"/>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17" s="92" customFormat="1" ht="22.5">
      <c r="A674" s="82" t="s">
        <v>429</v>
      </c>
      <c r="B674" s="88"/>
      <c r="C674" s="88"/>
      <c r="D674" s="144"/>
      <c r="E674" s="144"/>
      <c r="F674" s="144">
        <f>D674</f>
        <v>0</v>
      </c>
      <c r="G674" s="89">
        <f>G679*G682</f>
        <v>998800</v>
      </c>
      <c r="H674" s="89"/>
      <c r="I674" s="89"/>
      <c r="J674" s="89">
        <f>G674</f>
        <v>998800</v>
      </c>
      <c r="K674" s="89"/>
      <c r="L674" s="89"/>
      <c r="M674" s="89"/>
      <c r="N674" s="89">
        <f>N676</f>
        <v>650000</v>
      </c>
      <c r="O674" s="89"/>
      <c r="P674" s="89">
        <f>N674</f>
        <v>650000</v>
      </c>
      <c r="Q674" s="106"/>
    </row>
    <row r="675" spans="1:235" ht="11.25">
      <c r="A675" s="20" t="s">
        <v>4</v>
      </c>
      <c r="B675" s="7"/>
      <c r="C675" s="7"/>
      <c r="D675" s="145"/>
      <c r="E675" s="146"/>
      <c r="F675" s="146"/>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63</v>
      </c>
      <c r="B676" s="7"/>
      <c r="C676" s="7"/>
      <c r="D676" s="145"/>
      <c r="E676" s="146"/>
      <c r="F676" s="146"/>
      <c r="G676" s="14">
        <f>G682</f>
        <v>499400</v>
      </c>
      <c r="H676" s="14"/>
      <c r="I676" s="14"/>
      <c r="J676" s="14">
        <f>G676</f>
        <v>499400</v>
      </c>
      <c r="K676" s="14"/>
      <c r="L676" s="14"/>
      <c r="M676" s="14"/>
      <c r="N676" s="14">
        <f>N679*N682</f>
        <v>650000</v>
      </c>
      <c r="O676" s="14"/>
      <c r="P676" s="14">
        <f>N676</f>
        <v>650000</v>
      </c>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63</v>
      </c>
      <c r="B677" s="7"/>
      <c r="C677" s="7"/>
      <c r="D677" s="145"/>
      <c r="E677" s="146"/>
      <c r="F677" s="146"/>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5</v>
      </c>
      <c r="B678" s="7"/>
      <c r="C678" s="7"/>
      <c r="D678" s="145"/>
      <c r="E678" s="146"/>
      <c r="F678" s="146"/>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0.5" customHeight="1">
      <c r="A679" s="21" t="s">
        <v>278</v>
      </c>
      <c r="B679" s="7"/>
      <c r="C679" s="7"/>
      <c r="D679" s="145"/>
      <c r="E679" s="146"/>
      <c r="F679" s="146">
        <f>D679</f>
        <v>0</v>
      </c>
      <c r="G679" s="146">
        <v>2</v>
      </c>
      <c r="H679" s="146"/>
      <c r="I679" s="146"/>
      <c r="J679" s="146">
        <v>2</v>
      </c>
      <c r="K679" s="146">
        <f>H679</f>
        <v>0</v>
      </c>
      <c r="L679" s="146">
        <f>J679</f>
        <v>2</v>
      </c>
      <c r="M679" s="146">
        <f>K679</f>
        <v>0</v>
      </c>
      <c r="N679" s="146">
        <v>1</v>
      </c>
      <c r="O679" s="146"/>
      <c r="P679" s="146">
        <v>1</v>
      </c>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t="s">
        <v>293</v>
      </c>
      <c r="B680" s="7"/>
      <c r="C680" s="7"/>
      <c r="D680" s="145"/>
      <c r="E680" s="146"/>
      <c r="F680" s="146"/>
      <c r="G680" s="146">
        <v>1487</v>
      </c>
      <c r="H680" s="146"/>
      <c r="I680" s="146"/>
      <c r="J680" s="146">
        <f>G680</f>
        <v>1487</v>
      </c>
      <c r="K680" s="146"/>
      <c r="L680" s="146"/>
      <c r="M680" s="146"/>
      <c r="N680" s="146"/>
      <c r="O680" s="146"/>
      <c r="P680" s="146"/>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c r="A681" s="20" t="s">
        <v>7</v>
      </c>
      <c r="B681" s="7"/>
      <c r="C681" s="7"/>
      <c r="D681" s="145"/>
      <c r="E681" s="146"/>
      <c r="F681" s="146"/>
      <c r="G681" s="14"/>
      <c r="H681" s="14"/>
      <c r="I681" s="14"/>
      <c r="J681" s="14"/>
      <c r="K681" s="14"/>
      <c r="L681" s="14"/>
      <c r="M681" s="14"/>
      <c r="N681" s="14"/>
      <c r="O681" s="14"/>
      <c r="P681" s="14"/>
      <c r="Q681" s="73"/>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c r="A682" s="21" t="s">
        <v>279</v>
      </c>
      <c r="B682" s="7"/>
      <c r="C682" s="7"/>
      <c r="D682" s="145"/>
      <c r="E682" s="146"/>
      <c r="F682" s="146"/>
      <c r="G682" s="14">
        <f>465000+34400</f>
        <v>499400</v>
      </c>
      <c r="H682" s="14"/>
      <c r="I682" s="14"/>
      <c r="J682" s="14">
        <f>G682</f>
        <v>499400</v>
      </c>
      <c r="K682" s="14"/>
      <c r="L682" s="14"/>
      <c r="M682" s="14"/>
      <c r="N682" s="14">
        <v>650000</v>
      </c>
      <c r="O682" s="14"/>
      <c r="P682" s="14">
        <f>N682</f>
        <v>650000</v>
      </c>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hidden="1">
      <c r="A685" s="21"/>
      <c r="B685" s="7"/>
      <c r="C685" s="7"/>
      <c r="D685" s="14"/>
      <c r="E685" s="14"/>
      <c r="F685" s="14"/>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1.25" hidden="1">
      <c r="A686" s="21"/>
      <c r="B686" s="7"/>
      <c r="C686" s="7"/>
      <c r="D686" s="14"/>
      <c r="E686" s="14"/>
      <c r="F686" s="14"/>
      <c r="G686" s="14"/>
      <c r="H686" s="14"/>
      <c r="I686" s="14"/>
      <c r="J686" s="14"/>
      <c r="K686" s="14"/>
      <c r="L686" s="14"/>
      <c r="M686" s="14"/>
      <c r="N686" s="14"/>
      <c r="O686" s="14"/>
      <c r="P686" s="14"/>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c r="B687" s="7"/>
      <c r="C687" s="7"/>
      <c r="D687" s="14"/>
      <c r="E687" s="14"/>
      <c r="F687" s="14"/>
      <c r="G687" s="14"/>
      <c r="H687" s="14"/>
      <c r="I687" s="14"/>
      <c r="J687" s="14"/>
      <c r="K687" s="14"/>
      <c r="L687" s="14"/>
      <c r="M687" s="14"/>
      <c r="N687" s="14"/>
      <c r="O687" s="14"/>
      <c r="P687" s="14"/>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21" customHeight="1" hidden="1">
      <c r="A688" s="21" t="s">
        <v>294</v>
      </c>
      <c r="B688" s="7"/>
      <c r="C688" s="7"/>
      <c r="D688" s="14"/>
      <c r="E688" s="14"/>
      <c r="F688" s="14"/>
      <c r="G688" s="14">
        <v>3000</v>
      </c>
      <c r="H688" s="14"/>
      <c r="I688" s="14"/>
      <c r="J688" s="14">
        <f>G688</f>
        <v>3000</v>
      </c>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17" s="92" customFormat="1" ht="22.5">
      <c r="A689" s="82" t="s">
        <v>430</v>
      </c>
      <c r="B689" s="88"/>
      <c r="C689" s="88"/>
      <c r="D689" s="144"/>
      <c r="E689" s="144"/>
      <c r="F689" s="144">
        <f>D689</f>
        <v>0</v>
      </c>
      <c r="G689" s="89">
        <f>G694*G697</f>
        <v>200000</v>
      </c>
      <c r="H689" s="89"/>
      <c r="I689" s="89"/>
      <c r="J689" s="89">
        <f>G689</f>
        <v>200000</v>
      </c>
      <c r="K689" s="89"/>
      <c r="L689" s="89"/>
      <c r="M689" s="89"/>
      <c r="N689" s="89"/>
      <c r="O689" s="89"/>
      <c r="P689" s="89"/>
      <c r="Q689" s="106"/>
    </row>
    <row r="690" spans="1:235" ht="11.25">
      <c r="A690" s="20" t="s">
        <v>4</v>
      </c>
      <c r="B690" s="7"/>
      <c r="C690" s="7"/>
      <c r="D690" s="145"/>
      <c r="E690" s="146"/>
      <c r="F690" s="146"/>
      <c r="G690" s="14"/>
      <c r="H690" s="14"/>
      <c r="I690" s="14"/>
      <c r="J690" s="14"/>
      <c r="K690" s="14"/>
      <c r="L690" s="14"/>
      <c r="M690" s="14"/>
      <c r="N690" s="14"/>
      <c r="O690" s="14"/>
      <c r="P690" s="14"/>
      <c r="Q690" s="73"/>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63</v>
      </c>
      <c r="B691" s="7"/>
      <c r="C691" s="7"/>
      <c r="D691" s="145"/>
      <c r="E691" s="146"/>
      <c r="F691" s="146"/>
      <c r="G691" s="14">
        <f>G694*G697</f>
        <v>200000</v>
      </c>
      <c r="H691" s="14"/>
      <c r="I691" s="14"/>
      <c r="J691" s="14">
        <f>G691</f>
        <v>200000</v>
      </c>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63</v>
      </c>
      <c r="B692" s="7"/>
      <c r="C692" s="7"/>
      <c r="D692" s="145"/>
      <c r="E692" s="146"/>
      <c r="F692" s="146"/>
      <c r="G692" s="14"/>
      <c r="H692" s="14"/>
      <c r="I692" s="14"/>
      <c r="J692" s="14"/>
      <c r="K692" s="14"/>
      <c r="L692" s="14"/>
      <c r="M692" s="14"/>
      <c r="N692" s="14"/>
      <c r="O692" s="14"/>
      <c r="P692" s="14"/>
      <c r="Q692" s="73"/>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5</v>
      </c>
      <c r="B693" s="7"/>
      <c r="C693" s="7"/>
      <c r="D693" s="145"/>
      <c r="E693" s="146"/>
      <c r="F693" s="146"/>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0.5" customHeight="1">
      <c r="A694" s="21" t="s">
        <v>330</v>
      </c>
      <c r="B694" s="7"/>
      <c r="C694" s="7"/>
      <c r="D694" s="145"/>
      <c r="E694" s="146"/>
      <c r="F694" s="146">
        <f>D694</f>
        <v>0</v>
      </c>
      <c r="G694" s="146">
        <v>1</v>
      </c>
      <c r="H694" s="146"/>
      <c r="I694" s="146"/>
      <c r="J694" s="146">
        <f>G694</f>
        <v>1</v>
      </c>
      <c r="K694" s="146">
        <f>H694</f>
        <v>0</v>
      </c>
      <c r="L694" s="146">
        <f>J694</f>
        <v>1</v>
      </c>
      <c r="M694" s="146">
        <f>K694</f>
        <v>0</v>
      </c>
      <c r="N694" s="146"/>
      <c r="O694" s="146"/>
      <c r="P694" s="146"/>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hidden="1">
      <c r="A695" s="21" t="s">
        <v>293</v>
      </c>
      <c r="B695" s="7"/>
      <c r="C695" s="7"/>
      <c r="D695" s="145"/>
      <c r="E695" s="146"/>
      <c r="F695" s="146"/>
      <c r="G695" s="146">
        <v>1487</v>
      </c>
      <c r="H695" s="146"/>
      <c r="I695" s="146"/>
      <c r="J695" s="146">
        <f>G695</f>
        <v>1487</v>
      </c>
      <c r="K695" s="146"/>
      <c r="L695" s="146"/>
      <c r="M695" s="146"/>
      <c r="N695" s="146"/>
      <c r="O695" s="146"/>
      <c r="P695" s="146"/>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11.25">
      <c r="A696" s="20" t="s">
        <v>7</v>
      </c>
      <c r="B696" s="7"/>
      <c r="C696" s="7"/>
      <c r="D696" s="145"/>
      <c r="E696" s="146"/>
      <c r="F696" s="146"/>
      <c r="G696" s="14"/>
      <c r="H696" s="14"/>
      <c r="I696" s="14"/>
      <c r="J696" s="14"/>
      <c r="K696" s="14"/>
      <c r="L696" s="14"/>
      <c r="M696" s="14"/>
      <c r="N696" s="14"/>
      <c r="O696" s="14"/>
      <c r="P696" s="14"/>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22.5">
      <c r="A697" s="21" t="s">
        <v>331</v>
      </c>
      <c r="B697" s="7"/>
      <c r="C697" s="7"/>
      <c r="D697" s="145"/>
      <c r="E697" s="146"/>
      <c r="F697" s="146"/>
      <c r="G697" s="14">
        <v>200000</v>
      </c>
      <c r="H697" s="14"/>
      <c r="I697" s="14"/>
      <c r="J697" s="14">
        <f>G697</f>
        <v>200000</v>
      </c>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17" s="85" customFormat="1" ht="12">
      <c r="A698" s="108" t="s">
        <v>454</v>
      </c>
      <c r="B698" s="77"/>
      <c r="C698" s="77"/>
      <c r="D698" s="89">
        <f>D700+D714+D781+D790+D797</f>
        <v>0</v>
      </c>
      <c r="E698" s="89"/>
      <c r="F698" s="89">
        <f>D698</f>
        <v>0</v>
      </c>
      <c r="G698" s="89"/>
      <c r="H698" s="89">
        <f>H700</f>
        <v>79404991</v>
      </c>
      <c r="I698" s="89">
        <f>I700</f>
        <v>47000</v>
      </c>
      <c r="J698" s="89">
        <f>H698+I698</f>
        <v>79451991</v>
      </c>
      <c r="K698" s="89"/>
      <c r="L698" s="89"/>
      <c r="M698" s="89"/>
      <c r="N698" s="89"/>
      <c r="O698" s="89">
        <f>O700</f>
        <v>105715624</v>
      </c>
      <c r="P698" s="89">
        <f>P700</f>
        <v>105715624</v>
      </c>
      <c r="Q698" s="84"/>
    </row>
    <row r="699" spans="1:235" ht="22.5">
      <c r="A699" s="21" t="s">
        <v>280</v>
      </c>
      <c r="B699" s="7"/>
      <c r="C699" s="7"/>
      <c r="D699" s="14"/>
      <c r="E699" s="14"/>
      <c r="F699" s="14"/>
      <c r="G699" s="14"/>
      <c r="H699" s="14"/>
      <c r="I699" s="14"/>
      <c r="J699" s="14"/>
      <c r="K699" s="14"/>
      <c r="L699" s="14"/>
      <c r="M699" s="14"/>
      <c r="N699" s="14"/>
      <c r="O699" s="14"/>
      <c r="P699" s="14"/>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17" s="92" customFormat="1" ht="33.75">
      <c r="A700" s="82" t="s">
        <v>431</v>
      </c>
      <c r="B700" s="88"/>
      <c r="C700" s="88"/>
      <c r="D700" s="89"/>
      <c r="E700" s="89"/>
      <c r="F700" s="89">
        <f>D700</f>
        <v>0</v>
      </c>
      <c r="G700" s="89"/>
      <c r="H700" s="89">
        <f>H704*H706</f>
        <v>79404991</v>
      </c>
      <c r="I700" s="89">
        <f>I702</f>
        <v>47000</v>
      </c>
      <c r="J700" s="89">
        <f>H700+I700</f>
        <v>79451991</v>
      </c>
      <c r="K700" s="89"/>
      <c r="L700" s="89"/>
      <c r="M700" s="89"/>
      <c r="N700" s="89"/>
      <c r="O700" s="89">
        <f>O704*O706</f>
        <v>105715624</v>
      </c>
      <c r="P700" s="89">
        <f>O700</f>
        <v>105715624</v>
      </c>
      <c r="Q700" s="106"/>
    </row>
    <row r="701" spans="1:235" ht="11.25">
      <c r="A701" s="20" t="s">
        <v>4</v>
      </c>
      <c r="B701" s="7"/>
      <c r="C701" s="7"/>
      <c r="D701" s="14"/>
      <c r="E701" s="14"/>
      <c r="F701" s="14"/>
      <c r="G701" s="14"/>
      <c r="H701" s="14"/>
      <c r="I701" s="14"/>
      <c r="J701" s="14"/>
      <c r="K701" s="14"/>
      <c r="L701" s="14"/>
      <c r="M701" s="14"/>
      <c r="N701" s="14"/>
      <c r="O701" s="14"/>
      <c r="P701" s="14"/>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1" t="s">
        <v>63</v>
      </c>
      <c r="B702" s="7"/>
      <c r="C702" s="7"/>
      <c r="D702" s="14"/>
      <c r="E702" s="14"/>
      <c r="F702" s="14">
        <f>D702</f>
        <v>0</v>
      </c>
      <c r="G702" s="14"/>
      <c r="H702" s="14">
        <f>49855600+12000000+250000+1116250+339900+677700+277200+14159+17372+292000+50+5000+2725000+1800000+1470000+21000+72610+1134950+5798800+317600+470000+700000+49800</f>
        <v>79404991</v>
      </c>
      <c r="I702" s="14">
        <v>47000</v>
      </c>
      <c r="J702" s="14">
        <f>H702+I702</f>
        <v>79451991</v>
      </c>
      <c r="K702" s="14"/>
      <c r="L702" s="14"/>
      <c r="M702" s="14"/>
      <c r="N702" s="14"/>
      <c r="O702" s="14">
        <f>88015624+13700000+4000000</f>
        <v>105715624</v>
      </c>
      <c r="P702" s="14">
        <f>O702</f>
        <v>105715624</v>
      </c>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c r="A703" s="20" t="s">
        <v>5</v>
      </c>
      <c r="B703" s="7"/>
      <c r="C703" s="7"/>
      <c r="D703" s="14"/>
      <c r="E703" s="14"/>
      <c r="F703" s="14"/>
      <c r="G703" s="14"/>
      <c r="H703" s="14"/>
      <c r="I703" s="14"/>
      <c r="J703" s="14"/>
      <c r="K703" s="14"/>
      <c r="L703" s="14"/>
      <c r="M703" s="14"/>
      <c r="N703" s="14"/>
      <c r="O703" s="14"/>
      <c r="P703" s="14"/>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33.75">
      <c r="A704" s="21" t="s">
        <v>281</v>
      </c>
      <c r="B704" s="7"/>
      <c r="C704" s="7"/>
      <c r="D704" s="14"/>
      <c r="E704" s="14"/>
      <c r="F704" s="14"/>
      <c r="G704" s="14"/>
      <c r="H704" s="14">
        <v>8</v>
      </c>
      <c r="I704" s="14"/>
      <c r="J704" s="14">
        <v>8</v>
      </c>
      <c r="K704" s="14"/>
      <c r="L704" s="14"/>
      <c r="M704" s="14"/>
      <c r="N704" s="14"/>
      <c r="O704" s="14">
        <v>8</v>
      </c>
      <c r="P704" s="14">
        <f>O704</f>
        <v>8</v>
      </c>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c r="A705" s="20" t="s">
        <v>7</v>
      </c>
      <c r="B705" s="7"/>
      <c r="C705" s="7"/>
      <c r="D705" s="14"/>
      <c r="E705" s="14"/>
      <c r="F705" s="14"/>
      <c r="G705" s="14"/>
      <c r="H705" s="14"/>
      <c r="I705" s="14"/>
      <c r="J705" s="14"/>
      <c r="K705" s="14"/>
      <c r="L705" s="14"/>
      <c r="M705" s="14"/>
      <c r="N705" s="14"/>
      <c r="O705" s="14"/>
      <c r="P705" s="14"/>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24.75" customHeight="1">
      <c r="A706" s="21" t="s">
        <v>282</v>
      </c>
      <c r="B706" s="7"/>
      <c r="C706" s="7"/>
      <c r="D706" s="14"/>
      <c r="E706" s="14"/>
      <c r="F706" s="14"/>
      <c r="G706" s="14"/>
      <c r="H706" s="14">
        <f>H702/H704</f>
        <v>9925623.875</v>
      </c>
      <c r="I706" s="14"/>
      <c r="J706" s="14">
        <f>J702/J704</f>
        <v>9931498.875</v>
      </c>
      <c r="K706" s="14"/>
      <c r="L706" s="14"/>
      <c r="M706" s="14"/>
      <c r="N706" s="14"/>
      <c r="O706" s="14">
        <f>O702/O704</f>
        <v>13214453</v>
      </c>
      <c r="P706" s="72">
        <f>O706</f>
        <v>13214453</v>
      </c>
      <c r="Q706" s="73"/>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2"/>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2"/>
      <c r="Q708" s="73"/>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2"/>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2"/>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hidden="1">
      <c r="A711" s="21"/>
      <c r="B711" s="7"/>
      <c r="C711" s="7"/>
      <c r="D711" s="14"/>
      <c r="E711" s="14"/>
      <c r="F711" s="14"/>
      <c r="G711" s="14"/>
      <c r="H711" s="14"/>
      <c r="I711" s="14"/>
      <c r="J711" s="14"/>
      <c r="K711" s="14"/>
      <c r="L711" s="14"/>
      <c r="M711" s="14"/>
      <c r="N711" s="14"/>
      <c r="O711" s="14"/>
      <c r="P711" s="72"/>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11.25" hidden="1">
      <c r="A712" s="21"/>
      <c r="B712" s="7"/>
      <c r="C712" s="7"/>
      <c r="D712" s="14"/>
      <c r="E712" s="14"/>
      <c r="F712" s="14"/>
      <c r="G712" s="14"/>
      <c r="H712" s="14"/>
      <c r="I712" s="14"/>
      <c r="J712" s="14"/>
      <c r="K712" s="14"/>
      <c r="L712" s="14"/>
      <c r="M712" s="14"/>
      <c r="N712" s="14"/>
      <c r="O712" s="14"/>
      <c r="P712" s="72"/>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hidden="1">
      <c r="A713" s="21"/>
      <c r="B713" s="7"/>
      <c r="C713" s="7"/>
      <c r="D713" s="14"/>
      <c r="E713" s="14"/>
      <c r="F713" s="14"/>
      <c r="G713" s="14"/>
      <c r="H713" s="14"/>
      <c r="I713" s="14"/>
      <c r="J713" s="14"/>
      <c r="K713" s="14"/>
      <c r="L713" s="14"/>
      <c r="M713" s="14"/>
      <c r="N713" s="14"/>
      <c r="O713" s="14"/>
      <c r="P713" s="72"/>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17" s="85" customFormat="1" ht="12">
      <c r="A714" s="108" t="s">
        <v>455</v>
      </c>
      <c r="B714" s="77"/>
      <c r="C714" s="77"/>
      <c r="D714" s="89">
        <f>D716+D790+D799+D813</f>
        <v>0</v>
      </c>
      <c r="E714" s="89"/>
      <c r="F714" s="89">
        <f>D714</f>
        <v>0</v>
      </c>
      <c r="G714" s="89">
        <f>G716</f>
        <v>679500</v>
      </c>
      <c r="H714" s="89">
        <f>H716</f>
        <v>750500</v>
      </c>
      <c r="I714" s="89">
        <f>I716</f>
        <v>0</v>
      </c>
      <c r="J714" s="89">
        <f>G714+H714</f>
        <v>1430000</v>
      </c>
      <c r="K714" s="89"/>
      <c r="L714" s="89"/>
      <c r="M714" s="89"/>
      <c r="N714" s="89">
        <f>N716</f>
        <v>758500</v>
      </c>
      <c r="O714" s="89">
        <f>O716</f>
        <v>1221500</v>
      </c>
      <c r="P714" s="89">
        <f>N714+O714</f>
        <v>1980000</v>
      </c>
      <c r="Q714" s="84"/>
    </row>
    <row r="715" spans="1:235" ht="56.25">
      <c r="A715" s="21" t="s">
        <v>307</v>
      </c>
      <c r="B715" s="7"/>
      <c r="C715" s="7"/>
      <c r="D715" s="14"/>
      <c r="E715" s="14"/>
      <c r="F715" s="14"/>
      <c r="G715" s="14"/>
      <c r="H715" s="14"/>
      <c r="I715" s="14"/>
      <c r="J715" s="14"/>
      <c r="K715" s="14"/>
      <c r="L715" s="14"/>
      <c r="M715" s="14"/>
      <c r="N715" s="14"/>
      <c r="O715" s="14"/>
      <c r="P715" s="14"/>
      <c r="Q715" s="73"/>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17" s="92" customFormat="1" ht="36" customHeight="1">
      <c r="A716" s="82" t="s">
        <v>432</v>
      </c>
      <c r="B716" s="88"/>
      <c r="C716" s="88"/>
      <c r="D716" s="89"/>
      <c r="E716" s="89"/>
      <c r="F716" s="89">
        <f>D716</f>
        <v>0</v>
      </c>
      <c r="G716" s="89">
        <f>G720*G722</f>
        <v>679500</v>
      </c>
      <c r="H716" s="89">
        <f>H718</f>
        <v>750500</v>
      </c>
      <c r="I716" s="89"/>
      <c r="J716" s="89">
        <f>G716+H716</f>
        <v>1430000</v>
      </c>
      <c r="K716" s="89"/>
      <c r="L716" s="89"/>
      <c r="M716" s="89"/>
      <c r="N716" s="89">
        <f>N720*N722</f>
        <v>758500</v>
      </c>
      <c r="O716" s="89">
        <f>O720*O722</f>
        <v>1221500</v>
      </c>
      <c r="P716" s="89">
        <f>N716+O716</f>
        <v>1980000</v>
      </c>
      <c r="Q716" s="106"/>
    </row>
    <row r="717" spans="1:235" ht="11.25">
      <c r="A717" s="20" t="s">
        <v>4</v>
      </c>
      <c r="B717" s="7"/>
      <c r="C717" s="7"/>
      <c r="D717" s="14"/>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1" t="s">
        <v>63</v>
      </c>
      <c r="B718" s="7"/>
      <c r="C718" s="7"/>
      <c r="D718" s="14"/>
      <c r="E718" s="14"/>
      <c r="F718" s="14">
        <f>D718</f>
        <v>0</v>
      </c>
      <c r="G718" s="14">
        <v>679500</v>
      </c>
      <c r="H718" s="14">
        <v>750500</v>
      </c>
      <c r="I718" s="14"/>
      <c r="J718" s="14">
        <f>G718+H718</f>
        <v>1430000</v>
      </c>
      <c r="K718" s="14"/>
      <c r="L718" s="14"/>
      <c r="M718" s="14"/>
      <c r="N718" s="14">
        <v>758500</v>
      </c>
      <c r="O718" s="14">
        <v>1221500</v>
      </c>
      <c r="P718" s="14">
        <f>N718+O718</f>
        <v>1980000</v>
      </c>
      <c r="Q718" s="73"/>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11.25">
      <c r="A719" s="20" t="s">
        <v>5</v>
      </c>
      <c r="B719" s="7"/>
      <c r="C719" s="7"/>
      <c r="D719" s="14"/>
      <c r="E719" s="14"/>
      <c r="F719" s="14"/>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22.5">
      <c r="A720" s="21" t="s">
        <v>310</v>
      </c>
      <c r="B720" s="7"/>
      <c r="C720" s="7"/>
      <c r="D720" s="14"/>
      <c r="E720" s="14"/>
      <c r="F720" s="14"/>
      <c r="G720" s="14">
        <v>1</v>
      </c>
      <c r="H720" s="14">
        <v>1</v>
      </c>
      <c r="I720" s="14"/>
      <c r="J720" s="14">
        <v>1</v>
      </c>
      <c r="K720" s="14"/>
      <c r="L720" s="14"/>
      <c r="M720" s="14"/>
      <c r="N720" s="14">
        <v>1</v>
      </c>
      <c r="O720" s="14">
        <v>1</v>
      </c>
      <c r="P720" s="14">
        <v>1</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c r="A721" s="20" t="s">
        <v>7</v>
      </c>
      <c r="B721" s="7"/>
      <c r="C721" s="7"/>
      <c r="D721" s="14"/>
      <c r="E721" s="14"/>
      <c r="F721" s="14"/>
      <c r="G721" s="14"/>
      <c r="H721" s="14"/>
      <c r="I721" s="14"/>
      <c r="J721" s="14"/>
      <c r="K721" s="14"/>
      <c r="L721" s="14"/>
      <c r="M721" s="14"/>
      <c r="N721" s="14"/>
      <c r="O721" s="14"/>
      <c r="P721" s="14"/>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311</v>
      </c>
      <c r="B722" s="7"/>
      <c r="C722" s="7"/>
      <c r="D722" s="14"/>
      <c r="E722" s="14"/>
      <c r="F722" s="14"/>
      <c r="G722" s="14">
        <v>679500</v>
      </c>
      <c r="H722" s="14">
        <f>H718/H720</f>
        <v>750500</v>
      </c>
      <c r="I722" s="150"/>
      <c r="J722" s="150">
        <f>J718/J720</f>
        <v>1430000</v>
      </c>
      <c r="K722" s="150"/>
      <c r="L722" s="150"/>
      <c r="M722" s="150"/>
      <c r="N722" s="150">
        <v>758500</v>
      </c>
      <c r="O722" s="150">
        <v>1221500</v>
      </c>
      <c r="P722" s="14">
        <f>N722+O722</f>
        <v>1980000</v>
      </c>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85" customFormat="1" ht="12">
      <c r="A723" s="108" t="s">
        <v>456</v>
      </c>
      <c r="B723" s="77"/>
      <c r="C723" s="77"/>
      <c r="D723" s="89">
        <f>D726</f>
        <v>0</v>
      </c>
      <c r="E723" s="89">
        <v>0</v>
      </c>
      <c r="F723" s="89">
        <f>D723</f>
        <v>0</v>
      </c>
      <c r="G723" s="89">
        <f>G726</f>
        <v>2000000</v>
      </c>
      <c r="H723" s="89"/>
      <c r="I723" s="89">
        <f>I726</f>
        <v>0</v>
      </c>
      <c r="J723" s="89">
        <f>J726</f>
        <v>2000000</v>
      </c>
      <c r="K723" s="89"/>
      <c r="L723" s="89"/>
      <c r="M723" s="89"/>
      <c r="N723" s="89">
        <f>N726</f>
        <v>3200000</v>
      </c>
      <c r="O723" s="89"/>
      <c r="P723" s="89">
        <f>P726</f>
        <v>3200000</v>
      </c>
      <c r="Q723" s="84"/>
    </row>
    <row r="724" spans="1:235" ht="33.75">
      <c r="A724" s="22" t="s">
        <v>246</v>
      </c>
      <c r="B724" s="7"/>
      <c r="C724" s="7"/>
      <c r="D724" s="14"/>
      <c r="E724" s="14"/>
      <c r="F724" s="14"/>
      <c r="G724" s="14"/>
      <c r="H724" s="14"/>
      <c r="I724" s="14"/>
      <c r="J724" s="14"/>
      <c r="K724" s="14"/>
      <c r="L724" s="14"/>
      <c r="M724" s="14"/>
      <c r="N724" s="14"/>
      <c r="O724" s="14"/>
      <c r="P724" s="14"/>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299</v>
      </c>
      <c r="B725" s="7"/>
      <c r="C725" s="7"/>
      <c r="D725" s="62"/>
      <c r="E725" s="14"/>
      <c r="F725" s="14"/>
      <c r="G725" s="14"/>
      <c r="H725" s="14"/>
      <c r="I725" s="14"/>
      <c r="J725" s="14"/>
      <c r="K725" s="14"/>
      <c r="L725" s="14"/>
      <c r="M725" s="14"/>
      <c r="N725" s="14"/>
      <c r="O725" s="14"/>
      <c r="P725" s="14"/>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17" s="92" customFormat="1" ht="37.5" customHeight="1">
      <c r="A726" s="82" t="s">
        <v>433</v>
      </c>
      <c r="B726" s="88"/>
      <c r="C726" s="88"/>
      <c r="D726" s="144"/>
      <c r="E726" s="144"/>
      <c r="F726" s="144">
        <f>D726</f>
        <v>0</v>
      </c>
      <c r="G726" s="89">
        <f>G732*G741</f>
        <v>2000000</v>
      </c>
      <c r="H726" s="89"/>
      <c r="I726" s="89"/>
      <c r="J726" s="89">
        <f>J728</f>
        <v>2000000</v>
      </c>
      <c r="K726" s="89"/>
      <c r="L726" s="89"/>
      <c r="M726" s="89"/>
      <c r="N726" s="89">
        <f>N728</f>
        <v>3200000</v>
      </c>
      <c r="O726" s="89"/>
      <c r="P726" s="89">
        <f>N726</f>
        <v>3200000</v>
      </c>
      <c r="Q726" s="106"/>
    </row>
    <row r="727" spans="1:235" ht="11.25">
      <c r="A727" s="20" t="s">
        <v>4</v>
      </c>
      <c r="B727" s="7"/>
      <c r="C727" s="7"/>
      <c r="D727" s="145"/>
      <c r="E727" s="146"/>
      <c r="F727" s="146"/>
      <c r="G727" s="14"/>
      <c r="H727" s="14"/>
      <c r="I727" s="14"/>
      <c r="J727" s="14"/>
      <c r="K727" s="14"/>
      <c r="L727" s="14"/>
      <c r="M727" s="14"/>
      <c r="N727" s="14"/>
      <c r="O727" s="14"/>
      <c r="P727" s="14"/>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0.5" customHeight="1">
      <c r="A728" s="21" t="s">
        <v>63</v>
      </c>
      <c r="B728" s="7"/>
      <c r="C728" s="7"/>
      <c r="D728" s="145"/>
      <c r="E728" s="146"/>
      <c r="F728" s="146"/>
      <c r="G728" s="14">
        <v>2000000</v>
      </c>
      <c r="H728" s="14"/>
      <c r="I728" s="14"/>
      <c r="J728" s="14">
        <f>J732*J741</f>
        <v>2000000</v>
      </c>
      <c r="K728" s="14"/>
      <c r="L728" s="14"/>
      <c r="M728" s="14"/>
      <c r="N728" s="14">
        <v>3200000</v>
      </c>
      <c r="O728" s="14"/>
      <c r="P728" s="14">
        <f>N728</f>
        <v>3200000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t="s">
        <v>63</v>
      </c>
      <c r="B729" s="7"/>
      <c r="C729" s="7"/>
      <c r="D729" s="145"/>
      <c r="E729" s="146"/>
      <c r="F729" s="146"/>
      <c r="G729" s="14"/>
      <c r="H729" s="14"/>
      <c r="I729" s="14"/>
      <c r="J729" s="14"/>
      <c r="K729" s="14"/>
      <c r="L729" s="14"/>
      <c r="M729" s="14"/>
      <c r="N729" s="14"/>
      <c r="O729" s="14"/>
      <c r="P729" s="14">
        <f aca="true" t="shared" si="50" ref="P729:P741">N729</f>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c r="A730" s="20" t="s">
        <v>5</v>
      </c>
      <c r="B730" s="7"/>
      <c r="C730" s="7"/>
      <c r="D730" s="145"/>
      <c r="E730" s="146"/>
      <c r="F730" s="146"/>
      <c r="G730" s="14"/>
      <c r="H730" s="14"/>
      <c r="I730" s="14"/>
      <c r="J730" s="14"/>
      <c r="K730" s="14"/>
      <c r="L730" s="14"/>
      <c r="M730" s="14"/>
      <c r="N730" s="14"/>
      <c r="O730" s="14"/>
      <c r="P730" s="14"/>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0.75" customHeight="1" hidden="1">
      <c r="A731" s="21" t="s">
        <v>278</v>
      </c>
      <c r="B731" s="7"/>
      <c r="C731" s="7"/>
      <c r="D731" s="145"/>
      <c r="E731" s="146"/>
      <c r="F731" s="146">
        <f>D731</f>
        <v>0</v>
      </c>
      <c r="G731" s="146">
        <v>1</v>
      </c>
      <c r="H731" s="146"/>
      <c r="I731" s="146"/>
      <c r="J731" s="146">
        <f>G731</f>
        <v>1</v>
      </c>
      <c r="K731" s="14"/>
      <c r="L731" s="14"/>
      <c r="M731" s="14"/>
      <c r="N731" s="14"/>
      <c r="O731" s="14"/>
      <c r="P731" s="14">
        <f t="shared" si="50"/>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c r="A732" s="21" t="s">
        <v>293</v>
      </c>
      <c r="B732" s="7"/>
      <c r="C732" s="7"/>
      <c r="D732" s="145"/>
      <c r="E732" s="146"/>
      <c r="F732" s="146"/>
      <c r="G732" s="146">
        <v>500</v>
      </c>
      <c r="H732" s="146"/>
      <c r="I732" s="146"/>
      <c r="J732" s="146">
        <v>500</v>
      </c>
      <c r="K732" s="14"/>
      <c r="L732" s="14"/>
      <c r="M732" s="14"/>
      <c r="N732" s="14">
        <v>1244</v>
      </c>
      <c r="O732" s="14"/>
      <c r="P732" s="14">
        <f t="shared" si="50"/>
        <v>1244</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22.5">
      <c r="A733" s="21" t="s">
        <v>393</v>
      </c>
      <c r="B733" s="7"/>
      <c r="C733" s="7"/>
      <c r="D733" s="145"/>
      <c r="E733" s="146"/>
      <c r="F733" s="146"/>
      <c r="G733" s="146">
        <f>G732*4000</f>
        <v>2000000</v>
      </c>
      <c r="H733" s="146"/>
      <c r="I733" s="146"/>
      <c r="J733" s="146">
        <f>G733</f>
        <v>2000000</v>
      </c>
      <c r="K733" s="14"/>
      <c r="L733" s="14"/>
      <c r="M733" s="14"/>
      <c r="N733" s="14">
        <f>N732*4000</f>
        <v>4976000</v>
      </c>
      <c r="O733" s="14"/>
      <c r="P733" s="14">
        <f>N733</f>
        <v>4976000</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0.5" customHeight="1">
      <c r="A734" s="20" t="s">
        <v>7</v>
      </c>
      <c r="B734" s="7"/>
      <c r="C734" s="7"/>
      <c r="D734" s="145"/>
      <c r="E734" s="146"/>
      <c r="F734" s="146"/>
      <c r="G734" s="14"/>
      <c r="H734" s="14"/>
      <c r="I734" s="14"/>
      <c r="J734" s="14"/>
      <c r="K734" s="14"/>
      <c r="L734" s="14"/>
      <c r="M734" s="14"/>
      <c r="N734" s="14"/>
      <c r="O734" s="14"/>
      <c r="P734" s="14"/>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5" customHeight="1" hidden="1">
      <c r="A735" s="21" t="s">
        <v>279</v>
      </c>
      <c r="B735" s="7"/>
      <c r="C735" s="7"/>
      <c r="D735" s="145"/>
      <c r="E735" s="146"/>
      <c r="F735" s="146"/>
      <c r="G735" s="14">
        <v>465000</v>
      </c>
      <c r="H735" s="14"/>
      <c r="I735" s="14"/>
      <c r="J735" s="14">
        <f>G735</f>
        <v>465000</v>
      </c>
      <c r="K735" s="14"/>
      <c r="L735" s="14"/>
      <c r="M735" s="14"/>
      <c r="N735" s="14"/>
      <c r="O735" s="14"/>
      <c r="P735" s="14">
        <f t="shared" si="50"/>
        <v>0</v>
      </c>
      <c r="Q735" s="73"/>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50"/>
        <v>0</v>
      </c>
      <c r="Q736" s="73"/>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50"/>
        <v>0</v>
      </c>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1.25" hidden="1">
      <c r="A738" s="21"/>
      <c r="B738" s="7"/>
      <c r="C738" s="7"/>
      <c r="D738" s="14"/>
      <c r="E738" s="14"/>
      <c r="F738" s="14"/>
      <c r="G738" s="14"/>
      <c r="H738" s="14"/>
      <c r="I738" s="14"/>
      <c r="J738" s="14"/>
      <c r="K738" s="14"/>
      <c r="L738" s="14"/>
      <c r="M738" s="14"/>
      <c r="N738" s="14"/>
      <c r="O738" s="14"/>
      <c r="P738" s="14">
        <f t="shared" si="50"/>
        <v>0</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hidden="1">
      <c r="A739" s="21"/>
      <c r="B739" s="7"/>
      <c r="C739" s="7"/>
      <c r="D739" s="14"/>
      <c r="E739" s="14"/>
      <c r="F739" s="14"/>
      <c r="G739" s="14"/>
      <c r="H739" s="14"/>
      <c r="I739" s="14"/>
      <c r="J739" s="14"/>
      <c r="K739" s="14"/>
      <c r="L739" s="14"/>
      <c r="M739" s="14"/>
      <c r="N739" s="14"/>
      <c r="O739" s="14"/>
      <c r="P739" s="14">
        <f t="shared" si="50"/>
        <v>0</v>
      </c>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11.25" hidden="1">
      <c r="A740" s="21"/>
      <c r="B740" s="7"/>
      <c r="C740" s="7"/>
      <c r="D740" s="14"/>
      <c r="E740" s="14"/>
      <c r="F740" s="14"/>
      <c r="G740" s="14"/>
      <c r="H740" s="14"/>
      <c r="I740" s="14"/>
      <c r="J740" s="14"/>
      <c r="K740" s="14"/>
      <c r="L740" s="14"/>
      <c r="M740" s="14"/>
      <c r="N740" s="14"/>
      <c r="O740" s="14"/>
      <c r="P740" s="14">
        <f t="shared" si="50"/>
        <v>0</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2.75" customHeight="1">
      <c r="A741" s="21" t="s">
        <v>294</v>
      </c>
      <c r="B741" s="7"/>
      <c r="C741" s="7"/>
      <c r="D741" s="14"/>
      <c r="E741" s="14"/>
      <c r="F741" s="14"/>
      <c r="G741" s="14">
        <v>4000</v>
      </c>
      <c r="H741" s="14"/>
      <c r="I741" s="14"/>
      <c r="J741" s="14">
        <v>4000</v>
      </c>
      <c r="K741" s="14"/>
      <c r="L741" s="14"/>
      <c r="M741" s="14"/>
      <c r="N741" s="14">
        <v>2572.339</v>
      </c>
      <c r="O741" s="14"/>
      <c r="P741" s="14">
        <f t="shared" si="50"/>
        <v>2572.339</v>
      </c>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11.25">
      <c r="A742" s="21" t="s">
        <v>390</v>
      </c>
      <c r="B742" s="7"/>
      <c r="C742" s="7"/>
      <c r="D742" s="14"/>
      <c r="E742" s="14"/>
      <c r="F742" s="14"/>
      <c r="G742" s="14">
        <f>G728/G733</f>
        <v>1</v>
      </c>
      <c r="H742" s="14"/>
      <c r="I742" s="14"/>
      <c r="J742" s="14"/>
      <c r="K742" s="14"/>
      <c r="L742" s="14"/>
      <c r="M742" s="14"/>
      <c r="N742" s="14">
        <f>N728/N733</f>
        <v>0.6430868167202572</v>
      </c>
      <c r="O742" s="14"/>
      <c r="P742" s="14">
        <f>N742</f>
        <v>0.6430868167202572</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75">
      <c r="A743" s="83" t="s">
        <v>457</v>
      </c>
      <c r="B743" s="77"/>
      <c r="C743" s="77"/>
      <c r="D743" s="78"/>
      <c r="E743" s="78"/>
      <c r="F743" s="78"/>
      <c r="G743" s="151">
        <f>G744</f>
        <v>349999.999992</v>
      </c>
      <c r="H743" s="151"/>
      <c r="I743" s="151">
        <f>I744</f>
        <v>0</v>
      </c>
      <c r="J743" s="151">
        <f>G743</f>
        <v>349999.999992</v>
      </c>
      <c r="K743" s="78"/>
      <c r="L743" s="78"/>
      <c r="M743" s="78"/>
      <c r="N743" s="151">
        <f>N744</f>
        <v>349999.999992</v>
      </c>
      <c r="O743" s="151"/>
      <c r="P743" s="151">
        <f>N743</f>
        <v>349999.999992</v>
      </c>
      <c r="Q743" s="84"/>
    </row>
    <row r="744" spans="1:17" s="92" customFormat="1" ht="22.5">
      <c r="A744" s="82" t="s">
        <v>434</v>
      </c>
      <c r="B744" s="88"/>
      <c r="C744" s="88"/>
      <c r="D744" s="89"/>
      <c r="E744" s="89"/>
      <c r="F744" s="89"/>
      <c r="G744" s="89">
        <f>G748*G750</f>
        <v>349999.999992</v>
      </c>
      <c r="H744" s="89"/>
      <c r="I744" s="89"/>
      <c r="J744" s="89">
        <f>G744</f>
        <v>349999.999992</v>
      </c>
      <c r="K744" s="89"/>
      <c r="L744" s="89"/>
      <c r="M744" s="89"/>
      <c r="N744" s="89">
        <f>N748*N750</f>
        <v>349999.999992</v>
      </c>
      <c r="O744" s="89"/>
      <c r="P744" s="151">
        <f>N744</f>
        <v>349999.999992</v>
      </c>
      <c r="Q744" s="106"/>
    </row>
    <row r="745" spans="1:235" ht="11.25">
      <c r="A745" s="20" t="s">
        <v>4</v>
      </c>
      <c r="B745" s="7"/>
      <c r="C745" s="7"/>
      <c r="D745" s="14"/>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22.5">
      <c r="A746" s="55" t="s">
        <v>78</v>
      </c>
      <c r="B746" s="7"/>
      <c r="C746" s="7"/>
      <c r="D746" s="14"/>
      <c r="E746" s="14"/>
      <c r="F746" s="14"/>
      <c r="G746" s="14">
        <f>G748*G750</f>
        <v>349999.999992</v>
      </c>
      <c r="H746" s="14"/>
      <c r="I746" s="14"/>
      <c r="J746" s="14">
        <f>G746</f>
        <v>349999.999992</v>
      </c>
      <c r="K746" s="14"/>
      <c r="L746" s="14"/>
      <c r="M746" s="14"/>
      <c r="N746" s="14">
        <f>N748*N750</f>
        <v>349999.999992</v>
      </c>
      <c r="O746" s="14"/>
      <c r="P746" s="14">
        <f>N746</f>
        <v>349999.999992</v>
      </c>
      <c r="Q746" s="73"/>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11.25">
      <c r="A747" s="20" t="s">
        <v>5</v>
      </c>
      <c r="B747" s="7"/>
      <c r="C747" s="7"/>
      <c r="D747" s="14"/>
      <c r="E747" s="14"/>
      <c r="F747" s="14"/>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27.75" customHeight="1">
      <c r="A748" s="55" t="s">
        <v>77</v>
      </c>
      <c r="B748" s="7"/>
      <c r="C748" s="7"/>
      <c r="D748" s="14"/>
      <c r="E748" s="14"/>
      <c r="F748" s="14"/>
      <c r="G748" s="14">
        <v>12</v>
      </c>
      <c r="H748" s="14"/>
      <c r="I748" s="14"/>
      <c r="J748" s="14">
        <f>G748</f>
        <v>12</v>
      </c>
      <c r="K748" s="14"/>
      <c r="L748" s="14"/>
      <c r="M748" s="14"/>
      <c r="N748" s="14">
        <v>12</v>
      </c>
      <c r="O748" s="14"/>
      <c r="P748" s="14">
        <f>N748</f>
        <v>12</v>
      </c>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c r="A749" s="20" t="s">
        <v>7</v>
      </c>
      <c r="B749" s="7"/>
      <c r="C749" s="7"/>
      <c r="D749" s="14"/>
      <c r="E749" s="14"/>
      <c r="F749" s="14"/>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33.75">
      <c r="A750" s="55" t="s">
        <v>81</v>
      </c>
      <c r="B750" s="7"/>
      <c r="C750" s="7"/>
      <c r="D750" s="14"/>
      <c r="E750" s="14"/>
      <c r="F750" s="14"/>
      <c r="G750" s="14">
        <v>29166.666666</v>
      </c>
      <c r="H750" s="14"/>
      <c r="I750" s="14"/>
      <c r="J750" s="14">
        <f>G750</f>
        <v>29166.666666</v>
      </c>
      <c r="K750" s="14"/>
      <c r="L750" s="14"/>
      <c r="M750" s="14"/>
      <c r="N750" s="14">
        <v>29166.666666</v>
      </c>
      <c r="O750" s="14"/>
      <c r="P750" s="14">
        <f>N750</f>
        <v>29166.666666</v>
      </c>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85" customFormat="1" ht="12">
      <c r="A751" s="108" t="s">
        <v>458</v>
      </c>
      <c r="B751" s="77"/>
      <c r="C751" s="77"/>
      <c r="D751" s="89">
        <f>D754</f>
        <v>0</v>
      </c>
      <c r="E751" s="89">
        <v>0</v>
      </c>
      <c r="F751" s="89">
        <f>D751</f>
        <v>0</v>
      </c>
      <c r="G751" s="89">
        <f>G754+G763</f>
        <v>0</v>
      </c>
      <c r="H751" s="89">
        <f aca="true" t="shared" si="51" ref="H751:P751">H754+H763</f>
        <v>2092800</v>
      </c>
      <c r="I751" s="89">
        <f t="shared" si="51"/>
        <v>0</v>
      </c>
      <c r="J751" s="89">
        <f t="shared" si="51"/>
        <v>2092800</v>
      </c>
      <c r="K751" s="89">
        <f t="shared" si="51"/>
        <v>0</v>
      </c>
      <c r="L751" s="89">
        <f t="shared" si="51"/>
        <v>0</v>
      </c>
      <c r="M751" s="89">
        <f t="shared" si="51"/>
        <v>0</v>
      </c>
      <c r="N751" s="89">
        <f t="shared" si="51"/>
        <v>0</v>
      </c>
      <c r="O751" s="89">
        <f t="shared" si="51"/>
        <v>12775000</v>
      </c>
      <c r="P751" s="89">
        <f t="shared" si="51"/>
        <v>12775000</v>
      </c>
      <c r="Q751" s="84"/>
    </row>
    <row r="752" spans="1:235" ht="24.75" customHeight="1">
      <c r="A752" s="22" t="s">
        <v>337</v>
      </c>
      <c r="B752" s="7"/>
      <c r="C752" s="7"/>
      <c r="D752" s="14"/>
      <c r="E752" s="14"/>
      <c r="F752" s="14"/>
      <c r="G752" s="14"/>
      <c r="H752" s="14"/>
      <c r="I752" s="14"/>
      <c r="J752" s="14"/>
      <c r="K752" s="14"/>
      <c r="L752" s="14"/>
      <c r="M752" s="14"/>
      <c r="N752" s="14"/>
      <c r="O752" s="14"/>
      <c r="P752" s="14"/>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33.75">
      <c r="A753" s="21" t="s">
        <v>385</v>
      </c>
      <c r="B753" s="7"/>
      <c r="C753" s="7"/>
      <c r="D753" s="62"/>
      <c r="E753" s="14"/>
      <c r="F753" s="14"/>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17" s="92" customFormat="1" ht="33.75">
      <c r="A754" s="82" t="s">
        <v>435</v>
      </c>
      <c r="B754" s="88"/>
      <c r="C754" s="88"/>
      <c r="D754" s="144"/>
      <c r="E754" s="144"/>
      <c r="F754" s="144">
        <f>D754</f>
        <v>0</v>
      </c>
      <c r="G754" s="89">
        <f>G759*G762</f>
        <v>0</v>
      </c>
      <c r="H754" s="89">
        <f>H756</f>
        <v>619800</v>
      </c>
      <c r="I754" s="89">
        <f>I759*I762</f>
        <v>0</v>
      </c>
      <c r="J754" s="89">
        <f>J756</f>
        <v>619800</v>
      </c>
      <c r="K754" s="89"/>
      <c r="L754" s="89"/>
      <c r="M754" s="89"/>
      <c r="N754" s="89"/>
      <c r="O754" s="89"/>
      <c r="P754" s="89"/>
      <c r="Q754" s="106"/>
    </row>
    <row r="755" spans="1:235" ht="11.25">
      <c r="A755" s="20" t="s">
        <v>4</v>
      </c>
      <c r="B755" s="7"/>
      <c r="C755" s="7"/>
      <c r="D755" s="145"/>
      <c r="E755" s="146"/>
      <c r="F755" s="146"/>
      <c r="G755" s="14"/>
      <c r="H755" s="14"/>
      <c r="I755" s="14"/>
      <c r="J755" s="14"/>
      <c r="K755" s="14"/>
      <c r="L755" s="14"/>
      <c r="M755" s="14"/>
      <c r="N755" s="14"/>
      <c r="O755" s="14"/>
      <c r="P755" s="14"/>
      <c r="Q755" s="73"/>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63</v>
      </c>
      <c r="B756" s="7"/>
      <c r="C756" s="7"/>
      <c r="D756" s="145"/>
      <c r="E756" s="146"/>
      <c r="F756" s="146"/>
      <c r="G756" s="14"/>
      <c r="H756" s="14">
        <f>541000+78800</f>
        <v>619800</v>
      </c>
      <c r="I756" s="14"/>
      <c r="J756" s="14">
        <f>H756</f>
        <v>619800</v>
      </c>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63</v>
      </c>
      <c r="B757" s="7"/>
      <c r="C757" s="7"/>
      <c r="D757" s="145"/>
      <c r="E757" s="146"/>
      <c r="F757" s="146"/>
      <c r="G757" s="14"/>
      <c r="H757" s="14"/>
      <c r="I757" s="14"/>
      <c r="J757" s="14"/>
      <c r="K757" s="14"/>
      <c r="L757" s="14"/>
      <c r="M757" s="14"/>
      <c r="N757" s="14"/>
      <c r="O757" s="14"/>
      <c r="P757" s="14"/>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5</v>
      </c>
      <c r="B758" s="7"/>
      <c r="C758" s="7"/>
      <c r="D758" s="145"/>
      <c r="E758" s="146"/>
      <c r="F758" s="146"/>
      <c r="G758" s="14"/>
      <c r="H758" s="14"/>
      <c r="I758" s="14"/>
      <c r="J758" s="14"/>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0.5" customHeight="1">
      <c r="A759" s="21" t="s">
        <v>332</v>
      </c>
      <c r="B759" s="7"/>
      <c r="C759" s="7"/>
      <c r="D759" s="145"/>
      <c r="E759" s="146"/>
      <c r="F759" s="146">
        <f>D759</f>
        <v>0</v>
      </c>
      <c r="G759" s="146"/>
      <c r="H759" s="146">
        <v>4</v>
      </c>
      <c r="I759" s="146"/>
      <c r="J759" s="146">
        <v>4</v>
      </c>
      <c r="K759" s="146">
        <f>H759</f>
        <v>4</v>
      </c>
      <c r="L759" s="146">
        <f>J759</f>
        <v>4</v>
      </c>
      <c r="M759" s="146">
        <f>K759</f>
        <v>4</v>
      </c>
      <c r="N759" s="146"/>
      <c r="O759" s="146"/>
      <c r="P759" s="146"/>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1.25" hidden="1">
      <c r="A760" s="21" t="s">
        <v>293</v>
      </c>
      <c r="B760" s="7"/>
      <c r="C760" s="7"/>
      <c r="D760" s="145"/>
      <c r="E760" s="146"/>
      <c r="F760" s="146"/>
      <c r="G760" s="146">
        <v>1487</v>
      </c>
      <c r="H760" s="146"/>
      <c r="I760" s="146"/>
      <c r="J760" s="146">
        <f>G760</f>
        <v>1487</v>
      </c>
      <c r="K760" s="146"/>
      <c r="L760" s="146"/>
      <c r="M760" s="146"/>
      <c r="N760" s="146"/>
      <c r="O760" s="146"/>
      <c r="P760" s="146"/>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c r="A761" s="20" t="s">
        <v>7</v>
      </c>
      <c r="B761" s="7"/>
      <c r="C761" s="7"/>
      <c r="D761" s="145"/>
      <c r="E761" s="146"/>
      <c r="F761" s="146"/>
      <c r="G761" s="14"/>
      <c r="H761" s="14"/>
      <c r="I761" s="14"/>
      <c r="J761" s="14"/>
      <c r="K761" s="14"/>
      <c r="L761" s="14"/>
      <c r="M761" s="14"/>
      <c r="N761" s="14"/>
      <c r="O761" s="14"/>
      <c r="P761" s="14"/>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22.5">
      <c r="A762" s="21" t="s">
        <v>333</v>
      </c>
      <c r="B762" s="7"/>
      <c r="C762" s="7"/>
      <c r="D762" s="145"/>
      <c r="E762" s="146"/>
      <c r="F762" s="146"/>
      <c r="G762" s="14"/>
      <c r="H762" s="14">
        <v>166666.67</v>
      </c>
      <c r="I762" s="14"/>
      <c r="J762" s="14">
        <v>166666.67</v>
      </c>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17" s="92" customFormat="1" ht="45">
      <c r="A763" s="82" t="s">
        <v>459</v>
      </c>
      <c r="B763" s="88"/>
      <c r="C763" s="88"/>
      <c r="D763" s="144"/>
      <c r="E763" s="144"/>
      <c r="F763" s="144">
        <f>D763</f>
        <v>0</v>
      </c>
      <c r="G763" s="89">
        <f>G765</f>
        <v>0</v>
      </c>
      <c r="H763" s="89">
        <f>H768*H771</f>
        <v>1473000</v>
      </c>
      <c r="I763" s="89"/>
      <c r="J763" s="89">
        <f>G763+H763+I763</f>
        <v>1473000</v>
      </c>
      <c r="K763" s="89"/>
      <c r="L763" s="89"/>
      <c r="M763" s="89"/>
      <c r="N763" s="89"/>
      <c r="O763" s="89">
        <f>O765</f>
        <v>12775000</v>
      </c>
      <c r="P763" s="89">
        <f>N763+O763</f>
        <v>12775000</v>
      </c>
      <c r="Q763" s="106"/>
    </row>
    <row r="764" spans="1:235" ht="11.25">
      <c r="A764" s="20" t="s">
        <v>4</v>
      </c>
      <c r="B764" s="7"/>
      <c r="C764" s="7"/>
      <c r="D764" s="145"/>
      <c r="E764" s="146"/>
      <c r="F764" s="146"/>
      <c r="G764" s="14"/>
      <c r="H764" s="14"/>
      <c r="I764" s="14"/>
      <c r="J764" s="14"/>
      <c r="K764" s="14"/>
      <c r="L764" s="14"/>
      <c r="M764" s="14"/>
      <c r="N764" s="14"/>
      <c r="O764" s="14"/>
      <c r="P764" s="14"/>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63</v>
      </c>
      <c r="B765" s="7"/>
      <c r="C765" s="7"/>
      <c r="D765" s="145"/>
      <c r="E765" s="146"/>
      <c r="F765" s="146"/>
      <c r="G765" s="14"/>
      <c r="H765" s="14">
        <v>1473000</v>
      </c>
      <c r="I765" s="14"/>
      <c r="J765" s="14">
        <f>H765</f>
        <v>1473000</v>
      </c>
      <c r="K765" s="14"/>
      <c r="L765" s="14"/>
      <c r="M765" s="14"/>
      <c r="N765" s="14"/>
      <c r="O765" s="14">
        <f>5200000+1575000+6000000</f>
        <v>12775000</v>
      </c>
      <c r="P765" s="14">
        <f>O765</f>
        <v>12775000</v>
      </c>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63</v>
      </c>
      <c r="B766" s="7"/>
      <c r="C766" s="7"/>
      <c r="D766" s="145"/>
      <c r="E766" s="146"/>
      <c r="F766" s="146"/>
      <c r="G766" s="14"/>
      <c r="H766" s="14"/>
      <c r="I766" s="14"/>
      <c r="J766" s="14">
        <f aca="true" t="shared" si="52" ref="J766:J771">H766</f>
        <v>0</v>
      </c>
      <c r="K766" s="14"/>
      <c r="L766" s="14"/>
      <c r="M766" s="14"/>
      <c r="N766" s="14"/>
      <c r="O766" s="14"/>
      <c r="P766" s="14"/>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5</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10.5" customHeight="1">
      <c r="A768" s="21" t="s">
        <v>332</v>
      </c>
      <c r="B768" s="7"/>
      <c r="C768" s="7"/>
      <c r="D768" s="145"/>
      <c r="E768" s="146"/>
      <c r="F768" s="146">
        <f>D768</f>
        <v>0</v>
      </c>
      <c r="G768" s="146"/>
      <c r="H768" s="146">
        <v>1</v>
      </c>
      <c r="I768" s="146"/>
      <c r="J768" s="14">
        <f t="shared" si="52"/>
        <v>1</v>
      </c>
      <c r="K768" s="146">
        <f>H768</f>
        <v>1</v>
      </c>
      <c r="L768" s="146">
        <f>J768</f>
        <v>1</v>
      </c>
      <c r="M768" s="146">
        <f>K768</f>
        <v>1</v>
      </c>
      <c r="N768" s="146"/>
      <c r="O768" s="146">
        <f>1+3</f>
        <v>4</v>
      </c>
      <c r="P768" s="146">
        <f>O768</f>
        <v>4</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hidden="1">
      <c r="A769" s="21" t="s">
        <v>293</v>
      </c>
      <c r="B769" s="7"/>
      <c r="C769" s="7"/>
      <c r="D769" s="145"/>
      <c r="E769" s="146"/>
      <c r="F769" s="146"/>
      <c r="G769" s="146">
        <v>1487</v>
      </c>
      <c r="H769" s="146"/>
      <c r="I769" s="146"/>
      <c r="J769" s="14">
        <f t="shared" si="52"/>
        <v>0</v>
      </c>
      <c r="K769" s="146"/>
      <c r="L769" s="146"/>
      <c r="M769" s="146"/>
      <c r="N769" s="146"/>
      <c r="O769" s="146"/>
      <c r="P769" s="146"/>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1.25">
      <c r="A770" s="20" t="s">
        <v>7</v>
      </c>
      <c r="B770" s="7"/>
      <c r="C770" s="7"/>
      <c r="D770" s="145"/>
      <c r="E770" s="146"/>
      <c r="F770" s="146"/>
      <c r="G770" s="14"/>
      <c r="H770" s="14"/>
      <c r="I770" s="14"/>
      <c r="J770" s="14"/>
      <c r="K770" s="14"/>
      <c r="L770" s="14"/>
      <c r="M770" s="14"/>
      <c r="N770" s="14"/>
      <c r="O770" s="14"/>
      <c r="P770" s="14"/>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21" t="s">
        <v>336</v>
      </c>
      <c r="B771" s="7"/>
      <c r="C771" s="7"/>
      <c r="D771" s="145"/>
      <c r="E771" s="146"/>
      <c r="F771" s="146"/>
      <c r="G771" s="14"/>
      <c r="H771" s="14">
        <v>1473000</v>
      </c>
      <c r="I771" s="14"/>
      <c r="J771" s="14">
        <f t="shared" si="52"/>
        <v>1473000</v>
      </c>
      <c r="K771" s="14"/>
      <c r="L771" s="14"/>
      <c r="M771" s="14"/>
      <c r="N771" s="14"/>
      <c r="O771" s="14">
        <f>O765/O768</f>
        <v>3193750</v>
      </c>
      <c r="P771" s="14">
        <f>O771</f>
        <v>3193750</v>
      </c>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2">
      <c r="A772" s="108" t="s">
        <v>460</v>
      </c>
      <c r="B772" s="77"/>
      <c r="C772" s="77"/>
      <c r="D772" s="189"/>
      <c r="E772" s="189"/>
      <c r="F772" s="189"/>
      <c r="G772" s="78"/>
      <c r="H772" s="89">
        <f>H774</f>
        <v>-2804000</v>
      </c>
      <c r="I772" s="89"/>
      <c r="J772" s="89">
        <f>H772</f>
        <v>-2804000</v>
      </c>
      <c r="K772" s="89"/>
      <c r="L772" s="89"/>
      <c r="M772" s="89"/>
      <c r="N772" s="89"/>
      <c r="O772" s="89">
        <f>O774</f>
        <v>-2104092</v>
      </c>
      <c r="P772" s="89">
        <f>O772</f>
        <v>-2104092</v>
      </c>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7.25" customHeight="1">
      <c r="A773" s="21" t="s">
        <v>436</v>
      </c>
      <c r="B773" s="7"/>
      <c r="C773" s="7"/>
      <c r="D773" s="145"/>
      <c r="E773" s="146"/>
      <c r="F773" s="146"/>
      <c r="G773" s="14"/>
      <c r="H773" s="14"/>
      <c r="I773" s="14"/>
      <c r="J773" s="14"/>
      <c r="K773" s="14"/>
      <c r="L773" s="14"/>
      <c r="M773" s="14"/>
      <c r="N773" s="14"/>
      <c r="O773" s="14"/>
      <c r="P773" s="14"/>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22.5">
      <c r="A774" s="82" t="s">
        <v>437</v>
      </c>
      <c r="B774" s="77"/>
      <c r="C774" s="77"/>
      <c r="D774" s="189"/>
      <c r="E774" s="189"/>
      <c r="F774" s="189"/>
      <c r="G774" s="78"/>
      <c r="H774" s="89">
        <f>H776</f>
        <v>-2804000</v>
      </c>
      <c r="I774" s="89"/>
      <c r="J774" s="89">
        <f>H774</f>
        <v>-2804000</v>
      </c>
      <c r="K774" s="89"/>
      <c r="L774" s="89"/>
      <c r="M774" s="89"/>
      <c r="N774" s="89"/>
      <c r="O774" s="89">
        <f>O776</f>
        <v>-2104092</v>
      </c>
      <c r="P774" s="89">
        <f>O774</f>
        <v>-2104092</v>
      </c>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c r="A775" s="20" t="s">
        <v>4</v>
      </c>
      <c r="B775" s="7"/>
      <c r="C775" s="7"/>
      <c r="D775" s="145"/>
      <c r="E775" s="146"/>
      <c r="F775" s="146"/>
      <c r="G775" s="14"/>
      <c r="H775" s="14"/>
      <c r="I775" s="14"/>
      <c r="J775" s="14"/>
      <c r="K775" s="14"/>
      <c r="L775" s="14"/>
      <c r="M775" s="14"/>
      <c r="N775" s="14"/>
      <c r="O775" s="14"/>
      <c r="P775" s="14"/>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22.5">
      <c r="A776" s="21" t="s">
        <v>440</v>
      </c>
      <c r="B776" s="7"/>
      <c r="C776" s="7"/>
      <c r="D776" s="145"/>
      <c r="E776" s="146"/>
      <c r="F776" s="146"/>
      <c r="G776" s="14"/>
      <c r="H776" s="14">
        <v>-2804000</v>
      </c>
      <c r="I776" s="14"/>
      <c r="J776" s="14">
        <f>H776</f>
        <v>-2804000</v>
      </c>
      <c r="K776" s="14"/>
      <c r="L776" s="14"/>
      <c r="M776" s="14"/>
      <c r="N776" s="14"/>
      <c r="O776" s="14">
        <v>-2104092</v>
      </c>
      <c r="P776" s="14">
        <f>O776</f>
        <v>-2104092</v>
      </c>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c r="A777" s="20" t="s">
        <v>5</v>
      </c>
      <c r="B777" s="7"/>
      <c r="C777" s="7"/>
      <c r="D777" s="145"/>
      <c r="E777" s="146"/>
      <c r="F777" s="146"/>
      <c r="G777" s="14"/>
      <c r="H777" s="14"/>
      <c r="I777" s="14"/>
      <c r="J777" s="14"/>
      <c r="K777" s="14"/>
      <c r="L777" s="14"/>
      <c r="M777" s="14"/>
      <c r="N777" s="14"/>
      <c r="O777" s="14"/>
      <c r="P777" s="14"/>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22.5">
      <c r="A778" s="21" t="s">
        <v>438</v>
      </c>
      <c r="B778" s="7"/>
      <c r="C778" s="7"/>
      <c r="D778" s="145"/>
      <c r="E778" s="146"/>
      <c r="F778" s="146"/>
      <c r="G778" s="14"/>
      <c r="H778" s="184">
        <v>3</v>
      </c>
      <c r="I778" s="14"/>
      <c r="J778" s="184">
        <f>H778</f>
        <v>3</v>
      </c>
      <c r="K778" s="14"/>
      <c r="L778" s="14"/>
      <c r="M778" s="14"/>
      <c r="N778" s="14"/>
      <c r="O778" s="184">
        <v>2</v>
      </c>
      <c r="P778" s="184">
        <v>2</v>
      </c>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c r="A779" s="20" t="s">
        <v>7</v>
      </c>
      <c r="B779" s="7"/>
      <c r="C779" s="7"/>
      <c r="D779" s="145"/>
      <c r="E779" s="146"/>
      <c r="F779" s="146"/>
      <c r="G779" s="14"/>
      <c r="H779" s="14"/>
      <c r="I779" s="14"/>
      <c r="J779" s="14"/>
      <c r="K779" s="14"/>
      <c r="L779" s="14"/>
      <c r="M779" s="14"/>
      <c r="N779" s="14"/>
      <c r="O779" s="14"/>
      <c r="P779" s="14"/>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22.5" hidden="1">
      <c r="A780" s="188" t="s">
        <v>336</v>
      </c>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71"/>
      <c r="B781" s="53"/>
      <c r="C781" s="53"/>
      <c r="D781" s="72"/>
      <c r="E781" s="72"/>
      <c r="F781" s="72"/>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72"/>
      <c r="E782" s="72"/>
      <c r="F782" s="72"/>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72"/>
      <c r="E783" s="72"/>
      <c r="F783" s="72"/>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72"/>
      <c r="E784" s="72"/>
      <c r="F784" s="72"/>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72"/>
      <c r="E785" s="72"/>
      <c r="F785" s="72"/>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72"/>
      <c r="E786" s="72"/>
      <c r="F786" s="72"/>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72"/>
      <c r="E787" s="72"/>
      <c r="F787" s="72"/>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72"/>
      <c r="E788" s="72"/>
      <c r="F788" s="72"/>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0.5" customHeight="1"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1"/>
      <c r="B792" s="53"/>
      <c r="C792" s="53"/>
      <c r="D792" s="148"/>
      <c r="E792" s="149"/>
      <c r="F792" s="149"/>
      <c r="G792" s="72"/>
      <c r="H792" s="72"/>
      <c r="I792" s="72"/>
      <c r="J792" s="72"/>
      <c r="K792" s="72"/>
      <c r="L792" s="72"/>
      <c r="M792" s="72"/>
      <c r="N792" s="72"/>
      <c r="O792" s="72"/>
      <c r="P792" s="72"/>
      <c r="Q792" s="73"/>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1"/>
      <c r="B793" s="53"/>
      <c r="C793" s="53"/>
      <c r="D793" s="148"/>
      <c r="E793" s="149"/>
      <c r="F793" s="149"/>
      <c r="G793" s="72"/>
      <c r="H793" s="72"/>
      <c r="I793" s="72"/>
      <c r="J793" s="72"/>
      <c r="K793" s="72"/>
      <c r="L793" s="72"/>
      <c r="M793" s="72"/>
      <c r="N793" s="72"/>
      <c r="O793" s="72"/>
      <c r="P793" s="72"/>
      <c r="Q793" s="7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1"/>
      <c r="B794" s="53"/>
      <c r="C794" s="53"/>
      <c r="D794" s="148"/>
      <c r="E794" s="149"/>
      <c r="F794" s="149"/>
      <c r="G794" s="72"/>
      <c r="H794" s="72"/>
      <c r="I794" s="72"/>
      <c r="J794" s="72"/>
      <c r="K794" s="72"/>
      <c r="L794" s="72"/>
      <c r="M794" s="72"/>
      <c r="N794" s="72"/>
      <c r="O794" s="72"/>
      <c r="P794" s="72"/>
      <c r="Q794" s="73"/>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1.25" hidden="1">
      <c r="A795" s="71"/>
      <c r="B795" s="53"/>
      <c r="C795" s="53"/>
      <c r="D795" s="148"/>
      <c r="E795" s="149"/>
      <c r="F795" s="149"/>
      <c r="G795" s="72"/>
      <c r="H795" s="72"/>
      <c r="I795" s="72"/>
      <c r="J795" s="72"/>
      <c r="K795" s="72"/>
      <c r="L795" s="72"/>
      <c r="M795" s="72"/>
      <c r="N795" s="72"/>
      <c r="O795" s="72"/>
      <c r="P795" s="72"/>
      <c r="Q795" s="73"/>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1"/>
      <c r="B796" s="53"/>
      <c r="C796" s="53"/>
      <c r="D796" s="148"/>
      <c r="E796" s="149"/>
      <c r="F796" s="149"/>
      <c r="G796" s="72"/>
      <c r="H796" s="72"/>
      <c r="I796" s="72"/>
      <c r="J796" s="72"/>
      <c r="K796" s="72"/>
      <c r="L796" s="72"/>
      <c r="M796" s="72"/>
      <c r="N796" s="72"/>
      <c r="O796" s="72"/>
      <c r="P796" s="72"/>
      <c r="Q796" s="73"/>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1.25" hidden="1">
      <c r="A797" s="71"/>
      <c r="B797" s="53"/>
      <c r="C797" s="53"/>
      <c r="D797" s="148"/>
      <c r="E797" s="149"/>
      <c r="F797" s="149"/>
      <c r="G797" s="72"/>
      <c r="H797" s="72"/>
      <c r="I797" s="72"/>
      <c r="J797" s="72"/>
      <c r="K797" s="72"/>
      <c r="L797" s="72"/>
      <c r="M797" s="72"/>
      <c r="N797" s="72"/>
      <c r="O797" s="72"/>
      <c r="P797" s="72"/>
      <c r="Q797" s="73"/>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12" customHeight="1" hidden="1">
      <c r="A798" s="71"/>
      <c r="B798" s="53"/>
      <c r="C798" s="53"/>
      <c r="D798" s="148"/>
      <c r="E798" s="149"/>
      <c r="F798" s="149"/>
      <c r="G798" s="72"/>
      <c r="H798" s="72"/>
      <c r="I798" s="72"/>
      <c r="J798" s="72"/>
      <c r="K798" s="72"/>
      <c r="L798" s="72"/>
      <c r="M798" s="72"/>
      <c r="N798" s="72"/>
      <c r="O798" s="72"/>
      <c r="P798" s="72"/>
      <c r="Q798" s="73"/>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1.25" hidden="1">
      <c r="A799" s="71"/>
      <c r="B799" s="53"/>
      <c r="C799" s="53"/>
      <c r="D799" s="148"/>
      <c r="E799" s="149"/>
      <c r="F799" s="149"/>
      <c r="G799" s="72"/>
      <c r="H799" s="72"/>
      <c r="I799" s="72"/>
      <c r="J799" s="72"/>
      <c r="K799" s="72"/>
      <c r="L799" s="72"/>
      <c r="M799" s="72"/>
      <c r="N799" s="72"/>
      <c r="O799" s="72"/>
      <c r="P799" s="72"/>
      <c r="Q799" s="73"/>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9.25" customHeight="1" hidden="1">
      <c r="A800" s="66"/>
      <c r="B800" s="66"/>
      <c r="C800" s="66"/>
      <c r="D800" s="152"/>
      <c r="E800" s="153"/>
      <c r="F800" s="153"/>
      <c r="G800" s="153"/>
      <c r="H800" s="153"/>
      <c r="I800" s="153"/>
      <c r="J800" s="154"/>
      <c r="K800" s="154"/>
      <c r="L800" s="154"/>
      <c r="M800" s="154"/>
      <c r="N800" s="154"/>
      <c r="O800" s="154"/>
      <c r="P800" s="154"/>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21" t="s">
        <v>439</v>
      </c>
      <c r="B801" s="190"/>
      <c r="C801" s="190"/>
      <c r="D801" s="191"/>
      <c r="E801" s="192"/>
      <c r="F801" s="192"/>
      <c r="G801" s="192"/>
      <c r="H801" s="14">
        <f>H776/H778</f>
        <v>-934666.6666666666</v>
      </c>
      <c r="I801" s="192"/>
      <c r="J801" s="17">
        <f>H801</f>
        <v>-934666.6666666666</v>
      </c>
      <c r="K801" s="193"/>
      <c r="L801" s="193"/>
      <c r="M801" s="193"/>
      <c r="N801" s="193"/>
      <c r="O801" s="17">
        <f>O776/O778</f>
        <v>-1052046</v>
      </c>
      <c r="P801" s="17">
        <f>P776/P778</f>
        <v>-1052046</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1.75" customHeight="1">
      <c r="A802" s="71"/>
      <c r="B802" s="66"/>
      <c r="C802" s="66"/>
      <c r="D802" s="152"/>
      <c r="E802" s="194"/>
      <c r="F802" s="194"/>
      <c r="G802" s="194"/>
      <c r="H802" s="72"/>
      <c r="I802" s="194"/>
      <c r="J802" s="195"/>
      <c r="K802" s="154"/>
      <c r="L802" s="154"/>
      <c r="M802" s="154"/>
      <c r="N802" s="154"/>
      <c r="O802" s="195"/>
      <c r="P802" s="195"/>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1.75" customHeight="1">
      <c r="A803" s="66"/>
      <c r="B803" s="66"/>
      <c r="C803" s="66"/>
      <c r="D803" s="152"/>
      <c r="E803" s="153"/>
      <c r="F803" s="153"/>
      <c r="G803" s="153"/>
      <c r="H803" s="153"/>
      <c r="I803" s="153"/>
      <c r="J803" s="154"/>
      <c r="K803" s="154"/>
      <c r="L803" s="154"/>
      <c r="M803" s="154"/>
      <c r="N803" s="154"/>
      <c r="O803" s="154"/>
      <c r="P803" s="154"/>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24.75" customHeight="1">
      <c r="A804" s="66"/>
      <c r="B804" s="66"/>
      <c r="C804" s="66"/>
      <c r="D804" s="152"/>
      <c r="E804" s="153"/>
      <c r="F804" s="153"/>
      <c r="G804" s="153"/>
      <c r="H804" s="153"/>
      <c r="I804" s="153"/>
      <c r="J804" s="154"/>
      <c r="K804" s="154"/>
      <c r="L804" s="154"/>
      <c r="M804" s="154"/>
      <c r="N804" s="154"/>
      <c r="O804" s="154"/>
      <c r="P804" s="15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1.75" customHeight="1">
      <c r="A805" s="66"/>
      <c r="B805" s="66"/>
      <c r="C805" s="66"/>
      <c r="D805" s="152"/>
      <c r="E805" s="153"/>
      <c r="F805" s="153"/>
      <c r="G805" s="153"/>
      <c r="H805" s="153"/>
      <c r="I805" s="153"/>
      <c r="J805" s="154"/>
      <c r="K805" s="154"/>
      <c r="L805" s="154"/>
      <c r="M805" s="154"/>
      <c r="N805" s="154"/>
      <c r="O805" s="154"/>
      <c r="P805" s="154"/>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0.25" customHeight="1">
      <c r="A806" s="214" t="s">
        <v>404</v>
      </c>
      <c r="B806" s="214"/>
      <c r="C806" s="214"/>
      <c r="D806" s="155"/>
      <c r="E806" s="155"/>
      <c r="F806" s="156"/>
      <c r="G806" s="157"/>
      <c r="H806" s="157"/>
      <c r="I806" s="157"/>
      <c r="J806" s="158"/>
      <c r="K806" s="158"/>
      <c r="L806" s="158"/>
      <c r="M806" s="158"/>
      <c r="N806" s="157"/>
      <c r="O806" s="222" t="s">
        <v>232</v>
      </c>
      <c r="P806" s="222"/>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0.25" customHeight="1">
      <c r="A807" s="94"/>
      <c r="B807" s="94"/>
      <c r="C807" s="94"/>
      <c r="D807" s="155"/>
      <c r="E807" s="155"/>
      <c r="F807" s="156"/>
      <c r="G807" s="157"/>
      <c r="H807" s="157"/>
      <c r="I807" s="157"/>
      <c r="J807" s="158"/>
      <c r="K807" s="158"/>
      <c r="L807" s="158"/>
      <c r="M807" s="158"/>
      <c r="N807" s="157"/>
      <c r="O807" s="159"/>
      <c r="P807" s="159"/>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2.75" customHeight="1">
      <c r="A808" s="94"/>
      <c r="B808" s="94"/>
      <c r="C808" s="94"/>
      <c r="D808" s="155"/>
      <c r="E808" s="155"/>
      <c r="F808" s="156"/>
      <c r="G808" s="157"/>
      <c r="H808" s="157"/>
      <c r="I808" s="157"/>
      <c r="J808" s="158"/>
      <c r="K808" s="158"/>
      <c r="L808" s="158"/>
      <c r="M808" s="158"/>
      <c r="N808" s="157"/>
      <c r="O808" s="159"/>
      <c r="P808" s="159"/>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8.75" customHeight="1">
      <c r="A809" s="213" t="s">
        <v>260</v>
      </c>
      <c r="B809" s="213"/>
      <c r="C809" s="67"/>
      <c r="D809" s="160"/>
      <c r="E809" s="155"/>
      <c r="F809" s="157"/>
      <c r="G809" s="155"/>
      <c r="H809" s="155"/>
      <c r="I809" s="155"/>
      <c r="J809" s="161"/>
      <c r="K809" s="161"/>
      <c r="L809" s="161"/>
      <c r="M809" s="161"/>
      <c r="N809" s="161"/>
      <c r="O809" s="161"/>
      <c r="P809" s="161"/>
      <c r="Q809" s="6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7.75" customHeight="1">
      <c r="A810" s="48" t="s">
        <v>233</v>
      </c>
      <c r="B810" s="48"/>
      <c r="C810" s="30"/>
      <c r="D810" s="162"/>
      <c r="E810" s="162"/>
      <c r="F810" s="162"/>
      <c r="G810" s="162"/>
      <c r="H810" s="162"/>
      <c r="I810" s="162"/>
      <c r="J810" s="162"/>
      <c r="K810" s="162"/>
      <c r="L810" s="162"/>
      <c r="M810" s="162"/>
      <c r="N810" s="162"/>
      <c r="O810" s="162"/>
      <c r="P810" s="162"/>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8.5" customHeight="1">
      <c r="A811" s="28"/>
      <c r="B811" s="29"/>
      <c r="C811" s="24"/>
      <c r="D811" s="163"/>
      <c r="E811" s="163"/>
      <c r="F811" s="162"/>
      <c r="G811" s="162"/>
      <c r="H811" s="162"/>
      <c r="I811" s="162"/>
      <c r="J811" s="162"/>
      <c r="K811" s="162"/>
      <c r="L811" s="162"/>
      <c r="M811" s="162"/>
      <c r="N811" s="162"/>
      <c r="O811" s="162"/>
      <c r="P811" s="162"/>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1.25">
      <c r="A812" s="4"/>
      <c r="B812" s="4"/>
      <c r="C812" s="4"/>
      <c r="D812" s="164"/>
      <c r="E812" s="164"/>
      <c r="F812" s="164"/>
      <c r="G812" s="164"/>
      <c r="H812" s="164"/>
      <c r="I812" s="164"/>
      <c r="J812" s="164"/>
      <c r="K812" s="165"/>
      <c r="L812" s="165"/>
      <c r="M812" s="165"/>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4"/>
      <c r="B813" s="4"/>
      <c r="C813" s="4"/>
      <c r="D813" s="164"/>
      <c r="E813" s="164"/>
      <c r="F813" s="164"/>
      <c r="G813" s="164"/>
      <c r="H813" s="164"/>
      <c r="I813" s="164"/>
      <c r="J813" s="164"/>
      <c r="K813" s="165"/>
      <c r="L813" s="165"/>
      <c r="M813" s="165"/>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4"/>
      <c r="B814" s="4"/>
      <c r="C814" s="4"/>
      <c r="D814" s="164"/>
      <c r="E814" s="164"/>
      <c r="F814" s="164"/>
      <c r="G814" s="164"/>
      <c r="H814" s="164"/>
      <c r="I814" s="164"/>
      <c r="J814" s="164"/>
      <c r="K814" s="165"/>
      <c r="L814" s="165"/>
      <c r="M814" s="165"/>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4"/>
      <c r="E815" s="164"/>
      <c r="F815" s="164"/>
      <c r="G815" s="164"/>
      <c r="H815" s="164"/>
      <c r="I815" s="164"/>
      <c r="J815" s="164"/>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2"/>
      <c r="B816" s="2"/>
      <c r="C816" s="2"/>
      <c r="D816" s="165"/>
      <c r="E816" s="165"/>
      <c r="F816" s="165"/>
      <c r="G816" s="165"/>
      <c r="H816" s="165"/>
      <c r="I816" s="165"/>
      <c r="J816" s="165"/>
      <c r="K816" s="165"/>
      <c r="L816" s="165"/>
      <c r="M816" s="165"/>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5"/>
      <c r="E817" s="165"/>
      <c r="F817" s="165"/>
      <c r="G817" s="165"/>
      <c r="H817" s="165"/>
      <c r="I817" s="165"/>
      <c r="J817" s="165"/>
      <c r="K817" s="165"/>
      <c r="L817" s="165"/>
      <c r="M817" s="165"/>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5"/>
      <c r="E818" s="165"/>
      <c r="F818" s="165"/>
      <c r="G818" s="165"/>
      <c r="H818" s="165"/>
      <c r="I818" s="165"/>
      <c r="J818" s="165"/>
      <c r="K818" s="165"/>
      <c r="L818" s="165"/>
      <c r="M818" s="165"/>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N824" s="162"/>
      <c r="O824" s="162"/>
      <c r="P824" s="162"/>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N825" s="162"/>
      <c r="O825" s="162"/>
      <c r="P825" s="162"/>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N826" s="162"/>
      <c r="O826" s="162"/>
      <c r="P826" s="162"/>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sheetData>
  <sheetProtection/>
  <mergeCells count="24">
    <mergeCell ref="N5:P5"/>
    <mergeCell ref="N6:P6"/>
    <mergeCell ref="N1:P1"/>
    <mergeCell ref="N2:P2"/>
    <mergeCell ref="N3:P3"/>
    <mergeCell ref="N4:P4"/>
    <mergeCell ref="A10:P10"/>
    <mergeCell ref="O806:P806"/>
    <mergeCell ref="N7:P7"/>
    <mergeCell ref="N12:P12"/>
    <mergeCell ref="N13:O13"/>
    <mergeCell ref="P13:P14"/>
    <mergeCell ref="J13:J14"/>
    <mergeCell ref="K13:M13"/>
    <mergeCell ref="A12:A14"/>
    <mergeCell ref="B12:B14"/>
    <mergeCell ref="C12:C14"/>
    <mergeCell ref="D13:E13"/>
    <mergeCell ref="G12:J12"/>
    <mergeCell ref="A809:B809"/>
    <mergeCell ref="A806:C806"/>
    <mergeCell ref="F13:F14"/>
    <mergeCell ref="D12:F12"/>
    <mergeCell ref="G13:I13"/>
  </mergeCells>
  <printOptions horizontalCentered="1"/>
  <pageMargins left="0.7874015748031497" right="0.3937007874015748" top="1.1811023622047245" bottom="0.3937007874015748" header="0" footer="0"/>
  <pageSetup fitToHeight="24" fitToWidth="1" horizontalDpi="600" verticalDpi="600" orientation="landscape" paperSize="9" scale="79" r:id="rId1"/>
  <rowBreaks count="4" manualBreakCount="4">
    <brk id="625" max="16" man="1"/>
    <brk id="651" max="16" man="1"/>
    <brk id="714" max="16" man="1"/>
    <brk id="77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eco1</cp:lastModifiedBy>
  <cp:lastPrinted>2017-01-26T09:31:52Z</cp:lastPrinted>
  <dcterms:created xsi:type="dcterms:W3CDTF">2014-04-22T08:24:49Z</dcterms:created>
  <dcterms:modified xsi:type="dcterms:W3CDTF">2017-01-26T09:33:31Z</dcterms:modified>
  <cp:category/>
  <cp:version/>
  <cp:contentType/>
  <cp:contentStatus/>
</cp:coreProperties>
</file>