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<sst xmlns="http://schemas.openxmlformats.org/spreadsheetml/2006/main" count="775" uniqueCount="480">
  <si>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</si>
  <si>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</si>
  <si>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</si>
  <si>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</si>
  <si>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</si>
  <si>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</si>
  <si>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</si>
  <si>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</si>
  <si>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</si>
  <si>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</si>
  <si>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</si>
  <si>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</si>
  <si>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</si>
  <si>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</si>
  <si>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</si>
  <si>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</si>
  <si>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</si>
  <si>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</si>
  <si>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</si>
  <si>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</si>
  <si>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</si>
  <si>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</si>
  <si>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</si>
  <si>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</si>
  <si>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</si>
  <si>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</si>
  <si>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</si>
  <si>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</si>
  <si>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</si>
  <si>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</si>
  <si>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</si>
  <si>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</si>
  <si>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</si>
  <si>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</si>
  <si>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</si>
  <si>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</si>
  <si>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</si>
  <si>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</si>
  <si>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</si>
  <si>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</si>
  <si>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</si>
  <si>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</si>
  <si>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</si>
  <si>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</si>
  <si>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</si>
  <si>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</si>
  <si>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</si>
  <si>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</si>
  <si>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</si>
  <si>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</si>
  <si>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</si>
  <si>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</si>
  <si>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</si>
  <si>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</si>
  <si>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</si>
  <si>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</si>
  <si>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</si>
  <si>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</si>
  <si>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</si>
  <si>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</si>
  <si>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</si>
  <si>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</si>
  <si>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</si>
  <si>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</si>
  <si>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</si>
  <si>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</si>
  <si>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</si>
  <si>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</si>
  <si>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</si>
  <si>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</si>
  <si>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</si>
  <si>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</si>
  <si>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</si>
  <si>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</si>
  <si>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</si>
  <si>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</si>
  <si>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</si>
  <si>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</si>
  <si>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</si>
  <si>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</si>
  <si>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</si>
  <si>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</si>
  <si>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</si>
  <si>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</si>
  <si>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</si>
  <si>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</si>
  <si>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</si>
  <si>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</si>
  <si>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</si>
  <si>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</si>
  <si>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</si>
  <si>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</si>
  <si>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</si>
  <si>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</si>
  <si>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</si>
  <si>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</si>
  <si>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</si>
  <si>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</si>
  <si>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</si>
  <si>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</si>
  <si>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</si>
  <si>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</si>
  <si>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</si>
  <si>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</si>
  <si>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</si>
  <si>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</si>
  <si>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</si>
  <si>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</si>
  <si>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</si>
  <si>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</si>
  <si>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</si>
  <si>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</si>
  <si>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</si>
  <si>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</si>
  <si>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</si>
  <si>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</si>
  <si>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</si>
  <si>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</si>
  <si>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</si>
  <si>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</si>
  <si>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</si>
  <si>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</si>
  <si>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</si>
  <si>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</si>
  <si>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</si>
  <si>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</si>
  <si>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</si>
  <si>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</si>
  <si>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</si>
  <si>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</si>
  <si>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</si>
  <si>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</si>
  <si>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</si>
  <si>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</si>
  <si>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</si>
  <si>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</si>
  <si>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</si>
  <si>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</si>
  <si>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</si>
  <si>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</si>
  <si>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</si>
  <si>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</si>
  <si>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</si>
  <si>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</si>
  <si>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</si>
  <si>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</si>
  <si>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</si>
  <si>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</si>
  <si>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</si>
  <si>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</si>
  <si>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</si>
  <si>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</si>
  <si>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</si>
  <si>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</si>
  <si>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</si>
  <si>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</si>
  <si>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</si>
  <si>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</si>
  <si>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</si>
  <si>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</si>
  <si>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</si>
  <si>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</si>
  <si>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</si>
  <si>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</si>
  <si>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</si>
  <si>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</si>
  <si>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</si>
  <si>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</si>
  <si>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</si>
  <si>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</si>
  <si>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</si>
  <si>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</si>
  <si>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</si>
  <si>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</si>
  <si>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</si>
  <si>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</si>
  <si>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</si>
  <si>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</si>
  <si>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</si>
  <si>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</si>
  <si>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</si>
  <si>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</si>
  <si>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</si>
  <si>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</si>
  <si>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</si>
  <si>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</si>
  <si>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</si>
  <si>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</si>
  <si>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</si>
  <si>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</si>
  <si>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</si>
  <si>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</si>
  <si>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</si>
  <si>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</si>
  <si>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</si>
  <si>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</si>
  <si>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</si>
  <si>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</si>
  <si>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</si>
  <si>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</si>
  <si>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</si>
  <si>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</si>
  <si>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</si>
  <si>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</si>
  <si>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</si>
  <si>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</si>
  <si>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</si>
  <si>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</si>
  <si>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</si>
  <si>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</si>
  <si>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</si>
  <si>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</si>
  <si>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</si>
  <si>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</si>
  <si>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</si>
  <si>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</si>
  <si>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</si>
  <si>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</si>
  <si>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</si>
  <si>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</si>
  <si>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</si>
  <si>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</si>
  <si>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</si>
  <si>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</si>
  <si>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</si>
  <si>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</si>
  <si>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</si>
  <si>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</si>
  <si>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</si>
  <si>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</si>
  <si>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</si>
  <si>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</si>
  <si>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</si>
  <si>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</si>
  <si>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</si>
  <si>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</si>
  <si>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</si>
  <si>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</si>
  <si>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</si>
  <si>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</si>
  <si>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</si>
  <si>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</si>
  <si>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</si>
  <si>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</si>
  <si>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</si>
  <si>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</si>
  <si>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</si>
  <si>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</si>
  <si>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</si>
  <si>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</si>
  <si>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</si>
  <si>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</si>
  <si>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</si>
  <si>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</si>
  <si>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</si>
  <si>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</si>
  <si>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</si>
  <si>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</si>
  <si>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</si>
  <si>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</si>
  <si>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</si>
  <si>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</si>
  <si>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</si>
  <si>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</si>
  <si>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</si>
  <si>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</si>
  <si>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</si>
  <si>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</si>
  <si>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</si>
  <si>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</si>
  <si>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</si>
  <si>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</si>
  <si>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</si>
  <si>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</si>
  <si>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</si>
  <si>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</si>
  <si>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</si>
  <si>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</si>
  <si>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</si>
  <si>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</si>
  <si>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</si>
  <si>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</si>
  <si>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</si>
  <si>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</si>
  <si>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</si>
  <si>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</si>
  <si>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</si>
  <si>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</si>
  <si>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</si>
  <si>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</si>
  <si>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</si>
  <si>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</si>
  <si>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</si>
  <si>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</si>
  <si>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</si>
  <si>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</si>
  <si>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</si>
  <si>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</si>
  <si>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</si>
  <si>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</si>
  <si>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</si>
  <si>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</si>
  <si>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</si>
  <si>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</si>
  <si>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</si>
  <si>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</si>
  <si>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</si>
  <si>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</si>
  <si>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</si>
  <si>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</si>
  <si>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</si>
  <si>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</si>
  <si>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</si>
  <si>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</si>
  <si>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</si>
  <si>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</si>
  <si>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</si>
  <si>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</si>
  <si>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</si>
  <si>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</si>
  <si>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</si>
  <si>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</si>
  <si>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</si>
  <si>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</si>
  <si>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</si>
  <si>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</si>
  <si>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</si>
  <si>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</si>
  <si>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</si>
  <si>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</si>
  <si>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</si>
  <si>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</si>
  <si>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</si>
  <si>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</si>
  <si>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</si>
  <si>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</si>
  <si>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</si>
  <si>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</si>
  <si>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</si>
  <si>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</si>
  <si>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</si>
  <si>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</si>
  <si>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</si>
  <si>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</si>
  <si>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</si>
  <si>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</si>
  <si>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</si>
  <si>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</si>
  <si>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</si>
  <si>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</si>
  <si>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</si>
  <si>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</si>
  <si>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</si>
  <si>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</si>
  <si>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</si>
  <si>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</si>
  <si>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</si>
  <si>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</si>
  <si>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</si>
  <si>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</si>
  <si>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</si>
  <si>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</si>
  <si>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</si>
  <si>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</si>
  <si>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</si>
  <si>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</si>
  <si>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</si>
  <si>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</si>
  <si>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</si>
  <si>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</si>
  <si>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</si>
  <si>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</si>
  <si>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</si>
  <si>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</si>
  <si>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</si>
  <si>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</si>
  <si>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</si>
  <si>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</si>
  <si>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</si>
  <si>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</si>
  <si>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</si>
  <si>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</si>
  <si>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</si>
  <si>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</si>
  <si>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</si>
  <si>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</si>
  <si>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</si>
  <si>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</si>
  <si>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</si>
  <si>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</si>
  <si>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</si>
  <si>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</si>
  <si>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</si>
  <si>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</si>
  <si>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</si>
  <si>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</si>
  <si>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</si>
  <si>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</si>
  <si>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</si>
  <si>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</si>
  <si>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</si>
  <si>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</si>
  <si>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</si>
  <si>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</si>
  <si>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</si>
  <si>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</si>
  <si>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</si>
  <si>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</si>
  <si>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</si>
  <si>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</si>
  <si>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</si>
  <si>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</si>
  <si>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</si>
  <si>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</si>
  <si>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</si>
  <si>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</si>
  <si>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</si>
  <si>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</si>
  <si>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</si>
  <si>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</si>
  <si>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</si>
  <si>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</si>
  <si>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</si>
  <si>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</si>
  <si>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</si>
  <si>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</si>
  <si>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</si>
  <si>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</si>
  <si>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</si>
  <si>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</si>
  <si>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</si>
  <si>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</si>
  <si>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</si>
  <si>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</si>
  <si>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</si>
  <si>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</si>
  <si>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</si>
  <si>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</si>
  <si>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</si>
  <si>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</si>
  <si>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</si>
  <si>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</si>
  <si>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</si>
  <si>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</si>
  <si>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</si>
  <si>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</si>
  <si>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</si>
  <si>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</si>
  <si>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</si>
  <si>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</si>
  <si>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</si>
  <si>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</si>
  <si>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</si>
  <si>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</si>
  <si>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</si>
  <si>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</si>
  <si>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</si>
  <si>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</si>
  <si>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</si>
  <si>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</si>
  <si>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</si>
  <si>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</si>
  <si>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</si>
  <si>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</si>
  <si>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</si>
  <si>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</si>
  <si>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</si>
  <si>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</si>
  <si>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</si>
  <si>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</si>
  <si>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</si>
  <si>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</si>
  <si>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</si>
  <si>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</si>
  <si>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</si>
  <si>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</si>
  <si>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</si>
  <si>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</si>
  <si>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Додаток 12</t>
  </si>
  <si>
    <t xml:space="preserve">від    26 липня 2017 року №   2366 -МР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</si>
</sst>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3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0" fontId="1" fillId="37" borderId="16" xfId="0" applyFont="1" applyFill="1" applyBorder="1" applyAlignment="1">
      <alignment horizontal="left"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0" fontId="5" fillId="39" borderId="15" xfId="0" applyFont="1" applyFill="1" applyBorder="1" applyAlignment="1">
      <alignment horizontal="left"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 fontId="13" fillId="41" borderId="0" xfId="0" applyNumberFormat="1" applyFont="1" applyFill="1" applyAlignment="1">
      <alignment horizontal="left"/>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0" fontId="16" fillId="0" borderId="0" xfId="0" applyFont="1" applyBorder="1" applyAlignment="1">
      <alignment horizontal="left" vertical="center" wrapText="1"/>
    </xf>
    <xf numFmtId="4" fontId="16" fillId="0" borderId="0" xfId="0" applyNumberFormat="1" applyFont="1" applyAlignment="1">
      <alignment horizontal="center"/>
    </xf>
    <xf numFmtId="0" fontId="12" fillId="0" borderId="0" xfId="0" applyFont="1" applyBorder="1" applyAlignment="1">
      <alignment horizontal="left" vertical="center" wrapText="1"/>
    </xf>
    <xf numFmtId="2" fontId="0"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57916727"/>
        <c:axId val="51488496"/>
      </c:barChart>
      <c:catAx>
        <c:axId val="57916727"/>
        <c:scaling>
          <c:orientation val="minMax"/>
        </c:scaling>
        <c:axPos val="b"/>
        <c:delete val="0"/>
        <c:numFmt formatCode="General" sourceLinked="1"/>
        <c:majorTickMark val="out"/>
        <c:minorTickMark val="none"/>
        <c:tickLblPos val="nextTo"/>
        <c:spPr>
          <a:ln w="3175">
            <a:solidFill>
              <a:srgbClr val="000000"/>
            </a:solidFill>
          </a:ln>
        </c:spPr>
        <c:crossAx val="51488496"/>
        <c:crosses val="autoZero"/>
        <c:auto val="1"/>
        <c:lblOffset val="100"/>
        <c:tickLblSkip val="1"/>
        <c:noMultiLvlLbl val="0"/>
      </c:catAx>
      <c:valAx>
        <c:axId val="514884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916727"/>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807">
      <selection activeCell="D815" sqref="D815"/>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1" customWidth="1"/>
    <col min="5" max="5" width="16.66015625" style="41" customWidth="1"/>
    <col min="6" max="6" width="17.66015625" style="41" customWidth="1"/>
    <col min="7" max="7" width="17.5" style="41" customWidth="1"/>
    <col min="8" max="9" width="16.16015625" style="41" customWidth="1"/>
    <col min="10" max="10" width="17.16015625" style="41" customWidth="1"/>
    <col min="11" max="13" width="16" style="41" hidden="1" customWidth="1"/>
    <col min="14" max="14" width="17.16015625" style="41" customWidth="1"/>
    <col min="15" max="15" width="17.5" style="41" customWidth="1"/>
    <col min="16" max="16" width="16.83203125" style="41" customWidth="1"/>
    <col min="17" max="17" width="0.328125" style="1" customWidth="1"/>
    <col min="18" max="235" width="10.33203125" style="1" customWidth="1"/>
  </cols>
  <sheetData>
    <row r="1" spans="14:16" ht="12.75">
      <c r="N1" s="230" t="s">
        <v>478</v>
      </c>
      <c r="O1" s="230"/>
      <c r="P1" s="230"/>
    </row>
    <row r="2" spans="1:16" ht="12.75">
      <c r="A2" s="112"/>
      <c r="B2" s="112"/>
      <c r="C2" s="112"/>
      <c r="D2" s="114"/>
      <c r="E2" s="114"/>
      <c r="F2" s="114"/>
      <c r="G2" s="114"/>
      <c r="H2" s="114"/>
      <c r="I2" s="114"/>
      <c r="N2" s="226" t="s">
        <v>82</v>
      </c>
      <c r="O2" s="226"/>
      <c r="P2" s="226"/>
    </row>
    <row r="3" spans="1:16" ht="12.75">
      <c r="A3" s="112"/>
      <c r="B3" s="112"/>
      <c r="C3" s="112"/>
      <c r="D3" s="113"/>
      <c r="E3" s="113"/>
      <c r="F3" s="113"/>
      <c r="G3" s="113"/>
      <c r="H3" s="113"/>
      <c r="I3" s="114"/>
      <c r="N3" s="226" t="s">
        <v>241</v>
      </c>
      <c r="O3" s="226"/>
      <c r="P3" s="226"/>
    </row>
    <row r="4" spans="1:16" ht="12.75">
      <c r="A4" s="112"/>
      <c r="B4" s="112"/>
      <c r="C4" s="112"/>
      <c r="D4" s="113"/>
      <c r="E4" s="124"/>
      <c r="F4" s="113"/>
      <c r="G4" s="113"/>
      <c r="H4" s="113"/>
      <c r="I4" s="114"/>
      <c r="N4" s="226" t="s">
        <v>62</v>
      </c>
      <c r="O4" s="226"/>
      <c r="P4" s="226"/>
    </row>
    <row r="5" spans="1:16" ht="12.75">
      <c r="A5" s="112"/>
      <c r="B5" s="112"/>
      <c r="C5" s="112"/>
      <c r="D5" s="113"/>
      <c r="E5" s="124"/>
      <c r="F5" s="113"/>
      <c r="G5" s="113"/>
      <c r="H5" s="113"/>
      <c r="I5" s="114"/>
      <c r="N5" s="226" t="s">
        <v>87</v>
      </c>
      <c r="O5" s="226"/>
      <c r="P5" s="226"/>
    </row>
    <row r="6" spans="1:16" ht="12.75">
      <c r="A6" s="112"/>
      <c r="B6" s="112"/>
      <c r="C6" s="112"/>
      <c r="D6" s="113"/>
      <c r="E6" s="113"/>
      <c r="F6" s="113"/>
      <c r="G6" s="113"/>
      <c r="H6" s="113"/>
      <c r="I6" s="114"/>
      <c r="N6" s="226" t="s">
        <v>248</v>
      </c>
      <c r="O6" s="226"/>
      <c r="P6" s="226"/>
    </row>
    <row r="7" spans="1:17" ht="15.75">
      <c r="A7" s="112"/>
      <c r="B7" s="112"/>
      <c r="C7" s="112"/>
      <c r="D7" s="113"/>
      <c r="E7" s="113"/>
      <c r="F7" s="113"/>
      <c r="G7" s="113"/>
      <c r="H7" s="113"/>
      <c r="I7" s="114"/>
      <c r="N7" s="226" t="s">
        <v>479</v>
      </c>
      <c r="O7" s="226"/>
      <c r="P7" s="226"/>
      <c r="Q7" s="27"/>
    </row>
    <row r="8" spans="1:17" ht="15.75">
      <c r="A8" s="112"/>
      <c r="B8" s="112"/>
      <c r="C8" s="112"/>
      <c r="D8" s="113"/>
      <c r="E8" s="113"/>
      <c r="F8" s="113"/>
      <c r="G8" s="113"/>
      <c r="H8" s="113"/>
      <c r="I8" s="114"/>
      <c r="N8" s="123"/>
      <c r="O8" s="123"/>
      <c r="P8" s="123"/>
      <c r="Q8" s="27"/>
    </row>
    <row r="9" spans="1:9" ht="11.25">
      <c r="A9" s="112"/>
      <c r="B9" s="112"/>
      <c r="C9" s="112"/>
      <c r="D9" s="113"/>
      <c r="E9" s="113"/>
      <c r="F9" s="113"/>
      <c r="G9" s="113"/>
      <c r="H9" s="113"/>
      <c r="I9" s="114"/>
    </row>
    <row r="10" spans="1:16" ht="31.5" customHeight="1">
      <c r="A10" s="225" t="s">
        <v>88</v>
      </c>
      <c r="B10" s="225"/>
      <c r="C10" s="225"/>
      <c r="D10" s="225"/>
      <c r="E10" s="225"/>
      <c r="F10" s="225"/>
      <c r="G10" s="225"/>
      <c r="H10" s="225"/>
      <c r="I10" s="225"/>
      <c r="J10" s="225"/>
      <c r="K10" s="225"/>
      <c r="L10" s="225"/>
      <c r="M10" s="225"/>
      <c r="N10" s="225"/>
      <c r="O10" s="225"/>
      <c r="P10" s="225"/>
    </row>
    <row r="11" spans="1:16" ht="16.5" customHeight="1">
      <c r="A11" s="3"/>
      <c r="B11" s="3"/>
      <c r="C11" s="3"/>
      <c r="D11" s="72"/>
      <c r="E11" s="72"/>
      <c r="F11" s="72"/>
      <c r="G11" s="72"/>
      <c r="H11" s="72"/>
      <c r="I11" s="72"/>
      <c r="K11" s="72"/>
      <c r="P11" s="72" t="s">
        <v>59</v>
      </c>
    </row>
    <row r="12" spans="1:241" ht="11.25" customHeight="1">
      <c r="A12" s="227"/>
      <c r="B12" s="213" t="s">
        <v>52</v>
      </c>
      <c r="C12" s="213" t="s">
        <v>53</v>
      </c>
      <c r="D12" s="221" t="s">
        <v>89</v>
      </c>
      <c r="E12" s="222"/>
      <c r="F12" s="223"/>
      <c r="G12" s="218" t="s">
        <v>90</v>
      </c>
      <c r="H12" s="218"/>
      <c r="I12" s="218"/>
      <c r="J12" s="218"/>
      <c r="K12" s="125"/>
      <c r="L12" s="125"/>
      <c r="M12" s="125"/>
      <c r="N12" s="221" t="s">
        <v>91</v>
      </c>
      <c r="O12" s="222"/>
      <c r="P12" s="223"/>
      <c r="IB12" s="1"/>
      <c r="IC12" s="1"/>
      <c r="ID12" s="1"/>
      <c r="IE12" s="1"/>
      <c r="IF12" s="1"/>
      <c r="IG12" s="1"/>
    </row>
    <row r="13" spans="1:241" ht="12" customHeight="1">
      <c r="A13" s="228"/>
      <c r="B13" s="214"/>
      <c r="C13" s="214"/>
      <c r="D13" s="216" t="s">
        <v>54</v>
      </c>
      <c r="E13" s="217"/>
      <c r="F13" s="219" t="s">
        <v>41</v>
      </c>
      <c r="G13" s="224" t="s">
        <v>54</v>
      </c>
      <c r="H13" s="224"/>
      <c r="I13" s="224"/>
      <c r="J13" s="218" t="s">
        <v>41</v>
      </c>
      <c r="K13" s="221" t="s">
        <v>40</v>
      </c>
      <c r="L13" s="222"/>
      <c r="M13" s="223"/>
      <c r="N13" s="216" t="s">
        <v>54</v>
      </c>
      <c r="O13" s="217"/>
      <c r="P13" s="219" t="s">
        <v>41</v>
      </c>
      <c r="IB13" s="1"/>
      <c r="IC13" s="1"/>
      <c r="ID13" s="1"/>
      <c r="IE13" s="1"/>
      <c r="IF13" s="1"/>
      <c r="IG13" s="1"/>
    </row>
    <row r="14" spans="1:241" ht="24.75" customHeight="1">
      <c r="A14" s="229"/>
      <c r="B14" s="215"/>
      <c r="C14" s="215"/>
      <c r="D14" s="125" t="s">
        <v>0</v>
      </c>
      <c r="E14" s="125" t="s">
        <v>1</v>
      </c>
      <c r="F14" s="220"/>
      <c r="G14" s="125" t="s">
        <v>0</v>
      </c>
      <c r="H14" s="125" t="s">
        <v>1</v>
      </c>
      <c r="I14" s="125" t="s">
        <v>320</v>
      </c>
      <c r="J14" s="218"/>
      <c r="K14" s="125" t="s">
        <v>0</v>
      </c>
      <c r="L14" s="125" t="s">
        <v>1</v>
      </c>
      <c r="M14" s="125" t="s">
        <v>41</v>
      </c>
      <c r="N14" s="125" t="s">
        <v>0</v>
      </c>
      <c r="O14" s="125" t="s">
        <v>1</v>
      </c>
      <c r="P14" s="220"/>
      <c r="IB14" s="1"/>
      <c r="IC14" s="1"/>
      <c r="ID14" s="1"/>
      <c r="IE14" s="1"/>
      <c r="IF14" s="1"/>
      <c r="IG14" s="1"/>
    </row>
    <row r="15" spans="1:241" s="162" customFormat="1" ht="11.25">
      <c r="A15" s="160">
        <v>1</v>
      </c>
      <c r="B15" s="160"/>
      <c r="C15" s="160"/>
      <c r="D15" s="160" t="s">
        <v>2</v>
      </c>
      <c r="E15" s="160" t="s">
        <v>3</v>
      </c>
      <c r="F15" s="160">
        <v>7</v>
      </c>
      <c r="G15" s="160">
        <v>8</v>
      </c>
      <c r="H15" s="160">
        <v>9</v>
      </c>
      <c r="I15" s="160">
        <v>10</v>
      </c>
      <c r="J15" s="160">
        <v>11</v>
      </c>
      <c r="K15" s="160">
        <v>12</v>
      </c>
      <c r="L15" s="160">
        <v>13</v>
      </c>
      <c r="M15" s="160">
        <v>14</v>
      </c>
      <c r="N15" s="160">
        <v>12</v>
      </c>
      <c r="O15" s="160">
        <v>13</v>
      </c>
      <c r="P15" s="160">
        <v>14</v>
      </c>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row>
    <row r="16" spans="1:16" s="1" customFormat="1" ht="28.5" customHeight="1">
      <c r="A16" s="55" t="s">
        <v>76</v>
      </c>
      <c r="B16" s="55"/>
      <c r="C16" s="55"/>
      <c r="D16" s="56">
        <f>D25+D301+D381+D519+D535+D602+D621+D633+D656</f>
        <v>42115300.002</v>
      </c>
      <c r="E16" s="56">
        <f>E25+E301+E381+E519+E535+E602+E659</f>
        <v>42792920</v>
      </c>
      <c r="F16" s="56">
        <f>F25+F301+F381+F519+F535+F602+F621+F633+F659</f>
        <v>84908220.002</v>
      </c>
      <c r="G16" s="171">
        <f>G25+G301+G381+G519+G535+G602+G633+G656+G668+G695+G711+G720+G740+G748+G464</f>
        <v>68231249.99272124</v>
      </c>
      <c r="H16" s="171">
        <f>H25+H301+H381+H519+H535+H633+H668+H711+H602+H720+H740+H656+H695+H748+H769+H464-1000-452400</f>
        <v>210440573.4999594</v>
      </c>
      <c r="I16" s="171">
        <f>I25+I301+I381+I519+I535+I656+I695+I711</f>
        <v>47000</v>
      </c>
      <c r="J16" s="171">
        <f>G16+H16+I16</f>
        <v>278718823.49268067</v>
      </c>
      <c r="K16" s="56" t="e">
        <f>K25+K301+K381+K519+K535</f>
        <v>#REF!</v>
      </c>
      <c r="L16" s="56" t="e">
        <f>L25+L301+L381+L519+L535</f>
        <v>#REF!</v>
      </c>
      <c r="M16" s="56" t="e">
        <f>M25+M301+M381+M519+M535</f>
        <v>#REF!</v>
      </c>
      <c r="N16" s="171">
        <f>N25+N301+N381+N519+N535+N602+N633+N656+N668+N695+N711+N720+N740+N748+N464+2000</f>
        <v>163713059.76471063</v>
      </c>
      <c r="O16" s="171">
        <f>O25+O301+O381+O519+O535+O602+O633+O656+O668+O695+O711+O720+O740+O748+O464+O769+O799</f>
        <v>349770132.006394</v>
      </c>
      <c r="P16" s="171">
        <f aca="true" t="shared" si="0" ref="P16:P21">N16+O16</f>
        <v>513483191.7711047</v>
      </c>
    </row>
    <row r="17" spans="1:16" s="1" customFormat="1" ht="41.25" customHeight="1">
      <c r="A17" s="55" t="s">
        <v>61</v>
      </c>
      <c r="B17" s="55"/>
      <c r="C17" s="55"/>
      <c r="D17" s="56">
        <f>D26</f>
        <v>50736000</v>
      </c>
      <c r="E17" s="56">
        <f>E26</f>
        <v>58817800</v>
      </c>
      <c r="F17" s="56">
        <f>D17+E17</f>
        <v>109553800</v>
      </c>
      <c r="G17" s="171">
        <f>G26+G621</f>
        <v>71963199.997529</v>
      </c>
      <c r="H17" s="171">
        <f>H26+H621</f>
        <v>131508929</v>
      </c>
      <c r="I17" s="171">
        <f>I26+I621</f>
        <v>0</v>
      </c>
      <c r="J17" s="171">
        <f>G17+H17</f>
        <v>203472128.997529</v>
      </c>
      <c r="K17" s="56">
        <f>K26</f>
        <v>0</v>
      </c>
      <c r="L17" s="56">
        <f>L26</f>
        <v>0</v>
      </c>
      <c r="M17" s="56">
        <f>M26</f>
        <v>0</v>
      </c>
      <c r="N17" s="171">
        <f>N26+N621</f>
        <v>84555999.99998</v>
      </c>
      <c r="O17" s="171">
        <f>O26+O621</f>
        <v>138883500</v>
      </c>
      <c r="P17" s="171">
        <f t="shared" si="0"/>
        <v>223439499.99998</v>
      </c>
    </row>
    <row r="18" spans="1:17" ht="51" customHeight="1">
      <c r="A18" s="55" t="s">
        <v>332</v>
      </c>
      <c r="B18" s="55"/>
      <c r="C18" s="55"/>
      <c r="D18" s="56">
        <f>D382+D462</f>
        <v>353680</v>
      </c>
      <c r="E18" s="56">
        <f>E382+E462</f>
        <v>534080</v>
      </c>
      <c r="F18" s="56">
        <f>D18+E18</f>
        <v>887760</v>
      </c>
      <c r="G18" s="171">
        <f aca="true" t="shared" si="1" ref="G18:I19">G382+G462</f>
        <v>0</v>
      </c>
      <c r="H18" s="171">
        <f t="shared" si="1"/>
        <v>64399.99999992592</v>
      </c>
      <c r="I18" s="171">
        <f t="shared" si="1"/>
        <v>0</v>
      </c>
      <c r="J18" s="171">
        <f>G18+H18+I18</f>
        <v>64399.99999992592</v>
      </c>
      <c r="K18" s="56">
        <f>K382+K462</f>
        <v>0</v>
      </c>
      <c r="L18" s="56">
        <f>L382+L462</f>
        <v>0</v>
      </c>
      <c r="M18" s="56">
        <f>M382+M462</f>
        <v>0</v>
      </c>
      <c r="N18" s="56">
        <f>N382+N462</f>
        <v>0</v>
      </c>
      <c r="O18" s="56">
        <f>O382+O462</f>
        <v>0</v>
      </c>
      <c r="P18" s="56">
        <f t="shared" si="0"/>
        <v>0</v>
      </c>
      <c r="Q18" s="41"/>
    </row>
    <row r="19" spans="1:17" ht="51" customHeight="1">
      <c r="A19" s="55" t="s">
        <v>331</v>
      </c>
      <c r="B19" s="55"/>
      <c r="C19" s="55"/>
      <c r="D19" s="56">
        <f>D383+D463</f>
        <v>0</v>
      </c>
      <c r="E19" s="56">
        <f aca="true" t="shared" si="2" ref="E19:O19">E383+E463</f>
        <v>0</v>
      </c>
      <c r="F19" s="56">
        <f>D19+E19</f>
        <v>0</v>
      </c>
      <c r="G19" s="171">
        <f t="shared" si="1"/>
        <v>219999.99999799998</v>
      </c>
      <c r="H19" s="171">
        <f t="shared" si="1"/>
        <v>814109.999999774</v>
      </c>
      <c r="I19" s="171">
        <f t="shared" si="1"/>
        <v>0</v>
      </c>
      <c r="J19" s="171">
        <f>G19+H19+I19</f>
        <v>1034109.999997774</v>
      </c>
      <c r="K19" s="56">
        <f t="shared" si="2"/>
        <v>0</v>
      </c>
      <c r="L19" s="56">
        <f t="shared" si="2"/>
        <v>0</v>
      </c>
      <c r="M19" s="56">
        <f t="shared" si="2"/>
        <v>0</v>
      </c>
      <c r="N19" s="56">
        <f t="shared" si="2"/>
        <v>579718</v>
      </c>
      <c r="O19" s="56">
        <f t="shared" si="2"/>
        <v>644501.9999997</v>
      </c>
      <c r="P19" s="56">
        <f t="shared" si="0"/>
        <v>1224219.9999997</v>
      </c>
      <c r="Q19" s="41"/>
    </row>
    <row r="20" spans="1:17" ht="29.25" customHeight="1">
      <c r="A20" s="55" t="s">
        <v>75</v>
      </c>
      <c r="B20" s="55"/>
      <c r="C20" s="55"/>
      <c r="D20" s="56">
        <f>D28</f>
        <v>132300</v>
      </c>
      <c r="E20" s="56">
        <f>E28</f>
        <v>0</v>
      </c>
      <c r="F20" s="56">
        <f>D20+E20</f>
        <v>132300</v>
      </c>
      <c r="G20" s="171">
        <f>G28</f>
        <v>172439.79</v>
      </c>
      <c r="H20" s="171">
        <f>H28</f>
        <v>0</v>
      </c>
      <c r="I20" s="171">
        <f>I28</f>
        <v>0</v>
      </c>
      <c r="J20" s="171">
        <f>G20+H20</f>
        <v>172439.79</v>
      </c>
      <c r="K20" s="56">
        <f>K28</f>
        <v>0</v>
      </c>
      <c r="L20" s="56">
        <f>L28</f>
        <v>0</v>
      </c>
      <c r="M20" s="56">
        <f>M28</f>
        <v>0</v>
      </c>
      <c r="N20" s="56">
        <f>N28</f>
        <v>0</v>
      </c>
      <c r="O20" s="56">
        <f>O28</f>
        <v>0</v>
      </c>
      <c r="P20" s="56">
        <f t="shared" si="0"/>
        <v>0</v>
      </c>
      <c r="Q20" s="41"/>
    </row>
    <row r="21" spans="1:235" s="110" customFormat="1" ht="29.25" customHeight="1">
      <c r="A21" s="169" t="s">
        <v>323</v>
      </c>
      <c r="B21" s="170"/>
      <c r="C21" s="170"/>
      <c r="D21" s="171"/>
      <c r="E21" s="171"/>
      <c r="F21" s="171"/>
      <c r="G21" s="171">
        <f>G29</f>
        <v>365080.002</v>
      </c>
      <c r="H21" s="171">
        <f aca="true" t="shared" si="3" ref="H21:O21">H29</f>
        <v>0</v>
      </c>
      <c r="I21" s="171">
        <f t="shared" si="3"/>
        <v>0</v>
      </c>
      <c r="J21" s="171">
        <f>G21+H21+I21</f>
        <v>365080.002</v>
      </c>
      <c r="K21" s="171">
        <f t="shared" si="3"/>
        <v>0</v>
      </c>
      <c r="L21" s="171">
        <f t="shared" si="3"/>
        <v>0</v>
      </c>
      <c r="M21" s="171">
        <f t="shared" si="3"/>
        <v>0</v>
      </c>
      <c r="N21" s="171">
        <f t="shared" si="3"/>
        <v>100000.23936608182</v>
      </c>
      <c r="O21" s="171">
        <f t="shared" si="3"/>
        <v>0</v>
      </c>
      <c r="P21" s="171">
        <f t="shared" si="0"/>
        <v>100000.23936608182</v>
      </c>
      <c r="Q21" s="172"/>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row>
    <row r="22" spans="1:17" ht="20.25" customHeight="1">
      <c r="A22" s="55" t="s">
        <v>218</v>
      </c>
      <c r="B22" s="55"/>
      <c r="C22" s="55"/>
      <c r="D22" s="56">
        <f>D16+D17+D18+D20</f>
        <v>93337280.002</v>
      </c>
      <c r="E22" s="56">
        <f>E16+E17+E18+E20</f>
        <v>102144800</v>
      </c>
      <c r="F22" s="56">
        <f>F16+F17+F18+F20</f>
        <v>195482080.002</v>
      </c>
      <c r="G22" s="56">
        <f>G16+G17+G18+G20+G21+G19</f>
        <v>140951969.78224823</v>
      </c>
      <c r="H22" s="56">
        <f>H16+H17+H18+H20+H21+H19</f>
        <v>342828012.4999591</v>
      </c>
      <c r="I22" s="56">
        <f>I16+I17+I18+I20+I21+I19</f>
        <v>47000</v>
      </c>
      <c r="J22" s="56">
        <f>J16+J17+J18+J20+J21+J19</f>
        <v>483826982.2822074</v>
      </c>
      <c r="K22" s="56" t="e">
        <f>K16+K17+K18+K20</f>
        <v>#REF!</v>
      </c>
      <c r="L22" s="56" t="e">
        <f>L16+L17+L18+L20</f>
        <v>#REF!</v>
      </c>
      <c r="M22" s="56" t="e">
        <f>M16+M17+M18+M20</f>
        <v>#REF!</v>
      </c>
      <c r="N22" s="56">
        <f>N16+N17+N18+N20+N19+N21</f>
        <v>248948778.00405672</v>
      </c>
      <c r="O22" s="56">
        <f>O16+O17+O18+O20+O19+O21</f>
        <v>489298134.00639373</v>
      </c>
      <c r="P22" s="56">
        <f>P16+P17+P18+P20+P19+P21</f>
        <v>738246912.0104504</v>
      </c>
      <c r="Q22" s="41"/>
    </row>
    <row r="23" spans="1:235" s="83" customFormat="1" ht="30.75" customHeight="1">
      <c r="A23" s="115" t="s">
        <v>417</v>
      </c>
      <c r="B23" s="86"/>
      <c r="C23" s="86"/>
      <c r="D23" s="116">
        <f>D25+D26+D28</f>
        <v>85352300</v>
      </c>
      <c r="E23" s="116">
        <f aca="true" t="shared" si="4" ref="E23:M23">E25+E26+E28</f>
        <v>73485300</v>
      </c>
      <c r="F23" s="116">
        <f>F25+F26+F28</f>
        <v>158837600</v>
      </c>
      <c r="G23" s="116">
        <f>G25+G26+G28+G29</f>
        <v>117518019.7841344</v>
      </c>
      <c r="H23" s="116">
        <f>H25+H26+H28+H29</f>
        <v>155348611.5</v>
      </c>
      <c r="I23" s="116">
        <f>I25+I26+I28+I29</f>
        <v>0</v>
      </c>
      <c r="J23" s="116">
        <f t="shared" si="4"/>
        <v>272501551.2821344</v>
      </c>
      <c r="K23" s="116">
        <f t="shared" si="4"/>
        <v>-1039.33</v>
      </c>
      <c r="L23" s="116">
        <f t="shared" si="4"/>
        <v>-1039.33</v>
      </c>
      <c r="M23" s="116">
        <f t="shared" si="4"/>
        <v>-1039.33</v>
      </c>
      <c r="N23" s="116">
        <f>N25+N26+N28+N29</f>
        <v>210464300.0020197</v>
      </c>
      <c r="O23" s="116">
        <f>O25+O26+O28+O29</f>
        <v>197171500.001894</v>
      </c>
      <c r="P23" s="116">
        <f>N23+O23</f>
        <v>407635800.0039137</v>
      </c>
      <c r="Q23" s="117"/>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row>
    <row r="24" spans="1:17" ht="27" customHeight="1">
      <c r="A24" s="18" t="s">
        <v>219</v>
      </c>
      <c r="B24" s="8"/>
      <c r="C24" s="8"/>
      <c r="D24" s="10"/>
      <c r="E24" s="10"/>
      <c r="F24" s="10"/>
      <c r="G24" s="10"/>
      <c r="H24" s="10"/>
      <c r="I24" s="10"/>
      <c r="J24" s="10"/>
      <c r="K24" s="11"/>
      <c r="L24" s="11"/>
      <c r="M24" s="11"/>
      <c r="N24" s="10"/>
      <c r="O24" s="10"/>
      <c r="P24" s="10"/>
      <c r="Q24" s="41"/>
    </row>
    <row r="25" spans="1:235" s="83" customFormat="1" ht="15" customHeight="1">
      <c r="A25" s="105" t="s">
        <v>97</v>
      </c>
      <c r="B25" s="105"/>
      <c r="C25" s="105"/>
      <c r="D25" s="116">
        <f>D77+(D92*D95)+D141+D169+D206+D247+D262+D282+D292+D99</f>
        <v>34484000</v>
      </c>
      <c r="E25" s="116">
        <f>E77+(E92*E95)+E141+E169+E206+E247+E262+E282+E292</f>
        <v>14667500</v>
      </c>
      <c r="F25" s="116">
        <f>D25+E25</f>
        <v>49151500</v>
      </c>
      <c r="G25" s="116">
        <f>G77+(G92*G95)+G141+G169+G206+G247+G262+G282+G292+G99-G29+G50</f>
        <v>53097299.994605385</v>
      </c>
      <c r="H25" s="116">
        <f>H77+(H92*H95)+H141+H169+H206+H247+H262+H282+H292</f>
        <v>23839682.5</v>
      </c>
      <c r="I25" s="116">
        <f>I77+(I92*I95)+I141+I169+I206+I247+I262+I282+I292</f>
        <v>0</v>
      </c>
      <c r="J25" s="116">
        <f>G25+H25</f>
        <v>76936982.49460539</v>
      </c>
      <c r="K25" s="116">
        <f>K77+(K92*K95)+K141+K169+K206+K247+K262+K282+K292</f>
        <v>-1039.33</v>
      </c>
      <c r="L25" s="116">
        <f>L77+(L92*L95)+L141+L169+L206+L247+L262+L282+L292</f>
        <v>-1039.33</v>
      </c>
      <c r="M25" s="116">
        <f>M77+(M92*M95)+M141+M169+M206+M247+M262+M282+M292</f>
        <v>-1039.33</v>
      </c>
      <c r="N25" s="116">
        <f>N77+(N92*N95)+N141+N169+N206+N247+N262+N282+N292+N99+N50-N29</f>
        <v>137808299.76267362</v>
      </c>
      <c r="O25" s="116">
        <f>O77+(O92*O95)+O141+O169+O206+O247+O262+O282+O292</f>
        <v>58288000.001894</v>
      </c>
      <c r="P25" s="116">
        <f>N25+O25</f>
        <v>196096299.7645676</v>
      </c>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row>
    <row r="26" spans="1:235" s="83" customFormat="1" ht="13.5" customHeight="1">
      <c r="A26" s="105" t="s">
        <v>98</v>
      </c>
      <c r="B26" s="105"/>
      <c r="C26" s="105"/>
      <c r="D26" s="116">
        <f>D30+D41+D59+D106+D113-D28</f>
        <v>50736000</v>
      </c>
      <c r="E26" s="116">
        <f>E30+E41+E59+E106+E113-E28+(E91*E94)</f>
        <v>58817800</v>
      </c>
      <c r="F26" s="116">
        <f>D26+E26</f>
        <v>109553800</v>
      </c>
      <c r="G26" s="116">
        <f>G30+G41+G59+G106+G113-G28</f>
        <v>63883199.997529</v>
      </c>
      <c r="H26" s="116">
        <f>H30+H41+H59+H106+H113-H28+(J91*J94)-600180</f>
        <v>131508929</v>
      </c>
      <c r="I26" s="116">
        <f>I30+I41+I59+I106+I113-I28+(K91*K94)</f>
        <v>0</v>
      </c>
      <c r="J26" s="116">
        <f>G26+H26</f>
        <v>195392128.997529</v>
      </c>
      <c r="K26" s="116">
        <f>K30+K41+K59+K106+K113-K28+(L91*L94)</f>
        <v>0</v>
      </c>
      <c r="L26" s="116">
        <f>L30+L41+L59+L106+L113-L28+(M91*M94)</f>
        <v>0</v>
      </c>
      <c r="M26" s="116">
        <f>M30+M41+M59+M106+M113-M28+(N91*N94)</f>
        <v>0</v>
      </c>
      <c r="N26" s="116">
        <f>N30+N41+N59+N106+N113+N28</f>
        <v>72555999.99998</v>
      </c>
      <c r="O26" s="116">
        <f>O30+O41+O59+O106+O113-O28+O91*O94-2000</f>
        <v>138883500</v>
      </c>
      <c r="P26" s="116">
        <f>N26+O26</f>
        <v>211439499.99998</v>
      </c>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row>
    <row r="27" spans="1:235" s="83" customFormat="1" ht="30.75" customHeight="1" hidden="1">
      <c r="A27" s="105"/>
      <c r="B27" s="105"/>
      <c r="C27" s="105"/>
      <c r="D27" s="116">
        <f>D30+D41+D77+D59+D113</f>
        <v>57221000</v>
      </c>
      <c r="E27" s="116">
        <f>E30+E41+E77+E59+E113</f>
        <v>25700000</v>
      </c>
      <c r="F27" s="116">
        <f>D27+E27</f>
        <v>82921000</v>
      </c>
      <c r="G27" s="116">
        <f>G30+G41+G77+G59+G113</f>
        <v>73655639.78602898</v>
      </c>
      <c r="H27" s="116">
        <f>H30+H41+H77+H59+H113</f>
        <v>72700000</v>
      </c>
      <c r="I27" s="116"/>
      <c r="J27" s="116">
        <f>G27+H27</f>
        <v>146355639.78602898</v>
      </c>
      <c r="K27" s="116">
        <f>K30+K41+K77+K59+K113</f>
        <v>0</v>
      </c>
      <c r="L27" s="116">
        <f>L30+L41+L77+L59+L113</f>
        <v>0</v>
      </c>
      <c r="M27" s="116">
        <f>M30+M41+M77+M59+M113</f>
        <v>0</v>
      </c>
      <c r="N27" s="116">
        <f>N30+N41+N77+N59+N113</f>
        <v>124756000.00416</v>
      </c>
      <c r="O27" s="116" t="e">
        <f>O31+O42+#REF!+#REF!</f>
        <v>#REF!</v>
      </c>
      <c r="P27" s="116" t="e">
        <f>N27+O27</f>
        <v>#REF!</v>
      </c>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row>
    <row r="28" spans="1:235" s="83" customFormat="1" ht="13.5" customHeight="1">
      <c r="A28" s="105" t="s">
        <v>217</v>
      </c>
      <c r="B28" s="105"/>
      <c r="C28" s="105"/>
      <c r="D28" s="116">
        <v>132300</v>
      </c>
      <c r="E28" s="116"/>
      <c r="F28" s="116">
        <f>D28+E28</f>
        <v>132300</v>
      </c>
      <c r="G28" s="116">
        <f>135000+37439.79</f>
        <v>172439.79</v>
      </c>
      <c r="H28" s="116"/>
      <c r="I28" s="116"/>
      <c r="J28" s="116">
        <f>G28+H28</f>
        <v>172439.79</v>
      </c>
      <c r="K28" s="116"/>
      <c r="L28" s="116"/>
      <c r="M28" s="116"/>
      <c r="N28" s="116">
        <f>165000-165000</f>
        <v>0</v>
      </c>
      <c r="O28" s="116"/>
      <c r="P28" s="116">
        <f>N28+O28</f>
        <v>0</v>
      </c>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row>
    <row r="29" spans="1:235" s="83" customFormat="1" ht="24">
      <c r="A29" s="105" t="s">
        <v>323</v>
      </c>
      <c r="B29" s="105"/>
      <c r="C29" s="105"/>
      <c r="D29" s="116"/>
      <c r="E29" s="116"/>
      <c r="F29" s="116"/>
      <c r="G29" s="116">
        <f>G252*G257</f>
        <v>365080.002</v>
      </c>
      <c r="H29" s="116">
        <f aca="true" t="shared" si="5" ref="H29:O29">H252*H257</f>
        <v>0</v>
      </c>
      <c r="I29" s="116">
        <f t="shared" si="5"/>
        <v>0</v>
      </c>
      <c r="J29" s="116">
        <f>G29+H29+I29</f>
        <v>365080.002</v>
      </c>
      <c r="K29" s="116">
        <f t="shared" si="5"/>
        <v>0</v>
      </c>
      <c r="L29" s="116">
        <f t="shared" si="5"/>
        <v>0</v>
      </c>
      <c r="M29" s="116">
        <f t="shared" si="5"/>
        <v>0</v>
      </c>
      <c r="N29" s="116">
        <f t="shared" si="5"/>
        <v>100000.23936608182</v>
      </c>
      <c r="O29" s="116">
        <f t="shared" si="5"/>
        <v>0</v>
      </c>
      <c r="P29" s="116">
        <f>N29+O29</f>
        <v>100000.23936608182</v>
      </c>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row>
    <row r="30" spans="1:235" s="99" customFormat="1" ht="33.75">
      <c r="A30" s="80" t="s">
        <v>44</v>
      </c>
      <c r="B30" s="86"/>
      <c r="C30" s="86"/>
      <c r="D30" s="87"/>
      <c r="E30" s="87">
        <f>E37*E35</f>
        <v>22500000</v>
      </c>
      <c r="F30" s="87">
        <f>F37*F35</f>
        <v>22500000</v>
      </c>
      <c r="G30" s="87"/>
      <c r="H30" s="87">
        <f>H35*H37</f>
        <v>71500000</v>
      </c>
      <c r="I30" s="87"/>
      <c r="J30" s="87">
        <f>H30</f>
        <v>71500000</v>
      </c>
      <c r="K30" s="92"/>
      <c r="L30" s="92"/>
      <c r="M30" s="92"/>
      <c r="N30" s="87"/>
      <c r="O30" s="87">
        <f>(O37*O35)</f>
        <v>32400000</v>
      </c>
      <c r="P30" s="87">
        <f>(P37*P35)</f>
        <v>32400000</v>
      </c>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row>
    <row r="31" spans="1:235" s="48" customFormat="1" ht="12">
      <c r="A31" s="52" t="s">
        <v>4</v>
      </c>
      <c r="B31" s="59"/>
      <c r="C31" s="59"/>
      <c r="D31" s="62"/>
      <c r="E31" s="62"/>
      <c r="F31" s="62"/>
      <c r="G31" s="62"/>
      <c r="H31" s="62"/>
      <c r="I31" s="62"/>
      <c r="J31" s="62"/>
      <c r="K31" s="61"/>
      <c r="L31" s="61"/>
      <c r="M31" s="61"/>
      <c r="N31" s="62"/>
      <c r="O31" s="62"/>
      <c r="P31" s="62"/>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row>
    <row r="32" spans="1:235" s="48" customFormat="1" ht="27" customHeight="1">
      <c r="A32" s="53" t="s">
        <v>9</v>
      </c>
      <c r="B32" s="57"/>
      <c r="C32" s="57"/>
      <c r="D32" s="60"/>
      <c r="E32" s="60">
        <v>270000</v>
      </c>
      <c r="F32" s="60">
        <f>E32</f>
        <v>270000</v>
      </c>
      <c r="G32" s="60"/>
      <c r="H32" s="60">
        <v>270000</v>
      </c>
      <c r="I32" s="60"/>
      <c r="J32" s="60">
        <f>H32</f>
        <v>270000</v>
      </c>
      <c r="K32" s="61"/>
      <c r="L32" s="61"/>
      <c r="M32" s="61"/>
      <c r="N32" s="60"/>
      <c r="O32" s="60">
        <v>300000</v>
      </c>
      <c r="P32" s="60">
        <f>O32</f>
        <v>300000</v>
      </c>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row>
    <row r="33" spans="1:235" s="48" customFormat="1" ht="27" customHeight="1">
      <c r="A33" s="53" t="s">
        <v>220</v>
      </c>
      <c r="B33" s="57"/>
      <c r="C33" s="57"/>
      <c r="D33" s="60"/>
      <c r="E33" s="60"/>
      <c r="F33" s="60"/>
      <c r="G33" s="60"/>
      <c r="H33" s="60"/>
      <c r="I33" s="60"/>
      <c r="J33" s="60"/>
      <c r="K33" s="61"/>
      <c r="L33" s="61"/>
      <c r="M33" s="61"/>
      <c r="N33" s="60"/>
      <c r="O33" s="60"/>
      <c r="P33" s="60"/>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row>
    <row r="34" spans="1:235" s="48" customFormat="1" ht="12">
      <c r="A34" s="52" t="s">
        <v>5</v>
      </c>
      <c r="B34" s="59"/>
      <c r="C34" s="59"/>
      <c r="D34" s="60"/>
      <c r="E34" s="62"/>
      <c r="F34" s="62"/>
      <c r="G34" s="60"/>
      <c r="H34" s="62"/>
      <c r="I34" s="62"/>
      <c r="J34" s="62"/>
      <c r="K34" s="61"/>
      <c r="L34" s="61"/>
      <c r="M34" s="61"/>
      <c r="N34" s="60"/>
      <c r="O34" s="62"/>
      <c r="P34" s="62"/>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row>
    <row r="35" spans="1:235" s="48" customFormat="1" ht="22.5">
      <c r="A35" s="53" t="s">
        <v>12</v>
      </c>
      <c r="B35" s="57"/>
      <c r="C35" s="57"/>
      <c r="D35" s="60"/>
      <c r="E35" s="60">
        <f>50000+25000</f>
        <v>75000</v>
      </c>
      <c r="F35" s="60">
        <f>E35</f>
        <v>75000</v>
      </c>
      <c r="G35" s="60"/>
      <c r="H35" s="60">
        <f>50000+25000+103750</f>
        <v>178750</v>
      </c>
      <c r="I35" s="60"/>
      <c r="J35" s="60">
        <f>H35</f>
        <v>178750</v>
      </c>
      <c r="K35" s="61"/>
      <c r="L35" s="61"/>
      <c r="M35" s="61"/>
      <c r="N35" s="60"/>
      <c r="O35" s="60">
        <f>54000+27000</f>
        <v>81000</v>
      </c>
      <c r="P35" s="60">
        <f>O35</f>
        <v>81000</v>
      </c>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row>
    <row r="36" spans="1:235" s="48" customFormat="1" ht="12">
      <c r="A36" s="52" t="s">
        <v>7</v>
      </c>
      <c r="B36" s="59"/>
      <c r="C36" s="59"/>
      <c r="D36" s="60"/>
      <c r="E36" s="62"/>
      <c r="F36" s="62"/>
      <c r="G36" s="60"/>
      <c r="H36" s="62"/>
      <c r="I36" s="62"/>
      <c r="J36" s="62"/>
      <c r="K36" s="61"/>
      <c r="L36" s="61"/>
      <c r="M36" s="61"/>
      <c r="N36" s="60"/>
      <c r="O36" s="62"/>
      <c r="P36" s="62"/>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row>
    <row r="37" spans="1:235" s="48" customFormat="1" ht="22.5">
      <c r="A37" s="53" t="s">
        <v>17</v>
      </c>
      <c r="B37" s="57"/>
      <c r="C37" s="57"/>
      <c r="D37" s="60"/>
      <c r="E37" s="60">
        <v>300</v>
      </c>
      <c r="F37" s="60">
        <f>E37</f>
        <v>300</v>
      </c>
      <c r="G37" s="60"/>
      <c r="H37" s="60">
        <v>400</v>
      </c>
      <c r="I37" s="60"/>
      <c r="J37" s="60">
        <f>H37</f>
        <v>400</v>
      </c>
      <c r="K37" s="61"/>
      <c r="L37" s="61"/>
      <c r="M37" s="61"/>
      <c r="N37" s="60"/>
      <c r="O37" s="60">
        <v>400</v>
      </c>
      <c r="P37" s="60">
        <f>O37</f>
        <v>400</v>
      </c>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row>
    <row r="38" spans="1:235" s="48" customFormat="1" ht="12">
      <c r="A38" s="52" t="s">
        <v>6</v>
      </c>
      <c r="B38" s="59"/>
      <c r="C38" s="59"/>
      <c r="D38" s="60"/>
      <c r="E38" s="62"/>
      <c r="F38" s="62"/>
      <c r="G38" s="60"/>
      <c r="H38" s="62"/>
      <c r="I38" s="62"/>
      <c r="J38" s="62"/>
      <c r="K38" s="61"/>
      <c r="L38" s="61"/>
      <c r="M38" s="61"/>
      <c r="N38" s="60"/>
      <c r="O38" s="62"/>
      <c r="P38" s="62"/>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row>
    <row r="39" spans="1:235" s="48" customFormat="1" ht="22.5">
      <c r="A39" s="53" t="s">
        <v>23</v>
      </c>
      <c r="B39" s="57"/>
      <c r="C39" s="57"/>
      <c r="D39" s="60"/>
      <c r="E39" s="60">
        <f>E35/E32*100</f>
        <v>27.77777777777778</v>
      </c>
      <c r="F39" s="60">
        <f>F35/F32*100</f>
        <v>27.77777777777778</v>
      </c>
      <c r="G39" s="60"/>
      <c r="H39" s="60">
        <f>H35/H32*100</f>
        <v>66.20370370370371</v>
      </c>
      <c r="I39" s="60"/>
      <c r="J39" s="60">
        <f>J35/J32*100</f>
        <v>66.20370370370371</v>
      </c>
      <c r="K39" s="61"/>
      <c r="L39" s="61"/>
      <c r="M39" s="61"/>
      <c r="N39" s="60"/>
      <c r="O39" s="60">
        <f>O35/O32*100</f>
        <v>27</v>
      </c>
      <c r="P39" s="60">
        <f>P35/P32*100</f>
        <v>27</v>
      </c>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row>
    <row r="40" spans="1:235" s="175" customFormat="1" ht="27" customHeight="1">
      <c r="A40" s="105" t="s">
        <v>417</v>
      </c>
      <c r="B40" s="75"/>
      <c r="C40" s="75"/>
      <c r="D40" s="76"/>
      <c r="E40" s="76"/>
      <c r="F40" s="76"/>
      <c r="G40" s="76"/>
      <c r="H40" s="76"/>
      <c r="I40" s="76"/>
      <c r="J40" s="76"/>
      <c r="K40" s="173"/>
      <c r="L40" s="173"/>
      <c r="M40" s="173"/>
      <c r="N40" s="76"/>
      <c r="O40" s="76"/>
      <c r="P40" s="76"/>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row>
    <row r="41" spans="1:235" s="99" customFormat="1" ht="35.25" customHeight="1">
      <c r="A41" s="80" t="s">
        <v>92</v>
      </c>
      <c r="B41" s="86"/>
      <c r="C41" s="86"/>
      <c r="D41" s="87">
        <f>D47*D45+100</f>
        <v>29500000</v>
      </c>
      <c r="E41" s="87"/>
      <c r="F41" s="87">
        <f>F47*F45+100</f>
        <v>29500000</v>
      </c>
      <c r="G41" s="87">
        <f>G45*G47</f>
        <v>38399999.9985</v>
      </c>
      <c r="H41" s="87"/>
      <c r="I41" s="87"/>
      <c r="J41" s="87">
        <f>G41</f>
        <v>38399999.9985</v>
      </c>
      <c r="K41" s="92"/>
      <c r="L41" s="92"/>
      <c r="M41" s="92"/>
      <c r="N41" s="87">
        <f>N45*N47</f>
        <v>38484960</v>
      </c>
      <c r="O41" s="87"/>
      <c r="P41" s="87">
        <f>N41</f>
        <v>38484960</v>
      </c>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row>
    <row r="42" spans="1:235" s="48" customFormat="1" ht="12">
      <c r="A42" s="52" t="s">
        <v>4</v>
      </c>
      <c r="B42" s="59"/>
      <c r="C42" s="59"/>
      <c r="D42" s="60"/>
      <c r="E42" s="60"/>
      <c r="F42" s="60"/>
      <c r="G42" s="60"/>
      <c r="H42" s="60"/>
      <c r="I42" s="60"/>
      <c r="J42" s="60"/>
      <c r="K42" s="61"/>
      <c r="L42" s="61"/>
      <c r="M42" s="61"/>
      <c r="N42" s="60"/>
      <c r="O42" s="60"/>
      <c r="P42" s="60"/>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row>
    <row r="43" spans="1:235" s="48" customFormat="1" ht="22.5">
      <c r="A43" s="53" t="s">
        <v>10</v>
      </c>
      <c r="B43" s="57"/>
      <c r="C43" s="57"/>
      <c r="D43" s="60">
        <v>292000</v>
      </c>
      <c r="E43" s="60"/>
      <c r="F43" s="60">
        <f>D43</f>
        <v>292000</v>
      </c>
      <c r="G43" s="60">
        <v>292000</v>
      </c>
      <c r="H43" s="60"/>
      <c r="I43" s="60"/>
      <c r="J43" s="60">
        <f>G43</f>
        <v>292000</v>
      </c>
      <c r="K43" s="61"/>
      <c r="L43" s="61"/>
      <c r="M43" s="61"/>
      <c r="N43" s="60">
        <v>300000</v>
      </c>
      <c r="O43" s="60"/>
      <c r="P43" s="60">
        <f>N43</f>
        <v>300000</v>
      </c>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row>
    <row r="44" spans="1:235" s="48" customFormat="1" ht="12">
      <c r="A44" s="52" t="s">
        <v>5</v>
      </c>
      <c r="B44" s="59"/>
      <c r="C44" s="59"/>
      <c r="D44" s="60"/>
      <c r="E44" s="60"/>
      <c r="F44" s="60"/>
      <c r="G44" s="60"/>
      <c r="H44" s="60"/>
      <c r="I44" s="60"/>
      <c r="J44" s="60"/>
      <c r="K44" s="61"/>
      <c r="L44" s="61"/>
      <c r="M44" s="61"/>
      <c r="N44" s="60"/>
      <c r="O44" s="60"/>
      <c r="P44" s="60"/>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row>
    <row r="45" spans="1:235" s="48" customFormat="1" ht="22.5">
      <c r="A45" s="53" t="s">
        <v>11</v>
      </c>
      <c r="B45" s="57"/>
      <c r="C45" s="57"/>
      <c r="D45" s="60">
        <f>73333+25000</f>
        <v>98333</v>
      </c>
      <c r="E45" s="60"/>
      <c r="F45" s="60">
        <f>D45</f>
        <v>98333</v>
      </c>
      <c r="G45" s="60">
        <f>73333+25000+8333</f>
        <v>106666</v>
      </c>
      <c r="H45" s="60"/>
      <c r="I45" s="60"/>
      <c r="J45" s="60">
        <f>G45</f>
        <v>106666</v>
      </c>
      <c r="K45" s="61"/>
      <c r="L45" s="61"/>
      <c r="M45" s="61"/>
      <c r="N45" s="111">
        <f>79200+27000-9987.6</f>
        <v>96212.4</v>
      </c>
      <c r="O45" s="60"/>
      <c r="P45" s="60">
        <f>N45</f>
        <v>96212.4</v>
      </c>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row>
    <row r="46" spans="1:235" s="48" customFormat="1" ht="12">
      <c r="A46" s="52" t="s">
        <v>7</v>
      </c>
      <c r="B46" s="59"/>
      <c r="C46" s="59"/>
      <c r="D46" s="60"/>
      <c r="E46" s="60"/>
      <c r="F46" s="60"/>
      <c r="G46" s="60"/>
      <c r="H46" s="60"/>
      <c r="I46" s="60"/>
      <c r="J46" s="60"/>
      <c r="K46" s="61"/>
      <c r="L46" s="61"/>
      <c r="M46" s="61"/>
      <c r="N46" s="60"/>
      <c r="O46" s="60"/>
      <c r="P46" s="60"/>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row>
    <row r="47" spans="1:235" s="48" customFormat="1" ht="24" customHeight="1">
      <c r="A47" s="53" t="s">
        <v>20</v>
      </c>
      <c r="B47" s="57"/>
      <c r="C47" s="57"/>
      <c r="D47" s="60">
        <v>300</v>
      </c>
      <c r="E47" s="60"/>
      <c r="F47" s="60">
        <f>D47</f>
        <v>300</v>
      </c>
      <c r="G47" s="60">
        <v>360.00225</v>
      </c>
      <c r="H47" s="60"/>
      <c r="I47" s="60"/>
      <c r="J47" s="60">
        <f>G47</f>
        <v>360.00225</v>
      </c>
      <c r="K47" s="61"/>
      <c r="L47" s="61"/>
      <c r="M47" s="61"/>
      <c r="N47" s="60">
        <v>400</v>
      </c>
      <c r="O47" s="60"/>
      <c r="P47" s="60">
        <f>N47</f>
        <v>400</v>
      </c>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row>
    <row r="48" spans="1:235" s="48" customFormat="1" ht="12">
      <c r="A48" s="52" t="s">
        <v>6</v>
      </c>
      <c r="B48" s="59"/>
      <c r="C48" s="59"/>
      <c r="D48" s="60"/>
      <c r="E48" s="60"/>
      <c r="F48" s="60"/>
      <c r="G48" s="60"/>
      <c r="H48" s="60"/>
      <c r="I48" s="60"/>
      <c r="J48" s="60"/>
      <c r="K48" s="61"/>
      <c r="L48" s="61"/>
      <c r="M48" s="61"/>
      <c r="N48" s="60"/>
      <c r="O48" s="60"/>
      <c r="P48" s="60"/>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row>
    <row r="49" spans="1:235" s="48" customFormat="1" ht="21.75" customHeight="1">
      <c r="A49" s="53" t="s">
        <v>22</v>
      </c>
      <c r="B49" s="57"/>
      <c r="C49" s="57"/>
      <c r="D49" s="60">
        <f aca="true" t="shared" si="6" ref="D49:J49">D45/D43*100</f>
        <v>33.67568493150685</v>
      </c>
      <c r="E49" s="60"/>
      <c r="F49" s="60">
        <f t="shared" si="6"/>
        <v>33.67568493150685</v>
      </c>
      <c r="G49" s="60">
        <f t="shared" si="6"/>
        <v>36.52945205479452</v>
      </c>
      <c r="H49" s="60"/>
      <c r="I49" s="60"/>
      <c r="J49" s="60">
        <f t="shared" si="6"/>
        <v>36.52945205479452</v>
      </c>
      <c r="K49" s="61"/>
      <c r="L49" s="61"/>
      <c r="M49" s="61"/>
      <c r="N49" s="60">
        <f>N45/N43*100</f>
        <v>32.0708</v>
      </c>
      <c r="O49" s="60"/>
      <c r="P49" s="60">
        <f>P45/P43*100</f>
        <v>32.0708</v>
      </c>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row>
    <row r="50" spans="1:235" s="99" customFormat="1" ht="35.25" customHeight="1">
      <c r="A50" s="80" t="s">
        <v>335</v>
      </c>
      <c r="B50" s="86"/>
      <c r="C50" s="86"/>
      <c r="D50" s="87">
        <f>D56*D54+100</f>
        <v>29500000</v>
      </c>
      <c r="E50" s="87"/>
      <c r="F50" s="87">
        <f>F56*F54</f>
        <v>0</v>
      </c>
      <c r="G50" s="87">
        <f>G54*G56</f>
        <v>150000</v>
      </c>
      <c r="H50" s="87"/>
      <c r="I50" s="87"/>
      <c r="J50" s="87">
        <f>G50</f>
        <v>150000</v>
      </c>
      <c r="K50" s="92"/>
      <c r="L50" s="92"/>
      <c r="M50" s="92"/>
      <c r="N50" s="87">
        <f>N54*N56</f>
        <v>16800000</v>
      </c>
      <c r="O50" s="87"/>
      <c r="P50" s="87">
        <f>N50</f>
        <v>16800000</v>
      </c>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row>
    <row r="51" spans="1:235" s="48" customFormat="1" ht="12">
      <c r="A51" s="52" t="s">
        <v>4</v>
      </c>
      <c r="B51" s="59"/>
      <c r="C51" s="59"/>
      <c r="D51" s="60"/>
      <c r="E51" s="60"/>
      <c r="F51" s="60"/>
      <c r="G51" s="60"/>
      <c r="H51" s="60"/>
      <c r="I51" s="60"/>
      <c r="J51" s="60"/>
      <c r="K51" s="61"/>
      <c r="L51" s="61"/>
      <c r="M51" s="61"/>
      <c r="N51" s="60"/>
      <c r="O51" s="60"/>
      <c r="P51" s="60"/>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row>
    <row r="52" spans="1:235" s="48" customFormat="1" ht="22.5">
      <c r="A52" s="53" t="s">
        <v>337</v>
      </c>
      <c r="B52" s="57"/>
      <c r="C52" s="57"/>
      <c r="D52" s="60">
        <v>292000</v>
      </c>
      <c r="E52" s="60"/>
      <c r="F52" s="60"/>
      <c r="G52" s="60">
        <v>4</v>
      </c>
      <c r="H52" s="60"/>
      <c r="I52" s="60"/>
      <c r="J52" s="60">
        <f>G52</f>
        <v>4</v>
      </c>
      <c r="K52" s="61"/>
      <c r="L52" s="61"/>
      <c r="M52" s="61"/>
      <c r="N52" s="60">
        <v>3</v>
      </c>
      <c r="O52" s="60"/>
      <c r="P52" s="60">
        <f>N52</f>
        <v>3</v>
      </c>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row>
    <row r="53" spans="1:235" s="48" customFormat="1" ht="12">
      <c r="A53" s="52" t="s">
        <v>5</v>
      </c>
      <c r="B53" s="59"/>
      <c r="C53" s="59"/>
      <c r="D53" s="60"/>
      <c r="E53" s="60"/>
      <c r="F53" s="60"/>
      <c r="G53" s="60"/>
      <c r="H53" s="60"/>
      <c r="I53" s="60"/>
      <c r="J53" s="60"/>
      <c r="K53" s="61"/>
      <c r="L53" s="61"/>
      <c r="M53" s="61"/>
      <c r="N53" s="60"/>
      <c r="O53" s="60"/>
      <c r="P53" s="60"/>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row>
    <row r="54" spans="1:235" s="48" customFormat="1" ht="22.5">
      <c r="A54" s="53" t="s">
        <v>336</v>
      </c>
      <c r="B54" s="57"/>
      <c r="C54" s="57"/>
      <c r="D54" s="60">
        <f>73333+25000</f>
        <v>98333</v>
      </c>
      <c r="E54" s="60"/>
      <c r="F54" s="60"/>
      <c r="G54" s="60">
        <v>1</v>
      </c>
      <c r="H54" s="60"/>
      <c r="I54" s="60"/>
      <c r="J54" s="60">
        <f>G54</f>
        <v>1</v>
      </c>
      <c r="K54" s="61"/>
      <c r="L54" s="61"/>
      <c r="M54" s="61"/>
      <c r="N54" s="60">
        <v>4</v>
      </c>
      <c r="O54" s="60"/>
      <c r="P54" s="60">
        <f>N54</f>
        <v>4</v>
      </c>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row>
    <row r="55" spans="1:235" s="48" customFormat="1" ht="12">
      <c r="A55" s="52" t="s">
        <v>7</v>
      </c>
      <c r="B55" s="59"/>
      <c r="C55" s="59"/>
      <c r="D55" s="60"/>
      <c r="E55" s="60"/>
      <c r="F55" s="60"/>
      <c r="G55" s="60"/>
      <c r="H55" s="60"/>
      <c r="I55" s="60"/>
      <c r="J55" s="60"/>
      <c r="K55" s="61"/>
      <c r="L55" s="61"/>
      <c r="M55" s="61"/>
      <c r="N55" s="60"/>
      <c r="O55" s="60"/>
      <c r="P55" s="60"/>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row>
    <row r="56" spans="1:235" s="48" customFormat="1" ht="22.5">
      <c r="A56" s="53" t="s">
        <v>338</v>
      </c>
      <c r="B56" s="57"/>
      <c r="C56" s="57"/>
      <c r="D56" s="60">
        <v>300</v>
      </c>
      <c r="E56" s="60"/>
      <c r="F56" s="60"/>
      <c r="G56" s="60">
        <v>150000</v>
      </c>
      <c r="H56" s="60"/>
      <c r="I56" s="60"/>
      <c r="J56" s="60">
        <f>G56</f>
        <v>150000</v>
      </c>
      <c r="K56" s="61"/>
      <c r="L56" s="61"/>
      <c r="M56" s="61"/>
      <c r="N56" s="60">
        <v>4200000</v>
      </c>
      <c r="O56" s="60"/>
      <c r="P56" s="60">
        <f>N56</f>
        <v>4200000</v>
      </c>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row>
    <row r="57" spans="1:235" s="48" customFormat="1" ht="12">
      <c r="A57" s="52" t="s">
        <v>6</v>
      </c>
      <c r="B57" s="59"/>
      <c r="C57" s="59"/>
      <c r="D57" s="60"/>
      <c r="E57" s="60"/>
      <c r="F57" s="60"/>
      <c r="G57" s="60"/>
      <c r="H57" s="60"/>
      <c r="I57" s="60"/>
      <c r="J57" s="60"/>
      <c r="K57" s="61"/>
      <c r="L57" s="61"/>
      <c r="M57" s="61"/>
      <c r="N57" s="60"/>
      <c r="O57" s="60"/>
      <c r="P57" s="60"/>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row>
    <row r="58" spans="1:235" s="48" customFormat="1" ht="21.75" customHeight="1">
      <c r="A58" s="53" t="s">
        <v>339</v>
      </c>
      <c r="B58" s="57"/>
      <c r="C58" s="57"/>
      <c r="D58" s="60">
        <f>D54/D52*100</f>
        <v>33.67568493150685</v>
      </c>
      <c r="E58" s="60"/>
      <c r="F58" s="60"/>
      <c r="G58" s="60">
        <f>G54/G52</f>
        <v>0.25</v>
      </c>
      <c r="H58" s="60"/>
      <c r="I58" s="60"/>
      <c r="J58" s="60">
        <f>J54/J52*100</f>
        <v>25</v>
      </c>
      <c r="K58" s="61"/>
      <c r="L58" s="61"/>
      <c r="M58" s="61"/>
      <c r="N58" s="60">
        <f>N54/N52*100</f>
        <v>133.33333333333331</v>
      </c>
      <c r="O58" s="60"/>
      <c r="P58" s="60">
        <f>P54/P52*100</f>
        <v>133.33333333333331</v>
      </c>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row>
    <row r="59" spans="1:235" s="99" customFormat="1" ht="28.5" customHeight="1">
      <c r="A59" s="80" t="s">
        <v>340</v>
      </c>
      <c r="B59" s="86"/>
      <c r="C59" s="86"/>
      <c r="D59" s="87">
        <f>(D63*D65)+0.4</f>
        <v>19000000</v>
      </c>
      <c r="E59" s="87"/>
      <c r="F59" s="87">
        <f>(F63*F65)+0.4</f>
        <v>19000000</v>
      </c>
      <c r="G59" s="87">
        <f>G63*G65</f>
        <v>22799999.9995862</v>
      </c>
      <c r="H59" s="87"/>
      <c r="I59" s="87"/>
      <c r="J59" s="87">
        <f>G59</f>
        <v>22799999.9995862</v>
      </c>
      <c r="K59" s="92"/>
      <c r="L59" s="92"/>
      <c r="M59" s="92"/>
      <c r="N59" s="87">
        <f>N63*N65</f>
        <v>30683040</v>
      </c>
      <c r="O59" s="87"/>
      <c r="P59" s="87">
        <f>N59</f>
        <v>30683040</v>
      </c>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row>
    <row r="60" spans="1:235" s="48" customFormat="1" ht="12">
      <c r="A60" s="52" t="s">
        <v>4</v>
      </c>
      <c r="B60" s="59"/>
      <c r="C60" s="59"/>
      <c r="D60" s="60"/>
      <c r="E60" s="60"/>
      <c r="F60" s="60"/>
      <c r="G60" s="60"/>
      <c r="H60" s="60"/>
      <c r="I60" s="60"/>
      <c r="J60" s="60"/>
      <c r="K60" s="61"/>
      <c r="L60" s="61"/>
      <c r="M60" s="61"/>
      <c r="N60" s="60"/>
      <c r="O60" s="60"/>
      <c r="P60" s="60"/>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row>
    <row r="61" spans="1:235" s="48" customFormat="1" ht="22.5">
      <c r="A61" s="53" t="s">
        <v>83</v>
      </c>
      <c r="B61" s="57"/>
      <c r="C61" s="57"/>
      <c r="D61" s="60">
        <v>3372600</v>
      </c>
      <c r="E61" s="60"/>
      <c r="F61" s="60">
        <f>D61</f>
        <v>3372600</v>
      </c>
      <c r="G61" s="60">
        <v>3372600</v>
      </c>
      <c r="H61" s="60"/>
      <c r="I61" s="60"/>
      <c r="J61" s="60">
        <f>G61</f>
        <v>3372600</v>
      </c>
      <c r="K61" s="61"/>
      <c r="L61" s="61"/>
      <c r="M61" s="61"/>
      <c r="N61" s="60">
        <v>3372600</v>
      </c>
      <c r="O61" s="60"/>
      <c r="P61" s="60">
        <f>N61</f>
        <v>3372600</v>
      </c>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row>
    <row r="62" spans="1:235" s="48" customFormat="1" ht="12">
      <c r="A62" s="52" t="s">
        <v>5</v>
      </c>
      <c r="B62" s="59"/>
      <c r="C62" s="59"/>
      <c r="D62" s="60"/>
      <c r="E62" s="60"/>
      <c r="F62" s="60"/>
      <c r="G62" s="60"/>
      <c r="H62" s="60"/>
      <c r="I62" s="60"/>
      <c r="J62" s="60"/>
      <c r="K62" s="61"/>
      <c r="L62" s="61"/>
      <c r="M62" s="61"/>
      <c r="N62" s="60"/>
      <c r="O62" s="60"/>
      <c r="P62" s="60"/>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row>
    <row r="63" spans="1:235" s="48" customFormat="1" ht="21.75" customHeight="1">
      <c r="A63" s="53" t="s">
        <v>84</v>
      </c>
      <c r="B63" s="57"/>
      <c r="C63" s="57"/>
      <c r="D63" s="60">
        <v>1310344.8</v>
      </c>
      <c r="E63" s="60"/>
      <c r="F63" s="60">
        <f>D63</f>
        <v>1310344.8</v>
      </c>
      <c r="G63" s="60">
        <v>1310344.8</v>
      </c>
      <c r="H63" s="60"/>
      <c r="I63" s="60"/>
      <c r="J63" s="60">
        <f>G63</f>
        <v>1310344.8</v>
      </c>
      <c r="K63" s="61"/>
      <c r="L63" s="61"/>
      <c r="M63" s="61"/>
      <c r="N63" s="111">
        <f>1425000+173075</f>
        <v>1598075</v>
      </c>
      <c r="O63" s="60"/>
      <c r="P63" s="60">
        <f>N63</f>
        <v>1598075</v>
      </c>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row>
    <row r="64" spans="1:235" s="48" customFormat="1" ht="12">
      <c r="A64" s="52" t="s">
        <v>7</v>
      </c>
      <c r="B64" s="59"/>
      <c r="C64" s="59"/>
      <c r="D64" s="60"/>
      <c r="E64" s="60"/>
      <c r="F64" s="60"/>
      <c r="G64" s="60"/>
      <c r="H64" s="60"/>
      <c r="I64" s="60"/>
      <c r="J64" s="60"/>
      <c r="K64" s="61"/>
      <c r="L64" s="61"/>
      <c r="M64" s="61"/>
      <c r="N64" s="60"/>
      <c r="O64" s="60"/>
      <c r="P64" s="60"/>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row>
    <row r="65" spans="1:235" s="48" customFormat="1" ht="21.75" customHeight="1">
      <c r="A65" s="53" t="s">
        <v>18</v>
      </c>
      <c r="B65" s="57"/>
      <c r="C65" s="57"/>
      <c r="D65" s="60">
        <v>14.5</v>
      </c>
      <c r="E65" s="60"/>
      <c r="F65" s="60">
        <f>D65</f>
        <v>14.5</v>
      </c>
      <c r="G65" s="60">
        <v>17.400000366</v>
      </c>
      <c r="H65" s="60"/>
      <c r="I65" s="60"/>
      <c r="J65" s="60">
        <f>G65</f>
        <v>17.400000366</v>
      </c>
      <c r="K65" s="61"/>
      <c r="L65" s="61"/>
      <c r="M65" s="61"/>
      <c r="N65" s="60">
        <v>19.2</v>
      </c>
      <c r="O65" s="60"/>
      <c r="P65" s="60">
        <f>N65</f>
        <v>19.2</v>
      </c>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row>
    <row r="66" spans="1:235" s="48" customFormat="1" ht="12">
      <c r="A66" s="52" t="s">
        <v>6</v>
      </c>
      <c r="B66" s="59"/>
      <c r="C66" s="59"/>
      <c r="D66" s="60"/>
      <c r="E66" s="60"/>
      <c r="F66" s="60"/>
      <c r="G66" s="60"/>
      <c r="H66" s="60"/>
      <c r="I66" s="60"/>
      <c r="J66" s="60"/>
      <c r="K66" s="61"/>
      <c r="L66" s="61"/>
      <c r="M66" s="61"/>
      <c r="N66" s="60"/>
      <c r="O66" s="60"/>
      <c r="P66" s="60"/>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row>
    <row r="67" spans="1:235" s="48" customFormat="1" ht="26.25" customHeight="1">
      <c r="A67" s="53" t="s">
        <v>85</v>
      </c>
      <c r="B67" s="57"/>
      <c r="C67" s="57"/>
      <c r="D67" s="60">
        <f>D63/D61*100</f>
        <v>38.852659669098024</v>
      </c>
      <c r="E67" s="60"/>
      <c r="F67" s="60">
        <f>F63/F61*100</f>
        <v>38.852659669098024</v>
      </c>
      <c r="G67" s="60">
        <f>G63/G61*100</f>
        <v>38.852659669098024</v>
      </c>
      <c r="H67" s="60"/>
      <c r="I67" s="60"/>
      <c r="J67" s="60">
        <f>J63/J61*100</f>
        <v>38.852659669098024</v>
      </c>
      <c r="K67" s="61"/>
      <c r="L67" s="61"/>
      <c r="M67" s="61"/>
      <c r="N67" s="60">
        <f>N63/N61*100</f>
        <v>47.38406570598352</v>
      </c>
      <c r="O67" s="60"/>
      <c r="P67" s="60">
        <f>P63/P61*100</f>
        <v>47.38406570598352</v>
      </c>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row>
    <row r="68" spans="1:235" s="48" customFormat="1" ht="0.75" customHeight="1" hidden="1">
      <c r="A68" s="53"/>
      <c r="B68" s="57"/>
      <c r="C68" s="57"/>
      <c r="D68" s="60"/>
      <c r="E68" s="60"/>
      <c r="F68" s="60"/>
      <c r="G68" s="60"/>
      <c r="H68" s="60"/>
      <c r="I68" s="60"/>
      <c r="J68" s="60"/>
      <c r="K68" s="61"/>
      <c r="L68" s="61"/>
      <c r="M68" s="61"/>
      <c r="N68" s="60"/>
      <c r="O68" s="60"/>
      <c r="P68" s="60"/>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row>
    <row r="69" spans="1:235" s="48" customFormat="1" ht="21.75" customHeight="1" hidden="1">
      <c r="A69" s="53"/>
      <c r="B69" s="57"/>
      <c r="C69" s="57"/>
      <c r="D69" s="60"/>
      <c r="E69" s="60"/>
      <c r="F69" s="60"/>
      <c r="G69" s="60"/>
      <c r="H69" s="60"/>
      <c r="I69" s="60"/>
      <c r="J69" s="60"/>
      <c r="K69" s="61"/>
      <c r="L69" s="61"/>
      <c r="M69" s="61"/>
      <c r="N69" s="60"/>
      <c r="O69" s="60"/>
      <c r="P69" s="60"/>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row>
    <row r="70" spans="1:235" s="48" customFormat="1" ht="21.75" customHeight="1" hidden="1">
      <c r="A70" s="53"/>
      <c r="B70" s="57"/>
      <c r="C70" s="57"/>
      <c r="D70" s="60"/>
      <c r="E70" s="60"/>
      <c r="F70" s="60"/>
      <c r="G70" s="60"/>
      <c r="H70" s="60"/>
      <c r="I70" s="60"/>
      <c r="J70" s="60"/>
      <c r="K70" s="61"/>
      <c r="L70" s="61"/>
      <c r="M70" s="61"/>
      <c r="N70" s="60"/>
      <c r="O70" s="60"/>
      <c r="P70" s="60"/>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row>
    <row r="71" spans="1:235" s="48" customFormat="1" ht="1.5" customHeight="1" hidden="1">
      <c r="A71" s="53"/>
      <c r="B71" s="57"/>
      <c r="C71" s="57"/>
      <c r="D71" s="60"/>
      <c r="E71" s="60"/>
      <c r="F71" s="60"/>
      <c r="G71" s="60"/>
      <c r="H71" s="60"/>
      <c r="I71" s="60"/>
      <c r="J71" s="60"/>
      <c r="K71" s="61"/>
      <c r="L71" s="61"/>
      <c r="M71" s="61"/>
      <c r="N71" s="60"/>
      <c r="O71" s="60"/>
      <c r="P71" s="60"/>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row>
    <row r="72" spans="1:235" s="48" customFormat="1" ht="21.75" customHeight="1" hidden="1">
      <c r="A72" s="53"/>
      <c r="B72" s="57"/>
      <c r="C72" s="57"/>
      <c r="D72" s="60"/>
      <c r="E72" s="60"/>
      <c r="F72" s="60"/>
      <c r="G72" s="60"/>
      <c r="H72" s="60"/>
      <c r="I72" s="60"/>
      <c r="J72" s="60"/>
      <c r="K72" s="61"/>
      <c r="L72" s="61"/>
      <c r="M72" s="61"/>
      <c r="N72" s="60"/>
      <c r="O72" s="60"/>
      <c r="P72" s="60"/>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row>
    <row r="73" spans="1:235" s="48" customFormat="1" ht="21.75" customHeight="1" hidden="1">
      <c r="A73" s="53"/>
      <c r="B73" s="57"/>
      <c r="C73" s="57"/>
      <c r="D73" s="60"/>
      <c r="E73" s="60"/>
      <c r="F73" s="60"/>
      <c r="G73" s="60"/>
      <c r="H73" s="60"/>
      <c r="I73" s="60"/>
      <c r="J73" s="60"/>
      <c r="K73" s="61"/>
      <c r="L73" s="61"/>
      <c r="M73" s="61"/>
      <c r="N73" s="60"/>
      <c r="O73" s="60"/>
      <c r="P73" s="60"/>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row>
    <row r="74" spans="1:235" s="48" customFormat="1" ht="21.75" customHeight="1" hidden="1">
      <c r="A74" s="53"/>
      <c r="B74" s="57"/>
      <c r="C74" s="57"/>
      <c r="D74" s="60"/>
      <c r="E74" s="60"/>
      <c r="F74" s="60"/>
      <c r="G74" s="60"/>
      <c r="H74" s="60"/>
      <c r="I74" s="60"/>
      <c r="J74" s="60"/>
      <c r="K74" s="61"/>
      <c r="L74" s="61"/>
      <c r="M74" s="61"/>
      <c r="N74" s="60"/>
      <c r="O74" s="60"/>
      <c r="P74" s="60"/>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row>
    <row r="75" spans="1:235" s="48" customFormat="1" ht="21.75" customHeight="1" hidden="1">
      <c r="A75" s="53"/>
      <c r="B75" s="57"/>
      <c r="C75" s="57"/>
      <c r="D75" s="60"/>
      <c r="E75" s="60"/>
      <c r="F75" s="60"/>
      <c r="G75" s="60"/>
      <c r="H75" s="60"/>
      <c r="I75" s="60"/>
      <c r="J75" s="60"/>
      <c r="K75" s="61"/>
      <c r="L75" s="61"/>
      <c r="M75" s="61"/>
      <c r="N75" s="60"/>
      <c r="O75" s="60"/>
      <c r="P75" s="60"/>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row>
    <row r="76" spans="1:235" s="48" customFormat="1" ht="0.75" customHeight="1" hidden="1">
      <c r="A76" s="53"/>
      <c r="B76" s="57"/>
      <c r="C76" s="57"/>
      <c r="D76" s="60"/>
      <c r="E76" s="60"/>
      <c r="F76" s="60"/>
      <c r="G76" s="60"/>
      <c r="H76" s="60"/>
      <c r="I76" s="60"/>
      <c r="J76" s="60"/>
      <c r="K76" s="61"/>
      <c r="L76" s="61"/>
      <c r="M76" s="61"/>
      <c r="N76" s="60"/>
      <c r="O76" s="60"/>
      <c r="P76" s="60"/>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row>
    <row r="77" spans="1:235" s="90" customFormat="1" ht="38.25" customHeight="1">
      <c r="A77" s="80" t="s">
        <v>341</v>
      </c>
      <c r="B77" s="86"/>
      <c r="C77" s="86"/>
      <c r="D77" s="87">
        <f>(D81*D83)</f>
        <v>6352700</v>
      </c>
      <c r="E77" s="87"/>
      <c r="F77" s="87">
        <f>(F83*F81)</f>
        <v>6352700</v>
      </c>
      <c r="G77" s="87">
        <f>(G83*G81)</f>
        <v>9599999.9985</v>
      </c>
      <c r="H77" s="87"/>
      <c r="I77" s="87"/>
      <c r="J77" s="87">
        <f>G77+H77</f>
        <v>9599999.9985</v>
      </c>
      <c r="K77" s="92"/>
      <c r="L77" s="92"/>
      <c r="M77" s="92"/>
      <c r="N77" s="87">
        <f>(N81*N83)-0.08</f>
        <v>52200000.00418</v>
      </c>
      <c r="O77" s="87"/>
      <c r="P77" s="87">
        <f>N77</f>
        <v>52200000.00418</v>
      </c>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row>
    <row r="78" spans="1:16" ht="12">
      <c r="A78" s="52" t="s">
        <v>4</v>
      </c>
      <c r="B78" s="59"/>
      <c r="C78" s="59"/>
      <c r="D78" s="60"/>
      <c r="E78" s="60"/>
      <c r="F78" s="60"/>
      <c r="G78" s="60"/>
      <c r="H78" s="60"/>
      <c r="I78" s="60"/>
      <c r="J78" s="60"/>
      <c r="K78" s="61"/>
      <c r="L78" s="61"/>
      <c r="M78" s="61"/>
      <c r="N78" s="60"/>
      <c r="O78" s="60"/>
      <c r="P78" s="60"/>
    </row>
    <row r="79" spans="1:16" ht="33" customHeight="1">
      <c r="A79" s="53" t="s">
        <v>93</v>
      </c>
      <c r="B79" s="57"/>
      <c r="C79" s="57"/>
      <c r="D79" s="60">
        <v>500000</v>
      </c>
      <c r="E79" s="60"/>
      <c r="F79" s="60">
        <f>D79</f>
        <v>500000</v>
      </c>
      <c r="G79" s="60">
        <f>D79</f>
        <v>500000</v>
      </c>
      <c r="H79" s="60"/>
      <c r="I79" s="60"/>
      <c r="J79" s="60">
        <f>G79</f>
        <v>500000</v>
      </c>
      <c r="K79" s="61"/>
      <c r="L79" s="61"/>
      <c r="M79" s="61"/>
      <c r="N79" s="60">
        <f>D79</f>
        <v>500000</v>
      </c>
      <c r="O79" s="60"/>
      <c r="P79" s="60">
        <f>N79</f>
        <v>500000</v>
      </c>
    </row>
    <row r="80" spans="1:16" ht="12">
      <c r="A80" s="52" t="s">
        <v>5</v>
      </c>
      <c r="B80" s="59"/>
      <c r="C80" s="59"/>
      <c r="D80" s="60"/>
      <c r="E80" s="60"/>
      <c r="F80" s="60"/>
      <c r="G80" s="60"/>
      <c r="H80" s="60"/>
      <c r="I80" s="60"/>
      <c r="J80" s="60"/>
      <c r="K80" s="61"/>
      <c r="L80" s="61"/>
      <c r="M80" s="61"/>
      <c r="N80" s="60"/>
      <c r="O80" s="60"/>
      <c r="P80" s="60"/>
    </row>
    <row r="81" spans="1:16" ht="34.5" customHeight="1">
      <c r="A81" s="53" t="s">
        <v>94</v>
      </c>
      <c r="B81" s="57"/>
      <c r="C81" s="57"/>
      <c r="D81" s="14">
        <v>15881.75</v>
      </c>
      <c r="E81" s="60"/>
      <c r="F81" s="60">
        <f>D81</f>
        <v>15881.75</v>
      </c>
      <c r="G81" s="60">
        <v>21333.33333</v>
      </c>
      <c r="H81" s="60"/>
      <c r="I81" s="60"/>
      <c r="J81" s="60">
        <f>G81</f>
        <v>21333.33333</v>
      </c>
      <c r="K81" s="61"/>
      <c r="L81" s="61"/>
      <c r="M81" s="61"/>
      <c r="N81" s="60">
        <v>72119.4</v>
      </c>
      <c r="O81" s="60"/>
      <c r="P81" s="60">
        <f>N81</f>
        <v>72119.4</v>
      </c>
    </row>
    <row r="82" spans="1:16" ht="12">
      <c r="A82" s="52" t="s">
        <v>7</v>
      </c>
      <c r="B82" s="59"/>
      <c r="C82" s="59"/>
      <c r="D82" s="60"/>
      <c r="E82" s="60"/>
      <c r="F82" s="60"/>
      <c r="G82" s="60"/>
      <c r="H82" s="60"/>
      <c r="I82" s="60"/>
      <c r="J82" s="60"/>
      <c r="K82" s="61"/>
      <c r="L82" s="61"/>
      <c r="M82" s="61"/>
      <c r="N82" s="60"/>
      <c r="O82" s="60"/>
      <c r="P82" s="60"/>
    </row>
    <row r="83" spans="1:16" ht="33.75">
      <c r="A83" s="53" t="s">
        <v>95</v>
      </c>
      <c r="B83" s="57"/>
      <c r="C83" s="57"/>
      <c r="D83" s="60">
        <v>400</v>
      </c>
      <c r="E83" s="60"/>
      <c r="F83" s="60">
        <f>D83</f>
        <v>400</v>
      </c>
      <c r="G83" s="60">
        <v>450</v>
      </c>
      <c r="H83" s="60"/>
      <c r="I83" s="60"/>
      <c r="J83" s="60">
        <f>G83</f>
        <v>450</v>
      </c>
      <c r="K83" s="61"/>
      <c r="L83" s="61"/>
      <c r="M83" s="61"/>
      <c r="N83" s="60">
        <v>723.7997</v>
      </c>
      <c r="O83" s="60"/>
      <c r="P83" s="60">
        <f>N83</f>
        <v>723.7997</v>
      </c>
    </row>
    <row r="84" spans="1:16" ht="12">
      <c r="A84" s="52" t="s">
        <v>6</v>
      </c>
      <c r="B84" s="59"/>
      <c r="C84" s="59"/>
      <c r="D84" s="60"/>
      <c r="E84" s="60"/>
      <c r="F84" s="60"/>
      <c r="G84" s="60"/>
      <c r="H84" s="60"/>
      <c r="I84" s="60"/>
      <c r="J84" s="60"/>
      <c r="K84" s="61"/>
      <c r="L84" s="61"/>
      <c r="M84" s="61"/>
      <c r="N84" s="60"/>
      <c r="O84" s="60"/>
      <c r="P84" s="60"/>
    </row>
    <row r="85" spans="1:16" ht="45">
      <c r="A85" s="53" t="s">
        <v>96</v>
      </c>
      <c r="B85" s="57"/>
      <c r="C85" s="57"/>
      <c r="D85" s="60">
        <f>D81/D79*100</f>
        <v>3.1763500000000002</v>
      </c>
      <c r="E85" s="60"/>
      <c r="F85" s="60">
        <f>F81/F79*100</f>
        <v>3.1763500000000002</v>
      </c>
      <c r="G85" s="60">
        <f>G81/G79*100</f>
        <v>4.266666666000001</v>
      </c>
      <c r="H85" s="60"/>
      <c r="I85" s="60"/>
      <c r="J85" s="60">
        <f>J81/J79*100</f>
        <v>4.266666666000001</v>
      </c>
      <c r="K85" s="61"/>
      <c r="L85" s="61"/>
      <c r="M85" s="61"/>
      <c r="N85" s="60">
        <f>N81/N79*100</f>
        <v>14.42388</v>
      </c>
      <c r="O85" s="60"/>
      <c r="P85" s="60">
        <f>P81/P79*100</f>
        <v>14.42388</v>
      </c>
    </row>
    <row r="86" spans="1:235" s="90" customFormat="1" ht="39" customHeight="1">
      <c r="A86" s="80" t="s">
        <v>342</v>
      </c>
      <c r="B86" s="86"/>
      <c r="C86" s="86"/>
      <c r="D86" s="87"/>
      <c r="E86" s="87">
        <f>(E91*E94)+(E92*E95)</f>
        <v>32417800</v>
      </c>
      <c r="F86" s="87">
        <f>E86</f>
        <v>32417800</v>
      </c>
      <c r="G86" s="87"/>
      <c r="H86" s="87">
        <f>(H91*H94)+(H92*H95)-600781.39+599.89</f>
        <v>56164110</v>
      </c>
      <c r="I86" s="87"/>
      <c r="J86" s="87">
        <f>H86</f>
        <v>56164110</v>
      </c>
      <c r="K86" s="87">
        <f aca="true" t="shared" si="7" ref="K86:P86">(K91*K94)+(K92*K95)</f>
        <v>0</v>
      </c>
      <c r="L86" s="87">
        <f t="shared" si="7"/>
        <v>0</v>
      </c>
      <c r="M86" s="87">
        <f t="shared" si="7"/>
        <v>0</v>
      </c>
      <c r="N86" s="87"/>
      <c r="O86" s="87">
        <f>(O91*O94)+(O92*O95)</f>
        <v>118165500</v>
      </c>
      <c r="P86" s="87">
        <f t="shared" si="7"/>
        <v>118165500</v>
      </c>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row>
    <row r="87" spans="1:16" ht="12">
      <c r="A87" s="52" t="s">
        <v>4</v>
      </c>
      <c r="B87" s="57"/>
      <c r="C87" s="57"/>
      <c r="D87" s="60"/>
      <c r="E87" s="60"/>
      <c r="F87" s="60"/>
      <c r="G87" s="60"/>
      <c r="H87" s="60"/>
      <c r="I87" s="60"/>
      <c r="J87" s="62"/>
      <c r="K87" s="61"/>
      <c r="L87" s="61"/>
      <c r="M87" s="61"/>
      <c r="N87" s="60"/>
      <c r="O87" s="60"/>
      <c r="P87" s="60"/>
    </row>
    <row r="88" spans="1:16" ht="33.75">
      <c r="A88" s="53" t="s">
        <v>220</v>
      </c>
      <c r="B88" s="57"/>
      <c r="C88" s="57"/>
      <c r="D88" s="60"/>
      <c r="E88" s="60">
        <v>380000</v>
      </c>
      <c r="F88" s="60">
        <f>E88</f>
        <v>380000</v>
      </c>
      <c r="G88" s="60"/>
      <c r="H88" s="60">
        <f>E88</f>
        <v>380000</v>
      </c>
      <c r="I88" s="60"/>
      <c r="J88" s="62">
        <f aca="true" t="shared" si="8" ref="J88:J94">H88</f>
        <v>380000</v>
      </c>
      <c r="K88" s="61"/>
      <c r="L88" s="61"/>
      <c r="M88" s="61"/>
      <c r="N88" s="60"/>
      <c r="O88" s="60">
        <f>H88</f>
        <v>380000</v>
      </c>
      <c r="P88" s="62">
        <f>O88</f>
        <v>380000</v>
      </c>
    </row>
    <row r="89" spans="1:16" ht="29.25" customHeight="1">
      <c r="A89" s="53" t="s">
        <v>221</v>
      </c>
      <c r="B89" s="57"/>
      <c r="C89" s="57"/>
      <c r="D89" s="60"/>
      <c r="E89" s="60">
        <v>76000</v>
      </c>
      <c r="F89" s="60">
        <f>E89</f>
        <v>76000</v>
      </c>
      <c r="G89" s="60"/>
      <c r="H89" s="60">
        <f>E89</f>
        <v>76000</v>
      </c>
      <c r="I89" s="60"/>
      <c r="J89" s="62">
        <f>H89</f>
        <v>76000</v>
      </c>
      <c r="K89" s="61"/>
      <c r="L89" s="61"/>
      <c r="M89" s="61"/>
      <c r="N89" s="60"/>
      <c r="O89" s="60">
        <f>H89</f>
        <v>76000</v>
      </c>
      <c r="P89" s="62">
        <f>O89</f>
        <v>76000</v>
      </c>
    </row>
    <row r="90" spans="1:235" s="110" customFormat="1" ht="12">
      <c r="A90" s="176" t="s">
        <v>5</v>
      </c>
      <c r="B90" s="107"/>
      <c r="C90" s="107"/>
      <c r="D90" s="111"/>
      <c r="E90" s="111"/>
      <c r="F90" s="111"/>
      <c r="G90" s="111"/>
      <c r="H90" s="111"/>
      <c r="I90" s="111"/>
      <c r="J90" s="177"/>
      <c r="K90" s="108"/>
      <c r="L90" s="108"/>
      <c r="M90" s="108"/>
      <c r="N90" s="111"/>
      <c r="O90" s="111"/>
      <c r="P90" s="111"/>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09"/>
      <c r="DF90" s="109"/>
      <c r="DG90" s="109"/>
      <c r="DH90" s="109"/>
      <c r="DI90" s="109"/>
      <c r="DJ90" s="109"/>
      <c r="DK90" s="109"/>
      <c r="DL90" s="109"/>
      <c r="DM90" s="109"/>
      <c r="DN90" s="109"/>
      <c r="DO90" s="109"/>
      <c r="DP90" s="109"/>
      <c r="DQ90" s="109"/>
      <c r="DR90" s="109"/>
      <c r="DS90" s="109"/>
      <c r="DT90" s="109"/>
      <c r="DU90" s="109"/>
      <c r="DV90" s="109"/>
      <c r="DW90" s="109"/>
      <c r="DX90" s="109"/>
      <c r="DY90" s="109"/>
      <c r="DZ90" s="109"/>
      <c r="EA90" s="109"/>
      <c r="EB90" s="109"/>
      <c r="EC90" s="109"/>
      <c r="ED90" s="109"/>
      <c r="EE90" s="109"/>
      <c r="EF90" s="109"/>
      <c r="EG90" s="109"/>
      <c r="EH90" s="109"/>
      <c r="EI90" s="109"/>
      <c r="EJ90" s="109"/>
      <c r="EK90" s="109"/>
      <c r="EL90" s="109"/>
      <c r="EM90" s="109"/>
      <c r="EN90" s="109"/>
      <c r="EO90" s="109"/>
      <c r="EP90" s="109"/>
      <c r="EQ90" s="109"/>
      <c r="ER90" s="109"/>
      <c r="ES90" s="109"/>
      <c r="ET90" s="109"/>
      <c r="EU90" s="109"/>
      <c r="EV90" s="109"/>
      <c r="EW90" s="109"/>
      <c r="EX90" s="109"/>
      <c r="EY90" s="109"/>
      <c r="EZ90" s="109"/>
      <c r="FA90" s="109"/>
      <c r="FB90" s="109"/>
      <c r="FC90" s="109"/>
      <c r="FD90" s="109"/>
      <c r="FE90" s="109"/>
      <c r="FF90" s="109"/>
      <c r="FG90" s="109"/>
      <c r="FH90" s="109"/>
      <c r="FI90" s="109"/>
      <c r="FJ90" s="109"/>
      <c r="FK90" s="109"/>
      <c r="FL90" s="109"/>
      <c r="FM90" s="109"/>
      <c r="FN90" s="109"/>
      <c r="FO90" s="109"/>
      <c r="FP90" s="109"/>
      <c r="FQ90" s="109"/>
      <c r="FR90" s="109"/>
      <c r="FS90" s="109"/>
      <c r="FT90" s="109"/>
      <c r="FU90" s="109"/>
      <c r="FV90" s="109"/>
      <c r="FW90" s="109"/>
      <c r="FX90" s="109"/>
      <c r="FY90" s="109"/>
      <c r="FZ90" s="109"/>
      <c r="GA90" s="109"/>
      <c r="GB90" s="109"/>
      <c r="GC90" s="109"/>
      <c r="GD90" s="109"/>
      <c r="GE90" s="109"/>
      <c r="GF90" s="109"/>
      <c r="GG90" s="109"/>
      <c r="GH90" s="109"/>
      <c r="GI90" s="109"/>
      <c r="GJ90" s="109"/>
      <c r="GK90" s="109"/>
      <c r="GL90" s="109"/>
      <c r="GM90" s="109"/>
      <c r="GN90" s="109"/>
      <c r="GO90" s="109"/>
      <c r="GP90" s="109"/>
      <c r="GQ90" s="109"/>
      <c r="GR90" s="109"/>
      <c r="GS90" s="109"/>
      <c r="GT90" s="109"/>
      <c r="GU90" s="109"/>
      <c r="GV90" s="109"/>
      <c r="GW90" s="109"/>
      <c r="GX90" s="109"/>
      <c r="GY90" s="109"/>
      <c r="GZ90" s="109"/>
      <c r="HA90" s="109"/>
      <c r="HB90" s="109"/>
      <c r="HC90" s="109"/>
      <c r="HD90" s="109"/>
      <c r="HE90" s="109"/>
      <c r="HF90" s="109"/>
      <c r="HG90" s="109"/>
      <c r="HH90" s="109"/>
      <c r="HI90" s="109"/>
      <c r="HJ90" s="109"/>
      <c r="HK90" s="109"/>
      <c r="HL90" s="109"/>
      <c r="HM90" s="109"/>
      <c r="HN90" s="109"/>
      <c r="HO90" s="109"/>
      <c r="HP90" s="109"/>
      <c r="HQ90" s="109"/>
      <c r="HR90" s="109"/>
      <c r="HS90" s="109"/>
      <c r="HT90" s="109"/>
      <c r="HU90" s="109"/>
      <c r="HV90" s="109"/>
      <c r="HW90" s="109"/>
      <c r="HX90" s="109"/>
      <c r="HY90" s="109"/>
      <c r="HZ90" s="109"/>
      <c r="IA90" s="109"/>
    </row>
    <row r="91" spans="1:235" s="110" customFormat="1" ht="34.5" customHeight="1">
      <c r="A91" s="106" t="s">
        <v>222</v>
      </c>
      <c r="B91" s="107"/>
      <c r="C91" s="107"/>
      <c r="D91" s="111"/>
      <c r="E91" s="111">
        <f>65000+5294.5</f>
        <v>70294.5</v>
      </c>
      <c r="F91" s="111">
        <f>E91</f>
        <v>70294.5</v>
      </c>
      <c r="G91" s="111"/>
      <c r="H91" s="111">
        <v>109798.02</v>
      </c>
      <c r="I91" s="111"/>
      <c r="J91" s="177">
        <f t="shared" si="8"/>
        <v>109798.02</v>
      </c>
      <c r="K91" s="108"/>
      <c r="L91" s="108"/>
      <c r="M91" s="108"/>
      <c r="N91" s="111"/>
      <c r="O91" s="111">
        <v>194071</v>
      </c>
      <c r="P91" s="177">
        <f>O91</f>
        <v>194071</v>
      </c>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09"/>
      <c r="DF91" s="109"/>
      <c r="DG91" s="109"/>
      <c r="DH91" s="109"/>
      <c r="DI91" s="109"/>
      <c r="DJ91" s="109"/>
      <c r="DK91" s="109"/>
      <c r="DL91" s="109"/>
      <c r="DM91" s="109"/>
      <c r="DN91" s="109"/>
      <c r="DO91" s="109"/>
      <c r="DP91" s="109"/>
      <c r="DQ91" s="109"/>
      <c r="DR91" s="109"/>
      <c r="DS91" s="109"/>
      <c r="DT91" s="109"/>
      <c r="DU91" s="109"/>
      <c r="DV91" s="109"/>
      <c r="DW91" s="109"/>
      <c r="DX91" s="109"/>
      <c r="DY91" s="109"/>
      <c r="DZ91" s="109"/>
      <c r="EA91" s="109"/>
      <c r="EB91" s="109"/>
      <c r="EC91" s="109"/>
      <c r="ED91" s="109"/>
      <c r="EE91" s="109"/>
      <c r="EF91" s="109"/>
      <c r="EG91" s="109"/>
      <c r="EH91" s="109"/>
      <c r="EI91" s="109"/>
      <c r="EJ91" s="109"/>
      <c r="EK91" s="109"/>
      <c r="EL91" s="109"/>
      <c r="EM91" s="109"/>
      <c r="EN91" s="109"/>
      <c r="EO91" s="109"/>
      <c r="EP91" s="109"/>
      <c r="EQ91" s="109"/>
      <c r="ER91" s="109"/>
      <c r="ES91" s="109"/>
      <c r="ET91" s="109"/>
      <c r="EU91" s="109"/>
      <c r="EV91" s="109"/>
      <c r="EW91" s="109"/>
      <c r="EX91" s="109"/>
      <c r="EY91" s="109"/>
      <c r="EZ91" s="109"/>
      <c r="FA91" s="109"/>
      <c r="FB91" s="109"/>
      <c r="FC91" s="109"/>
      <c r="FD91" s="109"/>
      <c r="FE91" s="109"/>
      <c r="FF91" s="109"/>
      <c r="FG91" s="109"/>
      <c r="FH91" s="109"/>
      <c r="FI91" s="109"/>
      <c r="FJ91" s="109"/>
      <c r="FK91" s="109"/>
      <c r="FL91" s="109"/>
      <c r="FM91" s="109"/>
      <c r="FN91" s="109"/>
      <c r="FO91" s="109"/>
      <c r="FP91" s="109"/>
      <c r="FQ91" s="109"/>
      <c r="FR91" s="109"/>
      <c r="FS91" s="109"/>
      <c r="FT91" s="109"/>
      <c r="FU91" s="109"/>
      <c r="FV91" s="109"/>
      <c r="FW91" s="109"/>
      <c r="FX91" s="109"/>
      <c r="FY91" s="109"/>
      <c r="FZ91" s="109"/>
      <c r="GA91" s="109"/>
      <c r="GB91" s="109"/>
      <c r="GC91" s="109"/>
      <c r="GD91" s="109"/>
      <c r="GE91" s="109"/>
      <c r="GF91" s="109"/>
      <c r="GG91" s="109"/>
      <c r="GH91" s="109"/>
      <c r="GI91" s="109"/>
      <c r="GJ91" s="109"/>
      <c r="GK91" s="109"/>
      <c r="GL91" s="109"/>
      <c r="GM91" s="109"/>
      <c r="GN91" s="109"/>
      <c r="GO91" s="109"/>
      <c r="GP91" s="109"/>
      <c r="GQ91" s="109"/>
      <c r="GR91" s="109"/>
      <c r="GS91" s="109"/>
      <c r="GT91" s="109"/>
      <c r="GU91" s="109"/>
      <c r="GV91" s="109"/>
      <c r="GW91" s="109"/>
      <c r="GX91" s="109"/>
      <c r="GY91" s="109"/>
      <c r="GZ91" s="109"/>
      <c r="HA91" s="109"/>
      <c r="HB91" s="109"/>
      <c r="HC91" s="109"/>
      <c r="HD91" s="109"/>
      <c r="HE91" s="109"/>
      <c r="HF91" s="109"/>
      <c r="HG91" s="109"/>
      <c r="HH91" s="109"/>
      <c r="HI91" s="109"/>
      <c r="HJ91" s="109"/>
      <c r="HK91" s="109"/>
      <c r="HL91" s="109"/>
      <c r="HM91" s="109"/>
      <c r="HN91" s="109"/>
      <c r="HO91" s="109"/>
      <c r="HP91" s="109"/>
      <c r="HQ91" s="109"/>
      <c r="HR91" s="109"/>
      <c r="HS91" s="109"/>
      <c r="HT91" s="109"/>
      <c r="HU91" s="109"/>
      <c r="HV91" s="109"/>
      <c r="HW91" s="109"/>
      <c r="HX91" s="109"/>
      <c r="HY91" s="109"/>
      <c r="HZ91" s="109"/>
      <c r="IA91" s="109"/>
    </row>
    <row r="92" spans="1:235" s="110" customFormat="1" ht="26.25" customHeight="1">
      <c r="A92" s="106" t="s">
        <v>223</v>
      </c>
      <c r="B92" s="107"/>
      <c r="C92" s="107"/>
      <c r="D92" s="111"/>
      <c r="E92" s="111">
        <v>10750</v>
      </c>
      <c r="F92" s="111">
        <f>E92</f>
        <v>10750</v>
      </c>
      <c r="G92" s="111"/>
      <c r="H92" s="111">
        <v>16344.85</v>
      </c>
      <c r="I92" s="111"/>
      <c r="J92" s="177">
        <f>H92</f>
        <v>16344.85</v>
      </c>
      <c r="K92" s="108"/>
      <c r="L92" s="108"/>
      <c r="M92" s="108"/>
      <c r="N92" s="111"/>
      <c r="O92" s="111">
        <v>42260</v>
      </c>
      <c r="P92" s="177">
        <f>O92</f>
        <v>42260</v>
      </c>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09"/>
      <c r="DF92" s="109"/>
      <c r="DG92" s="109"/>
      <c r="DH92" s="109"/>
      <c r="DI92" s="109"/>
      <c r="DJ92" s="109"/>
      <c r="DK92" s="109"/>
      <c r="DL92" s="109"/>
      <c r="DM92" s="109"/>
      <c r="DN92" s="109"/>
      <c r="DO92" s="109"/>
      <c r="DP92" s="109"/>
      <c r="DQ92" s="109"/>
      <c r="DR92" s="109"/>
      <c r="DS92" s="109"/>
      <c r="DT92" s="109"/>
      <c r="DU92" s="109"/>
      <c r="DV92" s="109"/>
      <c r="DW92" s="109"/>
      <c r="DX92" s="109"/>
      <c r="DY92" s="109"/>
      <c r="DZ92" s="109"/>
      <c r="EA92" s="109"/>
      <c r="EB92" s="109"/>
      <c r="EC92" s="109"/>
      <c r="ED92" s="109"/>
      <c r="EE92" s="109"/>
      <c r="EF92" s="109"/>
      <c r="EG92" s="109"/>
      <c r="EH92" s="109"/>
      <c r="EI92" s="109"/>
      <c r="EJ92" s="109"/>
      <c r="EK92" s="109"/>
      <c r="EL92" s="109"/>
      <c r="EM92" s="109"/>
      <c r="EN92" s="109"/>
      <c r="EO92" s="109"/>
      <c r="EP92" s="109"/>
      <c r="EQ92" s="109"/>
      <c r="ER92" s="109"/>
      <c r="ES92" s="109"/>
      <c r="ET92" s="109"/>
      <c r="EU92" s="109"/>
      <c r="EV92" s="109"/>
      <c r="EW92" s="109"/>
      <c r="EX92" s="109"/>
      <c r="EY92" s="109"/>
      <c r="EZ92" s="109"/>
      <c r="FA92" s="109"/>
      <c r="FB92" s="109"/>
      <c r="FC92" s="109"/>
      <c r="FD92" s="109"/>
      <c r="FE92" s="109"/>
      <c r="FF92" s="109"/>
      <c r="FG92" s="109"/>
      <c r="FH92" s="109"/>
      <c r="FI92" s="109"/>
      <c r="FJ92" s="109"/>
      <c r="FK92" s="109"/>
      <c r="FL92" s="109"/>
      <c r="FM92" s="109"/>
      <c r="FN92" s="109"/>
      <c r="FO92" s="109"/>
      <c r="FP92" s="109"/>
      <c r="FQ92" s="109"/>
      <c r="FR92" s="109"/>
      <c r="FS92" s="109"/>
      <c r="FT92" s="109"/>
      <c r="FU92" s="109"/>
      <c r="FV92" s="109"/>
      <c r="FW92" s="109"/>
      <c r="FX92" s="109"/>
      <c r="FY92" s="109"/>
      <c r="FZ92" s="109"/>
      <c r="GA92" s="109"/>
      <c r="GB92" s="109"/>
      <c r="GC92" s="109"/>
      <c r="GD92" s="109"/>
      <c r="GE92" s="109"/>
      <c r="GF92" s="109"/>
      <c r="GG92" s="109"/>
      <c r="GH92" s="109"/>
      <c r="GI92" s="109"/>
      <c r="GJ92" s="109"/>
      <c r="GK92" s="109"/>
      <c r="GL92" s="109"/>
      <c r="GM92" s="109"/>
      <c r="GN92" s="109"/>
      <c r="GO92" s="109"/>
      <c r="GP92" s="109"/>
      <c r="GQ92" s="109"/>
      <c r="GR92" s="109"/>
      <c r="GS92" s="109"/>
      <c r="GT92" s="109"/>
      <c r="GU92" s="109"/>
      <c r="GV92" s="109"/>
      <c r="GW92" s="109"/>
      <c r="GX92" s="109"/>
      <c r="GY92" s="109"/>
      <c r="GZ92" s="109"/>
      <c r="HA92" s="109"/>
      <c r="HB92" s="109"/>
      <c r="HC92" s="109"/>
      <c r="HD92" s="109"/>
      <c r="HE92" s="109"/>
      <c r="HF92" s="109"/>
      <c r="HG92" s="109"/>
      <c r="HH92" s="109"/>
      <c r="HI92" s="109"/>
      <c r="HJ92" s="109"/>
      <c r="HK92" s="109"/>
      <c r="HL92" s="109"/>
      <c r="HM92" s="109"/>
      <c r="HN92" s="109"/>
      <c r="HO92" s="109"/>
      <c r="HP92" s="109"/>
      <c r="HQ92" s="109"/>
      <c r="HR92" s="109"/>
      <c r="HS92" s="109"/>
      <c r="HT92" s="109"/>
      <c r="HU92" s="109"/>
      <c r="HV92" s="109"/>
      <c r="HW92" s="109"/>
      <c r="HX92" s="109"/>
      <c r="HY92" s="109"/>
      <c r="HZ92" s="109"/>
      <c r="IA92" s="109"/>
    </row>
    <row r="93" spans="1:235" s="110" customFormat="1" ht="12">
      <c r="A93" s="176" t="s">
        <v>7</v>
      </c>
      <c r="B93" s="107"/>
      <c r="C93" s="107"/>
      <c r="D93" s="111"/>
      <c r="E93" s="111"/>
      <c r="F93" s="111"/>
      <c r="G93" s="111"/>
      <c r="H93" s="111"/>
      <c r="I93" s="111"/>
      <c r="J93" s="177"/>
      <c r="K93" s="108"/>
      <c r="L93" s="108"/>
      <c r="M93" s="108"/>
      <c r="N93" s="111"/>
      <c r="O93" s="111"/>
      <c r="P93" s="111"/>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c r="CM93" s="109"/>
      <c r="CN93" s="109"/>
      <c r="CO93" s="109"/>
      <c r="CP93" s="109"/>
      <c r="CQ93" s="109"/>
      <c r="CR93" s="109"/>
      <c r="CS93" s="109"/>
      <c r="CT93" s="109"/>
      <c r="CU93" s="109"/>
      <c r="CV93" s="109"/>
      <c r="CW93" s="109"/>
      <c r="CX93" s="109"/>
      <c r="CY93" s="109"/>
      <c r="CZ93" s="109"/>
      <c r="DA93" s="109"/>
      <c r="DB93" s="109"/>
      <c r="DC93" s="109"/>
      <c r="DD93" s="109"/>
      <c r="DE93" s="109"/>
      <c r="DF93" s="109"/>
      <c r="DG93" s="109"/>
      <c r="DH93" s="109"/>
      <c r="DI93" s="109"/>
      <c r="DJ93" s="109"/>
      <c r="DK93" s="109"/>
      <c r="DL93" s="109"/>
      <c r="DM93" s="109"/>
      <c r="DN93" s="109"/>
      <c r="DO93" s="109"/>
      <c r="DP93" s="109"/>
      <c r="DQ93" s="109"/>
      <c r="DR93" s="109"/>
      <c r="DS93" s="109"/>
      <c r="DT93" s="109"/>
      <c r="DU93" s="109"/>
      <c r="DV93" s="109"/>
      <c r="DW93" s="109"/>
      <c r="DX93" s="109"/>
      <c r="DY93" s="109"/>
      <c r="DZ93" s="109"/>
      <c r="EA93" s="109"/>
      <c r="EB93" s="109"/>
      <c r="EC93" s="109"/>
      <c r="ED93" s="109"/>
      <c r="EE93" s="109"/>
      <c r="EF93" s="109"/>
      <c r="EG93" s="109"/>
      <c r="EH93" s="109"/>
      <c r="EI93" s="109"/>
      <c r="EJ93" s="109"/>
      <c r="EK93" s="109"/>
      <c r="EL93" s="109"/>
      <c r="EM93" s="109"/>
      <c r="EN93" s="109"/>
      <c r="EO93" s="109"/>
      <c r="EP93" s="109"/>
      <c r="EQ93" s="109"/>
      <c r="ER93" s="109"/>
      <c r="ES93" s="109"/>
      <c r="ET93" s="109"/>
      <c r="EU93" s="109"/>
      <c r="EV93" s="109"/>
      <c r="EW93" s="109"/>
      <c r="EX93" s="109"/>
      <c r="EY93" s="109"/>
      <c r="EZ93" s="109"/>
      <c r="FA93" s="109"/>
      <c r="FB93" s="109"/>
      <c r="FC93" s="109"/>
      <c r="FD93" s="109"/>
      <c r="FE93" s="109"/>
      <c r="FF93" s="109"/>
      <c r="FG93" s="109"/>
      <c r="FH93" s="109"/>
      <c r="FI93" s="109"/>
      <c r="FJ93" s="109"/>
      <c r="FK93" s="109"/>
      <c r="FL93" s="109"/>
      <c r="FM93" s="109"/>
      <c r="FN93" s="109"/>
      <c r="FO93" s="109"/>
      <c r="FP93" s="109"/>
      <c r="FQ93" s="109"/>
      <c r="FR93" s="109"/>
      <c r="FS93" s="109"/>
      <c r="FT93" s="109"/>
      <c r="FU93" s="109"/>
      <c r="FV93" s="109"/>
      <c r="FW93" s="109"/>
      <c r="FX93" s="109"/>
      <c r="FY93" s="109"/>
      <c r="FZ93" s="109"/>
      <c r="GA93" s="109"/>
      <c r="GB93" s="109"/>
      <c r="GC93" s="109"/>
      <c r="GD93" s="109"/>
      <c r="GE93" s="109"/>
      <c r="GF93" s="109"/>
      <c r="GG93" s="109"/>
      <c r="GH93" s="109"/>
      <c r="GI93" s="109"/>
      <c r="GJ93" s="109"/>
      <c r="GK93" s="109"/>
      <c r="GL93" s="109"/>
      <c r="GM93" s="109"/>
      <c r="GN93" s="109"/>
      <c r="GO93" s="109"/>
      <c r="GP93" s="109"/>
      <c r="GQ93" s="109"/>
      <c r="GR93" s="109"/>
      <c r="GS93" s="109"/>
      <c r="GT93" s="109"/>
      <c r="GU93" s="109"/>
      <c r="GV93" s="109"/>
      <c r="GW93" s="109"/>
      <c r="GX93" s="109"/>
      <c r="GY93" s="109"/>
      <c r="GZ93" s="109"/>
      <c r="HA93" s="109"/>
      <c r="HB93" s="109"/>
      <c r="HC93" s="109"/>
      <c r="HD93" s="109"/>
      <c r="HE93" s="109"/>
      <c r="HF93" s="109"/>
      <c r="HG93" s="109"/>
      <c r="HH93" s="109"/>
      <c r="HI93" s="109"/>
      <c r="HJ93" s="109"/>
      <c r="HK93" s="109"/>
      <c r="HL93" s="109"/>
      <c r="HM93" s="109"/>
      <c r="HN93" s="109"/>
      <c r="HO93" s="109"/>
      <c r="HP93" s="109"/>
      <c r="HQ93" s="109"/>
      <c r="HR93" s="109"/>
      <c r="HS93" s="109"/>
      <c r="HT93" s="109"/>
      <c r="HU93" s="109"/>
      <c r="HV93" s="109"/>
      <c r="HW93" s="109"/>
      <c r="HX93" s="109"/>
      <c r="HY93" s="109"/>
      <c r="HZ93" s="109"/>
      <c r="IA93" s="109"/>
    </row>
    <row r="94" spans="1:235" s="110" customFormat="1" ht="22.5" customHeight="1">
      <c r="A94" s="106" t="s">
        <v>226</v>
      </c>
      <c r="B94" s="107"/>
      <c r="C94" s="107"/>
      <c r="D94" s="111"/>
      <c r="E94" s="111">
        <v>400</v>
      </c>
      <c r="F94" s="111">
        <f>E94</f>
        <v>400</v>
      </c>
      <c r="G94" s="111"/>
      <c r="H94" s="111">
        <v>450</v>
      </c>
      <c r="I94" s="111"/>
      <c r="J94" s="177">
        <f t="shared" si="8"/>
        <v>450</v>
      </c>
      <c r="K94" s="108"/>
      <c r="L94" s="108"/>
      <c r="M94" s="108"/>
      <c r="N94" s="111"/>
      <c r="O94" s="111">
        <v>500</v>
      </c>
      <c r="P94" s="177">
        <v>500</v>
      </c>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c r="CR94" s="109"/>
      <c r="CS94" s="109"/>
      <c r="CT94" s="109"/>
      <c r="CU94" s="109"/>
      <c r="CV94" s="109"/>
      <c r="CW94" s="109"/>
      <c r="CX94" s="109"/>
      <c r="CY94" s="109"/>
      <c r="CZ94" s="109"/>
      <c r="DA94" s="109"/>
      <c r="DB94" s="109"/>
      <c r="DC94" s="109"/>
      <c r="DD94" s="109"/>
      <c r="DE94" s="109"/>
      <c r="DF94" s="109"/>
      <c r="DG94" s="109"/>
      <c r="DH94" s="109"/>
      <c r="DI94" s="109"/>
      <c r="DJ94" s="109"/>
      <c r="DK94" s="109"/>
      <c r="DL94" s="109"/>
      <c r="DM94" s="109"/>
      <c r="DN94" s="109"/>
      <c r="DO94" s="109"/>
      <c r="DP94" s="109"/>
      <c r="DQ94" s="109"/>
      <c r="DR94" s="109"/>
      <c r="DS94" s="109"/>
      <c r="DT94" s="109"/>
      <c r="DU94" s="109"/>
      <c r="DV94" s="109"/>
      <c r="DW94" s="109"/>
      <c r="DX94" s="109"/>
      <c r="DY94" s="109"/>
      <c r="DZ94" s="109"/>
      <c r="EA94" s="109"/>
      <c r="EB94" s="109"/>
      <c r="EC94" s="109"/>
      <c r="ED94" s="109"/>
      <c r="EE94" s="109"/>
      <c r="EF94" s="109"/>
      <c r="EG94" s="109"/>
      <c r="EH94" s="109"/>
      <c r="EI94" s="109"/>
      <c r="EJ94" s="109"/>
      <c r="EK94" s="109"/>
      <c r="EL94" s="109"/>
      <c r="EM94" s="109"/>
      <c r="EN94" s="109"/>
      <c r="EO94" s="109"/>
      <c r="EP94" s="109"/>
      <c r="EQ94" s="109"/>
      <c r="ER94" s="109"/>
      <c r="ES94" s="109"/>
      <c r="ET94" s="109"/>
      <c r="EU94" s="109"/>
      <c r="EV94" s="109"/>
      <c r="EW94" s="109"/>
      <c r="EX94" s="109"/>
      <c r="EY94" s="109"/>
      <c r="EZ94" s="109"/>
      <c r="FA94" s="109"/>
      <c r="FB94" s="109"/>
      <c r="FC94" s="109"/>
      <c r="FD94" s="109"/>
      <c r="FE94" s="109"/>
      <c r="FF94" s="109"/>
      <c r="FG94" s="109"/>
      <c r="FH94" s="109"/>
      <c r="FI94" s="109"/>
      <c r="FJ94" s="109"/>
      <c r="FK94" s="109"/>
      <c r="FL94" s="109"/>
      <c r="FM94" s="109"/>
      <c r="FN94" s="109"/>
      <c r="FO94" s="109"/>
      <c r="FP94" s="109"/>
      <c r="FQ94" s="109"/>
      <c r="FR94" s="109"/>
      <c r="FS94" s="109"/>
      <c r="FT94" s="109"/>
      <c r="FU94" s="109"/>
      <c r="FV94" s="109"/>
      <c r="FW94" s="109"/>
      <c r="FX94" s="109"/>
      <c r="FY94" s="109"/>
      <c r="FZ94" s="109"/>
      <c r="GA94" s="109"/>
      <c r="GB94" s="109"/>
      <c r="GC94" s="109"/>
      <c r="GD94" s="109"/>
      <c r="GE94" s="109"/>
      <c r="GF94" s="109"/>
      <c r="GG94" s="109"/>
      <c r="GH94" s="109"/>
      <c r="GI94" s="109"/>
      <c r="GJ94" s="109"/>
      <c r="GK94" s="109"/>
      <c r="GL94" s="109"/>
      <c r="GM94" s="109"/>
      <c r="GN94" s="109"/>
      <c r="GO94" s="109"/>
      <c r="GP94" s="109"/>
      <c r="GQ94" s="109"/>
      <c r="GR94" s="109"/>
      <c r="GS94" s="109"/>
      <c r="GT94" s="109"/>
      <c r="GU94" s="109"/>
      <c r="GV94" s="109"/>
      <c r="GW94" s="109"/>
      <c r="GX94" s="109"/>
      <c r="GY94" s="109"/>
      <c r="GZ94" s="109"/>
      <c r="HA94" s="109"/>
      <c r="HB94" s="109"/>
      <c r="HC94" s="109"/>
      <c r="HD94" s="109"/>
      <c r="HE94" s="109"/>
      <c r="HF94" s="109"/>
      <c r="HG94" s="109"/>
      <c r="HH94" s="109"/>
      <c r="HI94" s="109"/>
      <c r="HJ94" s="109"/>
      <c r="HK94" s="109"/>
      <c r="HL94" s="109"/>
      <c r="HM94" s="109"/>
      <c r="HN94" s="109"/>
      <c r="HO94" s="109"/>
      <c r="HP94" s="109"/>
      <c r="HQ94" s="109"/>
      <c r="HR94" s="109"/>
      <c r="HS94" s="109"/>
      <c r="HT94" s="109"/>
      <c r="HU94" s="109"/>
      <c r="HV94" s="109"/>
      <c r="HW94" s="109"/>
      <c r="HX94" s="109"/>
      <c r="HY94" s="109"/>
      <c r="HZ94" s="109"/>
      <c r="IA94" s="109"/>
    </row>
    <row r="95" spans="1:235" s="110" customFormat="1" ht="22.5" customHeight="1">
      <c r="A95" s="106" t="s">
        <v>227</v>
      </c>
      <c r="B95" s="107"/>
      <c r="C95" s="107"/>
      <c r="D95" s="111"/>
      <c r="E95" s="111">
        <v>400</v>
      </c>
      <c r="F95" s="111">
        <f>E95</f>
        <v>400</v>
      </c>
      <c r="G95" s="111"/>
      <c r="H95" s="111">
        <v>450</v>
      </c>
      <c r="I95" s="111"/>
      <c r="J95" s="177">
        <f>H95</f>
        <v>450</v>
      </c>
      <c r="K95" s="108"/>
      <c r="L95" s="108"/>
      <c r="M95" s="108"/>
      <c r="N95" s="111"/>
      <c r="O95" s="111">
        <v>500</v>
      </c>
      <c r="P95" s="177">
        <f>O95</f>
        <v>500</v>
      </c>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c r="CV95" s="109"/>
      <c r="CW95" s="109"/>
      <c r="CX95" s="109"/>
      <c r="CY95" s="109"/>
      <c r="CZ95" s="109"/>
      <c r="DA95" s="109"/>
      <c r="DB95" s="109"/>
      <c r="DC95" s="109"/>
      <c r="DD95" s="109"/>
      <c r="DE95" s="109"/>
      <c r="DF95" s="109"/>
      <c r="DG95" s="109"/>
      <c r="DH95" s="109"/>
      <c r="DI95" s="109"/>
      <c r="DJ95" s="109"/>
      <c r="DK95" s="109"/>
      <c r="DL95" s="109"/>
      <c r="DM95" s="109"/>
      <c r="DN95" s="109"/>
      <c r="DO95" s="109"/>
      <c r="DP95" s="109"/>
      <c r="DQ95" s="109"/>
      <c r="DR95" s="109"/>
      <c r="DS95" s="109"/>
      <c r="DT95" s="109"/>
      <c r="DU95" s="109"/>
      <c r="DV95" s="109"/>
      <c r="DW95" s="109"/>
      <c r="DX95" s="109"/>
      <c r="DY95" s="109"/>
      <c r="DZ95" s="109"/>
      <c r="EA95" s="109"/>
      <c r="EB95" s="109"/>
      <c r="EC95" s="109"/>
      <c r="ED95" s="109"/>
      <c r="EE95" s="109"/>
      <c r="EF95" s="109"/>
      <c r="EG95" s="109"/>
      <c r="EH95" s="109"/>
      <c r="EI95" s="109"/>
      <c r="EJ95" s="109"/>
      <c r="EK95" s="109"/>
      <c r="EL95" s="109"/>
      <c r="EM95" s="109"/>
      <c r="EN95" s="109"/>
      <c r="EO95" s="109"/>
      <c r="EP95" s="109"/>
      <c r="EQ95" s="109"/>
      <c r="ER95" s="109"/>
      <c r="ES95" s="109"/>
      <c r="ET95" s="109"/>
      <c r="EU95" s="109"/>
      <c r="EV95" s="109"/>
      <c r="EW95" s="109"/>
      <c r="EX95" s="109"/>
      <c r="EY95" s="109"/>
      <c r="EZ95" s="109"/>
      <c r="FA95" s="109"/>
      <c r="FB95" s="109"/>
      <c r="FC95" s="109"/>
      <c r="FD95" s="109"/>
      <c r="FE95" s="109"/>
      <c r="FF95" s="109"/>
      <c r="FG95" s="109"/>
      <c r="FH95" s="109"/>
      <c r="FI95" s="109"/>
      <c r="FJ95" s="109"/>
      <c r="FK95" s="109"/>
      <c r="FL95" s="109"/>
      <c r="FM95" s="109"/>
      <c r="FN95" s="109"/>
      <c r="FO95" s="109"/>
      <c r="FP95" s="109"/>
      <c r="FQ95" s="109"/>
      <c r="FR95" s="109"/>
      <c r="FS95" s="109"/>
      <c r="FT95" s="109"/>
      <c r="FU95" s="109"/>
      <c r="FV95" s="109"/>
      <c r="FW95" s="109"/>
      <c r="FX95" s="109"/>
      <c r="FY95" s="109"/>
      <c r="FZ95" s="109"/>
      <c r="GA95" s="109"/>
      <c r="GB95" s="109"/>
      <c r="GC95" s="109"/>
      <c r="GD95" s="109"/>
      <c r="GE95" s="109"/>
      <c r="GF95" s="109"/>
      <c r="GG95" s="109"/>
      <c r="GH95" s="109"/>
      <c r="GI95" s="109"/>
      <c r="GJ95" s="109"/>
      <c r="GK95" s="109"/>
      <c r="GL95" s="109"/>
      <c r="GM95" s="109"/>
      <c r="GN95" s="109"/>
      <c r="GO95" s="109"/>
      <c r="GP95" s="109"/>
      <c r="GQ95" s="109"/>
      <c r="GR95" s="109"/>
      <c r="GS95" s="109"/>
      <c r="GT95" s="109"/>
      <c r="GU95" s="109"/>
      <c r="GV95" s="109"/>
      <c r="GW95" s="109"/>
      <c r="GX95" s="109"/>
      <c r="GY95" s="109"/>
      <c r="GZ95" s="109"/>
      <c r="HA95" s="109"/>
      <c r="HB95" s="109"/>
      <c r="HC95" s="109"/>
      <c r="HD95" s="109"/>
      <c r="HE95" s="109"/>
      <c r="HF95" s="109"/>
      <c r="HG95" s="109"/>
      <c r="HH95" s="109"/>
      <c r="HI95" s="109"/>
      <c r="HJ95" s="109"/>
      <c r="HK95" s="109"/>
      <c r="HL95" s="109"/>
      <c r="HM95" s="109"/>
      <c r="HN95" s="109"/>
      <c r="HO95" s="109"/>
      <c r="HP95" s="109"/>
      <c r="HQ95" s="109"/>
      <c r="HR95" s="109"/>
      <c r="HS95" s="109"/>
      <c r="HT95" s="109"/>
      <c r="HU95" s="109"/>
      <c r="HV95" s="109"/>
      <c r="HW95" s="109"/>
      <c r="HX95" s="109"/>
      <c r="HY95" s="109"/>
      <c r="HZ95" s="109"/>
      <c r="IA95" s="109"/>
    </row>
    <row r="96" spans="1:235" s="110" customFormat="1" ht="12">
      <c r="A96" s="176" t="s">
        <v>6</v>
      </c>
      <c r="B96" s="107"/>
      <c r="C96" s="107"/>
      <c r="D96" s="111"/>
      <c r="E96" s="111"/>
      <c r="F96" s="111"/>
      <c r="G96" s="111"/>
      <c r="H96" s="111"/>
      <c r="I96" s="111"/>
      <c r="J96" s="177"/>
      <c r="K96" s="108"/>
      <c r="L96" s="108"/>
      <c r="M96" s="108"/>
      <c r="N96" s="111"/>
      <c r="O96" s="111"/>
      <c r="P96" s="111"/>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c r="CV96" s="109"/>
      <c r="CW96" s="109"/>
      <c r="CX96" s="109"/>
      <c r="CY96" s="109"/>
      <c r="CZ96" s="109"/>
      <c r="DA96" s="109"/>
      <c r="DB96" s="109"/>
      <c r="DC96" s="109"/>
      <c r="DD96" s="109"/>
      <c r="DE96" s="109"/>
      <c r="DF96" s="109"/>
      <c r="DG96" s="109"/>
      <c r="DH96" s="109"/>
      <c r="DI96" s="109"/>
      <c r="DJ96" s="109"/>
      <c r="DK96" s="109"/>
      <c r="DL96" s="109"/>
      <c r="DM96" s="109"/>
      <c r="DN96" s="109"/>
      <c r="DO96" s="109"/>
      <c r="DP96" s="109"/>
      <c r="DQ96" s="109"/>
      <c r="DR96" s="109"/>
      <c r="DS96" s="109"/>
      <c r="DT96" s="109"/>
      <c r="DU96" s="109"/>
      <c r="DV96" s="109"/>
      <c r="DW96" s="109"/>
      <c r="DX96" s="109"/>
      <c r="DY96" s="109"/>
      <c r="DZ96" s="109"/>
      <c r="EA96" s="109"/>
      <c r="EB96" s="109"/>
      <c r="EC96" s="109"/>
      <c r="ED96" s="109"/>
      <c r="EE96" s="109"/>
      <c r="EF96" s="109"/>
      <c r="EG96" s="109"/>
      <c r="EH96" s="109"/>
      <c r="EI96" s="109"/>
      <c r="EJ96" s="109"/>
      <c r="EK96" s="109"/>
      <c r="EL96" s="109"/>
      <c r="EM96" s="109"/>
      <c r="EN96" s="109"/>
      <c r="EO96" s="109"/>
      <c r="EP96" s="109"/>
      <c r="EQ96" s="109"/>
      <c r="ER96" s="109"/>
      <c r="ES96" s="109"/>
      <c r="ET96" s="109"/>
      <c r="EU96" s="109"/>
      <c r="EV96" s="109"/>
      <c r="EW96" s="109"/>
      <c r="EX96" s="109"/>
      <c r="EY96" s="109"/>
      <c r="EZ96" s="109"/>
      <c r="FA96" s="109"/>
      <c r="FB96" s="109"/>
      <c r="FC96" s="109"/>
      <c r="FD96" s="109"/>
      <c r="FE96" s="109"/>
      <c r="FF96" s="109"/>
      <c r="FG96" s="109"/>
      <c r="FH96" s="109"/>
      <c r="FI96" s="109"/>
      <c r="FJ96" s="109"/>
      <c r="FK96" s="109"/>
      <c r="FL96" s="109"/>
      <c r="FM96" s="109"/>
      <c r="FN96" s="109"/>
      <c r="FO96" s="109"/>
      <c r="FP96" s="109"/>
      <c r="FQ96" s="109"/>
      <c r="FR96" s="109"/>
      <c r="FS96" s="109"/>
      <c r="FT96" s="109"/>
      <c r="FU96" s="109"/>
      <c r="FV96" s="109"/>
      <c r="FW96" s="109"/>
      <c r="FX96" s="109"/>
      <c r="FY96" s="109"/>
      <c r="FZ96" s="109"/>
      <c r="GA96" s="109"/>
      <c r="GB96" s="109"/>
      <c r="GC96" s="109"/>
      <c r="GD96" s="109"/>
      <c r="GE96" s="109"/>
      <c r="GF96" s="109"/>
      <c r="GG96" s="109"/>
      <c r="GH96" s="109"/>
      <c r="GI96" s="109"/>
      <c r="GJ96" s="109"/>
      <c r="GK96" s="109"/>
      <c r="GL96" s="109"/>
      <c r="GM96" s="109"/>
      <c r="GN96" s="109"/>
      <c r="GO96" s="109"/>
      <c r="GP96" s="109"/>
      <c r="GQ96" s="109"/>
      <c r="GR96" s="109"/>
      <c r="GS96" s="109"/>
      <c r="GT96" s="109"/>
      <c r="GU96" s="109"/>
      <c r="GV96" s="109"/>
      <c r="GW96" s="109"/>
      <c r="GX96" s="109"/>
      <c r="GY96" s="109"/>
      <c r="GZ96" s="109"/>
      <c r="HA96" s="109"/>
      <c r="HB96" s="109"/>
      <c r="HC96" s="109"/>
      <c r="HD96" s="109"/>
      <c r="HE96" s="109"/>
      <c r="HF96" s="109"/>
      <c r="HG96" s="109"/>
      <c r="HH96" s="109"/>
      <c r="HI96" s="109"/>
      <c r="HJ96" s="109"/>
      <c r="HK96" s="109"/>
      <c r="HL96" s="109"/>
      <c r="HM96" s="109"/>
      <c r="HN96" s="109"/>
      <c r="HO96" s="109"/>
      <c r="HP96" s="109"/>
      <c r="HQ96" s="109"/>
      <c r="HR96" s="109"/>
      <c r="HS96" s="109"/>
      <c r="HT96" s="109"/>
      <c r="HU96" s="109"/>
      <c r="HV96" s="109"/>
      <c r="HW96" s="109"/>
      <c r="HX96" s="109"/>
      <c r="HY96" s="109"/>
      <c r="HZ96" s="109"/>
      <c r="IA96" s="109"/>
    </row>
    <row r="97" spans="1:235" s="110" customFormat="1" ht="38.25" customHeight="1">
      <c r="A97" s="106" t="s">
        <v>224</v>
      </c>
      <c r="B97" s="107"/>
      <c r="C97" s="107"/>
      <c r="D97" s="111"/>
      <c r="E97" s="111">
        <f>E91/E88*100</f>
        <v>18.498552631578946</v>
      </c>
      <c r="F97" s="111">
        <f aca="true" t="shared" si="9" ref="F97:P97">F91/F88*100</f>
        <v>18.498552631578946</v>
      </c>
      <c r="G97" s="111"/>
      <c r="H97" s="111">
        <f t="shared" si="9"/>
        <v>28.894215789473687</v>
      </c>
      <c r="I97" s="111"/>
      <c r="J97" s="111">
        <f t="shared" si="9"/>
        <v>28.894215789473687</v>
      </c>
      <c r="K97" s="111" t="e">
        <f t="shared" si="9"/>
        <v>#DIV/0!</v>
      </c>
      <c r="L97" s="111" t="e">
        <f t="shared" si="9"/>
        <v>#DIV/0!</v>
      </c>
      <c r="M97" s="111" t="e">
        <f t="shared" si="9"/>
        <v>#DIV/0!</v>
      </c>
      <c r="N97" s="111"/>
      <c r="O97" s="111">
        <f t="shared" si="9"/>
        <v>51.07131578947368</v>
      </c>
      <c r="P97" s="111">
        <f t="shared" si="9"/>
        <v>51.07131578947368</v>
      </c>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c r="DU97" s="109"/>
      <c r="DV97" s="109"/>
      <c r="DW97" s="109"/>
      <c r="DX97" s="109"/>
      <c r="DY97" s="109"/>
      <c r="DZ97" s="109"/>
      <c r="EA97" s="109"/>
      <c r="EB97" s="109"/>
      <c r="EC97" s="109"/>
      <c r="ED97" s="109"/>
      <c r="EE97" s="109"/>
      <c r="EF97" s="109"/>
      <c r="EG97" s="109"/>
      <c r="EH97" s="109"/>
      <c r="EI97" s="109"/>
      <c r="EJ97" s="109"/>
      <c r="EK97" s="109"/>
      <c r="EL97" s="109"/>
      <c r="EM97" s="109"/>
      <c r="EN97" s="109"/>
      <c r="EO97" s="109"/>
      <c r="EP97" s="109"/>
      <c r="EQ97" s="109"/>
      <c r="ER97" s="109"/>
      <c r="ES97" s="109"/>
      <c r="ET97" s="109"/>
      <c r="EU97" s="109"/>
      <c r="EV97" s="109"/>
      <c r="EW97" s="109"/>
      <c r="EX97" s="109"/>
      <c r="EY97" s="109"/>
      <c r="EZ97" s="109"/>
      <c r="FA97" s="109"/>
      <c r="FB97" s="109"/>
      <c r="FC97" s="109"/>
      <c r="FD97" s="109"/>
      <c r="FE97" s="109"/>
      <c r="FF97" s="109"/>
      <c r="FG97" s="109"/>
      <c r="FH97" s="109"/>
      <c r="FI97" s="109"/>
      <c r="FJ97" s="109"/>
      <c r="FK97" s="109"/>
      <c r="FL97" s="109"/>
      <c r="FM97" s="109"/>
      <c r="FN97" s="109"/>
      <c r="FO97" s="109"/>
      <c r="FP97" s="109"/>
      <c r="FQ97" s="109"/>
      <c r="FR97" s="109"/>
      <c r="FS97" s="109"/>
      <c r="FT97" s="109"/>
      <c r="FU97" s="109"/>
      <c r="FV97" s="109"/>
      <c r="FW97" s="109"/>
      <c r="FX97" s="109"/>
      <c r="FY97" s="109"/>
      <c r="FZ97" s="109"/>
      <c r="GA97" s="109"/>
      <c r="GB97" s="109"/>
      <c r="GC97" s="109"/>
      <c r="GD97" s="109"/>
      <c r="GE97" s="109"/>
      <c r="GF97" s="109"/>
      <c r="GG97" s="109"/>
      <c r="GH97" s="109"/>
      <c r="GI97" s="109"/>
      <c r="GJ97" s="109"/>
      <c r="GK97" s="109"/>
      <c r="GL97" s="109"/>
      <c r="GM97" s="109"/>
      <c r="GN97" s="109"/>
      <c r="GO97" s="109"/>
      <c r="GP97" s="109"/>
      <c r="GQ97" s="109"/>
      <c r="GR97" s="109"/>
      <c r="GS97" s="109"/>
      <c r="GT97" s="109"/>
      <c r="GU97" s="109"/>
      <c r="GV97" s="109"/>
      <c r="GW97" s="109"/>
      <c r="GX97" s="109"/>
      <c r="GY97" s="109"/>
      <c r="GZ97" s="109"/>
      <c r="HA97" s="109"/>
      <c r="HB97" s="109"/>
      <c r="HC97" s="109"/>
      <c r="HD97" s="109"/>
      <c r="HE97" s="109"/>
      <c r="HF97" s="109"/>
      <c r="HG97" s="109"/>
      <c r="HH97" s="109"/>
      <c r="HI97" s="109"/>
      <c r="HJ97" s="109"/>
      <c r="HK97" s="109"/>
      <c r="HL97" s="109"/>
      <c r="HM97" s="109"/>
      <c r="HN97" s="109"/>
      <c r="HO97" s="109"/>
      <c r="HP97" s="109"/>
      <c r="HQ97" s="109"/>
      <c r="HR97" s="109"/>
      <c r="HS97" s="109"/>
      <c r="HT97" s="109"/>
      <c r="HU97" s="109"/>
      <c r="HV97" s="109"/>
      <c r="HW97" s="109"/>
      <c r="HX97" s="109"/>
      <c r="HY97" s="109"/>
      <c r="HZ97" s="109"/>
      <c r="IA97" s="109"/>
    </row>
    <row r="98" spans="1:16" ht="38.25" customHeight="1">
      <c r="A98" s="53" t="s">
        <v>225</v>
      </c>
      <c r="B98" s="57"/>
      <c r="C98" s="57"/>
      <c r="D98" s="60"/>
      <c r="E98" s="60">
        <f>E92/E89*100</f>
        <v>14.144736842105262</v>
      </c>
      <c r="F98" s="60">
        <f aca="true" t="shared" si="10" ref="F98:P98">F92/F89*100</f>
        <v>14.144736842105262</v>
      </c>
      <c r="G98" s="60"/>
      <c r="H98" s="60">
        <f t="shared" si="10"/>
        <v>21.50638157894737</v>
      </c>
      <c r="I98" s="60"/>
      <c r="J98" s="60">
        <f t="shared" si="10"/>
        <v>21.50638157894737</v>
      </c>
      <c r="K98" s="60" t="e">
        <f t="shared" si="10"/>
        <v>#DIV/0!</v>
      </c>
      <c r="L98" s="60" t="e">
        <f t="shared" si="10"/>
        <v>#DIV/0!</v>
      </c>
      <c r="M98" s="60" t="e">
        <f t="shared" si="10"/>
        <v>#DIV/0!</v>
      </c>
      <c r="N98" s="60"/>
      <c r="O98" s="60">
        <f t="shared" si="10"/>
        <v>55.60526315789473</v>
      </c>
      <c r="P98" s="60">
        <f t="shared" si="10"/>
        <v>55.60526315789473</v>
      </c>
    </row>
    <row r="99" spans="1:235" s="90" customFormat="1" ht="33.75">
      <c r="A99" s="80" t="s">
        <v>343</v>
      </c>
      <c r="B99" s="86"/>
      <c r="C99" s="86"/>
      <c r="D99" s="87">
        <f>D101</f>
        <v>37000</v>
      </c>
      <c r="E99" s="87"/>
      <c r="F99" s="87">
        <f>D99</f>
        <v>37000</v>
      </c>
      <c r="G99" s="87">
        <f>G101</f>
        <v>200000</v>
      </c>
      <c r="H99" s="87"/>
      <c r="I99" s="87"/>
      <c r="J99" s="87">
        <f>G99</f>
        <v>200000</v>
      </c>
      <c r="K99" s="87"/>
      <c r="L99" s="87"/>
      <c r="M99" s="87"/>
      <c r="N99" s="87">
        <f>N105*N103</f>
        <v>110000</v>
      </c>
      <c r="O99" s="87"/>
      <c r="P99" s="87">
        <f>N99+O99</f>
        <v>110000</v>
      </c>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row>
    <row r="100" spans="1:16" ht="11.25">
      <c r="A100" s="52" t="s">
        <v>4</v>
      </c>
      <c r="B100" s="57"/>
      <c r="C100" s="57"/>
      <c r="D100" s="60"/>
      <c r="E100" s="60"/>
      <c r="F100" s="60"/>
      <c r="G100" s="60"/>
      <c r="H100" s="60"/>
      <c r="I100" s="60"/>
      <c r="J100" s="60"/>
      <c r="K100" s="60"/>
      <c r="L100" s="60"/>
      <c r="M100" s="60"/>
      <c r="N100" s="60"/>
      <c r="O100" s="60"/>
      <c r="P100" s="60"/>
    </row>
    <row r="101" spans="1:16" ht="27" customHeight="1">
      <c r="A101" s="53" t="s">
        <v>249</v>
      </c>
      <c r="B101" s="57"/>
      <c r="C101" s="57"/>
      <c r="D101" s="14">
        <v>37000</v>
      </c>
      <c r="E101" s="60"/>
      <c r="F101" s="60">
        <f>D101</f>
        <v>37000</v>
      </c>
      <c r="G101" s="14">
        <v>200000</v>
      </c>
      <c r="H101" s="60"/>
      <c r="I101" s="60"/>
      <c r="J101" s="60">
        <f>G101</f>
        <v>200000</v>
      </c>
      <c r="K101" s="60"/>
      <c r="L101" s="60"/>
      <c r="M101" s="60"/>
      <c r="N101" s="60">
        <v>110000</v>
      </c>
      <c r="O101" s="60"/>
      <c r="P101" s="60">
        <f>N101+O101</f>
        <v>110000</v>
      </c>
    </row>
    <row r="102" spans="1:16" ht="11.25">
      <c r="A102" s="52" t="s">
        <v>5</v>
      </c>
      <c r="B102" s="57"/>
      <c r="C102" s="57"/>
      <c r="D102" s="60"/>
      <c r="E102" s="60"/>
      <c r="F102" s="60"/>
      <c r="G102" s="60"/>
      <c r="H102" s="60"/>
      <c r="I102" s="60"/>
      <c r="J102" s="60"/>
      <c r="K102" s="60"/>
      <c r="L102" s="60"/>
      <c r="M102" s="60"/>
      <c r="N102" s="60"/>
      <c r="O102" s="60"/>
      <c r="P102" s="60"/>
    </row>
    <row r="103" spans="1:16" ht="25.5" customHeight="1">
      <c r="A103" s="53" t="s">
        <v>250</v>
      </c>
      <c r="B103" s="57"/>
      <c r="C103" s="57"/>
      <c r="D103" s="60">
        <v>1</v>
      </c>
      <c r="E103" s="60"/>
      <c r="F103" s="60">
        <f>D103</f>
        <v>1</v>
      </c>
      <c r="G103" s="60">
        <v>3</v>
      </c>
      <c r="H103" s="60"/>
      <c r="I103" s="60"/>
      <c r="J103" s="60">
        <f>G103</f>
        <v>3</v>
      </c>
      <c r="K103" s="60"/>
      <c r="L103" s="60"/>
      <c r="M103" s="60"/>
      <c r="N103" s="60">
        <v>2</v>
      </c>
      <c r="O103" s="60"/>
      <c r="P103" s="60">
        <f>N103+O103</f>
        <v>2</v>
      </c>
    </row>
    <row r="104" spans="1:16" ht="11.25">
      <c r="A104" s="52" t="s">
        <v>7</v>
      </c>
      <c r="B104" s="57"/>
      <c r="C104" s="57"/>
      <c r="D104" s="60"/>
      <c r="E104" s="60"/>
      <c r="F104" s="60"/>
      <c r="G104" s="60"/>
      <c r="H104" s="60"/>
      <c r="I104" s="60"/>
      <c r="J104" s="60"/>
      <c r="K104" s="60"/>
      <c r="L104" s="60"/>
      <c r="M104" s="60"/>
      <c r="N104" s="60"/>
      <c r="O104" s="60"/>
      <c r="P104" s="60"/>
    </row>
    <row r="105" spans="1:16" ht="23.25" customHeight="1">
      <c r="A105" s="53" t="s">
        <v>251</v>
      </c>
      <c r="B105" s="57"/>
      <c r="C105" s="57"/>
      <c r="D105" s="60">
        <f>D101/D103</f>
        <v>37000</v>
      </c>
      <c r="E105" s="60"/>
      <c r="F105" s="60">
        <f>D105</f>
        <v>37000</v>
      </c>
      <c r="G105" s="60">
        <f>G101/G103</f>
        <v>66666.66666666667</v>
      </c>
      <c r="H105" s="60"/>
      <c r="I105" s="60"/>
      <c r="J105" s="60">
        <f>G105</f>
        <v>66666.66666666667</v>
      </c>
      <c r="K105" s="60"/>
      <c r="L105" s="60"/>
      <c r="M105" s="60"/>
      <c r="N105" s="60">
        <f>N101/N103</f>
        <v>55000</v>
      </c>
      <c r="O105" s="60"/>
      <c r="P105" s="60">
        <f>N105+O105</f>
        <v>55000</v>
      </c>
    </row>
    <row r="106" spans="1:235" s="90" customFormat="1" ht="31.5" customHeight="1">
      <c r="A106" s="80" t="s">
        <v>344</v>
      </c>
      <c r="B106" s="86"/>
      <c r="C106" s="86"/>
      <c r="D106" s="87"/>
      <c r="E106" s="87">
        <f>E110*E112</f>
        <v>5000000</v>
      </c>
      <c r="F106" s="87">
        <f>E106</f>
        <v>5000000</v>
      </c>
      <c r="G106" s="87"/>
      <c r="H106" s="87">
        <f>H110*H112</f>
        <v>10000000</v>
      </c>
      <c r="I106" s="87"/>
      <c r="J106" s="87">
        <f>H106</f>
        <v>10000000</v>
      </c>
      <c r="K106" s="92"/>
      <c r="L106" s="92"/>
      <c r="M106" s="92"/>
      <c r="N106" s="87"/>
      <c r="O106" s="87">
        <f>O110*O112</f>
        <v>7200000</v>
      </c>
      <c r="P106" s="87">
        <f>O106</f>
        <v>7200000</v>
      </c>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row>
    <row r="107" spans="1:16" ht="12">
      <c r="A107" s="52" t="s">
        <v>4</v>
      </c>
      <c r="B107" s="57"/>
      <c r="C107" s="57"/>
      <c r="D107" s="60"/>
      <c r="E107" s="60"/>
      <c r="F107" s="60"/>
      <c r="G107" s="60"/>
      <c r="H107" s="60"/>
      <c r="I107" s="60"/>
      <c r="J107" s="62"/>
      <c r="K107" s="61"/>
      <c r="L107" s="61"/>
      <c r="M107" s="61"/>
      <c r="N107" s="60"/>
      <c r="O107" s="60"/>
      <c r="P107" s="60"/>
    </row>
    <row r="108" spans="1:16" ht="20.25" customHeight="1">
      <c r="A108" s="53" t="s">
        <v>99</v>
      </c>
      <c r="B108" s="57"/>
      <c r="C108" s="57"/>
      <c r="D108" s="60"/>
      <c r="E108" s="60">
        <v>5000000</v>
      </c>
      <c r="F108" s="62">
        <f>E108</f>
        <v>5000000</v>
      </c>
      <c r="G108" s="60"/>
      <c r="H108" s="60">
        <v>10000000</v>
      </c>
      <c r="I108" s="60"/>
      <c r="J108" s="62">
        <f>H108</f>
        <v>10000000</v>
      </c>
      <c r="K108" s="61"/>
      <c r="L108" s="61"/>
      <c r="M108" s="61"/>
      <c r="N108" s="60"/>
      <c r="O108" s="60">
        <v>7200000</v>
      </c>
      <c r="P108" s="62">
        <f>O108</f>
        <v>7200000</v>
      </c>
    </row>
    <row r="109" spans="1:16" ht="12">
      <c r="A109" s="52" t="s">
        <v>5</v>
      </c>
      <c r="B109" s="57"/>
      <c r="C109" s="57"/>
      <c r="D109" s="60"/>
      <c r="E109" s="60"/>
      <c r="F109" s="62"/>
      <c r="G109" s="60"/>
      <c r="H109" s="60"/>
      <c r="I109" s="60"/>
      <c r="J109" s="62"/>
      <c r="K109" s="61"/>
      <c r="L109" s="61"/>
      <c r="M109" s="61"/>
      <c r="N109" s="60"/>
      <c r="O109" s="60"/>
      <c r="P109" s="62"/>
    </row>
    <row r="110" spans="1:16" ht="21" customHeight="1">
      <c r="A110" s="53" t="s">
        <v>100</v>
      </c>
      <c r="B110" s="57"/>
      <c r="C110" s="57"/>
      <c r="D110" s="60"/>
      <c r="E110" s="60">
        <v>1</v>
      </c>
      <c r="F110" s="62">
        <f>E110</f>
        <v>1</v>
      </c>
      <c r="G110" s="60"/>
      <c r="H110" s="60">
        <v>2</v>
      </c>
      <c r="I110" s="60"/>
      <c r="J110" s="62">
        <v>2</v>
      </c>
      <c r="K110" s="61"/>
      <c r="L110" s="61"/>
      <c r="M110" s="61"/>
      <c r="N110" s="60"/>
      <c r="O110" s="60">
        <v>1</v>
      </c>
      <c r="P110" s="62">
        <f>O110</f>
        <v>1</v>
      </c>
    </row>
    <row r="111" spans="1:16" ht="12">
      <c r="A111" s="52" t="s">
        <v>7</v>
      </c>
      <c r="B111" s="57"/>
      <c r="C111" s="57"/>
      <c r="D111" s="60"/>
      <c r="E111" s="60"/>
      <c r="F111" s="62"/>
      <c r="G111" s="60"/>
      <c r="H111" s="60"/>
      <c r="I111" s="60"/>
      <c r="J111" s="62"/>
      <c r="K111" s="61"/>
      <c r="L111" s="61"/>
      <c r="M111" s="61"/>
      <c r="N111" s="60"/>
      <c r="O111" s="60"/>
      <c r="P111" s="62"/>
    </row>
    <row r="112" spans="1:16" ht="27" customHeight="1">
      <c r="A112" s="53" t="s">
        <v>101</v>
      </c>
      <c r="B112" s="57"/>
      <c r="C112" s="57"/>
      <c r="D112" s="60"/>
      <c r="E112" s="60">
        <f>E108/E110</f>
        <v>5000000</v>
      </c>
      <c r="F112" s="62">
        <f>E112</f>
        <v>5000000</v>
      </c>
      <c r="G112" s="60"/>
      <c r="H112" s="60">
        <f>H108/H110</f>
        <v>5000000</v>
      </c>
      <c r="I112" s="60"/>
      <c r="J112" s="62">
        <f>H112</f>
        <v>5000000</v>
      </c>
      <c r="K112" s="61"/>
      <c r="L112" s="61"/>
      <c r="M112" s="61"/>
      <c r="N112" s="60"/>
      <c r="O112" s="60">
        <f>O108/O110</f>
        <v>7200000</v>
      </c>
      <c r="P112" s="62">
        <f>P108/P110</f>
        <v>7200000</v>
      </c>
    </row>
    <row r="113" spans="1:235" s="90" customFormat="1" ht="48" customHeight="1">
      <c r="A113" s="80" t="s">
        <v>345</v>
      </c>
      <c r="B113" s="86"/>
      <c r="C113" s="86"/>
      <c r="D113" s="87">
        <f>(D121*D128)+(D122*D129)+(D123*D130)+(D124*D131)+(D125*D132)+(D133*D122*D134)</f>
        <v>2368300</v>
      </c>
      <c r="E113" s="87">
        <f aca="true" t="shared" si="11" ref="E113:O113">(E121*E128)+(E122*E129)+(E123*E130)+(E124*E131)+(E125*E132)+(E133*E122*E134)</f>
        <v>3200000</v>
      </c>
      <c r="F113" s="87">
        <f>D113+E113</f>
        <v>5568300</v>
      </c>
      <c r="G113" s="87">
        <f>(G121*G128)+(G122*G129)+(G123*G130)+(G124*G131)+(G125*G132)+(G133*G122*G134)</f>
        <v>2855639.7894428</v>
      </c>
      <c r="H113" s="87">
        <f t="shared" si="11"/>
        <v>1200000</v>
      </c>
      <c r="I113" s="87"/>
      <c r="J113" s="87">
        <f>G113+H113</f>
        <v>4055639.7894428</v>
      </c>
      <c r="K113" s="87">
        <f t="shared" si="11"/>
        <v>0</v>
      </c>
      <c r="L113" s="87">
        <f t="shared" si="11"/>
        <v>0</v>
      </c>
      <c r="M113" s="87">
        <f t="shared" si="11"/>
        <v>0</v>
      </c>
      <c r="N113" s="87">
        <f>(N121*N128)+(N122*N129)+(N123*N130)+(N124*N131)+(N125*N132)+(N133*N122*N134)+3000</f>
        <v>3387999.99998</v>
      </c>
      <c r="O113" s="87">
        <f t="shared" si="11"/>
        <v>2250000</v>
      </c>
      <c r="P113" s="87">
        <f>N113+O113</f>
        <v>5637999.99998</v>
      </c>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row>
    <row r="114" spans="1:235" s="48" customFormat="1" ht="12">
      <c r="A114" s="52" t="s">
        <v>4</v>
      </c>
      <c r="B114" s="59"/>
      <c r="C114" s="59"/>
      <c r="D114" s="60"/>
      <c r="E114" s="60"/>
      <c r="F114" s="60"/>
      <c r="G114" s="60"/>
      <c r="H114" s="60"/>
      <c r="I114" s="60"/>
      <c r="J114" s="60"/>
      <c r="K114" s="61"/>
      <c r="L114" s="61"/>
      <c r="M114" s="61"/>
      <c r="N114" s="60"/>
      <c r="O114" s="60"/>
      <c r="P114" s="60"/>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row>
    <row r="115" spans="1:235" s="48" customFormat="1" ht="12">
      <c r="A115" s="53" t="s">
        <v>102</v>
      </c>
      <c r="B115" s="57"/>
      <c r="C115" s="57"/>
      <c r="D115" s="60">
        <v>56</v>
      </c>
      <c r="E115" s="60"/>
      <c r="F115" s="60">
        <f>D115</f>
        <v>56</v>
      </c>
      <c r="G115" s="60">
        <v>42</v>
      </c>
      <c r="H115" s="60"/>
      <c r="I115" s="60"/>
      <c r="J115" s="60">
        <f>G115</f>
        <v>42</v>
      </c>
      <c r="K115" s="61"/>
      <c r="L115" s="61"/>
      <c r="M115" s="61"/>
      <c r="N115" s="60">
        <v>67</v>
      </c>
      <c r="O115" s="60"/>
      <c r="P115" s="60">
        <f>N115</f>
        <v>67</v>
      </c>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row>
    <row r="116" spans="1:235" s="48" customFormat="1" ht="12">
      <c r="A116" s="53" t="s">
        <v>8</v>
      </c>
      <c r="B116" s="57"/>
      <c r="C116" s="57"/>
      <c r="D116" s="60">
        <v>37000</v>
      </c>
      <c r="E116" s="60"/>
      <c r="F116" s="60">
        <f>D116</f>
        <v>37000</v>
      </c>
      <c r="G116" s="60">
        <v>37400</v>
      </c>
      <c r="H116" s="60"/>
      <c r="I116" s="60"/>
      <c r="J116" s="60">
        <f>G116</f>
        <v>37400</v>
      </c>
      <c r="K116" s="61"/>
      <c r="L116" s="61"/>
      <c r="M116" s="61"/>
      <c r="N116" s="60">
        <v>37400</v>
      </c>
      <c r="O116" s="60"/>
      <c r="P116" s="60">
        <f>N116</f>
        <v>37400</v>
      </c>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row>
    <row r="117" spans="1:235" s="48" customFormat="1" ht="33.75">
      <c r="A117" s="53" t="s">
        <v>108</v>
      </c>
      <c r="B117" s="57"/>
      <c r="C117" s="57"/>
      <c r="D117" s="60">
        <v>37400</v>
      </c>
      <c r="E117" s="60"/>
      <c r="F117" s="60">
        <v>37400</v>
      </c>
      <c r="G117" s="60">
        <v>37400</v>
      </c>
      <c r="H117" s="60"/>
      <c r="I117" s="60"/>
      <c r="J117" s="60">
        <v>37400</v>
      </c>
      <c r="K117" s="61"/>
      <c r="L117" s="61"/>
      <c r="M117" s="61"/>
      <c r="N117" s="60">
        <v>37400</v>
      </c>
      <c r="O117" s="60"/>
      <c r="P117" s="60">
        <v>37400</v>
      </c>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row>
    <row r="118" spans="1:235" s="50"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row>
    <row r="119" spans="1:241" s="47" customFormat="1" ht="12" customHeight="1">
      <c r="A119" s="52" t="s">
        <v>5</v>
      </c>
      <c r="B119" s="59"/>
      <c r="C119" s="59"/>
      <c r="D119" s="60"/>
      <c r="E119" s="60"/>
      <c r="F119" s="60"/>
      <c r="G119" s="60"/>
      <c r="H119" s="60"/>
      <c r="I119" s="60"/>
      <c r="J119" s="60"/>
      <c r="K119" s="61"/>
      <c r="L119" s="61"/>
      <c r="M119" s="61"/>
      <c r="N119" s="60"/>
      <c r="O119" s="60"/>
      <c r="P119" s="60"/>
      <c r="IB119" s="48"/>
      <c r="IC119" s="48"/>
      <c r="ID119" s="48"/>
      <c r="IE119" s="48"/>
      <c r="IF119" s="48"/>
      <c r="IG119" s="48"/>
    </row>
    <row r="120" spans="1:241" s="47" customFormat="1" ht="22.5">
      <c r="A120" s="53" t="s">
        <v>14</v>
      </c>
      <c r="B120" s="57"/>
      <c r="C120" s="57"/>
      <c r="D120" s="60"/>
      <c r="E120" s="60"/>
      <c r="F120" s="60">
        <f>D120</f>
        <v>0</v>
      </c>
      <c r="G120" s="60"/>
      <c r="H120" s="60"/>
      <c r="I120" s="60"/>
      <c r="J120" s="60">
        <f>G120</f>
        <v>0</v>
      </c>
      <c r="K120" s="61"/>
      <c r="L120" s="61"/>
      <c r="M120" s="61"/>
      <c r="N120" s="60"/>
      <c r="O120" s="60"/>
      <c r="P120" s="60">
        <f>N120</f>
        <v>0</v>
      </c>
      <c r="IB120" s="48"/>
      <c r="IC120" s="48"/>
      <c r="ID120" s="48"/>
      <c r="IE120" s="48"/>
      <c r="IF120" s="48"/>
      <c r="IG120" s="48"/>
    </row>
    <row r="121" spans="1:241" s="47" customFormat="1" ht="27.75" customHeight="1">
      <c r="A121" s="53" t="s">
        <v>103</v>
      </c>
      <c r="B121" s="57"/>
      <c r="C121" s="59"/>
      <c r="D121" s="60"/>
      <c r="E121" s="60">
        <v>8</v>
      </c>
      <c r="F121" s="60">
        <f>E121</f>
        <v>8</v>
      </c>
      <c r="G121" s="60"/>
      <c r="H121" s="60">
        <v>3</v>
      </c>
      <c r="I121" s="60"/>
      <c r="J121" s="60">
        <v>3</v>
      </c>
      <c r="K121" s="61"/>
      <c r="L121" s="61"/>
      <c r="M121" s="61"/>
      <c r="N121" s="60"/>
      <c r="O121" s="60">
        <v>5</v>
      </c>
      <c r="P121" s="60">
        <f>O121</f>
        <v>5</v>
      </c>
      <c r="IB121" s="48"/>
      <c r="IC121" s="48"/>
      <c r="ID121" s="48"/>
      <c r="IE121" s="48"/>
      <c r="IF121" s="48"/>
      <c r="IG121" s="48"/>
    </row>
    <row r="122" spans="1:241" s="47" customFormat="1" ht="27" customHeight="1">
      <c r="A122" s="53" t="s">
        <v>104</v>
      </c>
      <c r="B122" s="57"/>
      <c r="C122" s="59"/>
      <c r="D122" s="60">
        <v>56</v>
      </c>
      <c r="E122" s="60"/>
      <c r="F122" s="60">
        <f>D122</f>
        <v>56</v>
      </c>
      <c r="G122" s="60">
        <v>42</v>
      </c>
      <c r="H122" s="60"/>
      <c r="I122" s="60"/>
      <c r="J122" s="60">
        <f>G122</f>
        <v>42</v>
      </c>
      <c r="K122" s="61"/>
      <c r="L122" s="61"/>
      <c r="M122" s="61"/>
      <c r="N122" s="60">
        <v>67</v>
      </c>
      <c r="O122" s="60"/>
      <c r="P122" s="60">
        <f>N122</f>
        <v>67</v>
      </c>
      <c r="IB122" s="48"/>
      <c r="IC122" s="48"/>
      <c r="ID122" s="48"/>
      <c r="IE122" s="48"/>
      <c r="IF122" s="48"/>
      <c r="IG122" s="48"/>
    </row>
    <row r="123" spans="1:241" s="47" customFormat="1" ht="22.5">
      <c r="A123" s="53" t="s">
        <v>42</v>
      </c>
      <c r="B123" s="57"/>
      <c r="C123" s="59"/>
      <c r="D123" s="60">
        <v>300</v>
      </c>
      <c r="E123" s="60"/>
      <c r="F123" s="60">
        <f>D123</f>
        <v>300</v>
      </c>
      <c r="G123" s="60">
        <v>300</v>
      </c>
      <c r="H123" s="60"/>
      <c r="I123" s="60"/>
      <c r="J123" s="60">
        <f>G123</f>
        <v>300</v>
      </c>
      <c r="K123" s="61"/>
      <c r="L123" s="61"/>
      <c r="M123" s="61"/>
      <c r="N123" s="60">
        <v>300</v>
      </c>
      <c r="O123" s="60"/>
      <c r="P123" s="60">
        <v>300</v>
      </c>
      <c r="IB123" s="48"/>
      <c r="IC123" s="48"/>
      <c r="ID123" s="48"/>
      <c r="IE123" s="48"/>
      <c r="IF123" s="48"/>
      <c r="IG123" s="48"/>
    </row>
    <row r="124" spans="1:241" s="47" customFormat="1" ht="22.5">
      <c r="A124" s="53" t="s">
        <v>46</v>
      </c>
      <c r="B124" s="57"/>
      <c r="C124" s="59"/>
      <c r="D124" s="60">
        <v>300</v>
      </c>
      <c r="E124" s="60"/>
      <c r="F124" s="60">
        <f>D124</f>
        <v>300</v>
      </c>
      <c r="G124" s="60">
        <v>300</v>
      </c>
      <c r="H124" s="60"/>
      <c r="I124" s="60"/>
      <c r="J124" s="60">
        <v>300</v>
      </c>
      <c r="K124" s="61"/>
      <c r="L124" s="61"/>
      <c r="M124" s="61"/>
      <c r="N124" s="60">
        <v>300</v>
      </c>
      <c r="O124" s="60"/>
      <c r="P124" s="60">
        <f>N124</f>
        <v>300</v>
      </c>
      <c r="IB124" s="48"/>
      <c r="IC124" s="48"/>
      <c r="ID124" s="48"/>
      <c r="IE124" s="48"/>
      <c r="IF124" s="48"/>
      <c r="IG124" s="48"/>
    </row>
    <row r="125" spans="1:241" s="47" customFormat="1" ht="22.5">
      <c r="A125" s="53" t="s">
        <v>13</v>
      </c>
      <c r="B125" s="57"/>
      <c r="C125" s="59"/>
      <c r="D125" s="60">
        <v>37400</v>
      </c>
      <c r="E125" s="60"/>
      <c r="F125" s="60">
        <f aca="true" t="shared" si="12" ref="F125:F140">D125</f>
        <v>37400</v>
      </c>
      <c r="G125" s="60">
        <v>37400</v>
      </c>
      <c r="H125" s="60"/>
      <c r="I125" s="60"/>
      <c r="J125" s="60">
        <f>G125</f>
        <v>37400</v>
      </c>
      <c r="K125" s="61"/>
      <c r="L125" s="61"/>
      <c r="M125" s="61"/>
      <c r="N125" s="60">
        <v>37400</v>
      </c>
      <c r="O125" s="60"/>
      <c r="P125" s="60">
        <f>N125</f>
        <v>37400</v>
      </c>
      <c r="IB125" s="48"/>
      <c r="IC125" s="48"/>
      <c r="ID125" s="48"/>
      <c r="IE125" s="48"/>
      <c r="IF125" s="48"/>
      <c r="IG125" s="48"/>
    </row>
    <row r="126" spans="1:241" s="47" customFormat="1" ht="12">
      <c r="A126" s="52" t="s">
        <v>7</v>
      </c>
      <c r="B126" s="59"/>
      <c r="C126" s="59"/>
      <c r="D126" s="60"/>
      <c r="E126" s="60"/>
      <c r="F126" s="60">
        <f t="shared" si="12"/>
        <v>0</v>
      </c>
      <c r="G126" s="60"/>
      <c r="H126" s="60"/>
      <c r="I126" s="60"/>
      <c r="J126" s="60"/>
      <c r="K126" s="61"/>
      <c r="L126" s="61"/>
      <c r="M126" s="61"/>
      <c r="N126" s="60"/>
      <c r="O126" s="60"/>
      <c r="P126" s="60"/>
      <c r="IB126" s="48"/>
      <c r="IC126" s="48"/>
      <c r="ID126" s="48"/>
      <c r="IE126" s="48"/>
      <c r="IF126" s="48"/>
      <c r="IG126" s="48"/>
    </row>
    <row r="127" spans="1:241" s="47" customFormat="1" ht="22.5" customHeight="1">
      <c r="A127" s="53" t="s">
        <v>16</v>
      </c>
      <c r="B127" s="57"/>
      <c r="C127" s="57"/>
      <c r="D127" s="60"/>
      <c r="E127" s="60"/>
      <c r="F127" s="60">
        <f t="shared" si="12"/>
        <v>0</v>
      </c>
      <c r="G127" s="60"/>
      <c r="H127" s="60"/>
      <c r="I127" s="60"/>
      <c r="J127" s="60">
        <f>G127</f>
        <v>0</v>
      </c>
      <c r="K127" s="61"/>
      <c r="L127" s="61"/>
      <c r="M127" s="61"/>
      <c r="N127" s="60"/>
      <c r="O127" s="60"/>
      <c r="P127" s="60">
        <f>N127</f>
        <v>0</v>
      </c>
      <c r="IB127" s="48"/>
      <c r="IC127" s="48"/>
      <c r="ID127" s="48"/>
      <c r="IE127" s="48"/>
      <c r="IF127" s="48"/>
      <c r="IG127" s="48"/>
    </row>
    <row r="128" spans="1:241" s="47"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48"/>
      <c r="IC128" s="48"/>
      <c r="ID128" s="48"/>
      <c r="IE128" s="48"/>
      <c r="IF128" s="48"/>
      <c r="IG128" s="48"/>
    </row>
    <row r="129" spans="1:241" s="47" customFormat="1" ht="22.5">
      <c r="A129" s="53" t="s">
        <v>106</v>
      </c>
      <c r="B129" s="57"/>
      <c r="C129" s="57"/>
      <c r="D129" s="60">
        <v>10000</v>
      </c>
      <c r="E129" s="60"/>
      <c r="F129" s="60">
        <f t="shared" si="12"/>
        <v>10000</v>
      </c>
      <c r="G129" s="60">
        <v>23980.9523809</v>
      </c>
      <c r="H129" s="60"/>
      <c r="I129" s="60"/>
      <c r="J129" s="60">
        <f aca="true" t="shared" si="13" ref="J129:J134">G129</f>
        <v>23980.9523809</v>
      </c>
      <c r="K129" s="61"/>
      <c r="L129" s="61"/>
      <c r="M129" s="61"/>
      <c r="N129" s="60">
        <v>17021.75194</v>
      </c>
      <c r="O129" s="60"/>
      <c r="P129" s="60">
        <f aca="true" t="shared" si="14" ref="P129:P134">N129</f>
        <v>17021.75194</v>
      </c>
      <c r="IB129" s="48"/>
      <c r="IC129" s="48"/>
      <c r="ID129" s="48"/>
      <c r="IE129" s="48"/>
      <c r="IF129" s="48"/>
      <c r="IG129" s="48"/>
    </row>
    <row r="130" spans="1:241" s="47" customFormat="1" ht="27" customHeight="1">
      <c r="A130" s="53" t="s">
        <v>43</v>
      </c>
      <c r="B130" s="57"/>
      <c r="C130" s="57"/>
      <c r="D130" s="60">
        <v>300</v>
      </c>
      <c r="E130" s="60"/>
      <c r="F130" s="60">
        <f>D130</f>
        <v>300</v>
      </c>
      <c r="G130" s="60">
        <v>300</v>
      </c>
      <c r="H130" s="60"/>
      <c r="I130" s="60"/>
      <c r="J130" s="60">
        <f t="shared" si="13"/>
        <v>300</v>
      </c>
      <c r="K130" s="61"/>
      <c r="L130" s="61"/>
      <c r="M130" s="61"/>
      <c r="N130" s="60">
        <v>350</v>
      </c>
      <c r="O130" s="60"/>
      <c r="P130" s="60">
        <f t="shared" si="14"/>
        <v>350</v>
      </c>
      <c r="IB130" s="48"/>
      <c r="IC130" s="48"/>
      <c r="ID130" s="48"/>
      <c r="IE130" s="48"/>
      <c r="IF130" s="48"/>
      <c r="IG130" s="48"/>
    </row>
    <row r="131" spans="1:241" s="47" customFormat="1" ht="27" customHeight="1">
      <c r="A131" s="53" t="s">
        <v>19</v>
      </c>
      <c r="B131" s="57"/>
      <c r="C131" s="57"/>
      <c r="D131" s="60">
        <v>300</v>
      </c>
      <c r="E131" s="60"/>
      <c r="F131" s="60">
        <f t="shared" si="12"/>
        <v>300</v>
      </c>
      <c r="G131" s="60">
        <v>300</v>
      </c>
      <c r="H131" s="60"/>
      <c r="I131" s="60"/>
      <c r="J131" s="60">
        <f t="shared" si="13"/>
        <v>300</v>
      </c>
      <c r="K131" s="61"/>
      <c r="L131" s="61"/>
      <c r="M131" s="61"/>
      <c r="N131" s="60">
        <v>350</v>
      </c>
      <c r="O131" s="60"/>
      <c r="P131" s="60">
        <f t="shared" si="14"/>
        <v>350</v>
      </c>
      <c r="IB131" s="48"/>
      <c r="IC131" s="48"/>
      <c r="ID131" s="48"/>
      <c r="IE131" s="48"/>
      <c r="IF131" s="48"/>
      <c r="IG131" s="48"/>
    </row>
    <row r="132" spans="1:241" s="47" customFormat="1" ht="22.5">
      <c r="A132" s="53" t="s">
        <v>15</v>
      </c>
      <c r="B132" s="57"/>
      <c r="C132" s="57"/>
      <c r="D132" s="60">
        <v>40</v>
      </c>
      <c r="E132" s="60"/>
      <c r="F132" s="60">
        <f t="shared" si="12"/>
        <v>40</v>
      </c>
      <c r="G132" s="60">
        <v>40</v>
      </c>
      <c r="H132" s="60"/>
      <c r="I132" s="60"/>
      <c r="J132" s="60">
        <f t="shared" si="13"/>
        <v>40</v>
      </c>
      <c r="K132" s="61"/>
      <c r="L132" s="61"/>
      <c r="M132" s="61"/>
      <c r="N132" s="60">
        <v>50</v>
      </c>
      <c r="O132" s="60"/>
      <c r="P132" s="60">
        <f t="shared" si="14"/>
        <v>50</v>
      </c>
      <c r="S132" s="47">
        <f>1277*64*1.65</f>
        <v>134851.19999999998</v>
      </c>
      <c r="IB132" s="48"/>
      <c r="IC132" s="48"/>
      <c r="ID132" s="48"/>
      <c r="IE132" s="48"/>
      <c r="IF132" s="48"/>
      <c r="IG132" s="48"/>
    </row>
    <row r="133" spans="1:241" s="47" customFormat="1" ht="22.5">
      <c r="A133" s="53" t="s">
        <v>73</v>
      </c>
      <c r="B133" s="57"/>
      <c r="C133" s="57"/>
      <c r="D133" s="60">
        <v>1312.5</v>
      </c>
      <c r="E133" s="60"/>
      <c r="F133" s="60">
        <f>D133</f>
        <v>1312.5</v>
      </c>
      <c r="G133" s="60">
        <v>2488.30865</v>
      </c>
      <c r="H133" s="60"/>
      <c r="I133" s="60"/>
      <c r="J133" s="60">
        <f t="shared" si="13"/>
        <v>2488.30865</v>
      </c>
      <c r="K133" s="61"/>
      <c r="L133" s="61"/>
      <c r="M133" s="61"/>
      <c r="N133" s="60">
        <v>1342</v>
      </c>
      <c r="O133" s="60"/>
      <c r="P133" s="60">
        <f t="shared" si="14"/>
        <v>1342</v>
      </c>
      <c r="S133" s="47">
        <f>21572/4</f>
        <v>5393</v>
      </c>
      <c r="IB133" s="48"/>
      <c r="IC133" s="48"/>
      <c r="ID133" s="48"/>
      <c r="IE133" s="48"/>
      <c r="IF133" s="48"/>
      <c r="IG133" s="48"/>
    </row>
    <row r="134" spans="1:241" s="47"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48"/>
      <c r="IC134" s="48"/>
      <c r="ID134" s="48"/>
      <c r="IE134" s="48"/>
      <c r="IF134" s="48"/>
      <c r="IG134" s="48"/>
    </row>
    <row r="135" spans="1:241" s="47" customFormat="1" ht="12">
      <c r="A135" s="52" t="s">
        <v>6</v>
      </c>
      <c r="B135" s="59"/>
      <c r="C135" s="59"/>
      <c r="D135" s="60"/>
      <c r="E135" s="60"/>
      <c r="F135" s="60"/>
      <c r="G135" s="60"/>
      <c r="H135" s="60"/>
      <c r="I135" s="60"/>
      <c r="J135" s="60"/>
      <c r="K135" s="61"/>
      <c r="L135" s="61"/>
      <c r="M135" s="61"/>
      <c r="N135" s="60"/>
      <c r="O135" s="60"/>
      <c r="P135" s="60"/>
      <c r="IB135" s="48"/>
      <c r="IC135" s="48"/>
      <c r="ID135" s="48"/>
      <c r="IE135" s="48"/>
      <c r="IF135" s="48"/>
      <c r="IG135" s="48"/>
    </row>
    <row r="136" spans="1:241" s="47" customFormat="1" ht="22.5" customHeight="1">
      <c r="A136" s="53" t="s">
        <v>45</v>
      </c>
      <c r="B136" s="57"/>
      <c r="C136" s="57"/>
      <c r="D136" s="60"/>
      <c r="E136" s="60"/>
      <c r="F136" s="60">
        <f t="shared" si="12"/>
        <v>0</v>
      </c>
      <c r="G136" s="60"/>
      <c r="H136" s="60"/>
      <c r="I136" s="60"/>
      <c r="J136" s="60"/>
      <c r="K136" s="61"/>
      <c r="L136" s="61"/>
      <c r="M136" s="61"/>
      <c r="N136" s="60"/>
      <c r="O136" s="60"/>
      <c r="P136" s="60"/>
      <c r="IB136" s="48"/>
      <c r="IC136" s="48"/>
      <c r="ID136" s="48"/>
      <c r="IE136" s="48"/>
      <c r="IF136" s="48"/>
      <c r="IG136" s="48"/>
    </row>
    <row r="137" spans="1:241" s="47" customFormat="1" ht="30.75" customHeight="1">
      <c r="A137" s="53" t="s">
        <v>107</v>
      </c>
      <c r="B137" s="57"/>
      <c r="C137" s="57"/>
      <c r="D137" s="60">
        <v>100</v>
      </c>
      <c r="E137" s="60"/>
      <c r="F137" s="60">
        <f t="shared" si="12"/>
        <v>100</v>
      </c>
      <c r="G137" s="60">
        <v>100</v>
      </c>
      <c r="H137" s="60"/>
      <c r="I137" s="60"/>
      <c r="J137" s="60">
        <v>100</v>
      </c>
      <c r="K137" s="61"/>
      <c r="L137" s="61"/>
      <c r="M137" s="61"/>
      <c r="N137" s="60">
        <v>100</v>
      </c>
      <c r="O137" s="60"/>
      <c r="P137" s="60">
        <v>100</v>
      </c>
      <c r="IB137" s="48"/>
      <c r="IC137" s="48"/>
      <c r="ID137" s="48"/>
      <c r="IE137" s="48"/>
      <c r="IF137" s="48"/>
      <c r="IG137" s="48"/>
    </row>
    <row r="138" spans="1:241" s="47" customFormat="1" ht="22.5" customHeight="1">
      <c r="A138" s="53" t="s">
        <v>47</v>
      </c>
      <c r="B138" s="57"/>
      <c r="C138" s="57"/>
      <c r="D138" s="60"/>
      <c r="E138" s="60"/>
      <c r="F138" s="60">
        <f t="shared" si="12"/>
        <v>0</v>
      </c>
      <c r="G138" s="60"/>
      <c r="H138" s="60"/>
      <c r="I138" s="60"/>
      <c r="J138" s="60"/>
      <c r="K138" s="61"/>
      <c r="L138" s="61"/>
      <c r="M138" s="61"/>
      <c r="N138" s="60"/>
      <c r="O138" s="60"/>
      <c r="P138" s="60"/>
      <c r="IB138" s="48"/>
      <c r="IC138" s="48"/>
      <c r="ID138" s="48"/>
      <c r="IE138" s="48"/>
      <c r="IF138" s="48"/>
      <c r="IG138" s="48"/>
    </row>
    <row r="139" spans="1:241" s="47" customFormat="1" ht="23.25" customHeight="1">
      <c r="A139" s="53" t="s">
        <v>21</v>
      </c>
      <c r="B139" s="57"/>
      <c r="C139" s="57"/>
      <c r="D139" s="60">
        <v>100</v>
      </c>
      <c r="E139" s="60"/>
      <c r="F139" s="60">
        <f t="shared" si="12"/>
        <v>100</v>
      </c>
      <c r="G139" s="60">
        <v>100</v>
      </c>
      <c r="H139" s="60"/>
      <c r="I139" s="60"/>
      <c r="J139" s="60">
        <v>100</v>
      </c>
      <c r="K139" s="61"/>
      <c r="L139" s="61"/>
      <c r="M139" s="61"/>
      <c r="N139" s="60">
        <v>100</v>
      </c>
      <c r="O139" s="60"/>
      <c r="P139" s="60">
        <v>100</v>
      </c>
      <c r="IB139" s="48"/>
      <c r="IC139" s="48"/>
      <c r="ID139" s="48"/>
      <c r="IE139" s="48"/>
      <c r="IF139" s="48"/>
      <c r="IG139" s="48"/>
    </row>
    <row r="140" spans="1:241" s="47" customFormat="1" ht="30" customHeight="1">
      <c r="A140" s="53" t="s">
        <v>57</v>
      </c>
      <c r="B140" s="57"/>
      <c r="C140" s="57"/>
      <c r="D140" s="60">
        <v>100</v>
      </c>
      <c r="E140" s="60"/>
      <c r="F140" s="60">
        <f t="shared" si="12"/>
        <v>100</v>
      </c>
      <c r="G140" s="60">
        <f>G125/G117*100</f>
        <v>100</v>
      </c>
      <c r="H140" s="60"/>
      <c r="I140" s="60"/>
      <c r="J140" s="60">
        <f>J125/J117*100</f>
        <v>100</v>
      </c>
      <c r="K140" s="61"/>
      <c r="L140" s="61"/>
      <c r="M140" s="61"/>
      <c r="N140" s="60">
        <f>N125/N117*100</f>
        <v>100</v>
      </c>
      <c r="O140" s="60"/>
      <c r="P140" s="60">
        <f>P125/P117*100</f>
        <v>100</v>
      </c>
      <c r="IB140" s="48"/>
      <c r="IC140" s="48"/>
      <c r="ID140" s="48"/>
      <c r="IE140" s="48"/>
      <c r="IF140" s="48"/>
      <c r="IG140" s="48"/>
    </row>
    <row r="141" spans="1:241" s="89" customFormat="1" ht="24" customHeight="1">
      <c r="A141" s="80" t="s">
        <v>346</v>
      </c>
      <c r="B141" s="86"/>
      <c r="C141" s="86"/>
      <c r="D141" s="87">
        <f>(D152*D158)+(D153*D159)+(D155*D161)+(D154*D160)+(D156*D163)+100</f>
        <v>10575000</v>
      </c>
      <c r="E141" s="87">
        <f>(E152*E158)+(E153*E159)+(E155*E161)+(E154*E160)+(E156*E163)+4.4</f>
        <v>6200000.000000001</v>
      </c>
      <c r="F141" s="87">
        <f>D141+E141</f>
        <v>16775000</v>
      </c>
      <c r="G141" s="87">
        <f>(G152*G158)+(G153*G159)+(G155*G161)+(G154*G160)+(G156*G163)</f>
        <v>18319999.999072</v>
      </c>
      <c r="H141" s="87">
        <f>(H152*H158)+(H153*H159)+(H155*H161)+(H154*H160)+(H156*H163)+6.2-774.52+1700000+100000</f>
        <v>11800000</v>
      </c>
      <c r="I141" s="87"/>
      <c r="J141" s="87">
        <f>G141+H141</f>
        <v>30119999.999072</v>
      </c>
      <c r="K141" s="87">
        <f>(K152*K158)+(K153*K159)+(K155*K161)+(K154*K160)+(K156*K163)+100</f>
        <v>100</v>
      </c>
      <c r="L141" s="87">
        <f>(L152*L158)+(L153*L159)+(L155*L161)+(L154*L160)+(L156*L163)+100</f>
        <v>100</v>
      </c>
      <c r="M141" s="87">
        <f>(M152*M158)+(M153*M159)+(M155*M161)+(M154*M160)+(M156*M163)+100</f>
        <v>100</v>
      </c>
      <c r="N141" s="87">
        <f>(N152*N158)+(N153*N159)+(N155*N161)+(N154*N160)+(N156*N163)</f>
        <v>33039999.99992</v>
      </c>
      <c r="O141" s="87">
        <f>(O152*O158)+(O153*O159)+(O155*O161)+(O154*O160)+(O156*O163)</f>
        <v>11000000.0019</v>
      </c>
      <c r="P141" s="87">
        <f>N141+O141</f>
        <v>44040000.00182</v>
      </c>
      <c r="IB141" s="90"/>
      <c r="IC141" s="90"/>
      <c r="ID141" s="90"/>
      <c r="IE141" s="90"/>
      <c r="IF141" s="90"/>
      <c r="IG141" s="90"/>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2" t="s">
        <v>4</v>
      </c>
      <c r="B143" s="59"/>
      <c r="C143" s="59"/>
      <c r="D143" s="126"/>
      <c r="E143" s="126"/>
      <c r="F143" s="126"/>
      <c r="G143" s="126"/>
      <c r="H143" s="126"/>
      <c r="I143" s="126"/>
      <c r="J143" s="126"/>
      <c r="K143" s="61"/>
      <c r="L143" s="61"/>
      <c r="M143" s="61"/>
      <c r="N143" s="126"/>
      <c r="O143" s="126"/>
      <c r="P143" s="126"/>
      <c r="IB143"/>
      <c r="IC143"/>
      <c r="ID143"/>
      <c r="IE143"/>
      <c r="IF143"/>
      <c r="IG143"/>
    </row>
    <row r="144" spans="1:241" s="1" customFormat="1" ht="21" customHeight="1">
      <c r="A144" s="53" t="s">
        <v>109</v>
      </c>
      <c r="B144" s="57"/>
      <c r="C144" s="57"/>
      <c r="D144" s="60">
        <v>600.663</v>
      </c>
      <c r="E144" s="60"/>
      <c r="F144" s="60">
        <f>D144</f>
        <v>600.663</v>
      </c>
      <c r="G144" s="60">
        <f>D144</f>
        <v>600.663</v>
      </c>
      <c r="H144" s="60"/>
      <c r="I144" s="60"/>
      <c r="J144" s="60">
        <f>G144</f>
        <v>600.663</v>
      </c>
      <c r="K144" s="61"/>
      <c r="L144" s="61"/>
      <c r="M144" s="61"/>
      <c r="N144" s="60">
        <f>J144</f>
        <v>600.663</v>
      </c>
      <c r="O144" s="60"/>
      <c r="P144" s="60">
        <f>N144</f>
        <v>600.663</v>
      </c>
      <c r="IB144"/>
      <c r="IC144"/>
      <c r="ID144"/>
      <c r="IE144"/>
      <c r="IF144"/>
      <c r="IG144"/>
    </row>
    <row r="145" spans="1:241" s="1" customFormat="1" ht="27" customHeight="1">
      <c r="A145" s="53" t="s">
        <v>110</v>
      </c>
      <c r="B145" s="57"/>
      <c r="C145" s="57"/>
      <c r="D145" s="60"/>
      <c r="E145" s="60">
        <v>427.5</v>
      </c>
      <c r="F145" s="60">
        <f>E145</f>
        <v>427.5</v>
      </c>
      <c r="G145" s="60"/>
      <c r="H145" s="60">
        <v>427.5</v>
      </c>
      <c r="I145" s="60"/>
      <c r="J145" s="60">
        <f>H145</f>
        <v>427.5</v>
      </c>
      <c r="K145" s="61"/>
      <c r="L145" s="61"/>
      <c r="M145" s="61"/>
      <c r="N145" s="60"/>
      <c r="O145" s="60">
        <v>427.5</v>
      </c>
      <c r="P145" s="60">
        <f>O145</f>
        <v>427.5</v>
      </c>
      <c r="IB145"/>
      <c r="IC145"/>
      <c r="ID145"/>
      <c r="IE145"/>
      <c r="IF145"/>
      <c r="IG145"/>
    </row>
    <row r="146" spans="1:241" s="1" customFormat="1" ht="30.75" customHeight="1">
      <c r="A146" s="53" t="s">
        <v>111</v>
      </c>
      <c r="B146" s="57"/>
      <c r="C146" s="57"/>
      <c r="D146" s="60">
        <v>97.9</v>
      </c>
      <c r="E146" s="60"/>
      <c r="F146" s="60">
        <f>D146</f>
        <v>97.9</v>
      </c>
      <c r="G146" s="60">
        <v>97.9</v>
      </c>
      <c r="H146" s="60"/>
      <c r="I146" s="60"/>
      <c r="J146" s="60">
        <f>G146</f>
        <v>97.9</v>
      </c>
      <c r="K146" s="61"/>
      <c r="L146" s="61"/>
      <c r="M146" s="61"/>
      <c r="N146" s="60">
        <v>97.9</v>
      </c>
      <c r="O146" s="60"/>
      <c r="P146" s="60">
        <f>N146</f>
        <v>97.9</v>
      </c>
      <c r="IB146"/>
      <c r="IC146"/>
      <c r="ID146"/>
      <c r="IE146"/>
      <c r="IF146"/>
      <c r="IG146"/>
    </row>
    <row r="147" spans="1:241" s="1" customFormat="1" ht="25.5" customHeight="1">
      <c r="A147" s="53" t="s">
        <v>112</v>
      </c>
      <c r="B147" s="57"/>
      <c r="C147" s="57"/>
      <c r="D147" s="60">
        <v>15870</v>
      </c>
      <c r="E147" s="60"/>
      <c r="F147" s="60">
        <f>D147</f>
        <v>15870</v>
      </c>
      <c r="G147" s="60">
        <v>15920</v>
      </c>
      <c r="H147" s="60"/>
      <c r="I147" s="60"/>
      <c r="J147" s="60">
        <f aca="true" t="shared" si="15" ref="J147:J165">G147</f>
        <v>15920</v>
      </c>
      <c r="K147" s="61"/>
      <c r="L147" s="61"/>
      <c r="M147" s="61"/>
      <c r="N147" s="60">
        <v>15920</v>
      </c>
      <c r="O147" s="60"/>
      <c r="P147" s="60">
        <f aca="true" t="shared" si="16" ref="P147:P165">N147</f>
        <v>15920</v>
      </c>
      <c r="IB147"/>
      <c r="IC147"/>
      <c r="ID147"/>
      <c r="IE147"/>
      <c r="IF147"/>
      <c r="IG147"/>
    </row>
    <row r="148" spans="1:241" s="1" customFormat="1" ht="22.5">
      <c r="A148" s="53" t="s">
        <v>113</v>
      </c>
      <c r="B148" s="57"/>
      <c r="C148" s="57"/>
      <c r="D148" s="60">
        <v>8286</v>
      </c>
      <c r="E148" s="60"/>
      <c r="F148" s="60">
        <f>D148</f>
        <v>8286</v>
      </c>
      <c r="G148" s="60">
        <f>F148</f>
        <v>8286</v>
      </c>
      <c r="H148" s="60"/>
      <c r="I148" s="60"/>
      <c r="J148" s="60">
        <f t="shared" si="15"/>
        <v>8286</v>
      </c>
      <c r="K148" s="61"/>
      <c r="L148" s="61"/>
      <c r="M148" s="61"/>
      <c r="N148" s="60">
        <f>G148</f>
        <v>8286</v>
      </c>
      <c r="O148" s="60"/>
      <c r="P148" s="60">
        <f t="shared" si="16"/>
        <v>8286</v>
      </c>
      <c r="IB148"/>
      <c r="IC148"/>
      <c r="ID148"/>
      <c r="IE148"/>
      <c r="IF148"/>
      <c r="IG148"/>
    </row>
    <row r="149" spans="1:241" s="1" customFormat="1" ht="29.25" customHeight="1">
      <c r="A149" s="53" t="s">
        <v>114</v>
      </c>
      <c r="B149" s="57"/>
      <c r="C149" s="57"/>
      <c r="D149" s="60">
        <v>7800</v>
      </c>
      <c r="E149" s="60"/>
      <c r="F149" s="60">
        <f>D149</f>
        <v>7800</v>
      </c>
      <c r="G149" s="60">
        <f>F149</f>
        <v>7800</v>
      </c>
      <c r="H149" s="60"/>
      <c r="I149" s="60"/>
      <c r="J149" s="60">
        <f>G149</f>
        <v>7800</v>
      </c>
      <c r="K149" s="61"/>
      <c r="L149" s="61"/>
      <c r="M149" s="61"/>
      <c r="N149" s="60">
        <v>7800</v>
      </c>
      <c r="O149" s="60"/>
      <c r="P149" s="60">
        <f>N149</f>
        <v>7800</v>
      </c>
      <c r="IB149"/>
      <c r="IC149"/>
      <c r="ID149"/>
      <c r="IE149"/>
      <c r="IF149"/>
      <c r="IG149"/>
    </row>
    <row r="150" spans="1:241" s="1" customFormat="1" ht="12">
      <c r="A150" s="52" t="s">
        <v>5</v>
      </c>
      <c r="B150" s="59"/>
      <c r="C150" s="59"/>
      <c r="D150" s="126"/>
      <c r="E150" s="126"/>
      <c r="F150" s="60"/>
      <c r="G150" s="126"/>
      <c r="H150" s="126"/>
      <c r="I150" s="126"/>
      <c r="J150" s="60">
        <f t="shared" si="15"/>
        <v>0</v>
      </c>
      <c r="K150" s="61"/>
      <c r="L150" s="61"/>
      <c r="M150" s="61"/>
      <c r="N150" s="126"/>
      <c r="O150" s="126"/>
      <c r="P150" s="60">
        <f t="shared" si="16"/>
        <v>0</v>
      </c>
      <c r="IB150"/>
      <c r="IC150"/>
      <c r="ID150"/>
      <c r="IE150"/>
      <c r="IF150"/>
      <c r="IG150"/>
    </row>
    <row r="151" spans="1:241" s="1" customFormat="1" ht="22.5" customHeight="1">
      <c r="A151" s="53" t="s">
        <v>24</v>
      </c>
      <c r="B151" s="57"/>
      <c r="C151" s="57"/>
      <c r="D151" s="60"/>
      <c r="E151" s="60"/>
      <c r="F151" s="60"/>
      <c r="G151" s="60"/>
      <c r="H151" s="60"/>
      <c r="I151" s="60"/>
      <c r="J151" s="60">
        <f t="shared" si="15"/>
        <v>0</v>
      </c>
      <c r="K151" s="61"/>
      <c r="L151" s="61"/>
      <c r="M151" s="61"/>
      <c r="N151" s="60"/>
      <c r="O151" s="60"/>
      <c r="P151" s="60">
        <f t="shared" si="16"/>
        <v>0</v>
      </c>
      <c r="IB151"/>
      <c r="IC151"/>
      <c r="ID151"/>
      <c r="IE151"/>
      <c r="IF151"/>
      <c r="IG151"/>
    </row>
    <row r="152" spans="1:241" s="1" customFormat="1" ht="29.25" customHeight="1">
      <c r="A152" s="53" t="s">
        <v>115</v>
      </c>
      <c r="B152" s="57"/>
      <c r="C152" s="57"/>
      <c r="D152" s="60">
        <v>3</v>
      </c>
      <c r="E152" s="60"/>
      <c r="F152" s="60">
        <f>D152</f>
        <v>3</v>
      </c>
      <c r="G152" s="60">
        <v>4</v>
      </c>
      <c r="H152" s="60"/>
      <c r="I152" s="60"/>
      <c r="J152" s="60">
        <f>G152</f>
        <v>4</v>
      </c>
      <c r="K152" s="61"/>
      <c r="L152" s="61"/>
      <c r="M152" s="61"/>
      <c r="N152" s="60">
        <v>5</v>
      </c>
      <c r="O152" s="60"/>
      <c r="P152" s="60">
        <f>N152</f>
        <v>5</v>
      </c>
      <c r="IB152"/>
      <c r="IC152"/>
      <c r="ID152"/>
      <c r="IE152"/>
      <c r="IF152"/>
      <c r="IG152"/>
    </row>
    <row r="153" spans="1:241" s="1" customFormat="1" ht="30" customHeight="1">
      <c r="A153" s="53" t="s">
        <v>116</v>
      </c>
      <c r="B153" s="57"/>
      <c r="C153" s="57"/>
      <c r="D153" s="60"/>
      <c r="E153" s="60">
        <v>18.8</v>
      </c>
      <c r="F153" s="60">
        <f>E153</f>
        <v>18.8</v>
      </c>
      <c r="G153" s="60"/>
      <c r="H153" s="60">
        <v>27.84</v>
      </c>
      <c r="I153" s="60"/>
      <c r="J153" s="60">
        <f>H153</f>
        <v>27.84</v>
      </c>
      <c r="K153" s="61"/>
      <c r="L153" s="61"/>
      <c r="M153" s="61"/>
      <c r="N153" s="60"/>
      <c r="O153" s="60">
        <v>27.3</v>
      </c>
      <c r="P153" s="60">
        <f>O153</f>
        <v>27.3</v>
      </c>
      <c r="IB153"/>
      <c r="IC153"/>
      <c r="ID153"/>
      <c r="IE153"/>
      <c r="IF153"/>
      <c r="IG153"/>
    </row>
    <row r="154" spans="1:241" s="1" customFormat="1" ht="26.25" customHeight="1">
      <c r="A154" s="53" t="s">
        <v>157</v>
      </c>
      <c r="B154" s="57"/>
      <c r="C154" s="57"/>
      <c r="D154" s="60">
        <v>15870</v>
      </c>
      <c r="E154" s="60"/>
      <c r="F154" s="60">
        <f>D154</f>
        <v>15870</v>
      </c>
      <c r="G154" s="60">
        <f>G147</f>
        <v>15920</v>
      </c>
      <c r="H154" s="60"/>
      <c r="I154" s="60"/>
      <c r="J154" s="60">
        <f>G154</f>
        <v>15920</v>
      </c>
      <c r="K154" s="61"/>
      <c r="L154" s="61"/>
      <c r="M154" s="61"/>
      <c r="N154" s="60">
        <f>N147</f>
        <v>15920</v>
      </c>
      <c r="O154" s="60"/>
      <c r="P154" s="60">
        <f>N154</f>
        <v>15920</v>
      </c>
      <c r="IB154"/>
      <c r="IC154"/>
      <c r="ID154"/>
      <c r="IE154"/>
      <c r="IF154"/>
      <c r="IG154"/>
    </row>
    <row r="155" spans="1:241" s="1" customFormat="1" ht="24.75" customHeight="1">
      <c r="A155" s="53" t="s">
        <v>117</v>
      </c>
      <c r="B155" s="57"/>
      <c r="C155" s="57"/>
      <c r="D155" s="60">
        <v>800</v>
      </c>
      <c r="E155" s="60"/>
      <c r="F155" s="60">
        <f aca="true" t="shared" si="17" ref="F155:F165">D155</f>
        <v>800</v>
      </c>
      <c r="G155" s="60">
        <v>900</v>
      </c>
      <c r="H155" s="60"/>
      <c r="I155" s="60"/>
      <c r="J155" s="60">
        <f t="shared" si="15"/>
        <v>900</v>
      </c>
      <c r="K155" s="61"/>
      <c r="L155" s="61"/>
      <c r="M155" s="61"/>
      <c r="N155" s="60">
        <f>1000+400</f>
        <v>1400</v>
      </c>
      <c r="O155" s="60"/>
      <c r="P155" s="60">
        <f t="shared" si="16"/>
        <v>1400</v>
      </c>
      <c r="IB155"/>
      <c r="IC155"/>
      <c r="ID155"/>
      <c r="IE155"/>
      <c r="IF155"/>
      <c r="IG155"/>
    </row>
    <row r="156" spans="1:241" s="1" customFormat="1" ht="24.75" customHeight="1">
      <c r="A156" s="53" t="s">
        <v>118</v>
      </c>
      <c r="B156" s="57"/>
      <c r="C156" s="57"/>
      <c r="D156" s="60">
        <v>7800000</v>
      </c>
      <c r="E156" s="60"/>
      <c r="F156" s="60">
        <f>D156</f>
        <v>7800000</v>
      </c>
      <c r="G156" s="60">
        <v>8316720</v>
      </c>
      <c r="H156" s="60"/>
      <c r="I156" s="60"/>
      <c r="J156" s="60">
        <f>G156</f>
        <v>8316720</v>
      </c>
      <c r="K156" s="61"/>
      <c r="L156" s="61"/>
      <c r="M156" s="61"/>
      <c r="N156" s="60">
        <v>8333333.3333</v>
      </c>
      <c r="O156" s="60"/>
      <c r="P156" s="60">
        <f>N156</f>
        <v>8333333.3333</v>
      </c>
      <c r="IB156"/>
      <c r="IC156"/>
      <c r="ID156"/>
      <c r="IE156"/>
      <c r="IF156"/>
      <c r="IG156"/>
    </row>
    <row r="157" spans="1:241" s="1" customFormat="1" ht="12">
      <c r="A157" s="52" t="s">
        <v>7</v>
      </c>
      <c r="B157" s="59"/>
      <c r="C157" s="59"/>
      <c r="D157" s="126"/>
      <c r="E157" s="126"/>
      <c r="F157" s="60">
        <f t="shared" si="17"/>
        <v>0</v>
      </c>
      <c r="G157" s="126"/>
      <c r="H157" s="126"/>
      <c r="I157" s="126"/>
      <c r="J157" s="60">
        <f t="shared" si="15"/>
        <v>0</v>
      </c>
      <c r="K157" s="61"/>
      <c r="L157" s="61"/>
      <c r="M157" s="61"/>
      <c r="N157" s="126"/>
      <c r="O157" s="126"/>
      <c r="P157" s="60">
        <f t="shared" si="16"/>
        <v>0</v>
      </c>
      <c r="IB157"/>
      <c r="IC157"/>
      <c r="ID157"/>
      <c r="IE157"/>
      <c r="IF157"/>
      <c r="IG157"/>
    </row>
    <row r="158" spans="1:241" s="1" customFormat="1" ht="33.75">
      <c r="A158" s="53" t="s">
        <v>119</v>
      </c>
      <c r="B158" s="57"/>
      <c r="C158" s="57"/>
      <c r="D158" s="60">
        <v>74500</v>
      </c>
      <c r="E158" s="60"/>
      <c r="F158" s="60">
        <f>D158</f>
        <v>74500</v>
      </c>
      <c r="G158" s="60">
        <v>85000</v>
      </c>
      <c r="H158" s="60"/>
      <c r="I158" s="60"/>
      <c r="J158" s="60">
        <f>G158</f>
        <v>85000</v>
      </c>
      <c r="K158" s="61"/>
      <c r="L158" s="61"/>
      <c r="M158" s="61"/>
      <c r="N158" s="111">
        <v>133120</v>
      </c>
      <c r="O158" s="60"/>
      <c r="P158" s="60">
        <f>N158</f>
        <v>133120</v>
      </c>
      <c r="IB158"/>
      <c r="IC158"/>
      <c r="ID158"/>
      <c r="IE158"/>
      <c r="IF158"/>
      <c r="IG158"/>
    </row>
    <row r="159" spans="1:241" s="1" customFormat="1" ht="33.75">
      <c r="A159" s="53" t="s">
        <v>120</v>
      </c>
      <c r="B159" s="57"/>
      <c r="C159" s="57"/>
      <c r="D159" s="60"/>
      <c r="E159" s="60">
        <v>329787</v>
      </c>
      <c r="F159" s="60">
        <f>E159</f>
        <v>329787</v>
      </c>
      <c r="G159" s="60"/>
      <c r="H159" s="60">
        <v>359223</v>
      </c>
      <c r="I159" s="60"/>
      <c r="J159" s="60">
        <f>H159</f>
        <v>359223</v>
      </c>
      <c r="K159" s="61"/>
      <c r="L159" s="61"/>
      <c r="M159" s="61"/>
      <c r="N159" s="111"/>
      <c r="O159" s="60">
        <v>402930.403</v>
      </c>
      <c r="P159" s="60">
        <f>O159</f>
        <v>402930.403</v>
      </c>
      <c r="IB159"/>
      <c r="IC159"/>
      <c r="ID159"/>
      <c r="IE159"/>
      <c r="IF159"/>
      <c r="IG159"/>
    </row>
    <row r="160" spans="1:241" s="1" customFormat="1" ht="23.25" customHeight="1">
      <c r="A160" s="53" t="s">
        <v>121</v>
      </c>
      <c r="B160" s="57"/>
      <c r="C160" s="57"/>
      <c r="D160" s="60">
        <v>220</v>
      </c>
      <c r="E160" s="60"/>
      <c r="F160" s="60">
        <f>D160</f>
        <v>220</v>
      </c>
      <c r="G160" s="60">
        <v>250.6763316</v>
      </c>
      <c r="H160" s="60"/>
      <c r="I160" s="60"/>
      <c r="J160" s="60">
        <f>G160</f>
        <v>250.6763316</v>
      </c>
      <c r="K160" s="61"/>
      <c r="L160" s="61"/>
      <c r="M160" s="61"/>
      <c r="N160" s="111">
        <v>320</v>
      </c>
      <c r="O160" s="60"/>
      <c r="P160" s="60">
        <f>N160</f>
        <v>320</v>
      </c>
      <c r="IB160"/>
      <c r="IC160"/>
      <c r="ID160"/>
      <c r="IE160"/>
      <c r="IF160"/>
      <c r="IG160"/>
    </row>
    <row r="161" spans="1:241" s="1" customFormat="1" ht="22.5">
      <c r="A161" s="53" t="s">
        <v>122</v>
      </c>
      <c r="B161" s="57"/>
      <c r="C161" s="57"/>
      <c r="D161" s="60">
        <v>3700</v>
      </c>
      <c r="E161" s="60"/>
      <c r="F161" s="60">
        <f t="shared" si="17"/>
        <v>3700</v>
      </c>
      <c r="G161" s="60">
        <v>4085</v>
      </c>
      <c r="H161" s="60"/>
      <c r="I161" s="60"/>
      <c r="J161" s="60">
        <f t="shared" si="15"/>
        <v>4085</v>
      </c>
      <c r="K161" s="61"/>
      <c r="L161" s="61"/>
      <c r="M161" s="61"/>
      <c r="N161" s="111">
        <v>5200</v>
      </c>
      <c r="O161" s="60"/>
      <c r="P161" s="60">
        <f t="shared" si="16"/>
        <v>5200</v>
      </c>
      <c r="IB161"/>
      <c r="IC161"/>
      <c r="ID161"/>
      <c r="IE161"/>
      <c r="IF161"/>
      <c r="IG161"/>
    </row>
    <row r="162" spans="1:241" s="1" customFormat="1" ht="22.5">
      <c r="A162" s="53" t="s">
        <v>71</v>
      </c>
      <c r="B162" s="57"/>
      <c r="C162" s="57"/>
      <c r="D162" s="60">
        <f>D156/D154-0.49</f>
        <v>491.0033837429111</v>
      </c>
      <c r="E162" s="60"/>
      <c r="F162" s="60">
        <f>D162</f>
        <v>491.0033837429111</v>
      </c>
      <c r="G162" s="60">
        <f>G156/G154</f>
        <v>522.4070351758794</v>
      </c>
      <c r="H162" s="60"/>
      <c r="I162" s="60"/>
      <c r="J162" s="60">
        <f>G162</f>
        <v>522.4070351758794</v>
      </c>
      <c r="K162" s="61"/>
      <c r="L162" s="61"/>
      <c r="M162" s="61"/>
      <c r="N162" s="60">
        <f>N156/N154</f>
        <v>523.4505862625629</v>
      </c>
      <c r="O162" s="60"/>
      <c r="P162" s="60">
        <f>N162</f>
        <v>523.4505862625629</v>
      </c>
      <c r="IB162"/>
      <c r="IC162"/>
      <c r="ID162"/>
      <c r="IE162"/>
      <c r="IF162"/>
      <c r="IG162"/>
    </row>
    <row r="163" spans="1:241" s="1" customFormat="1" ht="33.75">
      <c r="A163" s="53" t="s">
        <v>123</v>
      </c>
      <c r="B163" s="57"/>
      <c r="C163" s="57"/>
      <c r="D163" s="60">
        <v>0.5</v>
      </c>
      <c r="E163" s="60"/>
      <c r="F163" s="60">
        <f>D163</f>
        <v>0.5</v>
      </c>
      <c r="G163" s="60">
        <v>1.24</v>
      </c>
      <c r="H163" s="60"/>
      <c r="I163" s="60"/>
      <c r="J163" s="60">
        <f>G163</f>
        <v>1.24</v>
      </c>
      <c r="K163" s="61"/>
      <c r="L163" s="61"/>
      <c r="M163" s="61"/>
      <c r="N163" s="60">
        <v>2.4</v>
      </c>
      <c r="O163" s="60"/>
      <c r="P163" s="60">
        <f>N163</f>
        <v>2.4</v>
      </c>
      <c r="IB163"/>
      <c r="IC163"/>
      <c r="ID163"/>
      <c r="IE163"/>
      <c r="IF163"/>
      <c r="IG163"/>
    </row>
    <row r="164" spans="1:241" s="1" customFormat="1" ht="12">
      <c r="A164" s="52" t="s">
        <v>6</v>
      </c>
      <c r="B164" s="59"/>
      <c r="C164" s="59"/>
      <c r="D164" s="126"/>
      <c r="E164" s="126"/>
      <c r="F164" s="60">
        <f t="shared" si="17"/>
        <v>0</v>
      </c>
      <c r="G164" s="126"/>
      <c r="H164" s="126"/>
      <c r="I164" s="126"/>
      <c r="J164" s="60">
        <f t="shared" si="15"/>
        <v>0</v>
      </c>
      <c r="K164" s="61"/>
      <c r="L164" s="61"/>
      <c r="M164" s="61"/>
      <c r="N164" s="126"/>
      <c r="O164" s="126"/>
      <c r="P164" s="60">
        <f t="shared" si="16"/>
        <v>0</v>
      </c>
      <c r="IB164"/>
      <c r="IC164"/>
      <c r="ID164"/>
      <c r="IE164"/>
      <c r="IF164"/>
      <c r="IG164"/>
    </row>
    <row r="165" spans="1:241" s="1" customFormat="1" ht="33.75" customHeight="1">
      <c r="A165" s="53" t="s">
        <v>25</v>
      </c>
      <c r="B165" s="57"/>
      <c r="C165" s="57"/>
      <c r="D165" s="60"/>
      <c r="E165" s="60"/>
      <c r="F165" s="60">
        <f t="shared" si="17"/>
        <v>0</v>
      </c>
      <c r="G165" s="60"/>
      <c r="H165" s="60"/>
      <c r="I165" s="60"/>
      <c r="J165" s="60">
        <f t="shared" si="15"/>
        <v>0</v>
      </c>
      <c r="K165" s="61"/>
      <c r="L165" s="61"/>
      <c r="M165" s="61"/>
      <c r="N165" s="60"/>
      <c r="O165" s="60"/>
      <c r="P165" s="60">
        <f t="shared" si="16"/>
        <v>0</v>
      </c>
      <c r="IB165"/>
      <c r="IC165"/>
      <c r="ID165"/>
      <c r="IE165"/>
      <c r="IF165"/>
      <c r="IG165"/>
    </row>
    <row r="166" spans="1:241" s="1" customFormat="1" ht="33.75">
      <c r="A166" s="53" t="s">
        <v>125</v>
      </c>
      <c r="B166" s="57"/>
      <c r="C166" s="57"/>
      <c r="D166" s="60"/>
      <c r="E166" s="60">
        <f>E153/E145*100</f>
        <v>4.39766081871345</v>
      </c>
      <c r="F166" s="60">
        <f>E166</f>
        <v>4.39766081871345</v>
      </c>
      <c r="G166" s="60"/>
      <c r="H166" s="60">
        <f>H153/H145*100</f>
        <v>6.512280701754386</v>
      </c>
      <c r="I166" s="60"/>
      <c r="J166" s="60">
        <f>H166</f>
        <v>6.512280701754386</v>
      </c>
      <c r="K166" s="61"/>
      <c r="L166" s="61"/>
      <c r="M166" s="61"/>
      <c r="N166" s="60"/>
      <c r="O166" s="60">
        <f>O153/O145*100</f>
        <v>6.385964912280702</v>
      </c>
      <c r="P166" s="60">
        <f>O166</f>
        <v>6.385964912280702</v>
      </c>
      <c r="IB166"/>
      <c r="IC166"/>
      <c r="ID166"/>
      <c r="IE166"/>
      <c r="IF166"/>
      <c r="IG166"/>
    </row>
    <row r="167" spans="1:241" s="1" customFormat="1" ht="36" customHeight="1">
      <c r="A167" s="53" t="s">
        <v>124</v>
      </c>
      <c r="B167" s="57"/>
      <c r="C167" s="57"/>
      <c r="D167" s="60">
        <f>D152/D146*100</f>
        <v>3.0643513789581203</v>
      </c>
      <c r="E167" s="60"/>
      <c r="F167" s="60">
        <f>D167</f>
        <v>3.0643513789581203</v>
      </c>
      <c r="G167" s="60">
        <f>G152/G146*100</f>
        <v>4.085801838610827</v>
      </c>
      <c r="H167" s="60"/>
      <c r="I167" s="60"/>
      <c r="J167" s="60">
        <f>G167</f>
        <v>4.085801838610827</v>
      </c>
      <c r="K167" s="61"/>
      <c r="L167" s="61"/>
      <c r="M167" s="61"/>
      <c r="N167" s="60">
        <f>N152/N146*100</f>
        <v>5.107252298263534</v>
      </c>
      <c r="O167" s="60"/>
      <c r="P167" s="60">
        <f>N167</f>
        <v>5.107252298263534</v>
      </c>
      <c r="IB167"/>
      <c r="IC167"/>
      <c r="ID167"/>
      <c r="IE167"/>
      <c r="IF167"/>
      <c r="IG167"/>
    </row>
    <row r="168" spans="1:241" s="1" customFormat="1" ht="24" customHeight="1">
      <c r="A168" s="53" t="s">
        <v>126</v>
      </c>
      <c r="B168" s="57"/>
      <c r="C168" s="57"/>
      <c r="D168" s="60">
        <f>D155/D148*100</f>
        <v>9.654839488293506</v>
      </c>
      <c r="E168" s="60"/>
      <c r="F168" s="60">
        <f>D168</f>
        <v>9.654839488293506</v>
      </c>
      <c r="G168" s="60">
        <f>G155/G148*100</f>
        <v>10.861694424330196</v>
      </c>
      <c r="H168" s="60"/>
      <c r="I168" s="60"/>
      <c r="J168" s="60">
        <f>G168</f>
        <v>10.861694424330196</v>
      </c>
      <c r="K168" s="61"/>
      <c r="L168" s="61"/>
      <c r="M168" s="61"/>
      <c r="N168" s="60">
        <f>N155/N148*100</f>
        <v>16.895969104513636</v>
      </c>
      <c r="O168" s="60"/>
      <c r="P168" s="60">
        <f>N168</f>
        <v>16.895969104513636</v>
      </c>
      <c r="IB168"/>
      <c r="IC168"/>
      <c r="ID168"/>
      <c r="IE168"/>
      <c r="IF168"/>
      <c r="IG168"/>
    </row>
    <row r="169" spans="1:241" s="89" customFormat="1" ht="38.25" customHeight="1">
      <c r="A169" s="80" t="s">
        <v>347</v>
      </c>
      <c r="B169" s="86"/>
      <c r="C169" s="86"/>
      <c r="D169" s="87">
        <f>(D181*D192)+(D182*D193)+(D183*D194)+(D185*D196)+(D186*D197)+(D198*D187)+(D189*D200)+1079.17+(D188*D199)+(D190*D201)+396.52</f>
        <v>7377800</v>
      </c>
      <c r="E169" s="87">
        <f>E184*E195+200</f>
        <v>102500</v>
      </c>
      <c r="F169" s="87">
        <f>D169+E169</f>
        <v>7480300</v>
      </c>
      <c r="G169" s="87">
        <f>(G181*G192)+(G182*G193)+(G183*G194)+(G185*G196)+(G186*G197)+(G198*G187)+(G189*G200)+(G190*G201)</f>
        <v>9363200.00388926</v>
      </c>
      <c r="H169" s="87">
        <f>H184*H195+H182*H193</f>
        <v>82500</v>
      </c>
      <c r="I169" s="87"/>
      <c r="J169" s="87">
        <f>G169+H169</f>
        <v>9445700.00388926</v>
      </c>
      <c r="K169" s="87">
        <f>(K181*K192)+(K182*K193)+(K183*K194)+(K185*K196)+(K186*K197)+(K198*K187)+(K189*K200)-1036.73</f>
        <v>-1036.73</v>
      </c>
      <c r="L169" s="87">
        <f>(L181*L192)+(L182*L193)+(L183*L194)+(L185*L196)+(L186*L197)+(L198*L187)+(L189*L200)-1036.73</f>
        <v>-1036.73</v>
      </c>
      <c r="M169" s="87">
        <f>(M181*M192)+(M182*M193)+(M183*M194)+(M185*M196)+(M186*M197)+(M198*M187)+(M189*M200)-1036.73</f>
        <v>-1036.73</v>
      </c>
      <c r="N169" s="87">
        <f>(N181*N192)+(N182*N193)+(N183*N194)+(N185*N196)+(N186*N197)+(N198*N187)+(N189*N200)+(N190*N201)+12.8</f>
        <v>12686899.999990236</v>
      </c>
      <c r="O169" s="87">
        <f>O184*O195</f>
        <v>99000</v>
      </c>
      <c r="P169" s="87">
        <f>N169+O169</f>
        <v>12785899.999990236</v>
      </c>
      <c r="IB169" s="90"/>
      <c r="IC169" s="90"/>
      <c r="ID169" s="90"/>
      <c r="IE169" s="90"/>
      <c r="IF169" s="90"/>
      <c r="IG169" s="90"/>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2" t="s">
        <v>4</v>
      </c>
      <c r="B171" s="59"/>
      <c r="C171" s="59"/>
      <c r="D171" s="126"/>
      <c r="E171" s="126"/>
      <c r="F171" s="126"/>
      <c r="G171" s="126"/>
      <c r="H171" s="126"/>
      <c r="I171" s="126"/>
      <c r="J171" s="126"/>
      <c r="K171" s="61"/>
      <c r="L171" s="61"/>
      <c r="M171" s="61"/>
      <c r="N171" s="126"/>
      <c r="O171" s="126"/>
      <c r="P171" s="126"/>
      <c r="IB171"/>
      <c r="IC171"/>
      <c r="ID171"/>
      <c r="IE171"/>
      <c r="IF171"/>
      <c r="IG171"/>
    </row>
    <row r="172" spans="1:241" s="1" customFormat="1" ht="34.5" customHeight="1">
      <c r="A172" s="53" t="s">
        <v>127</v>
      </c>
      <c r="B172" s="57"/>
      <c r="C172" s="57"/>
      <c r="D172" s="60">
        <v>76.23</v>
      </c>
      <c r="E172" s="60"/>
      <c r="F172" s="60">
        <f aca="true" t="shared" si="18" ref="F172:F179">D172</f>
        <v>76.23</v>
      </c>
      <c r="G172" s="60">
        <f>F172</f>
        <v>76.23</v>
      </c>
      <c r="H172" s="60"/>
      <c r="I172" s="60"/>
      <c r="J172" s="60">
        <f>G172</f>
        <v>76.23</v>
      </c>
      <c r="K172" s="61"/>
      <c r="L172" s="61"/>
      <c r="M172" s="61"/>
      <c r="N172" s="60">
        <f>G172</f>
        <v>76.23</v>
      </c>
      <c r="O172" s="60"/>
      <c r="P172" s="60">
        <f>N172</f>
        <v>76.23</v>
      </c>
      <c r="IB172"/>
      <c r="IC172"/>
      <c r="ID172"/>
      <c r="IE172"/>
      <c r="IF172"/>
      <c r="IG172"/>
    </row>
    <row r="173" spans="1:241" s="1" customFormat="1" ht="22.5">
      <c r="A173" s="53" t="s">
        <v>128</v>
      </c>
      <c r="B173" s="57"/>
      <c r="C173" s="57"/>
      <c r="D173" s="60">
        <v>4850</v>
      </c>
      <c r="E173" s="60"/>
      <c r="F173" s="60">
        <f t="shared" si="18"/>
        <v>4850</v>
      </c>
      <c r="G173" s="60">
        <f>F173</f>
        <v>4850</v>
      </c>
      <c r="H173" s="60"/>
      <c r="I173" s="60"/>
      <c r="J173" s="60">
        <f>G173</f>
        <v>4850</v>
      </c>
      <c r="K173" s="61"/>
      <c r="L173" s="61"/>
      <c r="M173" s="61"/>
      <c r="N173" s="60">
        <v>4850</v>
      </c>
      <c r="O173" s="60"/>
      <c r="P173" s="60">
        <f>N173</f>
        <v>4850</v>
      </c>
      <c r="IB173"/>
      <c r="IC173"/>
      <c r="ID173"/>
      <c r="IE173"/>
      <c r="IF173"/>
      <c r="IG173"/>
    </row>
    <row r="174" spans="1:241" s="1" customFormat="1" ht="22.5">
      <c r="A174" s="53" t="s">
        <v>129</v>
      </c>
      <c r="B174" s="57"/>
      <c r="C174" s="57"/>
      <c r="D174" s="60">
        <v>2005</v>
      </c>
      <c r="E174" s="60"/>
      <c r="F174" s="60">
        <f t="shared" si="18"/>
        <v>2005</v>
      </c>
      <c r="G174" s="60">
        <f>F174</f>
        <v>2005</v>
      </c>
      <c r="H174" s="60"/>
      <c r="I174" s="60"/>
      <c r="J174" s="60">
        <f>G174</f>
        <v>2005</v>
      </c>
      <c r="K174" s="61"/>
      <c r="L174" s="61"/>
      <c r="M174" s="61"/>
      <c r="N174" s="60">
        <v>2005</v>
      </c>
      <c r="O174" s="60"/>
      <c r="P174" s="60">
        <f>N174</f>
        <v>2005</v>
      </c>
      <c r="IB174"/>
      <c r="IC174"/>
      <c r="ID174"/>
      <c r="IE174"/>
      <c r="IF174"/>
      <c r="IG174"/>
    </row>
    <row r="175" spans="1:241" s="1" customFormat="1" ht="24.75" customHeight="1">
      <c r="A175" s="53" t="s">
        <v>212</v>
      </c>
      <c r="B175" s="57"/>
      <c r="C175" s="57"/>
      <c r="D175" s="60"/>
      <c r="E175" s="60">
        <v>5396</v>
      </c>
      <c r="F175" s="60">
        <f>E175</f>
        <v>5396</v>
      </c>
      <c r="G175" s="60"/>
      <c r="H175" s="60">
        <f>E175</f>
        <v>5396</v>
      </c>
      <c r="I175" s="60"/>
      <c r="J175" s="60">
        <f>H175</f>
        <v>5396</v>
      </c>
      <c r="K175" s="61"/>
      <c r="L175" s="61"/>
      <c r="M175" s="61"/>
      <c r="N175" s="60"/>
      <c r="O175" s="60">
        <f>H175</f>
        <v>5396</v>
      </c>
      <c r="P175" s="60">
        <f>O175</f>
        <v>5396</v>
      </c>
      <c r="IB175"/>
      <c r="IC175"/>
      <c r="ID175"/>
      <c r="IE175"/>
      <c r="IF175"/>
      <c r="IG175"/>
    </row>
    <row r="176" spans="1:241" s="1" customFormat="1" ht="25.5" customHeight="1">
      <c r="A176" s="53" t="s">
        <v>146</v>
      </c>
      <c r="B176" s="57"/>
      <c r="C176" s="57"/>
      <c r="D176" s="60">
        <v>230</v>
      </c>
      <c r="E176" s="60"/>
      <c r="F176" s="60">
        <f t="shared" si="18"/>
        <v>230</v>
      </c>
      <c r="G176" s="60">
        <v>250</v>
      </c>
      <c r="H176" s="60"/>
      <c r="I176" s="60"/>
      <c r="J176" s="60">
        <f>G176</f>
        <v>250</v>
      </c>
      <c r="K176" s="61"/>
      <c r="L176" s="61"/>
      <c r="M176" s="61"/>
      <c r="N176" s="60">
        <v>270</v>
      </c>
      <c r="O176" s="60"/>
      <c r="P176" s="60">
        <f>N176</f>
        <v>270</v>
      </c>
      <c r="IB176"/>
      <c r="IC176"/>
      <c r="ID176"/>
      <c r="IE176"/>
      <c r="IF176"/>
      <c r="IG176"/>
    </row>
    <row r="177" spans="1:241" s="1" customFormat="1" ht="29.25" customHeight="1">
      <c r="A177" s="53" t="s">
        <v>130</v>
      </c>
      <c r="B177" s="57"/>
      <c r="C177" s="57"/>
      <c r="D177" s="60">
        <v>76.26</v>
      </c>
      <c r="E177" s="60"/>
      <c r="F177" s="60">
        <f t="shared" si="18"/>
        <v>76.26</v>
      </c>
      <c r="G177" s="60">
        <f>F177</f>
        <v>76.26</v>
      </c>
      <c r="H177" s="60"/>
      <c r="I177" s="60"/>
      <c r="J177" s="60">
        <f>G177</f>
        <v>76.26</v>
      </c>
      <c r="K177" s="61"/>
      <c r="L177" s="61"/>
      <c r="M177" s="61"/>
      <c r="N177" s="60">
        <f>J177</f>
        <v>76.26</v>
      </c>
      <c r="O177" s="60"/>
      <c r="P177" s="60">
        <f>N177</f>
        <v>76.26</v>
      </c>
      <c r="IB177"/>
      <c r="IC177"/>
      <c r="ID177"/>
      <c r="IE177"/>
      <c r="IF177"/>
      <c r="IG177"/>
    </row>
    <row r="178" spans="1:241" s="1" customFormat="1" ht="31.5" customHeight="1">
      <c r="A178" s="53" t="s">
        <v>78</v>
      </c>
      <c r="B178" s="57"/>
      <c r="C178" s="57"/>
      <c r="D178" s="60">
        <v>280000</v>
      </c>
      <c r="E178" s="60"/>
      <c r="F178" s="60">
        <f t="shared" si="18"/>
        <v>280000</v>
      </c>
      <c r="G178" s="60"/>
      <c r="H178" s="60"/>
      <c r="I178" s="60"/>
      <c r="J178" s="60"/>
      <c r="K178" s="61"/>
      <c r="L178" s="61"/>
      <c r="M178" s="61"/>
      <c r="N178" s="60"/>
      <c r="O178" s="60"/>
      <c r="P178" s="60"/>
      <c r="IB178"/>
      <c r="IC178"/>
      <c r="ID178"/>
      <c r="IE178"/>
      <c r="IF178"/>
      <c r="IG178"/>
    </row>
    <row r="179" spans="1:241" s="109" customFormat="1" ht="29.25" customHeight="1">
      <c r="A179" s="106" t="s">
        <v>228</v>
      </c>
      <c r="B179" s="107"/>
      <c r="C179" s="107"/>
      <c r="D179" s="111">
        <v>11.549</v>
      </c>
      <c r="E179" s="111"/>
      <c r="F179" s="111">
        <f t="shared" si="18"/>
        <v>11.549</v>
      </c>
      <c r="G179" s="111">
        <v>11.549</v>
      </c>
      <c r="H179" s="111"/>
      <c r="I179" s="111">
        <f>G179</f>
        <v>11.549</v>
      </c>
      <c r="J179" s="111"/>
      <c r="K179" s="108"/>
      <c r="L179" s="108"/>
      <c r="M179" s="108"/>
      <c r="N179" s="111">
        <v>11.55</v>
      </c>
      <c r="O179" s="111"/>
      <c r="P179" s="111">
        <f>N179</f>
        <v>11.55</v>
      </c>
      <c r="IB179" s="110"/>
      <c r="IC179" s="110"/>
      <c r="ID179" s="110"/>
      <c r="IE179" s="110"/>
      <c r="IF179" s="110"/>
      <c r="IG179" s="110"/>
    </row>
    <row r="180" spans="1:241" s="1" customFormat="1" ht="12">
      <c r="A180" s="52" t="s">
        <v>5</v>
      </c>
      <c r="B180" s="59"/>
      <c r="C180" s="59"/>
      <c r="D180" s="126"/>
      <c r="E180" s="126"/>
      <c r="F180" s="126"/>
      <c r="G180" s="126"/>
      <c r="H180" s="126"/>
      <c r="I180" s="126"/>
      <c r="J180" s="60"/>
      <c r="K180" s="61"/>
      <c r="L180" s="61"/>
      <c r="M180" s="61"/>
      <c r="N180" s="126"/>
      <c r="O180" s="126"/>
      <c r="P180" s="60"/>
      <c r="IB180"/>
      <c r="IC180"/>
      <c r="ID180"/>
      <c r="IE180"/>
      <c r="IF180"/>
      <c r="IG180"/>
    </row>
    <row r="181" spans="1:241" s="1" customFormat="1" ht="28.5" customHeight="1">
      <c r="A181" s="53" t="s">
        <v>131</v>
      </c>
      <c r="B181" s="57"/>
      <c r="C181" s="57"/>
      <c r="D181" s="60">
        <v>76.23</v>
      </c>
      <c r="E181" s="60"/>
      <c r="F181" s="60">
        <f>D181</f>
        <v>76.23</v>
      </c>
      <c r="G181" s="60">
        <f>F181</f>
        <v>76.23</v>
      </c>
      <c r="H181" s="60"/>
      <c r="I181" s="60"/>
      <c r="J181" s="60">
        <f aca="true" t="shared" si="19" ref="J181:J187">G181</f>
        <v>76.23</v>
      </c>
      <c r="K181" s="61"/>
      <c r="L181" s="61"/>
      <c r="M181" s="61"/>
      <c r="N181" s="60">
        <f>J181</f>
        <v>76.23</v>
      </c>
      <c r="O181" s="60"/>
      <c r="P181" s="60">
        <f aca="true" t="shared" si="20" ref="P181:P187">N181</f>
        <v>76.23</v>
      </c>
      <c r="IB181"/>
      <c r="IC181"/>
      <c r="ID181"/>
      <c r="IE181"/>
      <c r="IF181"/>
      <c r="IG181"/>
    </row>
    <row r="182" spans="1:241" s="109" customFormat="1" ht="22.5">
      <c r="A182" s="106" t="s">
        <v>132</v>
      </c>
      <c r="B182" s="107"/>
      <c r="C182" s="107"/>
      <c r="D182" s="111">
        <f>520+17</f>
        <v>537</v>
      </c>
      <c r="E182" s="111"/>
      <c r="F182" s="111">
        <f aca="true" t="shared" si="21" ref="F182:F190">D182</f>
        <v>537</v>
      </c>
      <c r="G182" s="111">
        <f>565+18+58+100+1</f>
        <v>742</v>
      </c>
      <c r="H182" s="111"/>
      <c r="I182" s="111"/>
      <c r="J182" s="111">
        <f t="shared" si="19"/>
        <v>742</v>
      </c>
      <c r="K182" s="108"/>
      <c r="L182" s="108"/>
      <c r="M182" s="108"/>
      <c r="N182" s="111">
        <v>751</v>
      </c>
      <c r="O182" s="111"/>
      <c r="P182" s="111">
        <f t="shared" si="20"/>
        <v>751</v>
      </c>
      <c r="IB182" s="110"/>
      <c r="IC182" s="110"/>
      <c r="ID182" s="110"/>
      <c r="IE182" s="110"/>
      <c r="IF182" s="110"/>
      <c r="IG182" s="110"/>
    </row>
    <row r="183" spans="1:241" s="109" customFormat="1" ht="26.25" customHeight="1">
      <c r="A183" s="106" t="s">
        <v>133</v>
      </c>
      <c r="B183" s="107"/>
      <c r="C183" s="107"/>
      <c r="D183" s="111">
        <v>366</v>
      </c>
      <c r="E183" s="111"/>
      <c r="F183" s="111">
        <f t="shared" si="21"/>
        <v>366</v>
      </c>
      <c r="G183" s="111">
        <v>505</v>
      </c>
      <c r="H183" s="111"/>
      <c r="I183" s="111"/>
      <c r="J183" s="111">
        <f t="shared" si="19"/>
        <v>505</v>
      </c>
      <c r="K183" s="108"/>
      <c r="L183" s="108"/>
      <c r="M183" s="108"/>
      <c r="N183" s="111">
        <v>825</v>
      </c>
      <c r="O183" s="111"/>
      <c r="P183" s="111">
        <f t="shared" si="20"/>
        <v>825</v>
      </c>
      <c r="IB183" s="110"/>
      <c r="IC183" s="110"/>
      <c r="ID183" s="110"/>
      <c r="IE183" s="110"/>
      <c r="IF183" s="110"/>
      <c r="IG183" s="110"/>
    </row>
    <row r="184" spans="1:241" s="1" customFormat="1" ht="26.25" customHeight="1">
      <c r="A184" s="53" t="s">
        <v>213</v>
      </c>
      <c r="B184" s="57"/>
      <c r="C184" s="57"/>
      <c r="D184" s="60"/>
      <c r="E184" s="60">
        <f>150+36</f>
        <v>186</v>
      </c>
      <c r="F184" s="60">
        <f>E184</f>
        <v>186</v>
      </c>
      <c r="G184" s="60"/>
      <c r="H184" s="60">
        <v>150</v>
      </c>
      <c r="I184" s="60"/>
      <c r="J184" s="60">
        <f>H184</f>
        <v>150</v>
      </c>
      <c r="K184" s="61"/>
      <c r="L184" s="61"/>
      <c r="M184" s="61"/>
      <c r="N184" s="60"/>
      <c r="O184" s="60">
        <v>180</v>
      </c>
      <c r="P184" s="60">
        <f>O184</f>
        <v>180</v>
      </c>
      <c r="IB184"/>
      <c r="IC184"/>
      <c r="ID184"/>
      <c r="IE184"/>
      <c r="IF184"/>
      <c r="IG184"/>
    </row>
    <row r="185" spans="1:241" s="1" customFormat="1" ht="22.5">
      <c r="A185" s="53" t="s">
        <v>145</v>
      </c>
      <c r="B185" s="57"/>
      <c r="C185" s="57"/>
      <c r="D185" s="60">
        <v>222</v>
      </c>
      <c r="E185" s="60"/>
      <c r="F185" s="60">
        <f t="shared" si="21"/>
        <v>222</v>
      </c>
      <c r="G185" s="60">
        <v>243</v>
      </c>
      <c r="H185" s="60"/>
      <c r="I185" s="60"/>
      <c r="J185" s="60">
        <f t="shared" si="19"/>
        <v>243</v>
      </c>
      <c r="K185" s="61"/>
      <c r="L185" s="61"/>
      <c r="M185" s="61"/>
      <c r="N185" s="60">
        <v>268</v>
      </c>
      <c r="O185" s="60"/>
      <c r="P185" s="60">
        <f t="shared" si="20"/>
        <v>268</v>
      </c>
      <c r="IB185"/>
      <c r="IC185"/>
      <c r="ID185"/>
      <c r="IE185"/>
      <c r="IF185"/>
      <c r="IG185"/>
    </row>
    <row r="186" spans="1:241" s="1" customFormat="1" ht="22.5">
      <c r="A186" s="53" t="s">
        <v>134</v>
      </c>
      <c r="B186" s="57"/>
      <c r="C186" s="57"/>
      <c r="D186" s="60">
        <v>76.26</v>
      </c>
      <c r="E186" s="60"/>
      <c r="F186" s="60">
        <f t="shared" si="21"/>
        <v>76.26</v>
      </c>
      <c r="G186" s="60">
        <v>76.26</v>
      </c>
      <c r="H186" s="60"/>
      <c r="I186" s="60"/>
      <c r="J186" s="60">
        <f t="shared" si="19"/>
        <v>76.26</v>
      </c>
      <c r="K186" s="61"/>
      <c r="L186" s="61"/>
      <c r="M186" s="61"/>
      <c r="N186" s="60">
        <f>J186</f>
        <v>76.26</v>
      </c>
      <c r="O186" s="60"/>
      <c r="P186" s="60">
        <f t="shared" si="20"/>
        <v>76.26</v>
      </c>
      <c r="IB186"/>
      <c r="IC186"/>
      <c r="ID186"/>
      <c r="IE186"/>
      <c r="IF186"/>
      <c r="IG186"/>
    </row>
    <row r="187" spans="1:241" s="1" customFormat="1" ht="24" customHeight="1">
      <c r="A187" s="53" t="s">
        <v>135</v>
      </c>
      <c r="B187" s="57"/>
      <c r="C187" s="57"/>
      <c r="D187" s="60">
        <v>49006</v>
      </c>
      <c r="E187" s="60"/>
      <c r="F187" s="60">
        <f t="shared" si="21"/>
        <v>49006</v>
      </c>
      <c r="G187" s="60">
        <f>F187</f>
        <v>49006</v>
      </c>
      <c r="H187" s="60"/>
      <c r="I187" s="60"/>
      <c r="J187" s="60">
        <f t="shared" si="19"/>
        <v>49006</v>
      </c>
      <c r="K187" s="61"/>
      <c r="L187" s="61"/>
      <c r="M187" s="61"/>
      <c r="N187" s="60">
        <f>J187</f>
        <v>49006</v>
      </c>
      <c r="O187" s="60"/>
      <c r="P187" s="60">
        <f t="shared" si="20"/>
        <v>49006</v>
      </c>
      <c r="IB187"/>
      <c r="IC187"/>
      <c r="ID187"/>
      <c r="IE187"/>
      <c r="IF187"/>
      <c r="IG187"/>
    </row>
    <row r="188" spans="1:241" s="1" customFormat="1" ht="24" customHeight="1">
      <c r="A188" s="53" t="s">
        <v>215</v>
      </c>
      <c r="B188" s="57"/>
      <c r="C188" s="57"/>
      <c r="D188" s="60">
        <v>25</v>
      </c>
      <c r="E188" s="60"/>
      <c r="F188" s="60">
        <f t="shared" si="21"/>
        <v>25</v>
      </c>
      <c r="G188" s="60"/>
      <c r="H188" s="60"/>
      <c r="I188" s="60"/>
      <c r="J188" s="60"/>
      <c r="K188" s="61"/>
      <c r="L188" s="61"/>
      <c r="M188" s="61"/>
      <c r="N188" s="60"/>
      <c r="O188" s="60"/>
      <c r="P188" s="60"/>
      <c r="IB188"/>
      <c r="IC188"/>
      <c r="ID188"/>
      <c r="IE188"/>
      <c r="IF188"/>
      <c r="IG188"/>
    </row>
    <row r="189" spans="1:241" s="1" customFormat="1" ht="28.5" customHeight="1">
      <c r="A189" s="53" t="s">
        <v>77</v>
      </c>
      <c r="B189" s="57"/>
      <c r="C189" s="57"/>
      <c r="D189" s="60">
        <v>4</v>
      </c>
      <c r="E189" s="60"/>
      <c r="F189" s="60">
        <f t="shared" si="21"/>
        <v>4</v>
      </c>
      <c r="G189" s="60"/>
      <c r="H189" s="60"/>
      <c r="I189" s="60"/>
      <c r="J189" s="60"/>
      <c r="K189" s="61"/>
      <c r="L189" s="61"/>
      <c r="M189" s="61"/>
      <c r="N189" s="60"/>
      <c r="O189" s="60"/>
      <c r="P189" s="60"/>
      <c r="IB189"/>
      <c r="IC189"/>
      <c r="ID189"/>
      <c r="IE189"/>
      <c r="IF189"/>
      <c r="IG189"/>
    </row>
    <row r="190" spans="1:241" s="109" customFormat="1" ht="28.5" customHeight="1">
      <c r="A190" s="106" t="s">
        <v>229</v>
      </c>
      <c r="B190" s="107"/>
      <c r="C190" s="107"/>
      <c r="D190" s="111">
        <v>11.549</v>
      </c>
      <c r="E190" s="111"/>
      <c r="F190" s="111">
        <f t="shared" si="21"/>
        <v>11.549</v>
      </c>
      <c r="G190" s="111">
        <v>11.549</v>
      </c>
      <c r="H190" s="111"/>
      <c r="I190" s="111"/>
      <c r="J190" s="111">
        <v>11.55</v>
      </c>
      <c r="K190" s="108"/>
      <c r="L190" s="108"/>
      <c r="M190" s="108"/>
      <c r="N190" s="111">
        <v>11.55</v>
      </c>
      <c r="O190" s="111"/>
      <c r="P190" s="111">
        <v>11.55</v>
      </c>
      <c r="IB190" s="110"/>
      <c r="IC190" s="110"/>
      <c r="ID190" s="110"/>
      <c r="IE190" s="110"/>
      <c r="IF190" s="110"/>
      <c r="IG190" s="110"/>
    </row>
    <row r="191" spans="1:241" s="1" customFormat="1" ht="12">
      <c r="A191" s="52" t="s">
        <v>7</v>
      </c>
      <c r="B191" s="59"/>
      <c r="C191" s="59"/>
      <c r="D191" s="126"/>
      <c r="E191" s="126"/>
      <c r="F191" s="60"/>
      <c r="G191" s="126"/>
      <c r="H191" s="126"/>
      <c r="I191" s="126"/>
      <c r="J191" s="60"/>
      <c r="K191" s="61"/>
      <c r="L191" s="61"/>
      <c r="M191" s="61"/>
      <c r="N191" s="126"/>
      <c r="O191" s="126"/>
      <c r="P191" s="60"/>
      <c r="IB191"/>
      <c r="IC191"/>
      <c r="ID191"/>
      <c r="IE191"/>
      <c r="IF191"/>
      <c r="IG191"/>
    </row>
    <row r="192" spans="1:241" s="1" customFormat="1" ht="33.75">
      <c r="A192" s="53" t="s">
        <v>136</v>
      </c>
      <c r="B192" s="59"/>
      <c r="C192" s="59"/>
      <c r="D192" s="60">
        <v>34763</v>
      </c>
      <c r="E192" s="126"/>
      <c r="F192" s="60">
        <f>D192</f>
        <v>34763</v>
      </c>
      <c r="G192" s="60">
        <v>41725</v>
      </c>
      <c r="H192" s="126"/>
      <c r="I192" s="126"/>
      <c r="J192" s="60">
        <f aca="true" t="shared" si="22" ref="J192:J198">G192</f>
        <v>41725</v>
      </c>
      <c r="K192" s="61"/>
      <c r="L192" s="61"/>
      <c r="M192" s="61"/>
      <c r="N192" s="60">
        <v>52693</v>
      </c>
      <c r="O192" s="126"/>
      <c r="P192" s="60">
        <f aca="true" t="shared" si="23" ref="P192:P201">N192</f>
        <v>52693</v>
      </c>
      <c r="IB192"/>
      <c r="IC192"/>
      <c r="ID192"/>
      <c r="IE192"/>
      <c r="IF192"/>
      <c r="IG192"/>
    </row>
    <row r="193" spans="1:241" s="1" customFormat="1" ht="22.5">
      <c r="A193" s="53" t="s">
        <v>137</v>
      </c>
      <c r="B193" s="57"/>
      <c r="C193" s="57"/>
      <c r="D193" s="60">
        <v>1500</v>
      </c>
      <c r="E193" s="60"/>
      <c r="F193" s="60">
        <f>D193</f>
        <v>1500</v>
      </c>
      <c r="G193" s="60">
        <v>2500.45458853</v>
      </c>
      <c r="H193" s="60"/>
      <c r="I193" s="60"/>
      <c r="J193" s="60">
        <f t="shared" si="22"/>
        <v>2500.45458853</v>
      </c>
      <c r="K193" s="61"/>
      <c r="L193" s="61"/>
      <c r="M193" s="61"/>
      <c r="N193" s="60">
        <v>2926.53262316</v>
      </c>
      <c r="O193" s="60"/>
      <c r="P193" s="60">
        <f t="shared" si="23"/>
        <v>2926.53262316</v>
      </c>
      <c r="IB193"/>
      <c r="IC193"/>
      <c r="ID193"/>
      <c r="IE193"/>
      <c r="IF193"/>
      <c r="IG193"/>
    </row>
    <row r="194" spans="1:241" s="1" customFormat="1" ht="22.5">
      <c r="A194" s="53" t="s">
        <v>138</v>
      </c>
      <c r="B194" s="57"/>
      <c r="C194" s="57"/>
      <c r="D194" s="60">
        <v>320</v>
      </c>
      <c r="E194" s="60"/>
      <c r="F194" s="60">
        <f aca="true" t="shared" si="24" ref="F194:F201">D194</f>
        <v>320</v>
      </c>
      <c r="G194" s="60">
        <v>420</v>
      </c>
      <c r="H194" s="60"/>
      <c r="I194" s="60"/>
      <c r="J194" s="60">
        <f t="shared" si="22"/>
        <v>420</v>
      </c>
      <c r="K194" s="61"/>
      <c r="L194" s="61"/>
      <c r="M194" s="61"/>
      <c r="N194" s="60">
        <v>550</v>
      </c>
      <c r="O194" s="60"/>
      <c r="P194" s="60">
        <f t="shared" si="23"/>
        <v>550</v>
      </c>
      <c r="IB194"/>
      <c r="IC194"/>
      <c r="ID194"/>
      <c r="IE194"/>
      <c r="IF194"/>
      <c r="IG194"/>
    </row>
    <row r="195" spans="1:241" s="1" customFormat="1" ht="27" customHeight="1">
      <c r="A195" s="53" t="s">
        <v>214</v>
      </c>
      <c r="B195" s="57"/>
      <c r="C195" s="57"/>
      <c r="D195" s="60"/>
      <c r="E195" s="60">
        <v>550</v>
      </c>
      <c r="F195" s="60">
        <f>E195</f>
        <v>550</v>
      </c>
      <c r="G195" s="60"/>
      <c r="H195" s="60">
        <v>550</v>
      </c>
      <c r="I195" s="60"/>
      <c r="J195" s="60">
        <f>H195</f>
        <v>550</v>
      </c>
      <c r="K195" s="61"/>
      <c r="L195" s="61"/>
      <c r="M195" s="61"/>
      <c r="N195" s="60"/>
      <c r="O195" s="60">
        <v>550</v>
      </c>
      <c r="P195" s="60">
        <f>O195</f>
        <v>550</v>
      </c>
      <c r="IB195"/>
      <c r="IC195"/>
      <c r="ID195"/>
      <c r="IE195"/>
      <c r="IF195"/>
      <c r="IG195"/>
    </row>
    <row r="196" spans="1:241" s="1" customFormat="1" ht="22.5">
      <c r="A196" s="53" t="s">
        <v>139</v>
      </c>
      <c r="B196" s="57"/>
      <c r="C196" s="57"/>
      <c r="D196" s="60">
        <v>5100</v>
      </c>
      <c r="E196" s="60"/>
      <c r="F196" s="60">
        <f t="shared" si="24"/>
        <v>5100</v>
      </c>
      <c r="G196" s="60">
        <v>5600</v>
      </c>
      <c r="H196" s="60"/>
      <c r="I196" s="60"/>
      <c r="J196" s="60">
        <f t="shared" si="22"/>
        <v>5600</v>
      </c>
      <c r="K196" s="61"/>
      <c r="L196" s="61"/>
      <c r="M196" s="61"/>
      <c r="N196" s="60">
        <v>6950</v>
      </c>
      <c r="O196" s="60"/>
      <c r="P196" s="60">
        <f t="shared" si="23"/>
        <v>6950</v>
      </c>
      <c r="IB196"/>
      <c r="IC196"/>
      <c r="ID196"/>
      <c r="IE196"/>
      <c r="IF196"/>
      <c r="IG196"/>
    </row>
    <row r="197" spans="1:241" s="1" customFormat="1" ht="22.5">
      <c r="A197" s="53" t="s">
        <v>140</v>
      </c>
      <c r="B197" s="57"/>
      <c r="C197" s="57"/>
      <c r="D197" s="60">
        <v>26850</v>
      </c>
      <c r="E197" s="60"/>
      <c r="F197" s="60">
        <f t="shared" si="24"/>
        <v>26850</v>
      </c>
      <c r="G197" s="60">
        <v>32317</v>
      </c>
      <c r="H197" s="60"/>
      <c r="I197" s="60"/>
      <c r="J197" s="60">
        <f t="shared" si="22"/>
        <v>32317</v>
      </c>
      <c r="K197" s="61"/>
      <c r="L197" s="61"/>
      <c r="M197" s="61"/>
      <c r="N197" s="111">
        <v>46499</v>
      </c>
      <c r="O197" s="60"/>
      <c r="P197" s="60">
        <f t="shared" si="23"/>
        <v>46499</v>
      </c>
      <c r="IB197"/>
      <c r="IC197"/>
      <c r="ID197"/>
      <c r="IE197"/>
      <c r="IF197"/>
      <c r="IG197"/>
    </row>
    <row r="198" spans="1:241" s="1" customFormat="1" ht="22.5">
      <c r="A198" s="53" t="s">
        <v>141</v>
      </c>
      <c r="B198" s="57"/>
      <c r="C198" s="57"/>
      <c r="D198" s="60">
        <v>4.39</v>
      </c>
      <c r="E198" s="60"/>
      <c r="F198" s="60">
        <f t="shared" si="24"/>
        <v>4.39</v>
      </c>
      <c r="G198" s="60">
        <v>5.26</v>
      </c>
      <c r="H198" s="60"/>
      <c r="I198" s="60"/>
      <c r="J198" s="60">
        <f t="shared" si="22"/>
        <v>5.26</v>
      </c>
      <c r="K198" s="61"/>
      <c r="L198" s="61"/>
      <c r="M198" s="61"/>
      <c r="N198" s="60">
        <v>10.9039723707</v>
      </c>
      <c r="O198" s="60"/>
      <c r="P198" s="60">
        <f t="shared" si="23"/>
        <v>10.9039723707</v>
      </c>
      <c r="IB198"/>
      <c r="IC198"/>
      <c r="ID198"/>
      <c r="IE198"/>
      <c r="IF198"/>
      <c r="IG198"/>
    </row>
    <row r="199" spans="1:241" s="1" customFormat="1" ht="27" customHeight="1">
      <c r="A199" s="53" t="s">
        <v>216</v>
      </c>
      <c r="B199" s="57"/>
      <c r="C199" s="57"/>
      <c r="D199" s="60">
        <v>3988</v>
      </c>
      <c r="E199" s="60"/>
      <c r="F199" s="60">
        <f t="shared" si="24"/>
        <v>3988</v>
      </c>
      <c r="G199" s="60"/>
      <c r="H199" s="60"/>
      <c r="I199" s="60"/>
      <c r="J199" s="60"/>
      <c r="K199" s="61"/>
      <c r="L199" s="61"/>
      <c r="M199" s="61"/>
      <c r="N199" s="60"/>
      <c r="O199" s="60"/>
      <c r="P199" s="60"/>
      <c r="IB199"/>
      <c r="IC199"/>
      <c r="ID199"/>
      <c r="IE199"/>
      <c r="IF199"/>
      <c r="IG199"/>
    </row>
    <row r="200" spans="1:241" s="1" customFormat="1" ht="33.75" customHeight="1">
      <c r="A200" s="53" t="s">
        <v>79</v>
      </c>
      <c r="B200" s="57"/>
      <c r="C200" s="57"/>
      <c r="D200" s="60">
        <v>70000</v>
      </c>
      <c r="E200" s="60"/>
      <c r="F200" s="60">
        <f t="shared" si="24"/>
        <v>70000</v>
      </c>
      <c r="G200" s="60"/>
      <c r="H200" s="60"/>
      <c r="I200" s="60"/>
      <c r="J200" s="60"/>
      <c r="K200" s="61"/>
      <c r="L200" s="61"/>
      <c r="M200" s="61"/>
      <c r="N200" s="60"/>
      <c r="O200" s="60"/>
      <c r="P200" s="60"/>
      <c r="IB200"/>
      <c r="IC200"/>
      <c r="ID200"/>
      <c r="IE200"/>
      <c r="IF200"/>
      <c r="IG200"/>
    </row>
    <row r="201" spans="1:241" s="109" customFormat="1" ht="33.75" customHeight="1">
      <c r="A201" s="106" t="s">
        <v>230</v>
      </c>
      <c r="B201" s="107"/>
      <c r="C201" s="107"/>
      <c r="D201" s="111">
        <v>2520</v>
      </c>
      <c r="E201" s="111"/>
      <c r="F201" s="111">
        <f t="shared" si="24"/>
        <v>2520</v>
      </c>
      <c r="G201" s="111">
        <v>2770.8</v>
      </c>
      <c r="H201" s="111"/>
      <c r="I201" s="111">
        <f>G201</f>
        <v>2770.8</v>
      </c>
      <c r="J201" s="111"/>
      <c r="K201" s="108"/>
      <c r="L201" s="108"/>
      <c r="M201" s="108"/>
      <c r="N201" s="111">
        <v>6541.125541</v>
      </c>
      <c r="O201" s="111"/>
      <c r="P201" s="60">
        <f t="shared" si="23"/>
        <v>6541.125541</v>
      </c>
      <c r="IB201" s="110"/>
      <c r="IC201" s="110"/>
      <c r="ID201" s="110"/>
      <c r="IE201" s="110"/>
      <c r="IF201" s="110"/>
      <c r="IG201" s="110"/>
    </row>
    <row r="202" spans="1:241" s="1" customFormat="1" ht="12">
      <c r="A202" s="52" t="s">
        <v>6</v>
      </c>
      <c r="B202" s="59"/>
      <c r="C202" s="59"/>
      <c r="D202" s="126"/>
      <c r="E202" s="126"/>
      <c r="F202" s="60"/>
      <c r="G202" s="126"/>
      <c r="H202" s="126"/>
      <c r="I202" s="126"/>
      <c r="J202" s="60"/>
      <c r="K202" s="61"/>
      <c r="L202" s="61"/>
      <c r="M202" s="61"/>
      <c r="N202" s="126"/>
      <c r="O202" s="126"/>
      <c r="P202" s="60"/>
      <c r="IB202"/>
      <c r="IC202"/>
      <c r="ID202"/>
      <c r="IE202"/>
      <c r="IF202"/>
      <c r="IG202"/>
    </row>
    <row r="203" spans="1:241" s="1" customFormat="1" ht="23.25" customHeight="1">
      <c r="A203" s="53" t="s">
        <v>142</v>
      </c>
      <c r="B203" s="57"/>
      <c r="C203" s="57"/>
      <c r="D203" s="60">
        <f>D181/D172*100</f>
        <v>100</v>
      </c>
      <c r="E203" s="60"/>
      <c r="F203" s="60">
        <f aca="true" t="shared" si="25" ref="F203:G205">F181/F172*100</f>
        <v>100</v>
      </c>
      <c r="G203" s="60">
        <f t="shared" si="25"/>
        <v>100</v>
      </c>
      <c r="H203" s="60"/>
      <c r="I203" s="60"/>
      <c r="J203" s="60">
        <f aca="true" t="shared" si="26" ref="J203:N205">J181/J172*100</f>
        <v>100</v>
      </c>
      <c r="K203" s="60" t="e">
        <f t="shared" si="26"/>
        <v>#DIV/0!</v>
      </c>
      <c r="L203" s="60" t="e">
        <f t="shared" si="26"/>
        <v>#DIV/0!</v>
      </c>
      <c r="M203" s="60" t="e">
        <f t="shared" si="26"/>
        <v>#DIV/0!</v>
      </c>
      <c r="N203" s="60">
        <f t="shared" si="26"/>
        <v>100</v>
      </c>
      <c r="O203" s="60"/>
      <c r="P203" s="60">
        <f>P181/P172*100</f>
        <v>100</v>
      </c>
      <c r="IB203"/>
      <c r="IC203"/>
      <c r="ID203"/>
      <c r="IE203"/>
      <c r="IF203"/>
      <c r="IG203"/>
    </row>
    <row r="204" spans="1:241" s="1" customFormat="1" ht="41.25" customHeight="1">
      <c r="A204" s="53" t="s">
        <v>143</v>
      </c>
      <c r="B204" s="57"/>
      <c r="C204" s="57"/>
      <c r="D204" s="60">
        <f>D182/D173*100</f>
        <v>11.072164948453608</v>
      </c>
      <c r="E204" s="60"/>
      <c r="F204" s="60">
        <f t="shared" si="25"/>
        <v>11.072164948453608</v>
      </c>
      <c r="G204" s="60">
        <f t="shared" si="25"/>
        <v>15.298969072164947</v>
      </c>
      <c r="H204" s="60"/>
      <c r="I204" s="60"/>
      <c r="J204" s="60">
        <f t="shared" si="26"/>
        <v>15.298969072164947</v>
      </c>
      <c r="K204" s="60" t="e">
        <f t="shared" si="26"/>
        <v>#DIV/0!</v>
      </c>
      <c r="L204" s="60" t="e">
        <f t="shared" si="26"/>
        <v>#DIV/0!</v>
      </c>
      <c r="M204" s="60" t="e">
        <f t="shared" si="26"/>
        <v>#DIV/0!</v>
      </c>
      <c r="N204" s="60">
        <f t="shared" si="26"/>
        <v>15.484536082474227</v>
      </c>
      <c r="O204" s="60"/>
      <c r="P204" s="60">
        <f>P182/P173*100</f>
        <v>15.484536082474227</v>
      </c>
      <c r="IB204"/>
      <c r="IC204"/>
      <c r="ID204"/>
      <c r="IE204"/>
      <c r="IF204"/>
      <c r="IG204"/>
    </row>
    <row r="205" spans="1:241" s="1" customFormat="1" ht="35.25" customHeight="1">
      <c r="A205" s="53" t="s">
        <v>144</v>
      </c>
      <c r="B205" s="57"/>
      <c r="C205" s="57"/>
      <c r="D205" s="60">
        <f>D183/D174*100</f>
        <v>18.25436408977556</v>
      </c>
      <c r="E205" s="60"/>
      <c r="F205" s="60">
        <f t="shared" si="25"/>
        <v>18.25436408977556</v>
      </c>
      <c r="G205" s="60">
        <f t="shared" si="25"/>
        <v>25.187032418952622</v>
      </c>
      <c r="H205" s="60"/>
      <c r="I205" s="60"/>
      <c r="J205" s="60">
        <f t="shared" si="26"/>
        <v>25.187032418952622</v>
      </c>
      <c r="K205" s="60" t="e">
        <f t="shared" si="26"/>
        <v>#DIV/0!</v>
      </c>
      <c r="L205" s="60" t="e">
        <f t="shared" si="26"/>
        <v>#DIV/0!</v>
      </c>
      <c r="M205" s="60" t="e">
        <f t="shared" si="26"/>
        <v>#DIV/0!</v>
      </c>
      <c r="N205" s="60">
        <f t="shared" si="26"/>
        <v>41.14713216957606</v>
      </c>
      <c r="O205" s="60"/>
      <c r="P205" s="60">
        <f>P183/P174*100</f>
        <v>41.14713216957606</v>
      </c>
      <c r="IB205"/>
      <c r="IC205"/>
      <c r="ID205"/>
      <c r="IE205"/>
      <c r="IF205"/>
      <c r="IG205"/>
    </row>
    <row r="206" spans="1:241" s="89" customFormat="1" ht="45">
      <c r="A206" s="80" t="s">
        <v>353</v>
      </c>
      <c r="B206" s="86"/>
      <c r="C206" s="86"/>
      <c r="D206" s="87">
        <f>(D209*D230)+(D218*D232)+(D219*D233)+(D220*D240)+11.5</f>
        <v>6400000</v>
      </c>
      <c r="E206" s="87"/>
      <c r="F206" s="87">
        <f>(F209*F230)+(F218*F232)+(F219*F233)+(F220*F240)+11.5</f>
        <v>6400000</v>
      </c>
      <c r="G206" s="87">
        <f>(G209*G230)+(G218*G232)+(G219*G233)+(G220*G240)+G227*G241+G224*G239+G222*G234</f>
        <v>10062499.99975</v>
      </c>
      <c r="H206" s="87">
        <f>H221*H235</f>
        <v>120000</v>
      </c>
      <c r="I206" s="87"/>
      <c r="J206" s="87">
        <f>G206+H206</f>
        <v>10182499.99975</v>
      </c>
      <c r="K206" s="87">
        <f>(K209*K230)+(K218*K232)+(K219*K233)+(K220*K240)+11.5</f>
        <v>11.5</v>
      </c>
      <c r="L206" s="87">
        <f>(L209*L230)+(L218*L232)+(L219*L233)+(L220*L240)+11.5</f>
        <v>11.5</v>
      </c>
      <c r="M206" s="87">
        <f>(M209*M230)+(M218*M232)+(M219*M233)+(M220*M240)+11.5</f>
        <v>11.5</v>
      </c>
      <c r="N206" s="87">
        <f>(N209*N230)+(N218*N232)+(N219*N233)+(N220*N240)+(N223*N237)+(N222*N234)+(N224*N239)+N227*N241</f>
        <v>12767399.996035548</v>
      </c>
      <c r="O206" s="87">
        <f>O221*O235+O228*O242</f>
        <v>7384000</v>
      </c>
      <c r="P206" s="87">
        <f>N206+O206</f>
        <v>20151399.996035546</v>
      </c>
      <c r="IB206" s="90"/>
      <c r="IC206" s="90"/>
      <c r="ID206" s="90"/>
      <c r="IE206" s="90"/>
      <c r="IF206" s="90"/>
      <c r="IG206" s="90"/>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2" t="s">
        <v>4</v>
      </c>
      <c r="B208" s="59"/>
      <c r="C208" s="59"/>
      <c r="D208" s="126"/>
      <c r="E208" s="126"/>
      <c r="F208" s="126"/>
      <c r="G208" s="126"/>
      <c r="H208" s="126"/>
      <c r="I208" s="126"/>
      <c r="J208" s="60"/>
      <c r="K208" s="61"/>
      <c r="L208" s="61"/>
      <c r="M208" s="61"/>
      <c r="N208" s="126"/>
      <c r="O208" s="126"/>
      <c r="P208" s="60"/>
      <c r="IB208"/>
      <c r="IC208"/>
      <c r="ID208"/>
      <c r="IE208"/>
      <c r="IF208"/>
      <c r="IG208"/>
    </row>
    <row r="209" spans="1:241" s="1" customFormat="1" ht="22.5">
      <c r="A209" s="53" t="s">
        <v>148</v>
      </c>
      <c r="B209" s="57"/>
      <c r="C209" s="57"/>
      <c r="D209" s="60">
        <v>93.1</v>
      </c>
      <c r="E209" s="60"/>
      <c r="F209" s="60">
        <f>D209</f>
        <v>93.1</v>
      </c>
      <c r="G209" s="60">
        <f>F209</f>
        <v>93.1</v>
      </c>
      <c r="H209" s="60"/>
      <c r="I209" s="60"/>
      <c r="J209" s="60">
        <f>G209</f>
        <v>93.1</v>
      </c>
      <c r="K209" s="61"/>
      <c r="L209" s="61"/>
      <c r="M209" s="61"/>
      <c r="N209" s="60">
        <f>J209</f>
        <v>93.1</v>
      </c>
      <c r="O209" s="60"/>
      <c r="P209" s="60">
        <f>N209</f>
        <v>93.1</v>
      </c>
      <c r="IB209"/>
      <c r="IC209"/>
      <c r="ID209"/>
      <c r="IE209"/>
      <c r="IF209"/>
      <c r="IG209"/>
    </row>
    <row r="210" spans="1:241" s="1" customFormat="1" ht="12">
      <c r="A210" s="53" t="s">
        <v>28</v>
      </c>
      <c r="B210" s="57"/>
      <c r="C210" s="57"/>
      <c r="D210" s="60">
        <v>1</v>
      </c>
      <c r="E210" s="60"/>
      <c r="F210" s="60">
        <v>1</v>
      </c>
      <c r="G210" s="60">
        <v>1</v>
      </c>
      <c r="H210" s="60"/>
      <c r="I210" s="60"/>
      <c r="J210" s="60">
        <f>G210</f>
        <v>1</v>
      </c>
      <c r="K210" s="61"/>
      <c r="L210" s="61"/>
      <c r="M210" s="61"/>
      <c r="N210" s="60">
        <v>1</v>
      </c>
      <c r="O210" s="60"/>
      <c r="P210" s="60">
        <f>N210</f>
        <v>1</v>
      </c>
      <c r="IB210"/>
      <c r="IC210"/>
      <c r="ID210"/>
      <c r="IE210"/>
      <c r="IF210"/>
      <c r="IG210"/>
    </row>
    <row r="211" spans="1:241" s="1" customFormat="1" ht="13.5" customHeight="1">
      <c r="A211" s="53" t="s">
        <v>147</v>
      </c>
      <c r="B211" s="57"/>
      <c r="C211" s="57"/>
      <c r="D211" s="60">
        <v>1</v>
      </c>
      <c r="E211" s="60"/>
      <c r="F211" s="60">
        <v>1</v>
      </c>
      <c r="G211" s="60">
        <v>1</v>
      </c>
      <c r="H211" s="60"/>
      <c r="I211" s="60"/>
      <c r="J211" s="60">
        <f>G211</f>
        <v>1</v>
      </c>
      <c r="K211" s="61"/>
      <c r="L211" s="61"/>
      <c r="M211" s="61"/>
      <c r="N211" s="60">
        <v>2</v>
      </c>
      <c r="O211" s="60"/>
      <c r="P211" s="60">
        <f>N211</f>
        <v>2</v>
      </c>
      <c r="IB211"/>
      <c r="IC211"/>
      <c r="ID211"/>
      <c r="IE211"/>
      <c r="IF211"/>
      <c r="IG211"/>
    </row>
    <row r="212" spans="1:241" s="1" customFormat="1" ht="24.75" customHeight="1">
      <c r="A212" s="53" t="s">
        <v>80</v>
      </c>
      <c r="B212" s="57"/>
      <c r="C212" s="57"/>
      <c r="D212" s="60">
        <v>50000</v>
      </c>
      <c r="E212" s="60"/>
      <c r="F212" s="60">
        <f>D212</f>
        <v>50000</v>
      </c>
      <c r="G212" s="60">
        <f>50000-50000</f>
        <v>0</v>
      </c>
      <c r="H212" s="60"/>
      <c r="I212" s="60"/>
      <c r="J212" s="60"/>
      <c r="K212" s="61"/>
      <c r="L212" s="61"/>
      <c r="M212" s="61"/>
      <c r="N212" s="60"/>
      <c r="O212" s="60"/>
      <c r="P212" s="60"/>
      <c r="IB212"/>
      <c r="IC212"/>
      <c r="ID212"/>
      <c r="IE212"/>
      <c r="IF212"/>
      <c r="IG212"/>
    </row>
    <row r="213" spans="1:241" s="1" customFormat="1" ht="22.5" hidden="1">
      <c r="A213" s="53" t="s">
        <v>282</v>
      </c>
      <c r="B213" s="57"/>
      <c r="C213" s="57"/>
      <c r="D213" s="60"/>
      <c r="E213" s="60"/>
      <c r="F213" s="60"/>
      <c r="G213" s="60"/>
      <c r="H213" s="60">
        <v>1</v>
      </c>
      <c r="I213" s="60"/>
      <c r="J213" s="60">
        <v>1</v>
      </c>
      <c r="K213" s="61"/>
      <c r="L213" s="61"/>
      <c r="M213" s="61"/>
      <c r="N213" s="60"/>
      <c r="O213" s="60"/>
      <c r="P213" s="60"/>
      <c r="IB213"/>
      <c r="IC213"/>
      <c r="ID213"/>
      <c r="IE213"/>
      <c r="IF213"/>
      <c r="IG213"/>
    </row>
    <row r="214" spans="1:241" s="1" customFormat="1" ht="14.25" customHeight="1">
      <c r="A214" s="53" t="s">
        <v>29</v>
      </c>
      <c r="B214" s="57"/>
      <c r="C214" s="57"/>
      <c r="D214" s="60">
        <v>1300</v>
      </c>
      <c r="E214" s="60"/>
      <c r="F214" s="60">
        <v>1300</v>
      </c>
      <c r="G214" s="60">
        <v>916</v>
      </c>
      <c r="H214" s="60"/>
      <c r="I214" s="60"/>
      <c r="J214" s="60">
        <f aca="true" t="shared" si="27" ref="J214:J219">G214</f>
        <v>916</v>
      </c>
      <c r="K214" s="61"/>
      <c r="L214" s="61"/>
      <c r="M214" s="61"/>
      <c r="N214" s="60">
        <v>916</v>
      </c>
      <c r="O214" s="60"/>
      <c r="P214" s="60">
        <f aca="true" t="shared" si="28" ref="P214:P219">N214</f>
        <v>916</v>
      </c>
      <c r="IB214"/>
      <c r="IC214"/>
      <c r="ID214"/>
      <c r="IE214"/>
      <c r="IF214"/>
      <c r="IG214"/>
    </row>
    <row r="215" spans="1:241" s="1" customFormat="1" ht="22.5">
      <c r="A215" s="53" t="s">
        <v>30</v>
      </c>
      <c r="B215" s="57"/>
      <c r="C215" s="57"/>
      <c r="D215" s="60">
        <v>40</v>
      </c>
      <c r="E215" s="60"/>
      <c r="F215" s="60">
        <v>40</v>
      </c>
      <c r="G215" s="60">
        <v>40</v>
      </c>
      <c r="H215" s="60"/>
      <c r="I215" s="60"/>
      <c r="J215" s="60">
        <f t="shared" si="27"/>
        <v>40</v>
      </c>
      <c r="K215" s="61"/>
      <c r="L215" s="61"/>
      <c r="M215" s="61"/>
      <c r="N215" s="60">
        <v>40</v>
      </c>
      <c r="O215" s="60"/>
      <c r="P215" s="60">
        <f t="shared" si="28"/>
        <v>40</v>
      </c>
      <c r="IB215"/>
      <c r="IC215"/>
      <c r="ID215"/>
      <c r="IE215"/>
      <c r="IF215"/>
      <c r="IG215"/>
    </row>
    <row r="216" spans="1:241" s="1" customFormat="1" ht="12">
      <c r="A216" s="52" t="s">
        <v>5</v>
      </c>
      <c r="B216" s="59"/>
      <c r="C216" s="59"/>
      <c r="D216" s="126"/>
      <c r="E216" s="126"/>
      <c r="F216" s="126"/>
      <c r="G216" s="126"/>
      <c r="H216" s="126"/>
      <c r="I216" s="126"/>
      <c r="J216" s="60">
        <f t="shared" si="27"/>
        <v>0</v>
      </c>
      <c r="K216" s="61"/>
      <c r="L216" s="61"/>
      <c r="M216" s="61"/>
      <c r="N216" s="126"/>
      <c r="O216" s="126"/>
      <c r="P216" s="60">
        <f t="shared" si="28"/>
        <v>0</v>
      </c>
      <c r="IB216"/>
      <c r="IC216"/>
      <c r="ID216"/>
      <c r="IE216"/>
      <c r="IF216"/>
      <c r="IG216"/>
    </row>
    <row r="217" spans="1:241" s="1" customFormat="1" ht="22.5">
      <c r="A217" s="53" t="s">
        <v>149</v>
      </c>
      <c r="B217" s="57"/>
      <c r="C217" s="57"/>
      <c r="D217" s="60">
        <f>D209</f>
        <v>93.1</v>
      </c>
      <c r="E217" s="60"/>
      <c r="F217" s="60">
        <f>D217</f>
        <v>93.1</v>
      </c>
      <c r="G217" s="60">
        <f>G209</f>
        <v>93.1</v>
      </c>
      <c r="H217" s="60"/>
      <c r="I217" s="60"/>
      <c r="J217" s="60">
        <f t="shared" si="27"/>
        <v>93.1</v>
      </c>
      <c r="K217" s="61"/>
      <c r="L217" s="61"/>
      <c r="M217" s="61"/>
      <c r="N217" s="60">
        <f>N209</f>
        <v>93.1</v>
      </c>
      <c r="O217" s="60"/>
      <c r="P217" s="60">
        <f t="shared" si="28"/>
        <v>93.1</v>
      </c>
      <c r="IB217"/>
      <c r="IC217"/>
      <c r="ID217"/>
      <c r="IE217"/>
      <c r="IF217"/>
      <c r="IG217"/>
    </row>
    <row r="218" spans="1:241" s="1" customFormat="1" ht="22.5">
      <c r="A218" s="53" t="s">
        <v>317</v>
      </c>
      <c r="B218" s="57"/>
      <c r="C218" s="57"/>
      <c r="D218" s="60">
        <v>600</v>
      </c>
      <c r="E218" s="60"/>
      <c r="F218" s="60">
        <f>D218</f>
        <v>600</v>
      </c>
      <c r="G218" s="60">
        <v>700</v>
      </c>
      <c r="H218" s="60"/>
      <c r="I218" s="60"/>
      <c r="J218" s="60">
        <f t="shared" si="27"/>
        <v>700</v>
      </c>
      <c r="K218" s="61"/>
      <c r="L218" s="61"/>
      <c r="M218" s="61"/>
      <c r="N218" s="60">
        <v>800</v>
      </c>
      <c r="O218" s="60"/>
      <c r="P218" s="60">
        <f t="shared" si="28"/>
        <v>800</v>
      </c>
      <c r="IB218"/>
      <c r="IC218"/>
      <c r="ID218"/>
      <c r="IE218"/>
      <c r="IF218"/>
      <c r="IG218"/>
    </row>
    <row r="219" spans="1:241" s="1" customFormat="1" ht="21.75" customHeight="1">
      <c r="A219" s="53" t="s">
        <v>150</v>
      </c>
      <c r="B219" s="57"/>
      <c r="C219" s="57"/>
      <c r="D219" s="60">
        <v>1</v>
      </c>
      <c r="E219" s="60"/>
      <c r="F219" s="60">
        <v>1</v>
      </c>
      <c r="G219" s="60">
        <v>1</v>
      </c>
      <c r="H219" s="60"/>
      <c r="I219" s="60"/>
      <c r="J219" s="60">
        <f t="shared" si="27"/>
        <v>1</v>
      </c>
      <c r="K219" s="61"/>
      <c r="L219" s="61"/>
      <c r="M219" s="61"/>
      <c r="N219" s="60">
        <v>2</v>
      </c>
      <c r="O219" s="60"/>
      <c r="P219" s="60">
        <f t="shared" si="28"/>
        <v>2</v>
      </c>
      <c r="IB219"/>
      <c r="IC219"/>
      <c r="ID219"/>
      <c r="IE219"/>
      <c r="IF219"/>
      <c r="IG219"/>
    </row>
    <row r="220" spans="1:241" s="1" customFormat="1" ht="30.75" customHeight="1">
      <c r="A220" s="53" t="s">
        <v>77</v>
      </c>
      <c r="B220" s="57"/>
      <c r="C220" s="57"/>
      <c r="D220" s="60">
        <v>1</v>
      </c>
      <c r="E220" s="60"/>
      <c r="F220" s="60">
        <v>1</v>
      </c>
      <c r="G220" s="60"/>
      <c r="H220" s="60"/>
      <c r="I220" s="60"/>
      <c r="J220" s="60"/>
      <c r="K220" s="61"/>
      <c r="L220" s="61"/>
      <c r="M220" s="61"/>
      <c r="N220" s="60">
        <v>1</v>
      </c>
      <c r="O220" s="60"/>
      <c r="P220" s="60">
        <v>1</v>
      </c>
      <c r="IB220"/>
      <c r="IC220"/>
      <c r="ID220"/>
      <c r="IE220"/>
      <c r="IF220"/>
      <c r="IG220"/>
    </row>
    <row r="221" spans="1:241" s="1" customFormat="1" ht="30.75" customHeight="1">
      <c r="A221" s="53" t="s">
        <v>282</v>
      </c>
      <c r="B221" s="57"/>
      <c r="C221" s="57"/>
      <c r="D221" s="60"/>
      <c r="E221" s="60"/>
      <c r="F221" s="60"/>
      <c r="G221" s="60"/>
      <c r="H221" s="60">
        <v>1</v>
      </c>
      <c r="I221" s="60"/>
      <c r="J221" s="60">
        <v>1</v>
      </c>
      <c r="K221" s="61"/>
      <c r="L221" s="61"/>
      <c r="M221" s="61"/>
      <c r="N221" s="60"/>
      <c r="O221" s="60">
        <v>1</v>
      </c>
      <c r="P221" s="60">
        <f>O221</f>
        <v>1</v>
      </c>
      <c r="IB221"/>
      <c r="IC221"/>
      <c r="ID221"/>
      <c r="IE221"/>
      <c r="IF221"/>
      <c r="IG221"/>
    </row>
    <row r="222" spans="1:241" s="1" customFormat="1" ht="19.5" customHeight="1">
      <c r="A222" s="53" t="s">
        <v>31</v>
      </c>
      <c r="B222" s="57"/>
      <c r="C222" s="57"/>
      <c r="D222" s="60">
        <v>65</v>
      </c>
      <c r="E222" s="60"/>
      <c r="F222" s="60">
        <v>65</v>
      </c>
      <c r="G222" s="60">
        <v>55</v>
      </c>
      <c r="H222" s="60"/>
      <c r="I222" s="60"/>
      <c r="J222" s="60">
        <f>G222</f>
        <v>55</v>
      </c>
      <c r="K222" s="61"/>
      <c r="L222" s="61"/>
      <c r="M222" s="61"/>
      <c r="N222" s="60">
        <v>63</v>
      </c>
      <c r="O222" s="60"/>
      <c r="P222" s="60">
        <f>N222</f>
        <v>63</v>
      </c>
      <c r="IB222"/>
      <c r="IC222"/>
      <c r="ID222"/>
      <c r="IE222"/>
      <c r="IF222"/>
      <c r="IG222"/>
    </row>
    <row r="223" spans="1:241" s="1" customFormat="1" ht="22.5" customHeight="1">
      <c r="A223" s="53" t="s">
        <v>32</v>
      </c>
      <c r="B223" s="57"/>
      <c r="C223" s="57"/>
      <c r="D223" s="60">
        <v>34</v>
      </c>
      <c r="E223" s="60"/>
      <c r="F223" s="60">
        <v>34</v>
      </c>
      <c r="G223" s="60">
        <v>34</v>
      </c>
      <c r="H223" s="60"/>
      <c r="I223" s="60"/>
      <c r="J223" s="60">
        <f>G223</f>
        <v>34</v>
      </c>
      <c r="K223" s="61"/>
      <c r="L223" s="61"/>
      <c r="M223" s="61"/>
      <c r="N223" s="60">
        <v>64</v>
      </c>
      <c r="O223" s="60"/>
      <c r="P223" s="60">
        <f>N223</f>
        <v>64</v>
      </c>
      <c r="IB223"/>
      <c r="IC223"/>
      <c r="ID223"/>
      <c r="IE223"/>
      <c r="IF223"/>
      <c r="IG223"/>
    </row>
    <row r="224" spans="1:241" s="1" customFormat="1" ht="22.5" customHeight="1">
      <c r="A224" s="53" t="s">
        <v>33</v>
      </c>
      <c r="B224" s="57"/>
      <c r="C224" s="57"/>
      <c r="D224" s="60">
        <v>30</v>
      </c>
      <c r="E224" s="60"/>
      <c r="F224" s="60">
        <v>30</v>
      </c>
      <c r="G224" s="60">
        <v>37</v>
      </c>
      <c r="H224" s="60"/>
      <c r="I224" s="60"/>
      <c r="J224" s="60">
        <f>G224</f>
        <v>37</v>
      </c>
      <c r="K224" s="61"/>
      <c r="L224" s="61"/>
      <c r="M224" s="61"/>
      <c r="N224" s="60">
        <v>40</v>
      </c>
      <c r="O224" s="60"/>
      <c r="P224" s="60">
        <f>N224</f>
        <v>40</v>
      </c>
      <c r="IB224"/>
      <c r="IC224"/>
      <c r="ID224"/>
      <c r="IE224"/>
      <c r="IF224"/>
      <c r="IG224"/>
    </row>
    <row r="225" spans="1:241" s="1" customFormat="1" ht="12" customHeight="1">
      <c r="A225" s="53" t="s">
        <v>26</v>
      </c>
      <c r="B225" s="57"/>
      <c r="C225" s="57"/>
      <c r="D225" s="60">
        <v>347</v>
      </c>
      <c r="E225" s="60"/>
      <c r="F225" s="60">
        <v>347</v>
      </c>
      <c r="G225" s="60">
        <v>125</v>
      </c>
      <c r="H225" s="60"/>
      <c r="I225" s="60"/>
      <c r="J225" s="60">
        <f>G225</f>
        <v>125</v>
      </c>
      <c r="K225" s="61"/>
      <c r="L225" s="61"/>
      <c r="M225" s="61"/>
      <c r="N225" s="60">
        <v>125</v>
      </c>
      <c r="O225" s="60"/>
      <c r="P225" s="60">
        <f>N225</f>
        <v>125</v>
      </c>
      <c r="IB225"/>
      <c r="IC225"/>
      <c r="ID225"/>
      <c r="IE225"/>
      <c r="IF225"/>
      <c r="IG225"/>
    </row>
    <row r="226" spans="1:241" s="1" customFormat="1" ht="22.5" customHeight="1">
      <c r="A226" s="53" t="s">
        <v>34</v>
      </c>
      <c r="B226" s="57"/>
      <c r="C226" s="57"/>
      <c r="D226" s="60"/>
      <c r="E226" s="60"/>
      <c r="F226" s="60"/>
      <c r="G226" s="60">
        <v>984.5</v>
      </c>
      <c r="H226" s="60"/>
      <c r="I226" s="60"/>
      <c r="J226" s="60">
        <v>984.5</v>
      </c>
      <c r="K226" s="61"/>
      <c r="L226" s="61"/>
      <c r="M226" s="61"/>
      <c r="N226" s="60">
        <v>984.5</v>
      </c>
      <c r="O226" s="60"/>
      <c r="P226" s="60">
        <v>984.5</v>
      </c>
      <c r="IB226"/>
      <c r="IC226"/>
      <c r="ID226"/>
      <c r="IE226"/>
      <c r="IF226"/>
      <c r="IG226"/>
    </row>
    <row r="227" spans="1:241" s="1" customFormat="1" ht="22.5" customHeight="1">
      <c r="A227" s="53" t="s">
        <v>352</v>
      </c>
      <c r="B227" s="57"/>
      <c r="C227" s="57"/>
      <c r="D227" s="60"/>
      <c r="E227" s="60"/>
      <c r="F227" s="60"/>
      <c r="G227" s="60">
        <v>8500</v>
      </c>
      <c r="H227" s="60"/>
      <c r="I227" s="60"/>
      <c r="J227" s="60"/>
      <c r="K227" s="61"/>
      <c r="L227" s="61"/>
      <c r="M227" s="61"/>
      <c r="N227" s="60">
        <v>9715</v>
      </c>
      <c r="O227" s="60"/>
      <c r="P227" s="60"/>
      <c r="IB227"/>
      <c r="IC227"/>
      <c r="ID227"/>
      <c r="IE227"/>
      <c r="IF227"/>
      <c r="IG227"/>
    </row>
    <row r="228" spans="1:241" s="1" customFormat="1" ht="22.5" customHeight="1">
      <c r="A228" s="53" t="s">
        <v>348</v>
      </c>
      <c r="B228" s="57"/>
      <c r="C228" s="57"/>
      <c r="D228" s="60"/>
      <c r="E228" s="60"/>
      <c r="F228" s="60"/>
      <c r="G228" s="60"/>
      <c r="H228" s="60"/>
      <c r="I228" s="60"/>
      <c r="J228" s="60"/>
      <c r="K228" s="61"/>
      <c r="L228" s="61"/>
      <c r="M228" s="61"/>
      <c r="N228" s="60"/>
      <c r="O228" s="60">
        <v>14420</v>
      </c>
      <c r="P228" s="60">
        <f>O228</f>
        <v>14420</v>
      </c>
      <c r="IB228"/>
      <c r="IC228"/>
      <c r="ID228"/>
      <c r="IE228"/>
      <c r="IF228"/>
      <c r="IG228"/>
    </row>
    <row r="229" spans="1:241" s="1" customFormat="1" ht="12">
      <c r="A229" s="52" t="s">
        <v>7</v>
      </c>
      <c r="B229" s="59"/>
      <c r="C229" s="59"/>
      <c r="D229" s="126"/>
      <c r="E229" s="126"/>
      <c r="F229" s="126"/>
      <c r="G229" s="126"/>
      <c r="H229" s="126"/>
      <c r="I229" s="126"/>
      <c r="J229" s="60"/>
      <c r="K229" s="61"/>
      <c r="L229" s="61"/>
      <c r="M229" s="61"/>
      <c r="N229" s="126"/>
      <c r="O229" s="126"/>
      <c r="P229" s="60"/>
      <c r="IB229"/>
      <c r="IC229"/>
      <c r="ID229"/>
      <c r="IE229"/>
      <c r="IF229"/>
      <c r="IG229"/>
    </row>
    <row r="230" spans="1:241" s="1" customFormat="1" ht="22.5">
      <c r="A230" s="53" t="s">
        <v>151</v>
      </c>
      <c r="B230" s="57"/>
      <c r="C230" s="57"/>
      <c r="D230" s="60">
        <v>48335</v>
      </c>
      <c r="E230" s="60"/>
      <c r="F230" s="60">
        <f>D230</f>
        <v>48335</v>
      </c>
      <c r="G230" s="60">
        <v>59076</v>
      </c>
      <c r="H230" s="60"/>
      <c r="I230" s="60"/>
      <c r="J230" s="60">
        <f>G230</f>
        <v>59076</v>
      </c>
      <c r="K230" s="61"/>
      <c r="L230" s="61"/>
      <c r="M230" s="61"/>
      <c r="N230" s="60">
        <v>70651.22767</v>
      </c>
      <c r="O230" s="60"/>
      <c r="P230" s="60">
        <f>N230</f>
        <v>70651.22767</v>
      </c>
      <c r="IB230"/>
      <c r="IC230"/>
      <c r="ID230"/>
      <c r="IE230"/>
      <c r="IF230"/>
      <c r="IG230"/>
    </row>
    <row r="231" spans="1:241" s="1" customFormat="1" ht="22.5" customHeight="1">
      <c r="A231" s="53" t="s">
        <v>56</v>
      </c>
      <c r="B231" s="57"/>
      <c r="C231" s="57"/>
      <c r="D231" s="60">
        <v>6000</v>
      </c>
      <c r="E231" s="60"/>
      <c r="F231" s="60">
        <f>D231</f>
        <v>6000</v>
      </c>
      <c r="G231" s="60">
        <v>10000</v>
      </c>
      <c r="H231" s="60"/>
      <c r="I231" s="60"/>
      <c r="J231" s="60">
        <f>G231</f>
        <v>10000</v>
      </c>
      <c r="K231" s="61"/>
      <c r="L231" s="61"/>
      <c r="M231" s="61"/>
      <c r="N231" s="60">
        <v>10000</v>
      </c>
      <c r="O231" s="60"/>
      <c r="P231" s="60">
        <f>N231</f>
        <v>10000</v>
      </c>
      <c r="IB231"/>
      <c r="IC231"/>
      <c r="ID231"/>
      <c r="IE231"/>
      <c r="IF231"/>
      <c r="IG231"/>
    </row>
    <row r="232" spans="1:241" s="1" customFormat="1" ht="24.75" customHeight="1">
      <c r="A232" s="53" t="s">
        <v>152</v>
      </c>
      <c r="B232" s="57"/>
      <c r="C232" s="57"/>
      <c r="D232" s="60">
        <v>2850</v>
      </c>
      <c r="E232" s="60"/>
      <c r="F232" s="60">
        <f>D232</f>
        <v>2850</v>
      </c>
      <c r="G232" s="60">
        <v>2943</v>
      </c>
      <c r="H232" s="60"/>
      <c r="I232" s="60"/>
      <c r="J232" s="60">
        <f>G232</f>
        <v>2943</v>
      </c>
      <c r="K232" s="61"/>
      <c r="L232" s="61"/>
      <c r="M232" s="61"/>
      <c r="N232" s="60">
        <v>3800</v>
      </c>
      <c r="O232" s="60"/>
      <c r="P232" s="60">
        <f>N232</f>
        <v>3800</v>
      </c>
      <c r="IB232"/>
      <c r="IC232"/>
      <c r="ID232"/>
      <c r="IE232"/>
      <c r="IF232"/>
      <c r="IG232"/>
    </row>
    <row r="233" spans="1:241" s="1" customFormat="1" ht="22.5">
      <c r="A233" s="53" t="s">
        <v>153</v>
      </c>
      <c r="B233" s="57"/>
      <c r="C233" s="57"/>
      <c r="D233" s="60">
        <v>140000</v>
      </c>
      <c r="E233" s="60"/>
      <c r="F233" s="60">
        <f>D233</f>
        <v>140000</v>
      </c>
      <c r="G233" s="60">
        <v>170000</v>
      </c>
      <c r="H233" s="60"/>
      <c r="I233" s="60"/>
      <c r="J233" s="60">
        <f>G233</f>
        <v>170000</v>
      </c>
      <c r="K233" s="61"/>
      <c r="L233" s="61"/>
      <c r="M233" s="61"/>
      <c r="N233" s="60">
        <v>100000</v>
      </c>
      <c r="O233" s="60"/>
      <c r="P233" s="60">
        <f>N233</f>
        <v>100000</v>
      </c>
      <c r="IB233"/>
      <c r="IC233"/>
      <c r="ID233"/>
      <c r="IE233"/>
      <c r="IF233"/>
      <c r="IG233"/>
    </row>
    <row r="234" spans="1:241" s="1" customFormat="1" ht="14.25" customHeight="1">
      <c r="A234" s="53" t="s">
        <v>350</v>
      </c>
      <c r="B234" s="57"/>
      <c r="C234" s="57"/>
      <c r="D234" s="60"/>
      <c r="E234" s="60"/>
      <c r="F234" s="60"/>
      <c r="G234" s="60">
        <v>1900</v>
      </c>
      <c r="H234" s="60"/>
      <c r="I234" s="60"/>
      <c r="J234" s="60">
        <f>G234</f>
        <v>1900</v>
      </c>
      <c r="K234" s="61"/>
      <c r="L234" s="61"/>
      <c r="M234" s="61"/>
      <c r="N234" s="60">
        <v>2200</v>
      </c>
      <c r="O234" s="60"/>
      <c r="P234" s="60">
        <f>N234</f>
        <v>2200</v>
      </c>
      <c r="IB234"/>
      <c r="IC234"/>
      <c r="ID234"/>
      <c r="IE234"/>
      <c r="IF234"/>
      <c r="IG234"/>
    </row>
    <row r="235" spans="1:241" s="1" customFormat="1" ht="22.5">
      <c r="A235" s="53" t="s">
        <v>283</v>
      </c>
      <c r="B235" s="57"/>
      <c r="C235" s="57"/>
      <c r="D235" s="60"/>
      <c r="E235" s="60"/>
      <c r="F235" s="60"/>
      <c r="G235" s="60"/>
      <c r="H235" s="60">
        <v>120000</v>
      </c>
      <c r="I235" s="60"/>
      <c r="J235" s="60"/>
      <c r="K235" s="61"/>
      <c r="L235" s="61"/>
      <c r="M235" s="61"/>
      <c r="N235" s="60"/>
      <c r="O235" s="60">
        <v>174000</v>
      </c>
      <c r="P235" s="60">
        <f>O235</f>
        <v>174000</v>
      </c>
      <c r="IB235"/>
      <c r="IC235"/>
      <c r="ID235"/>
      <c r="IE235"/>
      <c r="IF235"/>
      <c r="IG235"/>
    </row>
    <row r="236" spans="1:241" s="1" customFormat="1" ht="15" customHeight="1">
      <c r="A236" s="53" t="s">
        <v>27</v>
      </c>
      <c r="B236" s="57"/>
      <c r="C236" s="57"/>
      <c r="D236" s="60">
        <v>580</v>
      </c>
      <c r="E236" s="60"/>
      <c r="F236" s="60">
        <v>580</v>
      </c>
      <c r="G236" s="60">
        <v>663.1</v>
      </c>
      <c r="H236" s="60"/>
      <c r="I236" s="60"/>
      <c r="J236" s="60">
        <f>G236</f>
        <v>663.1</v>
      </c>
      <c r="K236" s="61"/>
      <c r="L236" s="61"/>
      <c r="M236" s="61"/>
      <c r="N236" s="60">
        <v>663.1</v>
      </c>
      <c r="O236" s="60"/>
      <c r="P236" s="60">
        <f>N236</f>
        <v>663.1</v>
      </c>
      <c r="IB236"/>
      <c r="IC236"/>
      <c r="ID236"/>
      <c r="IE236"/>
      <c r="IF236"/>
      <c r="IG236"/>
    </row>
    <row r="237" spans="1:241" s="1" customFormat="1" ht="22.5" customHeight="1">
      <c r="A237" s="53" t="s">
        <v>35</v>
      </c>
      <c r="B237" s="57"/>
      <c r="C237" s="57"/>
      <c r="D237" s="60">
        <v>778</v>
      </c>
      <c r="E237" s="60"/>
      <c r="F237" s="60">
        <v>778</v>
      </c>
      <c r="G237" s="60">
        <v>691.86</v>
      </c>
      <c r="H237" s="60"/>
      <c r="I237" s="60"/>
      <c r="J237" s="60">
        <f>G237</f>
        <v>691.86</v>
      </c>
      <c r="K237" s="61"/>
      <c r="L237" s="61"/>
      <c r="M237" s="61"/>
      <c r="N237" s="60">
        <v>705</v>
      </c>
      <c r="O237" s="60"/>
      <c r="P237" s="60">
        <f>N237</f>
        <v>705</v>
      </c>
      <c r="IB237"/>
      <c r="IC237"/>
      <c r="ID237"/>
      <c r="IE237"/>
      <c r="IF237"/>
      <c r="IG237"/>
    </row>
    <row r="238" spans="1:241" s="1" customFormat="1" ht="22.5" customHeight="1">
      <c r="A238" s="53" t="s">
        <v>36</v>
      </c>
      <c r="B238" s="57"/>
      <c r="C238" s="57"/>
      <c r="D238" s="60">
        <v>23.66</v>
      </c>
      <c r="E238" s="60"/>
      <c r="F238" s="60">
        <v>23.66</v>
      </c>
      <c r="G238" s="60">
        <v>22.01</v>
      </c>
      <c r="H238" s="60"/>
      <c r="I238" s="60"/>
      <c r="J238" s="60">
        <f>G238</f>
        <v>22.01</v>
      </c>
      <c r="K238" s="61"/>
      <c r="L238" s="61"/>
      <c r="M238" s="61"/>
      <c r="N238" s="60">
        <v>22.01</v>
      </c>
      <c r="O238" s="60"/>
      <c r="P238" s="60">
        <f>N238</f>
        <v>22.01</v>
      </c>
      <c r="IB238"/>
      <c r="IC238"/>
      <c r="ID238"/>
      <c r="IE238"/>
      <c r="IF238"/>
      <c r="IG238"/>
    </row>
    <row r="239" spans="1:241" s="1" customFormat="1" ht="22.5" customHeight="1">
      <c r="A239" s="53" t="s">
        <v>37</v>
      </c>
      <c r="B239" s="57"/>
      <c r="C239" s="57"/>
      <c r="D239" s="60">
        <v>329</v>
      </c>
      <c r="E239" s="60"/>
      <c r="F239" s="60">
        <v>329</v>
      </c>
      <c r="G239" s="60">
        <v>160.11</v>
      </c>
      <c r="H239" s="60"/>
      <c r="I239" s="60"/>
      <c r="J239" s="60">
        <f>G239</f>
        <v>160.11</v>
      </c>
      <c r="K239" s="61"/>
      <c r="L239" s="61"/>
      <c r="M239" s="61"/>
      <c r="N239" s="60">
        <v>160.11</v>
      </c>
      <c r="O239" s="60"/>
      <c r="P239" s="60">
        <f>N239</f>
        <v>160.11</v>
      </c>
      <c r="IB239"/>
      <c r="IC239"/>
      <c r="ID239"/>
      <c r="IE239"/>
      <c r="IF239"/>
      <c r="IG239"/>
    </row>
    <row r="240" spans="1:241" s="1" customFormat="1" ht="38.25" customHeight="1">
      <c r="A240" s="53" t="s">
        <v>81</v>
      </c>
      <c r="B240" s="57"/>
      <c r="C240" s="57"/>
      <c r="D240" s="60">
        <v>50000</v>
      </c>
      <c r="E240" s="60"/>
      <c r="F240" s="60">
        <f>D240</f>
        <v>50000</v>
      </c>
      <c r="G240" s="60"/>
      <c r="H240" s="60"/>
      <c r="I240" s="60"/>
      <c r="J240" s="60"/>
      <c r="K240" s="61"/>
      <c r="L240" s="61"/>
      <c r="M240" s="61"/>
      <c r="N240" s="60">
        <f>N212</f>
        <v>0</v>
      </c>
      <c r="O240" s="60"/>
      <c r="P240" s="60">
        <f>N240</f>
        <v>0</v>
      </c>
      <c r="IB240"/>
      <c r="IC240"/>
      <c r="ID240"/>
      <c r="IE240"/>
      <c r="IF240"/>
      <c r="IG240"/>
    </row>
    <row r="241" spans="1:241" s="1" customFormat="1" ht="24.75" customHeight="1">
      <c r="A241" s="53" t="s">
        <v>351</v>
      </c>
      <c r="B241" s="57"/>
      <c r="C241" s="57"/>
      <c r="D241" s="60"/>
      <c r="E241" s="60"/>
      <c r="F241" s="60"/>
      <c r="G241" s="60">
        <v>261.4118035</v>
      </c>
      <c r="H241" s="60"/>
      <c r="I241" s="60"/>
      <c r="J241" s="60"/>
      <c r="K241" s="61"/>
      <c r="L241" s="61"/>
      <c r="M241" s="61"/>
      <c r="N241" s="60">
        <v>284.06034997</v>
      </c>
      <c r="O241" s="60"/>
      <c r="P241" s="60"/>
      <c r="IB241"/>
      <c r="IC241"/>
      <c r="ID241"/>
      <c r="IE241"/>
      <c r="IF241"/>
      <c r="IG241"/>
    </row>
    <row r="242" spans="1:241" s="1" customFormat="1" ht="27.75" customHeight="1">
      <c r="A242" s="53" t="s">
        <v>349</v>
      </c>
      <c r="B242" s="57"/>
      <c r="C242" s="57"/>
      <c r="D242" s="60"/>
      <c r="E242" s="60"/>
      <c r="F242" s="60"/>
      <c r="G242" s="60"/>
      <c r="H242" s="60"/>
      <c r="I242" s="60"/>
      <c r="J242" s="60"/>
      <c r="K242" s="61"/>
      <c r="L242" s="61"/>
      <c r="M242" s="61"/>
      <c r="N242" s="60"/>
      <c r="O242" s="60">
        <v>500</v>
      </c>
      <c r="P242" s="60">
        <f>O242</f>
        <v>500</v>
      </c>
      <c r="IB242"/>
      <c r="IC242"/>
      <c r="ID242"/>
      <c r="IE242"/>
      <c r="IF242"/>
      <c r="IG242"/>
    </row>
    <row r="243" spans="1:241" s="1" customFormat="1" ht="12" customHeight="1">
      <c r="A243" s="52" t="s">
        <v>6</v>
      </c>
      <c r="B243" s="57"/>
      <c r="C243" s="57"/>
      <c r="D243" s="60"/>
      <c r="E243" s="60"/>
      <c r="F243" s="60"/>
      <c r="G243" s="60"/>
      <c r="H243" s="60"/>
      <c r="I243" s="60"/>
      <c r="J243" s="60"/>
      <c r="K243" s="61"/>
      <c r="L243" s="61"/>
      <c r="M243" s="61"/>
      <c r="N243" s="60"/>
      <c r="O243" s="60"/>
      <c r="P243" s="60"/>
      <c r="IB243"/>
      <c r="IC243"/>
      <c r="ID243"/>
      <c r="IE243"/>
      <c r="IF243"/>
      <c r="IG243"/>
    </row>
    <row r="244" spans="1:241" s="1" customFormat="1" ht="33.75">
      <c r="A244" s="53" t="s">
        <v>155</v>
      </c>
      <c r="B244" s="57"/>
      <c r="C244" s="57"/>
      <c r="D244" s="60">
        <f>D217/D209*100</f>
        <v>100</v>
      </c>
      <c r="E244" s="60"/>
      <c r="F244" s="60">
        <f>F217/F209*100</f>
        <v>100</v>
      </c>
      <c r="G244" s="60">
        <f>G217/G209*100</f>
        <v>100</v>
      </c>
      <c r="H244" s="60"/>
      <c r="I244" s="60"/>
      <c r="J244" s="60">
        <f>J217/J209*100</f>
        <v>100</v>
      </c>
      <c r="K244" s="60" t="e">
        <f>K217/K209*100</f>
        <v>#DIV/0!</v>
      </c>
      <c r="L244" s="60" t="e">
        <f>L217/L209*100</f>
        <v>#DIV/0!</v>
      </c>
      <c r="M244" s="60" t="e">
        <f>M217/M209*100</f>
        <v>#DIV/0!</v>
      </c>
      <c r="N244" s="60">
        <f>N217/N209*100</f>
        <v>100</v>
      </c>
      <c r="O244" s="60"/>
      <c r="P244" s="60">
        <f>P217/P209*100</f>
        <v>100</v>
      </c>
      <c r="IB244"/>
      <c r="IC244"/>
      <c r="ID244"/>
      <c r="IE244"/>
      <c r="IF244"/>
      <c r="IG244"/>
    </row>
    <row r="245" spans="1:241" s="1" customFormat="1" ht="29.25" customHeight="1">
      <c r="A245" s="53" t="s">
        <v>154</v>
      </c>
      <c r="B245" s="57"/>
      <c r="C245" s="57"/>
      <c r="D245" s="60"/>
      <c r="E245" s="60"/>
      <c r="F245" s="60"/>
      <c r="G245" s="60">
        <f>G232/D232*100</f>
        <v>103.26315789473684</v>
      </c>
      <c r="H245" s="60"/>
      <c r="I245" s="60"/>
      <c r="J245" s="60">
        <f>J232/F232*100</f>
        <v>103.26315789473684</v>
      </c>
      <c r="K245" s="61"/>
      <c r="L245" s="61"/>
      <c r="M245" s="61"/>
      <c r="N245" s="60">
        <f>N232/G232*100</f>
        <v>129.1199456337071</v>
      </c>
      <c r="O245" s="60"/>
      <c r="P245" s="60">
        <f>P232/J232*100</f>
        <v>129.1199456337071</v>
      </c>
      <c r="IB245"/>
      <c r="IC245"/>
      <c r="ID245"/>
      <c r="IE245"/>
      <c r="IF245"/>
      <c r="IG245"/>
    </row>
    <row r="246" spans="1:241" s="1" customFormat="1" ht="38.25" customHeight="1">
      <c r="A246" s="53" t="s">
        <v>156</v>
      </c>
      <c r="B246" s="57"/>
      <c r="C246" s="57"/>
      <c r="D246" s="60"/>
      <c r="E246" s="60"/>
      <c r="F246" s="60"/>
      <c r="G246" s="60">
        <f>G233/D233*100</f>
        <v>121.42857142857142</v>
      </c>
      <c r="H246" s="60"/>
      <c r="I246" s="60"/>
      <c r="J246" s="60">
        <f>J233/F233*100</f>
        <v>121.42857142857142</v>
      </c>
      <c r="K246" s="61"/>
      <c r="L246" s="61"/>
      <c r="M246" s="61"/>
      <c r="N246" s="60">
        <f>N233/G233*100</f>
        <v>58.82352941176471</v>
      </c>
      <c r="O246" s="60"/>
      <c r="P246" s="60">
        <f>P233/J233*100</f>
        <v>58.82352941176471</v>
      </c>
      <c r="IB246"/>
      <c r="IC246"/>
      <c r="ID246"/>
      <c r="IE246"/>
      <c r="IF246"/>
      <c r="IG246"/>
    </row>
    <row r="247" spans="1:241" s="89" customFormat="1" ht="22.5">
      <c r="A247" s="80" t="s">
        <v>354</v>
      </c>
      <c r="B247" s="86"/>
      <c r="C247" s="86"/>
      <c r="D247" s="87">
        <f>(D249*D254)+(D250*D255)+(D251*D256)-110.1</f>
        <v>1035000</v>
      </c>
      <c r="E247" s="87"/>
      <c r="F247" s="87">
        <f>(F249*F254)+(F250*F255)+(F251*F256)-110.1</f>
        <v>1035000</v>
      </c>
      <c r="G247" s="87">
        <f>(G249*G254)+(G250*G255)+(G251*G256)+G252*G257</f>
        <v>1505079.9953947999</v>
      </c>
      <c r="H247" s="87"/>
      <c r="I247" s="87"/>
      <c r="J247" s="87">
        <f>G247</f>
        <v>1505079.9953947999</v>
      </c>
      <c r="K247" s="87">
        <f>(K249*K254)+(K250*K255)+(K251*K256)-110.1</f>
        <v>-110.1</v>
      </c>
      <c r="L247" s="87">
        <f>(L249*L254)+(L250*L255)+(L251*L256)-110.1</f>
        <v>-110.1</v>
      </c>
      <c r="M247" s="87">
        <f>(M249*M254)+(M250*M255)+(M251*M256)-110.1</f>
        <v>-110.1</v>
      </c>
      <c r="N247" s="87">
        <f>(N249*N254)+(N251*N256)+(N252*N257)</f>
        <v>1480000.0049155436</v>
      </c>
      <c r="O247" s="87"/>
      <c r="P247" s="87">
        <f>N247</f>
        <v>1480000.0049155436</v>
      </c>
      <c r="IB247" s="90"/>
      <c r="IC247" s="90"/>
      <c r="ID247" s="90"/>
      <c r="IE247" s="90"/>
      <c r="IF247" s="90"/>
      <c r="IG247" s="90"/>
    </row>
    <row r="248" spans="1:241" s="1" customFormat="1" ht="11.25">
      <c r="A248" s="52" t="s">
        <v>5</v>
      </c>
      <c r="B248" s="59"/>
      <c r="C248" s="59"/>
      <c r="D248" s="126"/>
      <c r="E248" s="126"/>
      <c r="F248" s="126"/>
      <c r="G248" s="126"/>
      <c r="H248" s="126"/>
      <c r="I248" s="126"/>
      <c r="J248" s="126"/>
      <c r="K248" s="126"/>
      <c r="L248" s="126"/>
      <c r="M248" s="126"/>
      <c r="N248" s="126"/>
      <c r="O248" s="126"/>
      <c r="P248" s="126"/>
      <c r="IB248"/>
      <c r="IC248"/>
      <c r="ID248"/>
      <c r="IE248"/>
      <c r="IF248"/>
      <c r="IG248"/>
    </row>
    <row r="249" spans="1:241" s="1" customFormat="1" ht="22.5" customHeight="1">
      <c r="A249" s="53" t="s">
        <v>135</v>
      </c>
      <c r="B249" s="57"/>
      <c r="C249" s="57"/>
      <c r="D249" s="60">
        <v>167170</v>
      </c>
      <c r="E249" s="60"/>
      <c r="F249" s="60">
        <f>D249</f>
        <v>167170</v>
      </c>
      <c r="G249" s="60">
        <f>F249</f>
        <v>167170</v>
      </c>
      <c r="H249" s="60"/>
      <c r="I249" s="60"/>
      <c r="J249" s="60">
        <f>G249</f>
        <v>167170</v>
      </c>
      <c r="K249" s="61"/>
      <c r="L249" s="61"/>
      <c r="M249" s="61"/>
      <c r="N249" s="60">
        <f>G249</f>
        <v>167170</v>
      </c>
      <c r="O249" s="60"/>
      <c r="P249" s="60">
        <f>N249</f>
        <v>167170</v>
      </c>
      <c r="IB249"/>
      <c r="IC249"/>
      <c r="ID249"/>
      <c r="IE249"/>
      <c r="IF249"/>
      <c r="IG249"/>
    </row>
    <row r="250" spans="1:241" s="1" customFormat="1" ht="22.5" hidden="1">
      <c r="A250" s="53" t="s">
        <v>158</v>
      </c>
      <c r="B250" s="57"/>
      <c r="C250" s="57"/>
      <c r="D250" s="60">
        <v>160</v>
      </c>
      <c r="E250" s="60"/>
      <c r="F250" s="60">
        <f>D250</f>
        <v>160</v>
      </c>
      <c r="G250" s="60"/>
      <c r="H250" s="60"/>
      <c r="I250" s="60"/>
      <c r="J250" s="60"/>
      <c r="K250" s="61"/>
      <c r="L250" s="61"/>
      <c r="M250" s="61"/>
      <c r="N250" s="60"/>
      <c r="O250" s="60"/>
      <c r="P250" s="60"/>
      <c r="IB250"/>
      <c r="IC250"/>
      <c r="ID250"/>
      <c r="IE250"/>
      <c r="IF250"/>
      <c r="IG250"/>
    </row>
    <row r="251" spans="1:241" s="1" customFormat="1" ht="33" customHeight="1">
      <c r="A251" s="53" t="s">
        <v>327</v>
      </c>
      <c r="B251" s="57"/>
      <c r="C251" s="57"/>
      <c r="D251" s="60">
        <v>4600</v>
      </c>
      <c r="E251" s="60"/>
      <c r="F251" s="60">
        <f>D251</f>
        <v>4600</v>
      </c>
      <c r="G251" s="60">
        <v>4994</v>
      </c>
      <c r="H251" s="60"/>
      <c r="I251" s="60"/>
      <c r="J251" s="60">
        <f>G251</f>
        <v>4994</v>
      </c>
      <c r="K251" s="61"/>
      <c r="L251" s="61"/>
      <c r="M251" s="61"/>
      <c r="N251" s="60">
        <v>4417</v>
      </c>
      <c r="O251" s="60"/>
      <c r="P251" s="60">
        <f>N251</f>
        <v>4417</v>
      </c>
      <c r="IB251"/>
      <c r="IC251"/>
      <c r="ID251"/>
      <c r="IE251"/>
      <c r="IF251"/>
      <c r="IG251"/>
    </row>
    <row r="252" spans="1:241" s="1" customFormat="1" ht="45">
      <c r="A252" s="53" t="s">
        <v>462</v>
      </c>
      <c r="B252" s="57"/>
      <c r="C252" s="57"/>
      <c r="D252" s="60"/>
      <c r="E252" s="60"/>
      <c r="F252" s="60"/>
      <c r="G252" s="60">
        <v>2510</v>
      </c>
      <c r="H252" s="60"/>
      <c r="I252" s="60"/>
      <c r="J252" s="60">
        <f>G252</f>
        <v>2510</v>
      </c>
      <c r="K252" s="61"/>
      <c r="L252" s="61"/>
      <c r="M252" s="61"/>
      <c r="N252" s="60">
        <v>687.47</v>
      </c>
      <c r="O252" s="60"/>
      <c r="P252" s="60"/>
      <c r="IB252"/>
      <c r="IC252"/>
      <c r="ID252"/>
      <c r="IE252"/>
      <c r="IF252"/>
      <c r="IG252"/>
    </row>
    <row r="253" spans="1:241" s="1" customFormat="1" ht="12">
      <c r="A253" s="52" t="s">
        <v>7</v>
      </c>
      <c r="B253" s="59"/>
      <c r="C253" s="59"/>
      <c r="D253" s="126"/>
      <c r="E253" s="126"/>
      <c r="F253" s="60"/>
      <c r="G253" s="126"/>
      <c r="H253" s="126"/>
      <c r="I253" s="126"/>
      <c r="J253" s="60"/>
      <c r="K253" s="61"/>
      <c r="L253" s="61"/>
      <c r="M253" s="61"/>
      <c r="N253" s="126"/>
      <c r="O253" s="126"/>
      <c r="P253" s="60"/>
      <c r="IB253"/>
      <c r="IC253"/>
      <c r="ID253"/>
      <c r="IE253"/>
      <c r="IF253"/>
      <c r="IG253"/>
    </row>
    <row r="254" spans="1:241" s="1" customFormat="1" ht="23.25" customHeight="1">
      <c r="A254" s="53" t="s">
        <v>141</v>
      </c>
      <c r="B254" s="57"/>
      <c r="C254" s="57"/>
      <c r="D254" s="60">
        <v>3.53</v>
      </c>
      <c r="E254" s="60"/>
      <c r="F254" s="60">
        <f>D254</f>
        <v>3.53</v>
      </c>
      <c r="G254" s="60">
        <v>4.22</v>
      </c>
      <c r="H254" s="60"/>
      <c r="I254" s="60"/>
      <c r="J254" s="60">
        <f>G254</f>
        <v>4.22</v>
      </c>
      <c r="K254" s="61"/>
      <c r="L254" s="61"/>
      <c r="M254" s="61"/>
      <c r="N254" s="60">
        <v>5.86229586648</v>
      </c>
      <c r="O254" s="60"/>
      <c r="P254" s="60">
        <f>N254</f>
        <v>5.86229586648</v>
      </c>
      <c r="IB254"/>
      <c r="IC254"/>
      <c r="ID254"/>
      <c r="IE254"/>
      <c r="IF254"/>
      <c r="IG254"/>
    </row>
    <row r="255" spans="1:241" s="1" customFormat="1" ht="12" hidden="1">
      <c r="A255" s="53" t="s">
        <v>159</v>
      </c>
      <c r="B255" s="57"/>
      <c r="C255" s="57"/>
      <c r="D255" s="60">
        <v>625</v>
      </c>
      <c r="E255" s="60"/>
      <c r="F255" s="60">
        <f>D255</f>
        <v>625</v>
      </c>
      <c r="G255" s="60"/>
      <c r="H255" s="60"/>
      <c r="I255" s="60"/>
      <c r="J255" s="60"/>
      <c r="K255" s="61"/>
      <c r="L255" s="61"/>
      <c r="M255" s="61"/>
      <c r="N255" s="60"/>
      <c r="O255" s="60"/>
      <c r="P255" s="60"/>
      <c r="IB255"/>
      <c r="IC255"/>
      <c r="ID255"/>
      <c r="IE255"/>
      <c r="IF255"/>
      <c r="IG255"/>
    </row>
    <row r="256" spans="1:241" s="1" customFormat="1" ht="36" customHeight="1">
      <c r="A256" s="53" t="s">
        <v>328</v>
      </c>
      <c r="B256" s="57"/>
      <c r="C256" s="57"/>
      <c r="D256" s="60">
        <v>75</v>
      </c>
      <c r="E256" s="60"/>
      <c r="F256" s="60">
        <f>D256</f>
        <v>75</v>
      </c>
      <c r="G256" s="60">
        <v>87.0129342</v>
      </c>
      <c r="H256" s="60"/>
      <c r="I256" s="60"/>
      <c r="J256" s="60">
        <f>G256</f>
        <v>87.0129342</v>
      </c>
      <c r="K256" s="61"/>
      <c r="L256" s="61"/>
      <c r="M256" s="61"/>
      <c r="N256" s="60">
        <v>90.55915</v>
      </c>
      <c r="O256" s="60"/>
      <c r="P256" s="60">
        <f>N256</f>
        <v>90.55915</v>
      </c>
      <c r="IB256"/>
      <c r="IC256"/>
      <c r="ID256"/>
      <c r="IE256"/>
      <c r="IF256"/>
      <c r="IG256"/>
    </row>
    <row r="257" spans="1:241" s="1" customFormat="1" ht="45">
      <c r="A257" s="53" t="s">
        <v>321</v>
      </c>
      <c r="B257" s="57"/>
      <c r="C257" s="57"/>
      <c r="D257" s="60"/>
      <c r="E257" s="60"/>
      <c r="F257" s="60"/>
      <c r="G257" s="60">
        <v>145.4502</v>
      </c>
      <c r="H257" s="60"/>
      <c r="I257" s="60"/>
      <c r="J257" s="60">
        <f>G257</f>
        <v>145.4502</v>
      </c>
      <c r="K257" s="61"/>
      <c r="L257" s="61"/>
      <c r="M257" s="61"/>
      <c r="N257" s="60">
        <v>145.461241023</v>
      </c>
      <c r="O257" s="60"/>
      <c r="P257" s="60"/>
      <c r="IB257"/>
      <c r="IC257"/>
      <c r="ID257"/>
      <c r="IE257"/>
      <c r="IF257"/>
      <c r="IG257"/>
    </row>
    <row r="258" spans="1:241" s="1" customFormat="1" ht="12">
      <c r="A258" s="52" t="s">
        <v>6</v>
      </c>
      <c r="B258" s="57"/>
      <c r="C258" s="57"/>
      <c r="D258" s="60"/>
      <c r="E258" s="60"/>
      <c r="F258" s="60"/>
      <c r="G258" s="60"/>
      <c r="H258" s="60"/>
      <c r="I258" s="60"/>
      <c r="J258" s="60"/>
      <c r="K258" s="61"/>
      <c r="L258" s="61"/>
      <c r="M258" s="61"/>
      <c r="N258" s="60"/>
      <c r="O258" s="60"/>
      <c r="P258" s="60"/>
      <c r="IB258"/>
      <c r="IC258"/>
      <c r="ID258"/>
      <c r="IE258"/>
      <c r="IF258"/>
      <c r="IG258"/>
    </row>
    <row r="259" spans="1:241" s="1" customFormat="1" ht="36" customHeight="1">
      <c r="A259" s="53" t="s">
        <v>160</v>
      </c>
      <c r="B259" s="57"/>
      <c r="C259" s="57"/>
      <c r="D259" s="60"/>
      <c r="E259" s="60"/>
      <c r="F259" s="60"/>
      <c r="G259" s="60">
        <f>G254/D254*100</f>
        <v>119.54674220963173</v>
      </c>
      <c r="H259" s="60"/>
      <c r="I259" s="60"/>
      <c r="J259" s="60">
        <f>G259</f>
        <v>119.54674220963173</v>
      </c>
      <c r="K259" s="61"/>
      <c r="L259" s="61"/>
      <c r="M259" s="61"/>
      <c r="N259" s="60">
        <f>N254/G254*100</f>
        <v>138.91696366066353</v>
      </c>
      <c r="O259" s="60"/>
      <c r="P259" s="60">
        <f>N259</f>
        <v>138.91696366066353</v>
      </c>
      <c r="IB259"/>
      <c r="IC259"/>
      <c r="ID259"/>
      <c r="IE259"/>
      <c r="IF259"/>
      <c r="IG259"/>
    </row>
    <row r="260" spans="1:241" s="1" customFormat="1" ht="51" customHeight="1">
      <c r="A260" s="53" t="s">
        <v>161</v>
      </c>
      <c r="B260" s="57"/>
      <c r="C260" s="57"/>
      <c r="D260" s="60"/>
      <c r="E260" s="60"/>
      <c r="F260" s="60"/>
      <c r="G260" s="60">
        <f>G256/D256*100</f>
        <v>116.0172456</v>
      </c>
      <c r="H260" s="60"/>
      <c r="I260" s="60"/>
      <c r="J260" s="60">
        <f>G260</f>
        <v>116.0172456</v>
      </c>
      <c r="K260" s="61"/>
      <c r="L260" s="61"/>
      <c r="M260" s="61"/>
      <c r="N260" s="60">
        <f>N256/G256*100</f>
        <v>104.07550421394707</v>
      </c>
      <c r="O260" s="60"/>
      <c r="P260" s="60">
        <f>N260</f>
        <v>104.07550421394707</v>
      </c>
      <c r="IB260"/>
      <c r="IC260"/>
      <c r="ID260"/>
      <c r="IE260"/>
      <c r="IF260"/>
      <c r="IG260"/>
    </row>
    <row r="261" spans="1:241" s="1" customFormat="1" ht="58.5" customHeight="1">
      <c r="A261" s="53" t="s">
        <v>322</v>
      </c>
      <c r="B261" s="57"/>
      <c r="C261" s="57"/>
      <c r="D261" s="60"/>
      <c r="E261" s="60"/>
      <c r="F261" s="60"/>
      <c r="G261" s="60"/>
      <c r="H261" s="60"/>
      <c r="I261" s="60"/>
      <c r="J261" s="60"/>
      <c r="K261" s="61"/>
      <c r="L261" s="61"/>
      <c r="M261" s="61"/>
      <c r="N261" s="60"/>
      <c r="O261" s="60"/>
      <c r="P261" s="60"/>
      <c r="IB261"/>
      <c r="IC261"/>
      <c r="ID261"/>
      <c r="IE261"/>
      <c r="IF261"/>
      <c r="IG261"/>
    </row>
    <row r="262" spans="1:241" s="89" customFormat="1" ht="22.5">
      <c r="A262" s="80" t="s">
        <v>355</v>
      </c>
      <c r="B262" s="86"/>
      <c r="C262" s="86"/>
      <c r="D262" s="87">
        <f>(D266*D273)+(D267*D274)+(D268*D277)-2</f>
        <v>2306500</v>
      </c>
      <c r="E262" s="87"/>
      <c r="F262" s="87">
        <f>D262</f>
        <v>2306500</v>
      </c>
      <c r="G262" s="87">
        <f>(G266*G273)+(G267*G274)+G268*G277+G269*G278-0.02+10000</f>
        <v>3781600</v>
      </c>
      <c r="H262" s="87"/>
      <c r="I262" s="87"/>
      <c r="J262" s="87">
        <f>G262</f>
        <v>3781600</v>
      </c>
      <c r="K262" s="87">
        <f>(K266*K273)+(K267*K274)</f>
        <v>0</v>
      </c>
      <c r="L262" s="87">
        <f>(L266*L273)+(L267*L274)</f>
        <v>0</v>
      </c>
      <c r="M262" s="87">
        <f>(M266*M273)+(M267*M274)</f>
        <v>0</v>
      </c>
      <c r="N262" s="87">
        <f>(N266*N273)+(N267*N274)+N268*N277+N269*N278-94.96</f>
        <v>8243999.997</v>
      </c>
      <c r="O262" s="87"/>
      <c r="P262" s="87">
        <f>N262+O262</f>
        <v>8243999.997</v>
      </c>
      <c r="IB262" s="90"/>
      <c r="IC262" s="90"/>
      <c r="ID262" s="90"/>
      <c r="IE262" s="90"/>
      <c r="IF262" s="90"/>
      <c r="IG262" s="90"/>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7940457.957</v>
      </c>
      <c r="O263" s="13">
        <f>O265*O272+O266*O273+O267*O274</f>
        <v>0</v>
      </c>
      <c r="P263" s="13">
        <f>P265*P272+P266*P273+P267*P274</f>
        <v>7940457.957</v>
      </c>
      <c r="IB263"/>
      <c r="IC263"/>
      <c r="ID263"/>
      <c r="IE263"/>
      <c r="IF263"/>
      <c r="IG263"/>
    </row>
    <row r="264" spans="1:241" s="1" customFormat="1" ht="12" customHeight="1">
      <c r="A264" s="52" t="s">
        <v>5</v>
      </c>
      <c r="B264" s="59"/>
      <c r="C264" s="59"/>
      <c r="D264" s="126"/>
      <c r="E264" s="126"/>
      <c r="F264" s="60"/>
      <c r="G264" s="126"/>
      <c r="H264" s="126"/>
      <c r="I264" s="126"/>
      <c r="J264" s="60"/>
      <c r="K264" s="61"/>
      <c r="L264" s="61"/>
      <c r="M264" s="61"/>
      <c r="N264" s="126"/>
      <c r="O264" s="126"/>
      <c r="P264" s="60"/>
      <c r="IB264"/>
      <c r="IC264"/>
      <c r="ID264"/>
      <c r="IE264"/>
      <c r="IF264"/>
      <c r="IG264"/>
    </row>
    <row r="265" spans="1:241" s="1" customFormat="1" ht="13.5" customHeight="1" hidden="1">
      <c r="A265" s="53" t="s">
        <v>38</v>
      </c>
      <c r="B265" s="57"/>
      <c r="C265" s="57"/>
      <c r="D265" s="60">
        <v>1220</v>
      </c>
      <c r="E265" s="60"/>
      <c r="F265" s="60">
        <f aca="true" t="shared" si="30" ref="F265:F274">D265</f>
        <v>1220</v>
      </c>
      <c r="G265" s="60">
        <v>1220</v>
      </c>
      <c r="H265" s="60"/>
      <c r="I265" s="60"/>
      <c r="J265" s="60">
        <f aca="true" t="shared" si="31" ref="J265:J276">G265</f>
        <v>1220</v>
      </c>
      <c r="K265" s="61"/>
      <c r="L265" s="61"/>
      <c r="M265" s="61"/>
      <c r="N265" s="60">
        <v>1220</v>
      </c>
      <c r="O265" s="60"/>
      <c r="P265" s="60">
        <f aca="true" t="shared" si="32" ref="P265:P278">N265</f>
        <v>1220</v>
      </c>
      <c r="IB265"/>
      <c r="IC265"/>
      <c r="ID265"/>
      <c r="IE265"/>
      <c r="IF265"/>
      <c r="IG265"/>
    </row>
    <row r="266" spans="1:241" s="1" customFormat="1" ht="22.5">
      <c r="A266" s="53" t="s">
        <v>162</v>
      </c>
      <c r="B266" s="57"/>
      <c r="C266" s="57"/>
      <c r="D266" s="60">
        <v>4</v>
      </c>
      <c r="E266" s="60"/>
      <c r="F266" s="60">
        <f t="shared" si="30"/>
        <v>4</v>
      </c>
      <c r="G266" s="111">
        <f>6</f>
        <v>6</v>
      </c>
      <c r="H266" s="60"/>
      <c r="I266" s="60"/>
      <c r="J266" s="60">
        <f t="shared" si="31"/>
        <v>6</v>
      </c>
      <c r="K266" s="61"/>
      <c r="L266" s="61"/>
      <c r="M266" s="61"/>
      <c r="N266" s="60">
        <v>7</v>
      </c>
      <c r="O266" s="60"/>
      <c r="P266" s="60">
        <f t="shared" si="32"/>
        <v>7</v>
      </c>
      <c r="IB266"/>
      <c r="IC266"/>
      <c r="ID266"/>
      <c r="IE266"/>
      <c r="IF266"/>
      <c r="IG266"/>
    </row>
    <row r="267" spans="1:241" s="1" customFormat="1" ht="22.5" customHeight="1">
      <c r="A267" s="53" t="s">
        <v>163</v>
      </c>
      <c r="B267" s="57"/>
      <c r="C267" s="57"/>
      <c r="D267" s="60">
        <v>6</v>
      </c>
      <c r="E267" s="60"/>
      <c r="F267" s="60">
        <f t="shared" si="30"/>
        <v>6</v>
      </c>
      <c r="G267" s="111">
        <f>D267</f>
        <v>6</v>
      </c>
      <c r="H267" s="60"/>
      <c r="I267" s="60"/>
      <c r="J267" s="60">
        <f t="shared" si="31"/>
        <v>6</v>
      </c>
      <c r="K267" s="61"/>
      <c r="L267" s="61"/>
      <c r="M267" s="61"/>
      <c r="N267" s="60">
        <v>6</v>
      </c>
      <c r="O267" s="60"/>
      <c r="P267" s="60">
        <f t="shared" si="32"/>
        <v>6</v>
      </c>
      <c r="IB267"/>
      <c r="IC267"/>
      <c r="ID267"/>
      <c r="IE267"/>
      <c r="IF267"/>
      <c r="IG267"/>
    </row>
    <row r="268" spans="1:241" s="1" customFormat="1" ht="22.5" customHeight="1">
      <c r="A268" s="21" t="s">
        <v>256</v>
      </c>
      <c r="B268" s="7"/>
      <c r="C268" s="7"/>
      <c r="D268" s="14">
        <v>100</v>
      </c>
      <c r="E268" s="14"/>
      <c r="F268" s="14">
        <f t="shared" si="30"/>
        <v>100</v>
      </c>
      <c r="G268" s="111">
        <v>200</v>
      </c>
      <c r="H268" s="60"/>
      <c r="I268" s="60"/>
      <c r="J268" s="60">
        <v>200</v>
      </c>
      <c r="K268" s="61"/>
      <c r="L268" s="61"/>
      <c r="M268" s="61"/>
      <c r="N268" s="60">
        <v>166</v>
      </c>
      <c r="O268" s="60"/>
      <c r="P268" s="60">
        <f t="shared" si="32"/>
        <v>166</v>
      </c>
      <c r="IB268"/>
      <c r="IC268"/>
      <c r="ID268"/>
      <c r="IE268"/>
      <c r="IF268"/>
      <c r="IG268"/>
    </row>
    <row r="269" spans="1:241" s="1" customFormat="1" ht="24.75" customHeight="1">
      <c r="A269" s="21" t="s">
        <v>284</v>
      </c>
      <c r="B269" s="7"/>
      <c r="C269" s="7"/>
      <c r="D269" s="14"/>
      <c r="E269" s="14"/>
      <c r="F269" s="14"/>
      <c r="G269" s="111">
        <v>500</v>
      </c>
      <c r="H269" s="60"/>
      <c r="I269" s="60"/>
      <c r="J269" s="60">
        <v>500</v>
      </c>
      <c r="K269" s="61"/>
      <c r="L269" s="61"/>
      <c r="M269" s="61"/>
      <c r="N269" s="60">
        <v>400</v>
      </c>
      <c r="O269" s="60"/>
      <c r="P269" s="60">
        <f t="shared" si="32"/>
        <v>400</v>
      </c>
      <c r="IB269"/>
      <c r="IC269"/>
      <c r="ID269"/>
      <c r="IE269"/>
      <c r="IF269"/>
      <c r="IG269"/>
    </row>
    <row r="270" spans="1:241" s="1" customFormat="1" ht="22.5" customHeight="1" hidden="1">
      <c r="A270" s="21" t="s">
        <v>284</v>
      </c>
      <c r="B270" s="7"/>
      <c r="C270" s="7"/>
      <c r="D270" s="14"/>
      <c r="E270" s="14"/>
      <c r="F270" s="14"/>
      <c r="G270" s="111">
        <v>500</v>
      </c>
      <c r="H270" s="60"/>
      <c r="I270" s="60"/>
      <c r="J270" s="60">
        <v>500</v>
      </c>
      <c r="K270" s="61"/>
      <c r="L270" s="61"/>
      <c r="M270" s="61"/>
      <c r="N270" s="60"/>
      <c r="O270" s="60"/>
      <c r="P270" s="60"/>
      <c r="IB270"/>
      <c r="IC270"/>
      <c r="ID270"/>
      <c r="IE270"/>
      <c r="IF270"/>
      <c r="IG270"/>
    </row>
    <row r="271" spans="1:241" s="1" customFormat="1" ht="12" customHeight="1">
      <c r="A271" s="52" t="s">
        <v>7</v>
      </c>
      <c r="B271" s="59"/>
      <c r="C271" s="59"/>
      <c r="D271" s="126"/>
      <c r="E271" s="126"/>
      <c r="F271" s="60"/>
      <c r="G271" s="163"/>
      <c r="H271" s="126"/>
      <c r="I271" s="126"/>
      <c r="J271" s="60"/>
      <c r="K271" s="61"/>
      <c r="L271" s="61"/>
      <c r="M271" s="61"/>
      <c r="N271" s="126"/>
      <c r="O271" s="126"/>
      <c r="P271" s="60"/>
      <c r="IB271"/>
      <c r="IC271"/>
      <c r="ID271"/>
      <c r="IE271"/>
      <c r="IF271"/>
      <c r="IG271"/>
    </row>
    <row r="272" spans="1:241" s="1" customFormat="1" ht="22.5" customHeight="1" hidden="1">
      <c r="A272" s="53" t="s">
        <v>55</v>
      </c>
      <c r="B272" s="57"/>
      <c r="C272" s="57"/>
      <c r="D272" s="60">
        <v>26.5</v>
      </c>
      <c r="E272" s="60"/>
      <c r="F272" s="60">
        <f t="shared" si="30"/>
        <v>26.5</v>
      </c>
      <c r="G272" s="111">
        <v>29.15</v>
      </c>
      <c r="H272" s="60"/>
      <c r="I272" s="60"/>
      <c r="J272" s="60">
        <f t="shared" si="31"/>
        <v>29.15</v>
      </c>
      <c r="K272" s="61"/>
      <c r="L272" s="61"/>
      <c r="M272" s="61"/>
      <c r="N272" s="60">
        <v>29.15</v>
      </c>
      <c r="O272" s="60"/>
      <c r="P272" s="60">
        <f t="shared" si="32"/>
        <v>29.15</v>
      </c>
      <c r="IB272"/>
      <c r="IC272"/>
      <c r="ID272"/>
      <c r="IE272"/>
      <c r="IF272"/>
      <c r="IG272"/>
    </row>
    <row r="273" spans="1:241" s="1" customFormat="1" ht="22.5" customHeight="1">
      <c r="A273" s="53" t="s">
        <v>164</v>
      </c>
      <c r="B273" s="57"/>
      <c r="C273" s="57"/>
      <c r="D273" s="60">
        <v>256250</v>
      </c>
      <c r="E273" s="60"/>
      <c r="F273" s="60">
        <f>D273</f>
        <v>256250</v>
      </c>
      <c r="G273" s="111">
        <v>339600</v>
      </c>
      <c r="H273" s="60"/>
      <c r="I273" s="60"/>
      <c r="J273" s="60">
        <f t="shared" si="31"/>
        <v>339600</v>
      </c>
      <c r="K273" s="61"/>
      <c r="L273" s="61"/>
      <c r="M273" s="61"/>
      <c r="N273" s="60">
        <v>764270.711</v>
      </c>
      <c r="O273" s="60"/>
      <c r="P273" s="60">
        <f t="shared" si="32"/>
        <v>764270.711</v>
      </c>
      <c r="IB273"/>
      <c r="IC273"/>
      <c r="ID273"/>
      <c r="IE273"/>
      <c r="IF273"/>
      <c r="IG273"/>
    </row>
    <row r="274" spans="1:241" s="1" customFormat="1" ht="22.5" customHeight="1">
      <c r="A274" s="53" t="s">
        <v>165</v>
      </c>
      <c r="B274" s="57"/>
      <c r="C274" s="57"/>
      <c r="D274" s="60">
        <v>196917</v>
      </c>
      <c r="E274" s="60"/>
      <c r="F274" s="60">
        <f t="shared" si="30"/>
        <v>196917</v>
      </c>
      <c r="G274" s="111">
        <v>230666.67</v>
      </c>
      <c r="H274" s="60"/>
      <c r="I274" s="60"/>
      <c r="J274" s="60">
        <f t="shared" si="31"/>
        <v>230666.67</v>
      </c>
      <c r="K274" s="61"/>
      <c r="L274" s="61"/>
      <c r="M274" s="61"/>
      <c r="N274" s="60">
        <v>425833.33</v>
      </c>
      <c r="O274" s="60"/>
      <c r="P274" s="60">
        <f t="shared" si="32"/>
        <v>425833.33</v>
      </c>
      <c r="IB274"/>
      <c r="IC274"/>
      <c r="ID274"/>
      <c r="IE274"/>
      <c r="IF274"/>
      <c r="IG274"/>
    </row>
    <row r="275" spans="1:241" s="1" customFormat="1" ht="12" customHeight="1" hidden="1">
      <c r="A275" s="52" t="s">
        <v>6</v>
      </c>
      <c r="B275" s="59"/>
      <c r="C275" s="59"/>
      <c r="D275" s="126"/>
      <c r="E275" s="126"/>
      <c r="F275" s="126"/>
      <c r="G275" s="163"/>
      <c r="H275" s="126"/>
      <c r="I275" s="126"/>
      <c r="J275" s="60">
        <f t="shared" si="31"/>
        <v>0</v>
      </c>
      <c r="K275" s="61"/>
      <c r="L275" s="61"/>
      <c r="M275" s="61"/>
      <c r="N275" s="126"/>
      <c r="O275" s="126"/>
      <c r="P275" s="60">
        <f t="shared" si="32"/>
        <v>0</v>
      </c>
      <c r="IB275"/>
      <c r="IC275"/>
      <c r="ID275"/>
      <c r="IE275"/>
      <c r="IF275"/>
      <c r="IG275"/>
    </row>
    <row r="276" spans="1:241" s="1" customFormat="1" ht="33.75" customHeight="1" hidden="1">
      <c r="A276" s="53" t="s">
        <v>39</v>
      </c>
      <c r="B276" s="57"/>
      <c r="C276" s="57"/>
      <c r="D276" s="60"/>
      <c r="E276" s="60"/>
      <c r="F276" s="60"/>
      <c r="G276" s="111"/>
      <c r="H276" s="60"/>
      <c r="I276" s="60"/>
      <c r="J276" s="60">
        <f t="shared" si="31"/>
        <v>0</v>
      </c>
      <c r="K276" s="61"/>
      <c r="L276" s="61"/>
      <c r="M276" s="61"/>
      <c r="N276" s="60"/>
      <c r="O276" s="60"/>
      <c r="P276" s="60">
        <f t="shared" si="32"/>
        <v>0</v>
      </c>
      <c r="IB276"/>
      <c r="IC276"/>
      <c r="ID276"/>
      <c r="IE276"/>
      <c r="IF276"/>
      <c r="IG276"/>
    </row>
    <row r="277" spans="1:241" s="1" customFormat="1" ht="32.25" customHeight="1">
      <c r="A277" s="21" t="s">
        <v>318</v>
      </c>
      <c r="B277" s="7"/>
      <c r="C277" s="7"/>
      <c r="D277" s="14">
        <v>1000</v>
      </c>
      <c r="E277" s="14"/>
      <c r="F277" s="14">
        <f>D277</f>
        <v>1000</v>
      </c>
      <c r="G277" s="111">
        <v>1000</v>
      </c>
      <c r="H277" s="60"/>
      <c r="I277" s="60"/>
      <c r="J277" s="60">
        <f>G277</f>
        <v>1000</v>
      </c>
      <c r="K277" s="61"/>
      <c r="L277" s="61"/>
      <c r="M277" s="61"/>
      <c r="N277" s="60">
        <v>1200</v>
      </c>
      <c r="O277" s="60"/>
      <c r="P277" s="60">
        <f t="shared" si="32"/>
        <v>1200</v>
      </c>
      <c r="IB277"/>
      <c r="IC277"/>
      <c r="ID277"/>
      <c r="IE277"/>
      <c r="IF277"/>
      <c r="IG277"/>
    </row>
    <row r="278" spans="1:241" s="1" customFormat="1" ht="33.75">
      <c r="A278" s="21" t="s">
        <v>285</v>
      </c>
      <c r="B278" s="7"/>
      <c r="C278" s="7"/>
      <c r="D278" s="14">
        <v>1000</v>
      </c>
      <c r="E278" s="14"/>
      <c r="F278" s="14">
        <f>D278</f>
        <v>1000</v>
      </c>
      <c r="G278" s="111">
        <v>300</v>
      </c>
      <c r="H278" s="60"/>
      <c r="I278" s="60"/>
      <c r="J278" s="60">
        <f>G278</f>
        <v>300</v>
      </c>
      <c r="K278" s="61"/>
      <c r="L278" s="61"/>
      <c r="M278" s="61"/>
      <c r="N278" s="60">
        <v>350</v>
      </c>
      <c r="O278" s="60"/>
      <c r="P278" s="60">
        <f t="shared" si="32"/>
        <v>350</v>
      </c>
      <c r="IB278"/>
      <c r="IC278"/>
      <c r="ID278"/>
      <c r="IE278"/>
      <c r="IF278"/>
      <c r="IG278"/>
    </row>
    <row r="279" spans="1:241" s="1" customFormat="1" ht="12">
      <c r="A279" s="52" t="s">
        <v>6</v>
      </c>
      <c r="B279" s="57"/>
      <c r="C279" s="57"/>
      <c r="D279" s="60"/>
      <c r="E279" s="60"/>
      <c r="F279" s="60"/>
      <c r="G279" s="60"/>
      <c r="H279" s="60"/>
      <c r="I279" s="60"/>
      <c r="J279" s="60"/>
      <c r="K279" s="61"/>
      <c r="L279" s="61"/>
      <c r="M279" s="61"/>
      <c r="N279" s="60"/>
      <c r="O279" s="60"/>
      <c r="P279" s="60"/>
      <c r="IB279"/>
      <c r="IC279"/>
      <c r="ID279"/>
      <c r="IE279"/>
      <c r="IF279"/>
      <c r="IG279"/>
    </row>
    <row r="280" spans="1:241" s="1" customFormat="1" ht="33.75">
      <c r="A280" s="53" t="s">
        <v>166</v>
      </c>
      <c r="B280" s="57"/>
      <c r="C280" s="57"/>
      <c r="D280" s="60"/>
      <c r="E280" s="60"/>
      <c r="F280" s="60"/>
      <c r="G280" s="60">
        <f>G273/F273*100</f>
        <v>132.5268292682927</v>
      </c>
      <c r="H280" s="60"/>
      <c r="I280" s="60"/>
      <c r="J280" s="60">
        <f>G280</f>
        <v>132.5268292682927</v>
      </c>
      <c r="K280" s="61"/>
      <c r="L280" s="61"/>
      <c r="M280" s="61"/>
      <c r="N280" s="60">
        <f>N273/J273*100</f>
        <v>225.05026825677268</v>
      </c>
      <c r="O280" s="60"/>
      <c r="P280" s="60">
        <f>N280</f>
        <v>225.05026825677268</v>
      </c>
      <c r="IB280"/>
      <c r="IC280"/>
      <c r="ID280"/>
      <c r="IE280"/>
      <c r="IF280"/>
      <c r="IG280"/>
    </row>
    <row r="281" spans="1:241" s="1" customFormat="1" ht="33.75">
      <c r="A281" s="53" t="s">
        <v>167</v>
      </c>
      <c r="B281" s="57"/>
      <c r="C281" s="57"/>
      <c r="D281" s="60"/>
      <c r="E281" s="60"/>
      <c r="F281" s="60"/>
      <c r="G281" s="60">
        <f>G274/D274*100</f>
        <v>117.13903319672755</v>
      </c>
      <c r="H281" s="60"/>
      <c r="I281" s="60"/>
      <c r="J281" s="60">
        <f>G281</f>
        <v>117.13903319672755</v>
      </c>
      <c r="K281" s="61"/>
      <c r="L281" s="61"/>
      <c r="M281" s="61"/>
      <c r="N281" s="60">
        <f>N274/G274*100</f>
        <v>184.60982247673667</v>
      </c>
      <c r="O281" s="60"/>
      <c r="P281" s="60">
        <f>N281</f>
        <v>184.60982247673667</v>
      </c>
      <c r="IB281"/>
      <c r="IC281"/>
      <c r="ID281"/>
      <c r="IE281"/>
      <c r="IF281"/>
      <c r="IG281"/>
    </row>
    <row r="282" spans="1:241" s="89" customFormat="1" ht="24" customHeight="1">
      <c r="A282" s="80" t="s">
        <v>356</v>
      </c>
      <c r="B282" s="86"/>
      <c r="C282" s="86"/>
      <c r="D282" s="87">
        <f>(D284*D287)+45</f>
        <v>400000</v>
      </c>
      <c r="E282" s="87"/>
      <c r="F282" s="87">
        <f>D282</f>
        <v>400000</v>
      </c>
      <c r="G282" s="87">
        <f>G284*G287+G285*G288</f>
        <v>479999.999999326</v>
      </c>
      <c r="H282" s="87"/>
      <c r="I282" s="87"/>
      <c r="J282" s="87">
        <f>G282</f>
        <v>479999.999999326</v>
      </c>
      <c r="K282" s="87">
        <f>(K284*K287)</f>
        <v>0</v>
      </c>
      <c r="L282" s="87">
        <f>(L284*L287)</f>
        <v>0</v>
      </c>
      <c r="M282" s="87">
        <f>(M284*M287)</f>
        <v>0</v>
      </c>
      <c r="N282" s="87">
        <f>(N284*N287)</f>
        <v>579999.9999983759</v>
      </c>
      <c r="O282" s="87">
        <f>(O284*O287)</f>
        <v>0</v>
      </c>
      <c r="P282" s="87">
        <f>N282</f>
        <v>579999.9999983759</v>
      </c>
      <c r="IB282" s="90"/>
      <c r="IC282" s="90"/>
      <c r="ID282" s="90"/>
      <c r="IE282" s="90"/>
      <c r="IF282" s="90"/>
      <c r="IG282" s="90"/>
    </row>
    <row r="283" spans="1:241" s="1" customFormat="1" ht="12">
      <c r="A283" s="52" t="s">
        <v>5</v>
      </c>
      <c r="B283" s="57"/>
      <c r="C283" s="57"/>
      <c r="D283" s="60"/>
      <c r="E283" s="60"/>
      <c r="F283" s="60"/>
      <c r="G283" s="60"/>
      <c r="H283" s="60"/>
      <c r="I283" s="60"/>
      <c r="J283" s="60"/>
      <c r="K283" s="61"/>
      <c r="L283" s="61"/>
      <c r="M283" s="61"/>
      <c r="N283" s="60"/>
      <c r="O283" s="60"/>
      <c r="P283" s="60"/>
      <c r="IB283"/>
      <c r="IC283"/>
      <c r="ID283"/>
      <c r="IE283"/>
      <c r="IF283"/>
      <c r="IG283"/>
    </row>
    <row r="284" spans="1:241" s="1" customFormat="1" ht="22.5">
      <c r="A284" s="53" t="s">
        <v>298</v>
      </c>
      <c r="B284" s="57"/>
      <c r="C284" s="57"/>
      <c r="D284" s="60">
        <v>2050</v>
      </c>
      <c r="E284" s="60"/>
      <c r="F284" s="60">
        <f>D284</f>
        <v>2050</v>
      </c>
      <c r="G284" s="60">
        <v>1427</v>
      </c>
      <c r="H284" s="60"/>
      <c r="I284" s="60"/>
      <c r="J284" s="60">
        <f>G284</f>
        <v>1427</v>
      </c>
      <c r="K284" s="61"/>
      <c r="L284" s="61"/>
      <c r="M284" s="61"/>
      <c r="N284" s="60">
        <v>2248</v>
      </c>
      <c r="O284" s="60"/>
      <c r="P284" s="60">
        <f>N284</f>
        <v>2248</v>
      </c>
      <c r="IB284"/>
      <c r="IC284"/>
      <c r="ID284"/>
      <c r="IE284"/>
      <c r="IF284"/>
      <c r="IG284"/>
    </row>
    <row r="285" spans="1:241" s="1" customFormat="1" ht="33.75">
      <c r="A285" s="53" t="s">
        <v>302</v>
      </c>
      <c r="B285" s="57"/>
      <c r="C285" s="57"/>
      <c r="D285" s="60"/>
      <c r="E285" s="60"/>
      <c r="F285" s="60"/>
      <c r="G285" s="60">
        <v>1</v>
      </c>
      <c r="H285" s="60"/>
      <c r="I285" s="60"/>
      <c r="J285" s="60">
        <v>1</v>
      </c>
      <c r="K285" s="61"/>
      <c r="L285" s="61"/>
      <c r="M285" s="61"/>
      <c r="N285" s="60"/>
      <c r="O285" s="60"/>
      <c r="P285" s="60"/>
      <c r="IB285"/>
      <c r="IC285"/>
      <c r="ID285"/>
      <c r="IE285"/>
      <c r="IF285"/>
      <c r="IG285"/>
    </row>
    <row r="286" spans="1:241" s="1" customFormat="1" ht="12">
      <c r="A286" s="52" t="s">
        <v>7</v>
      </c>
      <c r="B286" s="57"/>
      <c r="C286" s="57"/>
      <c r="D286" s="60"/>
      <c r="E286" s="60"/>
      <c r="F286" s="60"/>
      <c r="G286" s="60"/>
      <c r="H286" s="60"/>
      <c r="I286" s="60"/>
      <c r="J286" s="60"/>
      <c r="K286" s="61"/>
      <c r="L286" s="61"/>
      <c r="M286" s="61"/>
      <c r="N286" s="60"/>
      <c r="O286" s="60"/>
      <c r="P286" s="60"/>
      <c r="IB286"/>
      <c r="IC286"/>
      <c r="ID286"/>
      <c r="IE286"/>
      <c r="IF286"/>
      <c r="IG286"/>
    </row>
    <row r="287" spans="1:241" s="1" customFormat="1" ht="22.5">
      <c r="A287" s="53" t="s">
        <v>299</v>
      </c>
      <c r="B287" s="57"/>
      <c r="C287" s="57"/>
      <c r="D287" s="60">
        <v>195.1</v>
      </c>
      <c r="E287" s="60"/>
      <c r="F287" s="60">
        <f>D287</f>
        <v>195.1</v>
      </c>
      <c r="G287" s="60">
        <v>224.246671338</v>
      </c>
      <c r="H287" s="60"/>
      <c r="I287" s="60"/>
      <c r="J287" s="60">
        <f>G287</f>
        <v>224.246671338</v>
      </c>
      <c r="K287" s="61"/>
      <c r="L287" s="61"/>
      <c r="M287" s="61"/>
      <c r="N287" s="60">
        <v>258.007117437</v>
      </c>
      <c r="O287" s="60"/>
      <c r="P287" s="60">
        <f>N287</f>
        <v>258.007117437</v>
      </c>
      <c r="IB287"/>
      <c r="IC287"/>
      <c r="ID287"/>
      <c r="IE287"/>
      <c r="IF287"/>
      <c r="IG287"/>
    </row>
    <row r="288" spans="1:241" s="1" customFormat="1" ht="33.75">
      <c r="A288" s="53" t="s">
        <v>303</v>
      </c>
      <c r="B288" s="57"/>
      <c r="C288" s="57"/>
      <c r="D288" s="60"/>
      <c r="E288" s="60"/>
      <c r="F288" s="60"/>
      <c r="G288" s="60">
        <v>160000</v>
      </c>
      <c r="H288" s="60"/>
      <c r="I288" s="60"/>
      <c r="J288" s="60">
        <f>G288</f>
        <v>160000</v>
      </c>
      <c r="K288" s="61"/>
      <c r="L288" s="61"/>
      <c r="M288" s="61"/>
      <c r="N288" s="60"/>
      <c r="O288" s="60"/>
      <c r="P288" s="60"/>
      <c r="IB288"/>
      <c r="IC288"/>
      <c r="ID288"/>
      <c r="IE288"/>
      <c r="IF288"/>
      <c r="IG288"/>
    </row>
    <row r="289" spans="1:241" s="1" customFormat="1" ht="12">
      <c r="A289" s="52" t="s">
        <v>6</v>
      </c>
      <c r="B289" s="57"/>
      <c r="C289" s="57"/>
      <c r="D289" s="60"/>
      <c r="E289" s="60"/>
      <c r="F289" s="60"/>
      <c r="G289" s="60"/>
      <c r="H289" s="60"/>
      <c r="I289" s="60"/>
      <c r="J289" s="60"/>
      <c r="K289" s="61"/>
      <c r="L289" s="61"/>
      <c r="M289" s="61"/>
      <c r="N289" s="60"/>
      <c r="O289" s="60"/>
      <c r="P289" s="60"/>
      <c r="IB289"/>
      <c r="IC289"/>
      <c r="ID289"/>
      <c r="IE289"/>
      <c r="IF289"/>
      <c r="IG289"/>
    </row>
    <row r="290" spans="1:241" s="1" customFormat="1" ht="24.75" customHeight="1">
      <c r="A290" s="53" t="s">
        <v>300</v>
      </c>
      <c r="B290" s="57"/>
      <c r="C290" s="57"/>
      <c r="D290" s="60"/>
      <c r="E290" s="60"/>
      <c r="F290" s="60"/>
      <c r="G290" s="60">
        <f>G284/D284*100</f>
        <v>69.60975609756098</v>
      </c>
      <c r="H290" s="60"/>
      <c r="I290" s="60"/>
      <c r="J290" s="60">
        <f>G290</f>
        <v>69.60975609756098</v>
      </c>
      <c r="K290" s="61"/>
      <c r="L290" s="61"/>
      <c r="M290" s="61"/>
      <c r="N290" s="60">
        <f>N284/G284*100</f>
        <v>157.5332866152768</v>
      </c>
      <c r="O290" s="60"/>
      <c r="P290" s="60">
        <f>N290</f>
        <v>157.5332866152768</v>
      </c>
      <c r="IB290"/>
      <c r="IC290"/>
      <c r="ID290"/>
      <c r="IE290"/>
      <c r="IF290"/>
      <c r="IG290"/>
    </row>
    <row r="291" spans="1:241" s="1" customFormat="1" ht="33.75">
      <c r="A291" s="53" t="s">
        <v>301</v>
      </c>
      <c r="B291" s="57"/>
      <c r="C291" s="57"/>
      <c r="D291" s="60"/>
      <c r="E291" s="60"/>
      <c r="F291" s="60"/>
      <c r="G291" s="60">
        <f>G287/D287*100</f>
        <v>114.93934973757047</v>
      </c>
      <c r="H291" s="60"/>
      <c r="I291" s="60"/>
      <c r="J291" s="60">
        <f>G291</f>
        <v>114.93934973757047</v>
      </c>
      <c r="K291" s="61"/>
      <c r="L291" s="61"/>
      <c r="M291" s="61"/>
      <c r="N291" s="60">
        <f>N287/G287*100</f>
        <v>115.05504893230452</v>
      </c>
      <c r="O291" s="60"/>
      <c r="P291" s="60">
        <f>N291</f>
        <v>115.05504893230452</v>
      </c>
      <c r="IB291"/>
      <c r="IC291"/>
      <c r="ID291"/>
      <c r="IE291"/>
      <c r="IF291"/>
      <c r="IG291"/>
    </row>
    <row r="292" spans="1:241" s="98" customFormat="1" ht="27" customHeight="1">
      <c r="A292" s="80" t="s">
        <v>357</v>
      </c>
      <c r="B292" s="86"/>
      <c r="C292" s="86"/>
      <c r="D292" s="87"/>
      <c r="E292" s="87">
        <f>E294*E297</f>
        <v>4065000</v>
      </c>
      <c r="F292" s="87">
        <f>F294*F297</f>
        <v>4065000</v>
      </c>
      <c r="G292" s="87"/>
      <c r="H292" s="87">
        <v>4482000</v>
      </c>
      <c r="I292" s="87"/>
      <c r="J292" s="87">
        <v>4482000</v>
      </c>
      <c r="K292" s="87">
        <f>K294*K297-4</f>
        <v>-4</v>
      </c>
      <c r="L292" s="87">
        <f>L294*L297-4</f>
        <v>-4</v>
      </c>
      <c r="M292" s="87">
        <f>M294*M297-4</f>
        <v>-4</v>
      </c>
      <c r="N292" s="87"/>
      <c r="O292" s="199">
        <f>O294*O297+O295*O298</f>
        <v>18674999.999994</v>
      </c>
      <c r="P292" s="199">
        <f>N292+O292</f>
        <v>18674999.999994</v>
      </c>
      <c r="IB292" s="99"/>
      <c r="IC292" s="99"/>
      <c r="ID292" s="99"/>
      <c r="IE292" s="99"/>
      <c r="IF292" s="99"/>
      <c r="IG292" s="99"/>
    </row>
    <row r="293" spans="1:241" s="47" customFormat="1" ht="12">
      <c r="A293" s="52" t="s">
        <v>5</v>
      </c>
      <c r="B293" s="59"/>
      <c r="C293" s="59"/>
      <c r="D293" s="126"/>
      <c r="E293" s="126"/>
      <c r="F293" s="60"/>
      <c r="G293" s="126"/>
      <c r="H293" s="126"/>
      <c r="I293" s="126"/>
      <c r="J293" s="60"/>
      <c r="K293" s="61"/>
      <c r="L293" s="61"/>
      <c r="M293" s="61"/>
      <c r="N293" s="126"/>
      <c r="O293" s="126"/>
      <c r="P293" s="60"/>
      <c r="IB293" s="48"/>
      <c r="IC293" s="48"/>
      <c r="ID293" s="48"/>
      <c r="IE293" s="48"/>
      <c r="IF293" s="48"/>
      <c r="IG293" s="48"/>
    </row>
    <row r="294" spans="1:241" s="47" customFormat="1" ht="25.5" customHeight="1">
      <c r="A294" s="53" t="s">
        <v>168</v>
      </c>
      <c r="B294" s="57"/>
      <c r="C294" s="57"/>
      <c r="D294" s="60"/>
      <c r="E294" s="14">
        <v>24</v>
      </c>
      <c r="F294" s="60">
        <f>E294</f>
        <v>24</v>
      </c>
      <c r="G294" s="60"/>
      <c r="H294" s="60">
        <v>29</v>
      </c>
      <c r="I294" s="60"/>
      <c r="J294" s="60">
        <v>29</v>
      </c>
      <c r="K294" s="61"/>
      <c r="L294" s="61"/>
      <c r="M294" s="61"/>
      <c r="N294" s="60"/>
      <c r="O294" s="60">
        <v>15</v>
      </c>
      <c r="P294" s="60">
        <f>O294</f>
        <v>15</v>
      </c>
      <c r="IB294" s="48"/>
      <c r="IC294" s="48"/>
      <c r="ID294" s="48"/>
      <c r="IE294" s="48"/>
      <c r="IF294" s="48"/>
      <c r="IG294" s="48"/>
    </row>
    <row r="295" spans="1:241" s="47" customFormat="1" ht="25.5" customHeight="1">
      <c r="A295" s="53" t="s">
        <v>463</v>
      </c>
      <c r="B295" s="57"/>
      <c r="C295" s="57"/>
      <c r="D295" s="60"/>
      <c r="E295" s="14"/>
      <c r="F295" s="60"/>
      <c r="G295" s="60"/>
      <c r="H295" s="60"/>
      <c r="I295" s="60"/>
      <c r="J295" s="60"/>
      <c r="K295" s="61"/>
      <c r="L295" s="61"/>
      <c r="M295" s="61"/>
      <c r="N295" s="60"/>
      <c r="O295" s="60">
        <v>7</v>
      </c>
      <c r="P295" s="60">
        <f>O295</f>
        <v>7</v>
      </c>
      <c r="IB295" s="48"/>
      <c r="IC295" s="48"/>
      <c r="ID295" s="48"/>
      <c r="IE295" s="48"/>
      <c r="IF295" s="48"/>
      <c r="IG295" s="48"/>
    </row>
    <row r="296" spans="1:241" s="47" customFormat="1" ht="12">
      <c r="A296" s="52" t="s">
        <v>7</v>
      </c>
      <c r="B296" s="59"/>
      <c r="C296" s="59"/>
      <c r="D296" s="126"/>
      <c r="E296" s="126"/>
      <c r="F296" s="60"/>
      <c r="G296" s="126"/>
      <c r="H296" s="126"/>
      <c r="I296" s="126"/>
      <c r="J296" s="60"/>
      <c r="K296" s="61"/>
      <c r="L296" s="61"/>
      <c r="M296" s="61"/>
      <c r="N296" s="126"/>
      <c r="O296" s="126"/>
      <c r="P296" s="60"/>
      <c r="IB296" s="48"/>
      <c r="IC296" s="48"/>
      <c r="ID296" s="48"/>
      <c r="IE296" s="48"/>
      <c r="IF296" s="48"/>
      <c r="IG296" s="48"/>
    </row>
    <row r="297" spans="1:241" s="47" customFormat="1" ht="26.25" customHeight="1">
      <c r="A297" s="53" t="s">
        <v>169</v>
      </c>
      <c r="B297" s="57"/>
      <c r="C297" s="57"/>
      <c r="D297" s="60"/>
      <c r="E297" s="60">
        <v>169375</v>
      </c>
      <c r="F297" s="60">
        <f>E297</f>
        <v>169375</v>
      </c>
      <c r="G297" s="60"/>
      <c r="H297" s="60">
        <v>154553</v>
      </c>
      <c r="I297" s="60"/>
      <c r="J297" s="60">
        <v>154553</v>
      </c>
      <c r="K297" s="61"/>
      <c r="L297" s="61"/>
      <c r="M297" s="61"/>
      <c r="N297" s="60"/>
      <c r="O297" s="60">
        <v>1125000</v>
      </c>
      <c r="P297" s="60">
        <f>O297</f>
        <v>1125000</v>
      </c>
      <c r="IB297" s="48"/>
      <c r="IC297" s="48"/>
      <c r="ID297" s="48"/>
      <c r="IE297" s="48"/>
      <c r="IF297" s="48"/>
      <c r="IG297" s="48"/>
    </row>
    <row r="298" spans="1:241" s="47" customFormat="1" ht="26.25" customHeight="1">
      <c r="A298" s="53" t="s">
        <v>464</v>
      </c>
      <c r="B298" s="57"/>
      <c r="C298" s="57"/>
      <c r="D298" s="60"/>
      <c r="E298" s="60"/>
      <c r="F298" s="60"/>
      <c r="G298" s="60"/>
      <c r="H298" s="111"/>
      <c r="I298" s="60"/>
      <c r="J298" s="60"/>
      <c r="K298" s="61"/>
      <c r="L298" s="61"/>
      <c r="M298" s="61"/>
      <c r="N298" s="60"/>
      <c r="O298" s="60">
        <v>257142.857142</v>
      </c>
      <c r="P298" s="60">
        <f>O298</f>
        <v>257142.857142</v>
      </c>
      <c r="IB298" s="48"/>
      <c r="IC298" s="48"/>
      <c r="ID298" s="48"/>
      <c r="IE298" s="48"/>
      <c r="IF298" s="48"/>
      <c r="IG298" s="48"/>
    </row>
    <row r="299" spans="1:241" s="47" customFormat="1" ht="12">
      <c r="A299" s="52" t="s">
        <v>6</v>
      </c>
      <c r="B299" s="57"/>
      <c r="C299" s="57"/>
      <c r="D299" s="60"/>
      <c r="E299" s="60"/>
      <c r="F299" s="60"/>
      <c r="G299" s="60"/>
      <c r="H299" s="60"/>
      <c r="I299" s="60"/>
      <c r="J299" s="60"/>
      <c r="K299" s="61"/>
      <c r="L299" s="61"/>
      <c r="M299" s="61"/>
      <c r="N299" s="60"/>
      <c r="O299" s="60"/>
      <c r="P299" s="60"/>
      <c r="IB299" s="48"/>
      <c r="IC299" s="48"/>
      <c r="ID299" s="48"/>
      <c r="IE299" s="48"/>
      <c r="IF299" s="48"/>
      <c r="IG299" s="48"/>
    </row>
    <row r="300" spans="1:241" s="47" customFormat="1" ht="35.25" customHeight="1">
      <c r="A300" s="53" t="s">
        <v>170</v>
      </c>
      <c r="B300" s="57"/>
      <c r="C300" s="57"/>
      <c r="D300" s="60"/>
      <c r="E300" s="60"/>
      <c r="F300" s="60"/>
      <c r="G300" s="60"/>
      <c r="H300" s="60">
        <f>H297/E297*100</f>
        <v>91.2490036900369</v>
      </c>
      <c r="I300" s="60"/>
      <c r="J300" s="60">
        <v>58.5</v>
      </c>
      <c r="K300" s="61"/>
      <c r="L300" s="61"/>
      <c r="M300" s="61"/>
      <c r="N300" s="60"/>
      <c r="O300" s="60">
        <f>O297/H297*100</f>
        <v>727.9056375482844</v>
      </c>
      <c r="P300" s="60">
        <f>O300</f>
        <v>727.9056375482844</v>
      </c>
      <c r="IB300" s="48"/>
      <c r="IC300" s="48"/>
      <c r="ID300" s="48"/>
      <c r="IE300" s="48"/>
      <c r="IF300" s="48"/>
      <c r="IG300" s="48"/>
    </row>
    <row r="301" spans="1:235" s="83" customFormat="1" ht="15" customHeight="1">
      <c r="A301" s="193" t="s">
        <v>435</v>
      </c>
      <c r="B301" s="105"/>
      <c r="C301" s="105"/>
      <c r="D301" s="116"/>
      <c r="E301" s="116">
        <f>E303+E350</f>
        <v>27028000</v>
      </c>
      <c r="F301" s="116">
        <f>F303+F350</f>
        <v>27028000</v>
      </c>
      <c r="G301" s="116">
        <f>G303</f>
        <v>584999.9999982599</v>
      </c>
      <c r="H301" s="116">
        <f>H303+H350</f>
        <v>98971999.99997011</v>
      </c>
      <c r="I301" s="116"/>
      <c r="J301" s="116">
        <f>G301+H301</f>
        <v>99556999.99996836</v>
      </c>
      <c r="K301" s="116" t="e">
        <f>K303+K350</f>
        <v>#REF!</v>
      </c>
      <c r="L301" s="116" t="e">
        <f>L303+L350</f>
        <v>#REF!</v>
      </c>
      <c r="M301" s="116" t="e">
        <f>M303+M350</f>
        <v>#REF!</v>
      </c>
      <c r="N301" s="116">
        <f>N303</f>
        <v>0</v>
      </c>
      <c r="O301" s="116">
        <f>O303+O350</f>
        <v>92750000.00450002</v>
      </c>
      <c r="P301" s="116">
        <f>N301+O301</f>
        <v>92750000.00450002</v>
      </c>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c r="CA301" s="118"/>
      <c r="CB301" s="118"/>
      <c r="CC301" s="118"/>
      <c r="CD301" s="118"/>
      <c r="CE301" s="118"/>
      <c r="CF301" s="118"/>
      <c r="CG301" s="118"/>
      <c r="CH301" s="118"/>
      <c r="CI301" s="118"/>
      <c r="CJ301" s="118"/>
      <c r="CK301" s="118"/>
      <c r="CL301" s="118"/>
      <c r="CM301" s="118"/>
      <c r="CN301" s="118"/>
      <c r="CO301" s="118"/>
      <c r="CP301" s="118"/>
      <c r="CQ301" s="118"/>
      <c r="CR301" s="118"/>
      <c r="CS301" s="118"/>
      <c r="CT301" s="118"/>
      <c r="CU301" s="118"/>
      <c r="CV301" s="118"/>
      <c r="CW301" s="118"/>
      <c r="CX301" s="118"/>
      <c r="CY301" s="118"/>
      <c r="CZ301" s="118"/>
      <c r="DA301" s="118"/>
      <c r="DB301" s="118"/>
      <c r="DC301" s="118"/>
      <c r="DD301" s="118"/>
      <c r="DE301" s="118"/>
      <c r="DF301" s="118"/>
      <c r="DG301" s="118"/>
      <c r="DH301" s="118"/>
      <c r="DI301" s="118"/>
      <c r="DJ301" s="118"/>
      <c r="DK301" s="118"/>
      <c r="DL301" s="118"/>
      <c r="DM301" s="118"/>
      <c r="DN301" s="118"/>
      <c r="DO301" s="118"/>
      <c r="DP301" s="118"/>
      <c r="DQ301" s="118"/>
      <c r="DR301" s="118"/>
      <c r="DS301" s="118"/>
      <c r="DT301" s="118"/>
      <c r="DU301" s="118"/>
      <c r="DV301" s="118"/>
      <c r="DW301" s="118"/>
      <c r="DX301" s="118"/>
      <c r="DY301" s="118"/>
      <c r="DZ301" s="118"/>
      <c r="EA301" s="118"/>
      <c r="EB301" s="118"/>
      <c r="EC301" s="118"/>
      <c r="ED301" s="118"/>
      <c r="EE301" s="118"/>
      <c r="EF301" s="118"/>
      <c r="EG301" s="118"/>
      <c r="EH301" s="118"/>
      <c r="EI301" s="118"/>
      <c r="EJ301" s="118"/>
      <c r="EK301" s="118"/>
      <c r="EL301" s="118"/>
      <c r="EM301" s="118"/>
      <c r="EN301" s="118"/>
      <c r="EO301" s="118"/>
      <c r="EP301" s="118"/>
      <c r="EQ301" s="118"/>
      <c r="ER301" s="118"/>
      <c r="ES301" s="118"/>
      <c r="ET301" s="118"/>
      <c r="EU301" s="118"/>
      <c r="EV301" s="118"/>
      <c r="EW301" s="118"/>
      <c r="EX301" s="118"/>
      <c r="EY301" s="118"/>
      <c r="EZ301" s="118"/>
      <c r="FA301" s="118"/>
      <c r="FB301" s="118"/>
      <c r="FC301" s="118"/>
      <c r="FD301" s="118"/>
      <c r="FE301" s="118"/>
      <c r="FF301" s="118"/>
      <c r="FG301" s="118"/>
      <c r="FH301" s="118"/>
      <c r="FI301" s="118"/>
      <c r="FJ301" s="118"/>
      <c r="FK301" s="118"/>
      <c r="FL301" s="118"/>
      <c r="FM301" s="118"/>
      <c r="FN301" s="118"/>
      <c r="FO301" s="118"/>
      <c r="FP301" s="118"/>
      <c r="FQ301" s="118"/>
      <c r="FR301" s="118"/>
      <c r="FS301" s="118"/>
      <c r="FT301" s="118"/>
      <c r="FU301" s="118"/>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8"/>
      <c r="GQ301" s="118"/>
      <c r="GR301" s="118"/>
      <c r="GS301" s="118"/>
      <c r="GT301" s="118"/>
      <c r="GU301" s="118"/>
      <c r="GV301" s="118"/>
      <c r="GW301" s="118"/>
      <c r="GX301" s="118"/>
      <c r="GY301" s="118"/>
      <c r="GZ301" s="118"/>
      <c r="HA301" s="118"/>
      <c r="HB301" s="118"/>
      <c r="HC301" s="118"/>
      <c r="HD301" s="118"/>
      <c r="HE301" s="118"/>
      <c r="HF301" s="118"/>
      <c r="HG301" s="118"/>
      <c r="HH301" s="118"/>
      <c r="HI301" s="118"/>
      <c r="HJ301" s="118"/>
      <c r="HK301" s="118"/>
      <c r="HL301" s="118"/>
      <c r="HM301" s="118"/>
      <c r="HN301" s="118"/>
      <c r="HO301" s="118"/>
      <c r="HP301" s="118"/>
      <c r="HQ301" s="118"/>
      <c r="HR301" s="118"/>
      <c r="HS301" s="118"/>
      <c r="HT301" s="118"/>
      <c r="HU301" s="118"/>
      <c r="HV301" s="118"/>
      <c r="HW301" s="118"/>
      <c r="HX301" s="118"/>
      <c r="HY301" s="118"/>
      <c r="HZ301" s="118"/>
      <c r="IA301" s="118"/>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3" customFormat="1" ht="22.5" customHeight="1">
      <c r="A303" s="80" t="s">
        <v>191</v>
      </c>
      <c r="B303" s="75"/>
      <c r="C303" s="75"/>
      <c r="D303" s="76"/>
      <c r="E303" s="87">
        <f>E304+E320+E313+E341</f>
        <v>26028000</v>
      </c>
      <c r="F303" s="87">
        <f>F304+F320+F313+F341</f>
        <v>26028000</v>
      </c>
      <c r="G303" s="87">
        <f>G304+G320+G313</f>
        <v>584999.9999982599</v>
      </c>
      <c r="H303" s="87">
        <f>H304+H320+H313+H341</f>
        <v>91971999.99997011</v>
      </c>
      <c r="I303" s="87">
        <f>I304+I320+I313+I341</f>
        <v>0</v>
      </c>
      <c r="J303" s="87">
        <f>J304+J320+J313+J341</f>
        <v>92556999.99996836</v>
      </c>
      <c r="K303" s="87" t="e">
        <f>K304+K320+K313+K341+#REF!</f>
        <v>#REF!</v>
      </c>
      <c r="L303" s="87" t="e">
        <f>L304+L320+L313+L341+#REF!</f>
        <v>#REF!</v>
      </c>
      <c r="M303" s="87" t="e">
        <f>M304+M320+M313+M341+#REF!</f>
        <v>#REF!</v>
      </c>
      <c r="N303" s="87">
        <f>N304+N320+N313+N341</f>
        <v>0</v>
      </c>
      <c r="O303" s="87">
        <f>O304+O320+O313+O341+0.01</f>
        <v>74850000.00450002</v>
      </c>
      <c r="P303" s="87">
        <f>P304+P320+P313+P341</f>
        <v>74849999.99450001</v>
      </c>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c r="CA303" s="118"/>
      <c r="CB303" s="118"/>
      <c r="CC303" s="118"/>
      <c r="CD303" s="118"/>
      <c r="CE303" s="118"/>
      <c r="CF303" s="118"/>
      <c r="CG303" s="118"/>
      <c r="CH303" s="118"/>
      <c r="CI303" s="118"/>
      <c r="CJ303" s="118"/>
      <c r="CK303" s="118"/>
      <c r="CL303" s="118"/>
      <c r="CM303" s="118"/>
      <c r="CN303" s="118"/>
      <c r="CO303" s="118"/>
      <c r="CP303" s="118"/>
      <c r="CQ303" s="118"/>
      <c r="CR303" s="118"/>
      <c r="CS303" s="118"/>
      <c r="CT303" s="118"/>
      <c r="CU303" s="118"/>
      <c r="CV303" s="118"/>
      <c r="CW303" s="118"/>
      <c r="CX303" s="118"/>
      <c r="CY303" s="118"/>
      <c r="CZ303" s="118"/>
      <c r="DA303" s="118"/>
      <c r="DB303" s="118"/>
      <c r="DC303" s="118"/>
      <c r="DD303" s="118"/>
      <c r="DE303" s="118"/>
      <c r="DF303" s="118"/>
      <c r="DG303" s="118"/>
      <c r="DH303" s="118"/>
      <c r="DI303" s="118"/>
      <c r="DJ303" s="118"/>
      <c r="DK303" s="118"/>
      <c r="DL303" s="118"/>
      <c r="DM303" s="118"/>
      <c r="DN303" s="118"/>
      <c r="DO303" s="118"/>
      <c r="DP303" s="118"/>
      <c r="DQ303" s="118"/>
      <c r="DR303" s="118"/>
      <c r="DS303" s="118"/>
      <c r="DT303" s="118"/>
      <c r="DU303" s="118"/>
      <c r="DV303" s="118"/>
      <c r="DW303" s="118"/>
      <c r="DX303" s="118"/>
      <c r="DY303" s="118"/>
      <c r="DZ303" s="118"/>
      <c r="EA303" s="118"/>
      <c r="EB303" s="118"/>
      <c r="EC303" s="118"/>
      <c r="ED303" s="118"/>
      <c r="EE303" s="118"/>
      <c r="EF303" s="118"/>
      <c r="EG303" s="118"/>
      <c r="EH303" s="118"/>
      <c r="EI303" s="118"/>
      <c r="EJ303" s="118"/>
      <c r="EK303" s="118"/>
      <c r="EL303" s="118"/>
      <c r="EM303" s="118"/>
      <c r="EN303" s="118"/>
      <c r="EO303" s="118"/>
      <c r="EP303" s="118"/>
      <c r="EQ303" s="118"/>
      <c r="ER303" s="118"/>
      <c r="ES303" s="118"/>
      <c r="ET303" s="118"/>
      <c r="EU303" s="118"/>
      <c r="EV303" s="118"/>
      <c r="EW303" s="118"/>
      <c r="EX303" s="118"/>
      <c r="EY303" s="118"/>
      <c r="EZ303" s="118"/>
      <c r="FA303" s="118"/>
      <c r="FB303" s="118"/>
      <c r="FC303" s="118"/>
      <c r="FD303" s="118"/>
      <c r="FE303" s="118"/>
      <c r="FF303" s="118"/>
      <c r="FG303" s="118"/>
      <c r="FH303" s="118"/>
      <c r="FI303" s="118"/>
      <c r="FJ303" s="118"/>
      <c r="FK303" s="118"/>
      <c r="FL303" s="118"/>
      <c r="FM303" s="118"/>
      <c r="FN303" s="118"/>
      <c r="FO303" s="118"/>
      <c r="FP303" s="118"/>
      <c r="FQ303" s="118"/>
      <c r="FR303" s="118"/>
      <c r="FS303" s="118"/>
      <c r="FT303" s="118"/>
      <c r="FU303" s="118"/>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8"/>
      <c r="GQ303" s="118"/>
      <c r="GR303" s="118"/>
      <c r="GS303" s="118"/>
      <c r="GT303" s="118"/>
      <c r="GU303" s="118"/>
      <c r="GV303" s="118"/>
      <c r="GW303" s="118"/>
      <c r="GX303" s="118"/>
      <c r="GY303" s="118"/>
      <c r="GZ303" s="118"/>
      <c r="HA303" s="118"/>
      <c r="HB303" s="118"/>
      <c r="HC303" s="118"/>
      <c r="HD303" s="118"/>
      <c r="HE303" s="118"/>
      <c r="HF303" s="118"/>
      <c r="HG303" s="118"/>
      <c r="HH303" s="118"/>
      <c r="HI303" s="118"/>
      <c r="HJ303" s="118"/>
      <c r="HK303" s="118"/>
      <c r="HL303" s="118"/>
      <c r="HM303" s="118"/>
      <c r="HN303" s="118"/>
      <c r="HO303" s="118"/>
      <c r="HP303" s="118"/>
      <c r="HQ303" s="118"/>
      <c r="HR303" s="118"/>
      <c r="HS303" s="118"/>
      <c r="HT303" s="118"/>
      <c r="HU303" s="118"/>
      <c r="HV303" s="118"/>
      <c r="HW303" s="118"/>
      <c r="HX303" s="118"/>
      <c r="HY303" s="118"/>
      <c r="HZ303" s="118"/>
      <c r="IA303" s="118"/>
    </row>
    <row r="304" spans="1:235" s="90" customFormat="1" ht="22.5">
      <c r="A304" s="80" t="s">
        <v>358</v>
      </c>
      <c r="B304" s="86"/>
      <c r="C304" s="86"/>
      <c r="D304" s="87"/>
      <c r="E304" s="87">
        <f>E308*E310-20</f>
        <v>2500000</v>
      </c>
      <c r="F304" s="87">
        <f>E304</f>
        <v>2500000</v>
      </c>
      <c r="G304" s="87"/>
      <c r="H304" s="87">
        <f>H308*H310</f>
        <v>19901999.999997</v>
      </c>
      <c r="I304" s="87"/>
      <c r="J304" s="87">
        <f>H304</f>
        <v>19901999.999997</v>
      </c>
      <c r="K304" s="87">
        <f>K308*K310</f>
        <v>79607.3631410829</v>
      </c>
      <c r="L304" s="87">
        <f>L308*L310</f>
        <v>0</v>
      </c>
      <c r="M304" s="87">
        <f>M308*M310</f>
        <v>0</v>
      </c>
      <c r="N304" s="87"/>
      <c r="O304" s="87">
        <f>O308*O310</f>
        <v>39499999.9992</v>
      </c>
      <c r="P304" s="87">
        <f>N304+O304</f>
        <v>39499999.9992</v>
      </c>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c r="CK304" s="89"/>
      <c r="CL304" s="89"/>
      <c r="CM304" s="89"/>
      <c r="CN304" s="89"/>
      <c r="CO304" s="89"/>
      <c r="CP304" s="89"/>
      <c r="CQ304" s="89"/>
      <c r="CR304" s="89"/>
      <c r="CS304" s="89"/>
      <c r="CT304" s="89"/>
      <c r="CU304" s="89"/>
      <c r="CV304" s="89"/>
      <c r="CW304" s="89"/>
      <c r="CX304" s="89"/>
      <c r="CY304" s="89"/>
      <c r="CZ304" s="89"/>
      <c r="DA304" s="89"/>
      <c r="DB304" s="89"/>
      <c r="DC304" s="89"/>
      <c r="DD304" s="89"/>
      <c r="DE304" s="89"/>
      <c r="DF304" s="89"/>
      <c r="DG304" s="89"/>
      <c r="DH304" s="89"/>
      <c r="DI304" s="89"/>
      <c r="DJ304" s="89"/>
      <c r="DK304" s="89"/>
      <c r="DL304" s="89"/>
      <c r="DM304" s="89"/>
      <c r="DN304" s="89"/>
      <c r="DO304" s="89"/>
      <c r="DP304" s="89"/>
      <c r="DQ304" s="89"/>
      <c r="DR304" s="89"/>
      <c r="DS304" s="89"/>
      <c r="DT304" s="89"/>
      <c r="DU304" s="89"/>
      <c r="DV304" s="89"/>
      <c r="DW304" s="89"/>
      <c r="DX304" s="89"/>
      <c r="DY304" s="89"/>
      <c r="DZ304" s="89"/>
      <c r="EA304" s="89"/>
      <c r="EB304" s="89"/>
      <c r="EC304" s="89"/>
      <c r="ED304" s="89"/>
      <c r="EE304" s="89"/>
      <c r="EF304" s="89"/>
      <c r="EG304" s="89"/>
      <c r="EH304" s="89"/>
      <c r="EI304" s="89"/>
      <c r="EJ304" s="89"/>
      <c r="EK304" s="89"/>
      <c r="EL304" s="89"/>
      <c r="EM304" s="89"/>
      <c r="EN304" s="89"/>
      <c r="EO304" s="89"/>
      <c r="EP304" s="89"/>
      <c r="EQ304" s="89"/>
      <c r="ER304" s="89"/>
      <c r="ES304" s="89"/>
      <c r="ET304" s="89"/>
      <c r="EU304" s="89"/>
      <c r="EV304" s="89"/>
      <c r="EW304" s="89"/>
      <c r="EX304" s="89"/>
      <c r="EY304" s="89"/>
      <c r="EZ304" s="89"/>
      <c r="FA304" s="89"/>
      <c r="FB304" s="89"/>
      <c r="FC304" s="89"/>
      <c r="FD304" s="89"/>
      <c r="FE304" s="89"/>
      <c r="FF304" s="89"/>
      <c r="FG304" s="89"/>
      <c r="FH304" s="89"/>
      <c r="FI304" s="89"/>
      <c r="FJ304" s="89"/>
      <c r="FK304" s="89"/>
      <c r="FL304" s="89"/>
      <c r="FM304" s="89"/>
      <c r="FN304" s="89"/>
      <c r="FO304" s="89"/>
      <c r="FP304" s="89"/>
      <c r="FQ304" s="89"/>
      <c r="FR304" s="89"/>
      <c r="FS304" s="89"/>
      <c r="FT304" s="89"/>
      <c r="FU304" s="89"/>
      <c r="FV304" s="89"/>
      <c r="FW304" s="89"/>
      <c r="FX304" s="89"/>
      <c r="FY304" s="89"/>
      <c r="FZ304" s="89"/>
      <c r="GA304" s="89"/>
      <c r="GB304" s="89"/>
      <c r="GC304" s="89"/>
      <c r="GD304" s="89"/>
      <c r="GE304" s="89"/>
      <c r="GF304" s="89"/>
      <c r="GG304" s="89"/>
      <c r="GH304" s="89"/>
      <c r="GI304" s="89"/>
      <c r="GJ304" s="89"/>
      <c r="GK304" s="89"/>
      <c r="GL304" s="89"/>
      <c r="GM304" s="89"/>
      <c r="GN304" s="89"/>
      <c r="GO304" s="89"/>
      <c r="GP304" s="89"/>
      <c r="GQ304" s="89"/>
      <c r="GR304" s="89"/>
      <c r="GS304" s="89"/>
      <c r="GT304" s="89"/>
      <c r="GU304" s="89"/>
      <c r="GV304" s="89"/>
      <c r="GW304" s="89"/>
      <c r="GX304" s="89"/>
      <c r="GY304" s="89"/>
      <c r="GZ304" s="89"/>
      <c r="HA304" s="89"/>
      <c r="HB304" s="89"/>
      <c r="HC304" s="89"/>
      <c r="HD304" s="89"/>
      <c r="HE304" s="89"/>
      <c r="HF304" s="89"/>
      <c r="HG304" s="89"/>
      <c r="HH304" s="89"/>
      <c r="HI304" s="89"/>
      <c r="HJ304" s="89"/>
      <c r="HK304" s="89"/>
      <c r="HL304" s="89"/>
      <c r="HM304" s="89"/>
      <c r="HN304" s="89"/>
      <c r="HO304" s="89"/>
      <c r="HP304" s="89"/>
      <c r="HQ304" s="89"/>
      <c r="HR304" s="89"/>
      <c r="HS304" s="89"/>
      <c r="HT304" s="89"/>
      <c r="HU304" s="89"/>
      <c r="HV304" s="89"/>
      <c r="HW304" s="89"/>
      <c r="HX304" s="89"/>
      <c r="HY304" s="89"/>
      <c r="HZ304" s="89"/>
      <c r="IA304" s="89"/>
    </row>
    <row r="305" spans="1:16" ht="11.25">
      <c r="A305" s="20" t="s">
        <v>4</v>
      </c>
      <c r="B305" s="5"/>
      <c r="C305" s="5"/>
      <c r="D305" s="17"/>
      <c r="E305" s="13"/>
      <c r="F305" s="13"/>
      <c r="G305" s="17"/>
      <c r="H305" s="13"/>
      <c r="I305" s="13"/>
      <c r="J305" s="13"/>
      <c r="K305" s="17"/>
      <c r="L305" s="10"/>
      <c r="M305" s="10"/>
      <c r="N305" s="17"/>
      <c r="O305" s="13"/>
      <c r="P305" s="13"/>
    </row>
    <row r="306" spans="1:16" ht="22.5">
      <c r="A306" s="53" t="s">
        <v>172</v>
      </c>
      <c r="B306" s="57"/>
      <c r="C306" s="57"/>
      <c r="D306" s="60"/>
      <c r="E306" s="60">
        <v>1172</v>
      </c>
      <c r="F306" s="60">
        <f>E306</f>
        <v>1172</v>
      </c>
      <c r="G306" s="60"/>
      <c r="H306" s="60">
        <f>F306</f>
        <v>1172</v>
      </c>
      <c r="I306" s="60"/>
      <c r="J306" s="60">
        <f>H306</f>
        <v>1172</v>
      </c>
      <c r="K306" s="60"/>
      <c r="L306" s="62"/>
      <c r="M306" s="62"/>
      <c r="N306" s="60"/>
      <c r="O306" s="60">
        <f>H306</f>
        <v>1172</v>
      </c>
      <c r="P306" s="60">
        <f>O306</f>
        <v>1172</v>
      </c>
    </row>
    <row r="307" spans="1:16" ht="11.25">
      <c r="A307" s="52" t="s">
        <v>5</v>
      </c>
      <c r="B307" s="59"/>
      <c r="C307" s="59"/>
      <c r="D307" s="60"/>
      <c r="E307" s="126"/>
      <c r="F307" s="126"/>
      <c r="G307" s="60"/>
      <c r="H307" s="126"/>
      <c r="I307" s="126"/>
      <c r="J307" s="126"/>
      <c r="K307" s="60" t="e">
        <f>H307/E307*100</f>
        <v>#DIV/0!</v>
      </c>
      <c r="L307" s="126"/>
      <c r="M307" s="126"/>
      <c r="N307" s="60"/>
      <c r="O307" s="126"/>
      <c r="P307" s="126"/>
    </row>
    <row r="308" spans="1:16" ht="22.5">
      <c r="A308" s="53" t="s">
        <v>173</v>
      </c>
      <c r="B308" s="57"/>
      <c r="C308" s="57"/>
      <c r="D308" s="60"/>
      <c r="E308" s="60">
        <v>19</v>
      </c>
      <c r="F308" s="60">
        <f>E308</f>
        <v>19</v>
      </c>
      <c r="G308" s="60"/>
      <c r="H308" s="60">
        <f>132+3</f>
        <v>135</v>
      </c>
      <c r="I308" s="60"/>
      <c r="J308" s="60">
        <f>H308</f>
        <v>135</v>
      </c>
      <c r="K308" s="60">
        <f>H308/E308*100</f>
        <v>710.5263157894738</v>
      </c>
      <c r="L308" s="60"/>
      <c r="M308" s="60"/>
      <c r="N308" s="60"/>
      <c r="O308" s="60">
        <v>180</v>
      </c>
      <c r="P308" s="60">
        <f>O308</f>
        <v>180</v>
      </c>
    </row>
    <row r="309" spans="1:16" ht="11.25">
      <c r="A309" s="52" t="s">
        <v>7</v>
      </c>
      <c r="B309" s="59"/>
      <c r="C309" s="59"/>
      <c r="D309" s="60"/>
      <c r="E309" s="126"/>
      <c r="F309" s="126"/>
      <c r="G309" s="60"/>
      <c r="H309" s="126"/>
      <c r="I309" s="126"/>
      <c r="J309" s="126"/>
      <c r="K309" s="60" t="e">
        <f>H309/E309*100</f>
        <v>#DIV/0!</v>
      </c>
      <c r="L309" s="126"/>
      <c r="M309" s="126"/>
      <c r="N309" s="60"/>
      <c r="O309" s="126"/>
      <c r="P309" s="126"/>
    </row>
    <row r="310" spans="1:16" ht="24" customHeight="1">
      <c r="A310" s="53" t="s">
        <v>174</v>
      </c>
      <c r="B310" s="57"/>
      <c r="C310" s="57"/>
      <c r="D310" s="60"/>
      <c r="E310" s="60">
        <v>131580</v>
      </c>
      <c r="F310" s="60">
        <f>E310</f>
        <v>131580</v>
      </c>
      <c r="G310" s="60"/>
      <c r="H310" s="60">
        <f>147422.2222222</f>
        <v>147422.2222222</v>
      </c>
      <c r="I310" s="60"/>
      <c r="J310" s="60">
        <f>H310</f>
        <v>147422.2222222</v>
      </c>
      <c r="K310" s="60">
        <f>H310/E310*100</f>
        <v>112.03999256893147</v>
      </c>
      <c r="L310" s="60"/>
      <c r="M310" s="60"/>
      <c r="N310" s="60"/>
      <c r="O310" s="60">
        <v>219444.44444</v>
      </c>
      <c r="P310" s="60">
        <f>O310</f>
        <v>219444.44444</v>
      </c>
    </row>
    <row r="311" spans="1:16" ht="11.25">
      <c r="A311" s="52" t="s">
        <v>6</v>
      </c>
      <c r="B311" s="59"/>
      <c r="C311" s="59"/>
      <c r="D311" s="60"/>
      <c r="E311" s="60"/>
      <c r="F311" s="60"/>
      <c r="G311" s="60"/>
      <c r="H311" s="60"/>
      <c r="I311" s="60"/>
      <c r="J311" s="60"/>
      <c r="K311" s="60"/>
      <c r="L311" s="60"/>
      <c r="M311" s="60"/>
      <c r="N311" s="60"/>
      <c r="O311" s="60"/>
      <c r="P311" s="60"/>
    </row>
    <row r="312" spans="1:16" ht="50.25" customHeight="1">
      <c r="A312" s="53" t="s">
        <v>175</v>
      </c>
      <c r="B312" s="57"/>
      <c r="C312" s="57"/>
      <c r="D312" s="60"/>
      <c r="E312" s="60"/>
      <c r="F312" s="60"/>
      <c r="G312" s="60"/>
      <c r="H312" s="60">
        <f>H308/H306*100</f>
        <v>11.518771331058021</v>
      </c>
      <c r="I312" s="60"/>
      <c r="J312" s="60">
        <f>J308/J306*100</f>
        <v>11.518771331058021</v>
      </c>
      <c r="K312" s="60" t="e">
        <f>K308/K306*100</f>
        <v>#DIV/0!</v>
      </c>
      <c r="L312" s="60" t="e">
        <f>L308/L306*100</f>
        <v>#DIV/0!</v>
      </c>
      <c r="M312" s="60" t="e">
        <f>M308/M306*100</f>
        <v>#DIV/0!</v>
      </c>
      <c r="N312" s="60"/>
      <c r="O312" s="60">
        <f>O308/O306*100</f>
        <v>15.358361774744028</v>
      </c>
      <c r="P312" s="60">
        <f>P308/P306*100</f>
        <v>15.358361774744028</v>
      </c>
    </row>
    <row r="313" spans="1:235" s="90" customFormat="1" ht="29.25" customHeight="1">
      <c r="A313" s="80" t="s">
        <v>359</v>
      </c>
      <c r="B313" s="86"/>
      <c r="C313" s="86"/>
      <c r="D313" s="87"/>
      <c r="E313" s="87">
        <f>5000000</f>
        <v>5000000</v>
      </c>
      <c r="F313" s="87">
        <f>E313</f>
        <v>5000000</v>
      </c>
      <c r="G313" s="87"/>
      <c r="H313" s="87">
        <f>H317*H319</f>
        <v>32499999.999971997</v>
      </c>
      <c r="I313" s="87"/>
      <c r="J313" s="87">
        <f>H313</f>
        <v>32499999.999971997</v>
      </c>
      <c r="K313" s="87"/>
      <c r="L313" s="87"/>
      <c r="M313" s="87"/>
      <c r="N313" s="87"/>
      <c r="O313" s="87">
        <f>O317*O319-0.01</f>
        <v>35349999.9953</v>
      </c>
      <c r="P313" s="87">
        <f>N313+O313</f>
        <v>35349999.9953</v>
      </c>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c r="CK313" s="89"/>
      <c r="CL313" s="89"/>
      <c r="CM313" s="89"/>
      <c r="CN313" s="89"/>
      <c r="CO313" s="89"/>
      <c r="CP313" s="89"/>
      <c r="CQ313" s="89"/>
      <c r="CR313" s="89"/>
      <c r="CS313" s="89"/>
      <c r="CT313" s="89"/>
      <c r="CU313" s="89"/>
      <c r="CV313" s="89"/>
      <c r="CW313" s="89"/>
      <c r="CX313" s="89"/>
      <c r="CY313" s="89"/>
      <c r="CZ313" s="89"/>
      <c r="DA313" s="89"/>
      <c r="DB313" s="89"/>
      <c r="DC313" s="89"/>
      <c r="DD313" s="89"/>
      <c r="DE313" s="89"/>
      <c r="DF313" s="89"/>
      <c r="DG313" s="89"/>
      <c r="DH313" s="89"/>
      <c r="DI313" s="89"/>
      <c r="DJ313" s="89"/>
      <c r="DK313" s="89"/>
      <c r="DL313" s="89"/>
      <c r="DM313" s="89"/>
      <c r="DN313" s="89"/>
      <c r="DO313" s="89"/>
      <c r="DP313" s="89"/>
      <c r="DQ313" s="89"/>
      <c r="DR313" s="89"/>
      <c r="DS313" s="89"/>
      <c r="DT313" s="89"/>
      <c r="DU313" s="89"/>
      <c r="DV313" s="89"/>
      <c r="DW313" s="89"/>
      <c r="DX313" s="89"/>
      <c r="DY313" s="89"/>
      <c r="DZ313" s="89"/>
      <c r="EA313" s="89"/>
      <c r="EB313" s="89"/>
      <c r="EC313" s="89"/>
      <c r="ED313" s="89"/>
      <c r="EE313" s="89"/>
      <c r="EF313" s="89"/>
      <c r="EG313" s="89"/>
      <c r="EH313" s="89"/>
      <c r="EI313" s="89"/>
      <c r="EJ313" s="89"/>
      <c r="EK313" s="89"/>
      <c r="EL313" s="89"/>
      <c r="EM313" s="89"/>
      <c r="EN313" s="89"/>
      <c r="EO313" s="89"/>
      <c r="EP313" s="89"/>
      <c r="EQ313" s="89"/>
      <c r="ER313" s="89"/>
      <c r="ES313" s="89"/>
      <c r="ET313" s="89"/>
      <c r="EU313" s="89"/>
      <c r="EV313" s="89"/>
      <c r="EW313" s="89"/>
      <c r="EX313" s="89"/>
      <c r="EY313" s="89"/>
      <c r="EZ313" s="89"/>
      <c r="FA313" s="89"/>
      <c r="FB313" s="89"/>
      <c r="FC313" s="89"/>
      <c r="FD313" s="89"/>
      <c r="FE313" s="89"/>
      <c r="FF313" s="89"/>
      <c r="FG313" s="89"/>
      <c r="FH313" s="89"/>
      <c r="FI313" s="89"/>
      <c r="FJ313" s="89"/>
      <c r="FK313" s="89"/>
      <c r="FL313" s="89"/>
      <c r="FM313" s="89"/>
      <c r="FN313" s="89"/>
      <c r="FO313" s="89"/>
      <c r="FP313" s="89"/>
      <c r="FQ313" s="89"/>
      <c r="FR313" s="89"/>
      <c r="FS313" s="89"/>
      <c r="FT313" s="89"/>
      <c r="FU313" s="89"/>
      <c r="FV313" s="89"/>
      <c r="FW313" s="89"/>
      <c r="FX313" s="89"/>
      <c r="FY313" s="89"/>
      <c r="FZ313" s="89"/>
      <c r="GA313" s="89"/>
      <c r="GB313" s="89"/>
      <c r="GC313" s="89"/>
      <c r="GD313" s="89"/>
      <c r="GE313" s="89"/>
      <c r="GF313" s="89"/>
      <c r="GG313" s="89"/>
      <c r="GH313" s="89"/>
      <c r="GI313" s="89"/>
      <c r="GJ313" s="89"/>
      <c r="GK313" s="89"/>
      <c r="GL313" s="89"/>
      <c r="GM313" s="89"/>
      <c r="GN313" s="89"/>
      <c r="GO313" s="89"/>
      <c r="GP313" s="89"/>
      <c r="GQ313" s="89"/>
      <c r="GR313" s="89"/>
      <c r="GS313" s="89"/>
      <c r="GT313" s="89"/>
      <c r="GU313" s="89"/>
      <c r="GV313" s="89"/>
      <c r="GW313" s="89"/>
      <c r="GX313" s="89"/>
      <c r="GY313" s="89"/>
      <c r="GZ313" s="89"/>
      <c r="HA313" s="89"/>
      <c r="HB313" s="89"/>
      <c r="HC313" s="89"/>
      <c r="HD313" s="89"/>
      <c r="HE313" s="89"/>
      <c r="HF313" s="89"/>
      <c r="HG313" s="89"/>
      <c r="HH313" s="89"/>
      <c r="HI313" s="89"/>
      <c r="HJ313" s="89"/>
      <c r="HK313" s="89"/>
      <c r="HL313" s="89"/>
      <c r="HM313" s="89"/>
      <c r="HN313" s="89"/>
      <c r="HO313" s="89"/>
      <c r="HP313" s="89"/>
      <c r="HQ313" s="89"/>
      <c r="HR313" s="89"/>
      <c r="HS313" s="89"/>
      <c r="HT313" s="89"/>
      <c r="HU313" s="89"/>
      <c r="HV313" s="89"/>
      <c r="HW313" s="89"/>
      <c r="HX313" s="89"/>
      <c r="HY313" s="89"/>
      <c r="HZ313" s="89"/>
      <c r="IA313" s="89"/>
    </row>
    <row r="314" spans="1:235" s="68" customFormat="1" ht="11.25">
      <c r="A314" s="20" t="s">
        <v>4</v>
      </c>
      <c r="B314" s="7"/>
      <c r="C314" s="7"/>
      <c r="D314" s="14"/>
      <c r="E314" s="14"/>
      <c r="F314" s="14"/>
      <c r="G314" s="14"/>
      <c r="H314" s="14"/>
      <c r="I314" s="14"/>
      <c r="J314" s="14"/>
      <c r="K314" s="14"/>
      <c r="L314" s="14"/>
      <c r="M314" s="14"/>
      <c r="N314" s="14"/>
      <c r="O314" s="14"/>
      <c r="P314" s="14"/>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row>
    <row r="315" spans="1:235" s="68"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row>
    <row r="316" spans="1:235" s="68" customFormat="1" ht="11.25">
      <c r="A316" s="20" t="s">
        <v>5</v>
      </c>
      <c r="B316" s="7"/>
      <c r="C316" s="7"/>
      <c r="D316" s="14"/>
      <c r="E316" s="14"/>
      <c r="F316" s="14"/>
      <c r="G316" s="14"/>
      <c r="H316" s="14"/>
      <c r="I316" s="14"/>
      <c r="J316" s="14"/>
      <c r="K316" s="14"/>
      <c r="L316" s="14"/>
      <c r="M316" s="14"/>
      <c r="N316" s="14"/>
      <c r="O316" s="14"/>
      <c r="P316" s="14">
        <f>O316</f>
        <v>0</v>
      </c>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row>
    <row r="317" spans="1:235" s="68" customFormat="1" ht="28.5" customHeight="1">
      <c r="A317" s="21" t="s">
        <v>255</v>
      </c>
      <c r="B317" s="7"/>
      <c r="C317" s="7"/>
      <c r="D317" s="14"/>
      <c r="E317" s="14">
        <v>35</v>
      </c>
      <c r="F317" s="14">
        <v>35</v>
      </c>
      <c r="G317" s="14"/>
      <c r="H317" s="14">
        <v>228</v>
      </c>
      <c r="I317" s="14"/>
      <c r="J317" s="14">
        <v>140</v>
      </c>
      <c r="K317" s="14"/>
      <c r="L317" s="14"/>
      <c r="M317" s="14"/>
      <c r="N317" s="14"/>
      <c r="O317" s="14">
        <v>302</v>
      </c>
      <c r="P317" s="14">
        <f>O317</f>
        <v>302</v>
      </c>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row>
    <row r="318" spans="1:235" s="68" customFormat="1" ht="11.25">
      <c r="A318" s="20" t="s">
        <v>7</v>
      </c>
      <c r="B318" s="7"/>
      <c r="C318" s="7"/>
      <c r="D318" s="14"/>
      <c r="E318" s="14"/>
      <c r="F318" s="14"/>
      <c r="G318" s="14"/>
      <c r="H318" s="14"/>
      <c r="I318" s="14"/>
      <c r="J318" s="14"/>
      <c r="K318" s="14"/>
      <c r="L318" s="14"/>
      <c r="M318" s="14"/>
      <c r="N318" s="14"/>
      <c r="O318" s="14"/>
      <c r="P318" s="14">
        <f>O318</f>
        <v>0</v>
      </c>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row>
    <row r="319" spans="1:235" s="68"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117052.98015</v>
      </c>
      <c r="P319" s="14">
        <f>O319</f>
        <v>117052.98015</v>
      </c>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row>
    <row r="320" spans="1:235" s="90" customFormat="1" ht="36.75" customHeight="1">
      <c r="A320" s="80" t="s">
        <v>361</v>
      </c>
      <c r="B320" s="86"/>
      <c r="C320" s="86"/>
      <c r="D320" s="87"/>
      <c r="E320" s="87">
        <f>(E327*E332)+(E328*E333)+(E329*E334)+(E330*E335)-1630000</f>
        <v>17148000</v>
      </c>
      <c r="F320" s="87">
        <f>(F327*F332)+(F328*F333)+(F329*F334)+(F330*F335)-1630000</f>
        <v>17148000</v>
      </c>
      <c r="G320" s="87">
        <f>G330*G335</f>
        <v>584999.9999982599</v>
      </c>
      <c r="H320" s="87">
        <f>(H327*H332)+(H328*H333)+(H329*H334)</f>
        <v>39320000.0000018</v>
      </c>
      <c r="I320" s="87"/>
      <c r="J320" s="87">
        <f>H320+G320</f>
        <v>39905000.00000006</v>
      </c>
      <c r="K320" s="87">
        <f>(K327*K332)+(K328*K333)+(K329*K334)+(K330*K335)</f>
        <v>0</v>
      </c>
      <c r="L320" s="87">
        <f>(L327*L332)+(L328*L333)+(L329*L334)+(L330*L335)</f>
        <v>0</v>
      </c>
      <c r="M320" s="87">
        <f>(M327*M332)+(M328*M333)+(M329*M334)+(M330*M335)</f>
        <v>0</v>
      </c>
      <c r="N320" s="87">
        <f>N330*N335</f>
        <v>0</v>
      </c>
      <c r="O320" s="87">
        <f>(O327*O332)+(O328*O333)+(O329*O334)+(O330*O335)</f>
        <v>0</v>
      </c>
      <c r="P320" s="87">
        <f>N320+O320</f>
        <v>0</v>
      </c>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c r="CR320" s="89"/>
      <c r="CS320" s="89"/>
      <c r="CT320" s="89"/>
      <c r="CU320" s="89"/>
      <c r="CV320" s="89"/>
      <c r="CW320" s="89"/>
      <c r="CX320" s="89"/>
      <c r="CY320" s="89"/>
      <c r="CZ320" s="89"/>
      <c r="DA320" s="89"/>
      <c r="DB320" s="89"/>
      <c r="DC320" s="89"/>
      <c r="DD320" s="89"/>
      <c r="DE320" s="89"/>
      <c r="DF320" s="89"/>
      <c r="DG320" s="89"/>
      <c r="DH320" s="89"/>
      <c r="DI320" s="89"/>
      <c r="DJ320" s="89"/>
      <c r="DK320" s="89"/>
      <c r="DL320" s="89"/>
      <c r="DM320" s="89"/>
      <c r="DN320" s="89"/>
      <c r="DO320" s="89"/>
      <c r="DP320" s="89"/>
      <c r="DQ320" s="89"/>
      <c r="DR320" s="89"/>
      <c r="DS320" s="89"/>
      <c r="DT320" s="89"/>
      <c r="DU320" s="89"/>
      <c r="DV320" s="89"/>
      <c r="DW320" s="89"/>
      <c r="DX320" s="89"/>
      <c r="DY320" s="89"/>
      <c r="DZ320" s="89"/>
      <c r="EA320" s="89"/>
      <c r="EB320" s="89"/>
      <c r="EC320" s="89"/>
      <c r="ED320" s="89"/>
      <c r="EE320" s="89"/>
      <c r="EF320" s="89"/>
      <c r="EG320" s="89"/>
      <c r="EH320" s="89"/>
      <c r="EI320" s="89"/>
      <c r="EJ320" s="89"/>
      <c r="EK320" s="89"/>
      <c r="EL320" s="89"/>
      <c r="EM320" s="89"/>
      <c r="EN320" s="89"/>
      <c r="EO320" s="89"/>
      <c r="EP320" s="89"/>
      <c r="EQ320" s="89"/>
      <c r="ER320" s="89"/>
      <c r="ES320" s="89"/>
      <c r="ET320" s="89"/>
      <c r="EU320" s="89"/>
      <c r="EV320" s="89"/>
      <c r="EW320" s="89"/>
      <c r="EX320" s="89"/>
      <c r="EY320" s="89"/>
      <c r="EZ320" s="89"/>
      <c r="FA320" s="89"/>
      <c r="FB320" s="89"/>
      <c r="FC320" s="89"/>
      <c r="FD320" s="89"/>
      <c r="FE320" s="89"/>
      <c r="FF320" s="89"/>
      <c r="FG320" s="89"/>
      <c r="FH320" s="89"/>
      <c r="FI320" s="89"/>
      <c r="FJ320" s="89"/>
      <c r="FK320" s="89"/>
      <c r="FL320" s="89"/>
      <c r="FM320" s="89"/>
      <c r="FN320" s="89"/>
      <c r="FO320" s="89"/>
      <c r="FP320" s="89"/>
      <c r="FQ320" s="89"/>
      <c r="FR320" s="89"/>
      <c r="FS320" s="89"/>
      <c r="FT320" s="89"/>
      <c r="FU320" s="89"/>
      <c r="FV320" s="89"/>
      <c r="FW320" s="89"/>
      <c r="FX320" s="89"/>
      <c r="FY320" s="89"/>
      <c r="FZ320" s="89"/>
      <c r="GA320" s="89"/>
      <c r="GB320" s="89"/>
      <c r="GC320" s="89"/>
      <c r="GD320" s="89"/>
      <c r="GE320" s="89"/>
      <c r="GF320" s="89"/>
      <c r="GG320" s="89"/>
      <c r="GH320" s="89"/>
      <c r="GI320" s="89"/>
      <c r="GJ320" s="89"/>
      <c r="GK320" s="89"/>
      <c r="GL320" s="89"/>
      <c r="GM320" s="89"/>
      <c r="GN320" s="89"/>
      <c r="GO320" s="89"/>
      <c r="GP320" s="89"/>
      <c r="GQ320" s="89"/>
      <c r="GR320" s="89"/>
      <c r="GS320" s="89"/>
      <c r="GT320" s="89"/>
      <c r="GU320" s="89"/>
      <c r="GV320" s="89"/>
      <c r="GW320" s="89"/>
      <c r="GX320" s="89"/>
      <c r="GY320" s="89"/>
      <c r="GZ320" s="89"/>
      <c r="HA320" s="89"/>
      <c r="HB320" s="89"/>
      <c r="HC320" s="89"/>
      <c r="HD320" s="89"/>
      <c r="HE320" s="89"/>
      <c r="HF320" s="89"/>
      <c r="HG320" s="89"/>
      <c r="HH320" s="89"/>
      <c r="HI320" s="89"/>
      <c r="HJ320" s="89"/>
      <c r="HK320" s="89"/>
      <c r="HL320" s="89"/>
      <c r="HM320" s="89"/>
      <c r="HN320" s="89"/>
      <c r="HO320" s="89"/>
      <c r="HP320" s="89"/>
      <c r="HQ320" s="89"/>
      <c r="HR320" s="89"/>
      <c r="HS320" s="89"/>
      <c r="HT320" s="89"/>
      <c r="HU320" s="89"/>
      <c r="HV320" s="89"/>
      <c r="HW320" s="89"/>
      <c r="HX320" s="89"/>
      <c r="HY320" s="89"/>
      <c r="HZ320" s="89"/>
      <c r="IA320" s="89"/>
    </row>
    <row r="321" spans="1:16" ht="11.25">
      <c r="A321" s="52" t="s">
        <v>4</v>
      </c>
      <c r="B321" s="58"/>
      <c r="C321" s="58"/>
      <c r="D321" s="60"/>
      <c r="E321" s="62"/>
      <c r="F321" s="62"/>
      <c r="G321" s="60"/>
      <c r="H321" s="62"/>
      <c r="I321" s="62"/>
      <c r="J321" s="62"/>
      <c r="K321" s="62"/>
      <c r="L321" s="62"/>
      <c r="M321" s="62"/>
      <c r="N321" s="60"/>
      <c r="O321" s="62"/>
      <c r="P321" s="62"/>
    </row>
    <row r="322" spans="1:16" ht="16.5" customHeight="1">
      <c r="A322" s="53" t="s">
        <v>176</v>
      </c>
      <c r="B322" s="58"/>
      <c r="C322" s="58"/>
      <c r="D322" s="60"/>
      <c r="E322" s="60">
        <v>12</v>
      </c>
      <c r="F322" s="60">
        <f>E322</f>
        <v>12</v>
      </c>
      <c r="G322" s="60"/>
      <c r="H322" s="62"/>
      <c r="I322" s="62"/>
      <c r="J322" s="62"/>
      <c r="K322" s="62"/>
      <c r="L322" s="62"/>
      <c r="M322" s="62"/>
      <c r="N322" s="60"/>
      <c r="O322" s="62"/>
      <c r="P322" s="62"/>
    </row>
    <row r="323" spans="1:16" ht="22.5">
      <c r="A323" s="53" t="s">
        <v>177</v>
      </c>
      <c r="B323" s="58"/>
      <c r="C323" s="58"/>
      <c r="D323" s="60"/>
      <c r="E323" s="60">
        <v>700</v>
      </c>
      <c r="F323" s="60">
        <f>E323</f>
        <v>700</v>
      </c>
      <c r="G323" s="60"/>
      <c r="H323" s="60">
        <v>500</v>
      </c>
      <c r="I323" s="60"/>
      <c r="J323" s="60">
        <f>H323</f>
        <v>500</v>
      </c>
      <c r="K323" s="62"/>
      <c r="L323" s="62"/>
      <c r="M323" s="62"/>
      <c r="N323" s="60"/>
      <c r="O323" s="60"/>
      <c r="P323" s="60"/>
    </row>
    <row r="324" spans="1:16" ht="22.5">
      <c r="A324" s="53" t="s">
        <v>178</v>
      </c>
      <c r="B324" s="58"/>
      <c r="C324" s="58"/>
      <c r="D324" s="60"/>
      <c r="E324" s="60">
        <v>454</v>
      </c>
      <c r="F324" s="60">
        <v>454</v>
      </c>
      <c r="G324" s="60"/>
      <c r="H324" s="60">
        <v>500</v>
      </c>
      <c r="I324" s="62"/>
      <c r="J324" s="60">
        <f>H324</f>
        <v>500</v>
      </c>
      <c r="K324" s="62"/>
      <c r="L324" s="62"/>
      <c r="M324" s="62"/>
      <c r="N324" s="60"/>
      <c r="O324" s="60"/>
      <c r="P324" s="60"/>
    </row>
    <row r="325" spans="1:16" ht="28.5" customHeight="1">
      <c r="A325" s="53" t="s">
        <v>179</v>
      </c>
      <c r="B325" s="58"/>
      <c r="C325" s="58"/>
      <c r="D325" s="60"/>
      <c r="E325" s="60">
        <v>700</v>
      </c>
      <c r="F325" s="60">
        <f>E325</f>
        <v>700</v>
      </c>
      <c r="G325" s="60">
        <v>500</v>
      </c>
      <c r="H325" s="60"/>
      <c r="I325" s="60"/>
      <c r="J325" s="60">
        <f>G325</f>
        <v>500</v>
      </c>
      <c r="K325" s="60"/>
      <c r="L325" s="60"/>
      <c r="M325" s="60"/>
      <c r="N325" s="60"/>
      <c r="O325" s="60"/>
      <c r="P325" s="60"/>
    </row>
    <row r="326" spans="1:16" ht="11.25">
      <c r="A326" s="52" t="s">
        <v>5</v>
      </c>
      <c r="B326" s="59"/>
      <c r="C326" s="59"/>
      <c r="D326" s="60"/>
      <c r="E326" s="60"/>
      <c r="F326" s="60"/>
      <c r="G326" s="60"/>
      <c r="H326" s="126"/>
      <c r="I326" s="126"/>
      <c r="J326" s="126"/>
      <c r="K326" s="60" t="e">
        <f>H326/E326*100</f>
        <v>#DIV/0!</v>
      </c>
      <c r="L326" s="126"/>
      <c r="M326" s="126"/>
      <c r="N326" s="60"/>
      <c r="O326" s="126"/>
      <c r="P326" s="126"/>
    </row>
    <row r="327" spans="1:16" ht="16.5" customHeight="1">
      <c r="A327" s="53" t="s">
        <v>360</v>
      </c>
      <c r="B327" s="59"/>
      <c r="C327" s="59"/>
      <c r="D327" s="60"/>
      <c r="E327" s="60">
        <v>12</v>
      </c>
      <c r="F327" s="60">
        <f>E327</f>
        <v>12</v>
      </c>
      <c r="G327" s="60"/>
      <c r="H327" s="60">
        <v>20</v>
      </c>
      <c r="I327" s="60"/>
      <c r="J327" s="60">
        <v>20</v>
      </c>
      <c r="K327" s="60"/>
      <c r="L327" s="126"/>
      <c r="M327" s="126"/>
      <c r="N327" s="60"/>
      <c r="O327" s="126"/>
      <c r="P327" s="126"/>
    </row>
    <row r="328" spans="1:16" ht="22.5">
      <c r="A328" s="53" t="s">
        <v>186</v>
      </c>
      <c r="B328" s="59"/>
      <c r="C328" s="59"/>
      <c r="D328" s="60"/>
      <c r="E328" s="60">
        <v>200</v>
      </c>
      <c r="F328" s="60">
        <v>200</v>
      </c>
      <c r="G328" s="60"/>
      <c r="H328" s="60">
        <v>400</v>
      </c>
      <c r="I328" s="60"/>
      <c r="J328" s="60">
        <f>H328</f>
        <v>400</v>
      </c>
      <c r="K328" s="60"/>
      <c r="L328" s="60"/>
      <c r="M328" s="60"/>
      <c r="N328" s="60"/>
      <c r="O328" s="111"/>
      <c r="P328" s="60"/>
    </row>
    <row r="329" spans="1:16" ht="22.5">
      <c r="A329" s="53" t="s">
        <v>180</v>
      </c>
      <c r="B329" s="59"/>
      <c r="C329" s="59"/>
      <c r="D329" s="60"/>
      <c r="E329" s="60">
        <v>454</v>
      </c>
      <c r="F329" s="60">
        <f>E329</f>
        <v>454</v>
      </c>
      <c r="G329" s="60"/>
      <c r="H329" s="60">
        <v>460</v>
      </c>
      <c r="I329" s="60"/>
      <c r="J329" s="60">
        <v>460</v>
      </c>
      <c r="K329" s="60"/>
      <c r="L329" s="126"/>
      <c r="M329" s="126"/>
      <c r="N329" s="60"/>
      <c r="O329" s="111"/>
      <c r="P329" s="60"/>
    </row>
    <row r="330" spans="1:16" ht="33.75">
      <c r="A330" s="53" t="s">
        <v>181</v>
      </c>
      <c r="B330" s="59"/>
      <c r="C330" s="59"/>
      <c r="D330" s="60"/>
      <c r="E330" s="60">
        <v>200</v>
      </c>
      <c r="F330" s="60">
        <f>E330</f>
        <v>200</v>
      </c>
      <c r="G330" s="60">
        <v>374</v>
      </c>
      <c r="H330" s="60"/>
      <c r="I330" s="60"/>
      <c r="J330" s="60">
        <f>G330</f>
        <v>374</v>
      </c>
      <c r="K330" s="60"/>
      <c r="L330" s="60"/>
      <c r="M330" s="60"/>
      <c r="N330" s="111"/>
      <c r="O330" s="60"/>
      <c r="P330" s="60"/>
    </row>
    <row r="331" spans="1:16" ht="11.25">
      <c r="A331" s="52" t="s">
        <v>7</v>
      </c>
      <c r="B331" s="59"/>
      <c r="C331" s="59"/>
      <c r="D331" s="60"/>
      <c r="E331" s="126"/>
      <c r="F331" s="126"/>
      <c r="G331" s="60"/>
      <c r="H331" s="126"/>
      <c r="I331" s="126"/>
      <c r="J331" s="126"/>
      <c r="K331" s="60" t="e">
        <f>H331/E331*100</f>
        <v>#DIV/0!</v>
      </c>
      <c r="L331" s="126"/>
      <c r="M331" s="126"/>
      <c r="N331" s="111"/>
      <c r="O331" s="126"/>
      <c r="P331" s="126"/>
    </row>
    <row r="332" spans="1:16" ht="22.5">
      <c r="A332" s="53" t="s">
        <v>182</v>
      </c>
      <c r="B332" s="57"/>
      <c r="C332" s="57"/>
      <c r="D332" s="60"/>
      <c r="E332" s="60">
        <v>400000</v>
      </c>
      <c r="F332" s="60">
        <f>E332</f>
        <v>400000</v>
      </c>
      <c r="G332" s="60"/>
      <c r="H332" s="60">
        <v>250000</v>
      </c>
      <c r="I332" s="60"/>
      <c r="J332" s="60">
        <f>H332</f>
        <v>250000</v>
      </c>
      <c r="K332" s="60"/>
      <c r="L332" s="60"/>
      <c r="M332" s="60"/>
      <c r="N332" s="111"/>
      <c r="O332" s="60"/>
      <c r="P332" s="60"/>
    </row>
    <row r="333" spans="1:16" ht="22.5">
      <c r="A333" s="53" t="s">
        <v>183</v>
      </c>
      <c r="B333" s="57"/>
      <c r="C333" s="57"/>
      <c r="D333" s="60"/>
      <c r="E333" s="60">
        <v>52500</v>
      </c>
      <c r="F333" s="60">
        <f>E333</f>
        <v>52500</v>
      </c>
      <c r="G333" s="60"/>
      <c r="H333" s="60">
        <v>75000</v>
      </c>
      <c r="I333" s="60"/>
      <c r="J333" s="60">
        <f>H333</f>
        <v>75000</v>
      </c>
      <c r="K333" s="60"/>
      <c r="L333" s="60"/>
      <c r="M333" s="60"/>
      <c r="N333" s="111"/>
      <c r="O333" s="60"/>
      <c r="P333" s="60"/>
    </row>
    <row r="334" spans="1:16" ht="22.5">
      <c r="A334" s="53" t="s">
        <v>184</v>
      </c>
      <c r="B334" s="57"/>
      <c r="C334" s="57"/>
      <c r="D334" s="60"/>
      <c r="E334" s="60">
        <v>7000</v>
      </c>
      <c r="F334" s="60">
        <f>E334</f>
        <v>7000</v>
      </c>
      <c r="G334" s="60"/>
      <c r="H334" s="60">
        <v>9391.30434783</v>
      </c>
      <c r="I334" s="60"/>
      <c r="J334" s="60">
        <f>H334</f>
        <v>9391.30434783</v>
      </c>
      <c r="K334" s="60"/>
      <c r="L334" s="60"/>
      <c r="M334" s="60"/>
      <c r="N334" s="111"/>
      <c r="O334" s="60"/>
      <c r="P334" s="60"/>
    </row>
    <row r="335" spans="1:16" ht="33.75">
      <c r="A335" s="53" t="s">
        <v>185</v>
      </c>
      <c r="B335" s="57"/>
      <c r="C335" s="57"/>
      <c r="D335" s="60"/>
      <c r="E335" s="60">
        <v>1500</v>
      </c>
      <c r="F335" s="60">
        <f>E335</f>
        <v>1500</v>
      </c>
      <c r="G335" s="60">
        <v>1564.17112299</v>
      </c>
      <c r="H335" s="60"/>
      <c r="I335" s="60"/>
      <c r="J335" s="60">
        <f>G335</f>
        <v>1564.17112299</v>
      </c>
      <c r="K335" s="60"/>
      <c r="L335" s="60"/>
      <c r="M335" s="60"/>
      <c r="N335" s="111"/>
      <c r="O335" s="60"/>
      <c r="P335" s="60"/>
    </row>
    <row r="336" spans="1:16" ht="11.25">
      <c r="A336" s="52" t="s">
        <v>6</v>
      </c>
      <c r="B336" s="57"/>
      <c r="C336" s="57"/>
      <c r="D336" s="60"/>
      <c r="E336" s="60"/>
      <c r="F336" s="60"/>
      <c r="G336" s="60"/>
      <c r="H336" s="60"/>
      <c r="I336" s="60"/>
      <c r="J336" s="60"/>
      <c r="K336" s="60"/>
      <c r="L336" s="60"/>
      <c r="M336" s="60"/>
      <c r="N336" s="111"/>
      <c r="O336" s="60"/>
      <c r="P336" s="60"/>
    </row>
    <row r="337" spans="1:16" ht="33.75">
      <c r="A337" s="53" t="s">
        <v>187</v>
      </c>
      <c r="B337" s="57"/>
      <c r="C337" s="57"/>
      <c r="D337" s="60"/>
      <c r="E337" s="60">
        <f>E327/E322*100</f>
        <v>100</v>
      </c>
      <c r="F337" s="60">
        <f>E337</f>
        <v>100</v>
      </c>
      <c r="G337" s="60"/>
      <c r="H337" s="60"/>
      <c r="I337" s="60"/>
      <c r="J337" s="60"/>
      <c r="K337" s="60"/>
      <c r="L337" s="60"/>
      <c r="M337" s="60"/>
      <c r="N337" s="111"/>
      <c r="O337" s="60"/>
      <c r="P337" s="60"/>
    </row>
    <row r="338" spans="1:16" ht="45">
      <c r="A338" s="53" t="s">
        <v>188</v>
      </c>
      <c r="B338" s="57"/>
      <c r="C338" s="57"/>
      <c r="D338" s="60"/>
      <c r="E338" s="60">
        <f>E328/E323*100</f>
        <v>28.57142857142857</v>
      </c>
      <c r="F338" s="60">
        <f aca="true" t="shared" si="33" ref="F338:M338">F328/F323*100</f>
        <v>28.57142857142857</v>
      </c>
      <c r="G338" s="60"/>
      <c r="H338" s="60">
        <f t="shared" si="33"/>
        <v>80</v>
      </c>
      <c r="I338" s="60"/>
      <c r="J338" s="60">
        <f t="shared" si="33"/>
        <v>80</v>
      </c>
      <c r="K338" s="60" t="e">
        <f t="shared" si="33"/>
        <v>#DIV/0!</v>
      </c>
      <c r="L338" s="60" t="e">
        <f t="shared" si="33"/>
        <v>#DIV/0!</v>
      </c>
      <c r="M338" s="60" t="e">
        <f t="shared" si="33"/>
        <v>#DIV/0!</v>
      </c>
      <c r="N338" s="60"/>
      <c r="O338" s="60"/>
      <c r="P338" s="60"/>
    </row>
    <row r="339" spans="1:16" ht="45">
      <c r="A339" s="53" t="s">
        <v>189</v>
      </c>
      <c r="B339" s="57"/>
      <c r="C339" s="57"/>
      <c r="D339" s="60"/>
      <c r="E339" s="60">
        <f>E329/E324*100</f>
        <v>100</v>
      </c>
      <c r="F339" s="60">
        <f>E339</f>
        <v>100</v>
      </c>
      <c r="G339" s="60"/>
      <c r="H339" s="60"/>
      <c r="I339" s="60"/>
      <c r="J339" s="60"/>
      <c r="K339" s="60"/>
      <c r="L339" s="60"/>
      <c r="M339" s="60"/>
      <c r="N339" s="60"/>
      <c r="O339" s="60"/>
      <c r="P339" s="60"/>
    </row>
    <row r="340" spans="1:16" ht="56.25">
      <c r="A340" s="53" t="s">
        <v>190</v>
      </c>
      <c r="B340" s="57"/>
      <c r="C340" s="57"/>
      <c r="D340" s="60"/>
      <c r="E340" s="60">
        <f>E330/E323*100</f>
        <v>28.57142857142857</v>
      </c>
      <c r="F340" s="60">
        <f aca="true" t="shared" si="34" ref="F340:M340">F330/F323*100</f>
        <v>28.57142857142857</v>
      </c>
      <c r="G340" s="60">
        <f>G330/G325*100</f>
        <v>74.8</v>
      </c>
      <c r="H340" s="60"/>
      <c r="I340" s="60"/>
      <c r="J340" s="60">
        <f t="shared" si="34"/>
        <v>74.8</v>
      </c>
      <c r="K340" s="60" t="e">
        <f t="shared" si="34"/>
        <v>#DIV/0!</v>
      </c>
      <c r="L340" s="60" t="e">
        <f t="shared" si="34"/>
        <v>#DIV/0!</v>
      </c>
      <c r="M340" s="60" t="e">
        <f t="shared" si="34"/>
        <v>#DIV/0!</v>
      </c>
      <c r="N340" s="60"/>
      <c r="O340" s="60"/>
      <c r="P340" s="60"/>
    </row>
    <row r="341" spans="1:235" s="90" customFormat="1" ht="33.75">
      <c r="A341" s="80" t="s">
        <v>362</v>
      </c>
      <c r="B341" s="86"/>
      <c r="C341" s="86"/>
      <c r="D341" s="87"/>
      <c r="E341" s="87">
        <f>1630000-250000</f>
        <v>1380000</v>
      </c>
      <c r="F341" s="87">
        <f>E341</f>
        <v>1380000</v>
      </c>
      <c r="G341" s="87"/>
      <c r="H341" s="87">
        <f>H345*H347</f>
        <v>249999.9999993</v>
      </c>
      <c r="I341" s="87"/>
      <c r="J341" s="87">
        <f>H341</f>
        <v>249999.9999993</v>
      </c>
      <c r="K341" s="87">
        <f>K345*K347+1</f>
        <v>1</v>
      </c>
      <c r="L341" s="87">
        <f>L345*L347+1</f>
        <v>1</v>
      </c>
      <c r="M341" s="87">
        <f>M345*M347+1</f>
        <v>1</v>
      </c>
      <c r="N341" s="87"/>
      <c r="O341" s="87"/>
      <c r="P341" s="87"/>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c r="CR341" s="89"/>
      <c r="CS341" s="89"/>
      <c r="CT341" s="89"/>
      <c r="CU341" s="89"/>
      <c r="CV341" s="89"/>
      <c r="CW341" s="89"/>
      <c r="CX341" s="89"/>
      <c r="CY341" s="89"/>
      <c r="CZ341" s="89"/>
      <c r="DA341" s="89"/>
      <c r="DB341" s="89"/>
      <c r="DC341" s="89"/>
      <c r="DD341" s="89"/>
      <c r="DE341" s="89"/>
      <c r="DF341" s="89"/>
      <c r="DG341" s="89"/>
      <c r="DH341" s="89"/>
      <c r="DI341" s="89"/>
      <c r="DJ341" s="89"/>
      <c r="DK341" s="89"/>
      <c r="DL341" s="89"/>
      <c r="DM341" s="89"/>
      <c r="DN341" s="89"/>
      <c r="DO341" s="89"/>
      <c r="DP341" s="89"/>
      <c r="DQ341" s="89"/>
      <c r="DR341" s="89"/>
      <c r="DS341" s="89"/>
      <c r="DT341" s="89"/>
      <c r="DU341" s="89"/>
      <c r="DV341" s="89"/>
      <c r="DW341" s="89"/>
      <c r="DX341" s="89"/>
      <c r="DY341" s="89"/>
      <c r="DZ341" s="89"/>
      <c r="EA341" s="89"/>
      <c r="EB341" s="89"/>
      <c r="EC341" s="89"/>
      <c r="ED341" s="89"/>
      <c r="EE341" s="89"/>
      <c r="EF341" s="89"/>
      <c r="EG341" s="89"/>
      <c r="EH341" s="89"/>
      <c r="EI341" s="89"/>
      <c r="EJ341" s="89"/>
      <c r="EK341" s="89"/>
      <c r="EL341" s="89"/>
      <c r="EM341" s="89"/>
      <c r="EN341" s="89"/>
      <c r="EO341" s="89"/>
      <c r="EP341" s="89"/>
      <c r="EQ341" s="89"/>
      <c r="ER341" s="89"/>
      <c r="ES341" s="89"/>
      <c r="ET341" s="89"/>
      <c r="EU341" s="89"/>
      <c r="EV341" s="89"/>
      <c r="EW341" s="89"/>
      <c r="EX341" s="89"/>
      <c r="EY341" s="89"/>
      <c r="EZ341" s="89"/>
      <c r="FA341" s="89"/>
      <c r="FB341" s="89"/>
      <c r="FC341" s="89"/>
      <c r="FD341" s="89"/>
      <c r="FE341" s="89"/>
      <c r="FF341" s="89"/>
      <c r="FG341" s="89"/>
      <c r="FH341" s="89"/>
      <c r="FI341" s="89"/>
      <c r="FJ341" s="89"/>
      <c r="FK341" s="89"/>
      <c r="FL341" s="89"/>
      <c r="FM341" s="89"/>
      <c r="FN341" s="89"/>
      <c r="FO341" s="89"/>
      <c r="FP341" s="89"/>
      <c r="FQ341" s="89"/>
      <c r="FR341" s="89"/>
      <c r="FS341" s="89"/>
      <c r="FT341" s="89"/>
      <c r="FU341" s="89"/>
      <c r="FV341" s="89"/>
      <c r="FW341" s="89"/>
      <c r="FX341" s="89"/>
      <c r="FY341" s="89"/>
      <c r="FZ341" s="89"/>
      <c r="GA341" s="89"/>
      <c r="GB341" s="89"/>
      <c r="GC341" s="89"/>
      <c r="GD341" s="89"/>
      <c r="GE341" s="89"/>
      <c r="GF341" s="89"/>
      <c r="GG341" s="89"/>
      <c r="GH341" s="89"/>
      <c r="GI341" s="89"/>
      <c r="GJ341" s="89"/>
      <c r="GK341" s="89"/>
      <c r="GL341" s="89"/>
      <c r="GM341" s="89"/>
      <c r="GN341" s="89"/>
      <c r="GO341" s="89"/>
      <c r="GP341" s="89"/>
      <c r="GQ341" s="89"/>
      <c r="GR341" s="89"/>
      <c r="GS341" s="89"/>
      <c r="GT341" s="89"/>
      <c r="GU341" s="89"/>
      <c r="GV341" s="89"/>
      <c r="GW341" s="89"/>
      <c r="GX341" s="89"/>
      <c r="GY341" s="89"/>
      <c r="GZ341" s="89"/>
      <c r="HA341" s="89"/>
      <c r="HB341" s="89"/>
      <c r="HC341" s="89"/>
      <c r="HD341" s="89"/>
      <c r="HE341" s="89"/>
      <c r="HF341" s="89"/>
      <c r="HG341" s="89"/>
      <c r="HH341" s="89"/>
      <c r="HI341" s="89"/>
      <c r="HJ341" s="89"/>
      <c r="HK341" s="89"/>
      <c r="HL341" s="89"/>
      <c r="HM341" s="89"/>
      <c r="HN341" s="89"/>
      <c r="HO341" s="89"/>
      <c r="HP341" s="89"/>
      <c r="HQ341" s="89"/>
      <c r="HR341" s="89"/>
      <c r="HS341" s="89"/>
      <c r="HT341" s="89"/>
      <c r="HU341" s="89"/>
      <c r="HV341" s="89"/>
      <c r="HW341" s="89"/>
      <c r="HX341" s="89"/>
      <c r="HY341" s="89"/>
      <c r="HZ341" s="89"/>
      <c r="IA341" s="89"/>
    </row>
    <row r="342" spans="1:16" ht="9.75" customHeight="1">
      <c r="A342" s="52" t="s">
        <v>4</v>
      </c>
      <c r="B342" s="57"/>
      <c r="C342" s="57"/>
      <c r="D342" s="60"/>
      <c r="E342" s="60"/>
      <c r="F342" s="60"/>
      <c r="G342" s="60"/>
      <c r="H342" s="60"/>
      <c r="I342" s="60"/>
      <c r="J342" s="60"/>
      <c r="K342" s="60"/>
      <c r="L342" s="60"/>
      <c r="M342" s="60"/>
      <c r="N342" s="60"/>
      <c r="O342" s="60"/>
      <c r="P342" s="60"/>
    </row>
    <row r="343" spans="1:16" ht="33.75">
      <c r="A343" s="53" t="s">
        <v>267</v>
      </c>
      <c r="B343" s="57"/>
      <c r="C343" s="57"/>
      <c r="D343" s="60"/>
      <c r="E343" s="60">
        <v>48</v>
      </c>
      <c r="F343" s="60">
        <f>E343</f>
        <v>48</v>
      </c>
      <c r="G343" s="60"/>
      <c r="H343" s="60">
        <v>9</v>
      </c>
      <c r="I343" s="60"/>
      <c r="J343" s="60">
        <f>H343</f>
        <v>9</v>
      </c>
      <c r="K343" s="60"/>
      <c r="L343" s="60"/>
      <c r="M343" s="60"/>
      <c r="N343" s="60"/>
      <c r="O343" s="60"/>
      <c r="P343" s="60"/>
    </row>
    <row r="344" spans="1:16" ht="11.25">
      <c r="A344" s="52" t="s">
        <v>5</v>
      </c>
      <c r="B344" s="57"/>
      <c r="C344" s="57"/>
      <c r="D344" s="60"/>
      <c r="E344" s="60"/>
      <c r="F344" s="60"/>
      <c r="G344" s="60"/>
      <c r="H344" s="60"/>
      <c r="I344" s="60"/>
      <c r="J344" s="60"/>
      <c r="K344" s="60"/>
      <c r="L344" s="60"/>
      <c r="M344" s="60"/>
      <c r="N344" s="60"/>
      <c r="O344" s="60"/>
      <c r="P344" s="60"/>
    </row>
    <row r="345" spans="1:16" ht="27" customHeight="1">
      <c r="A345" s="53" t="s">
        <v>270</v>
      </c>
      <c r="B345" s="57"/>
      <c r="C345" s="57"/>
      <c r="D345" s="60"/>
      <c r="E345" s="60">
        <v>48</v>
      </c>
      <c r="F345" s="60">
        <v>48</v>
      </c>
      <c r="G345" s="60"/>
      <c r="H345" s="60">
        <v>9</v>
      </c>
      <c r="I345" s="60"/>
      <c r="J345" s="60">
        <v>48</v>
      </c>
      <c r="K345" s="60"/>
      <c r="L345" s="60"/>
      <c r="M345" s="60"/>
      <c r="N345" s="60"/>
      <c r="O345" s="60"/>
      <c r="P345" s="60"/>
    </row>
    <row r="346" spans="1:16" ht="11.25">
      <c r="A346" s="52" t="s">
        <v>7</v>
      </c>
      <c r="B346" s="57"/>
      <c r="C346" s="57"/>
      <c r="D346" s="60"/>
      <c r="E346" s="60"/>
      <c r="F346" s="60"/>
      <c r="G346" s="60"/>
      <c r="H346" s="60"/>
      <c r="I346" s="60"/>
      <c r="J346" s="60"/>
      <c r="K346" s="60"/>
      <c r="L346" s="60"/>
      <c r="M346" s="60"/>
      <c r="N346" s="60"/>
      <c r="O346" s="60"/>
      <c r="P346" s="60"/>
    </row>
    <row r="347" spans="1:16" ht="22.5">
      <c r="A347" s="53" t="s">
        <v>268</v>
      </c>
      <c r="B347" s="57"/>
      <c r="C347" s="57"/>
      <c r="D347" s="60"/>
      <c r="E347" s="60">
        <v>28103.5</v>
      </c>
      <c r="F347" s="60">
        <f>E347</f>
        <v>28103.5</v>
      </c>
      <c r="G347" s="60"/>
      <c r="H347" s="60">
        <v>27777.7777777</v>
      </c>
      <c r="I347" s="60"/>
      <c r="J347" s="60">
        <f>H347</f>
        <v>27777.7777777</v>
      </c>
      <c r="K347" s="60"/>
      <c r="L347" s="60"/>
      <c r="M347" s="60"/>
      <c r="N347" s="60"/>
      <c r="O347" s="60"/>
      <c r="P347" s="60"/>
    </row>
    <row r="348" spans="1:16" ht="11.25">
      <c r="A348" s="52" t="s">
        <v>6</v>
      </c>
      <c r="B348" s="58"/>
      <c r="C348" s="58"/>
      <c r="D348" s="60"/>
      <c r="E348" s="62"/>
      <c r="F348" s="62"/>
      <c r="G348" s="60"/>
      <c r="H348" s="62"/>
      <c r="I348" s="62"/>
      <c r="J348" s="62"/>
      <c r="K348" s="62"/>
      <c r="L348" s="62"/>
      <c r="M348" s="62"/>
      <c r="N348" s="60"/>
      <c r="O348" s="62"/>
      <c r="P348" s="62"/>
    </row>
    <row r="349" spans="1:16" ht="48.75" customHeight="1">
      <c r="A349" s="53" t="s">
        <v>269</v>
      </c>
      <c r="B349" s="59"/>
      <c r="C349" s="59"/>
      <c r="D349" s="126"/>
      <c r="E349" s="60">
        <f>E345/E343*100</f>
        <v>100</v>
      </c>
      <c r="F349" s="60">
        <f>E349</f>
        <v>100</v>
      </c>
      <c r="G349" s="60"/>
      <c r="H349" s="60">
        <f>H345/H343*100</f>
        <v>100</v>
      </c>
      <c r="I349" s="60"/>
      <c r="J349" s="60">
        <f>H349</f>
        <v>100</v>
      </c>
      <c r="K349" s="60" t="e">
        <f>(#REF!*#REF!)+(#REF!*#REF!)+(#REF!*#REF!)</f>
        <v>#REF!</v>
      </c>
      <c r="L349" s="60" t="e">
        <f>(#REF!*#REF!)+(#REF!*#REF!)+(#REF!*#REF!)</f>
        <v>#REF!</v>
      </c>
      <c r="M349" s="60" t="e">
        <f>(#REF!*#REF!)+(#REF!*#REF!)+(#REF!*#REF!)</f>
        <v>#REF!</v>
      </c>
      <c r="N349" s="60"/>
      <c r="O349" s="60"/>
      <c r="P349" s="60"/>
    </row>
    <row r="350" spans="1:235" s="90" customFormat="1" ht="33.75">
      <c r="A350" s="80" t="s">
        <v>443</v>
      </c>
      <c r="B350" s="86"/>
      <c r="C350" s="86"/>
      <c r="D350" s="87"/>
      <c r="E350" s="87">
        <f>E351</f>
        <v>1000000</v>
      </c>
      <c r="F350" s="87">
        <f>E350</f>
        <v>1000000</v>
      </c>
      <c r="G350" s="87"/>
      <c r="H350" s="87">
        <f>H351+H373</f>
        <v>7000000</v>
      </c>
      <c r="I350" s="87"/>
      <c r="J350" s="87">
        <f>H350</f>
        <v>7000000</v>
      </c>
      <c r="K350" s="87"/>
      <c r="L350" s="87"/>
      <c r="M350" s="87"/>
      <c r="N350" s="87"/>
      <c r="O350" s="87">
        <f>O351+O373</f>
        <v>17900000</v>
      </c>
      <c r="P350" s="87">
        <f>O350</f>
        <v>17900000</v>
      </c>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c r="CR350" s="89"/>
      <c r="CS350" s="89"/>
      <c r="CT350" s="89"/>
      <c r="CU350" s="89"/>
      <c r="CV350" s="89"/>
      <c r="CW350" s="89"/>
      <c r="CX350" s="89"/>
      <c r="CY350" s="89"/>
      <c r="CZ350" s="89"/>
      <c r="DA350" s="89"/>
      <c r="DB350" s="89"/>
      <c r="DC350" s="89"/>
      <c r="DD350" s="89"/>
      <c r="DE350" s="89"/>
      <c r="DF350" s="89"/>
      <c r="DG350" s="89"/>
      <c r="DH350" s="89"/>
      <c r="DI350" s="89"/>
      <c r="DJ350" s="89"/>
      <c r="DK350" s="89"/>
      <c r="DL350" s="89"/>
      <c r="DM350" s="89"/>
      <c r="DN350" s="89"/>
      <c r="DO350" s="89"/>
      <c r="DP350" s="89"/>
      <c r="DQ350" s="89"/>
      <c r="DR350" s="89"/>
      <c r="DS350" s="89"/>
      <c r="DT350" s="89"/>
      <c r="DU350" s="89"/>
      <c r="DV350" s="89"/>
      <c r="DW350" s="89"/>
      <c r="DX350" s="89"/>
      <c r="DY350" s="89"/>
      <c r="DZ350" s="89"/>
      <c r="EA350" s="89"/>
      <c r="EB350" s="89"/>
      <c r="EC350" s="89"/>
      <c r="ED350" s="89"/>
      <c r="EE350" s="89"/>
      <c r="EF350" s="89"/>
      <c r="EG350" s="89"/>
      <c r="EH350" s="89"/>
      <c r="EI350" s="89"/>
      <c r="EJ350" s="89"/>
      <c r="EK350" s="89"/>
      <c r="EL350" s="89"/>
      <c r="EM350" s="89"/>
      <c r="EN350" s="89"/>
      <c r="EO350" s="89"/>
      <c r="EP350" s="89"/>
      <c r="EQ350" s="89"/>
      <c r="ER350" s="89"/>
      <c r="ES350" s="89"/>
      <c r="ET350" s="89"/>
      <c r="EU350" s="89"/>
      <c r="EV350" s="89"/>
      <c r="EW350" s="89"/>
      <c r="EX350" s="89"/>
      <c r="EY350" s="89"/>
      <c r="EZ350" s="89"/>
      <c r="FA350" s="89"/>
      <c r="FB350" s="89"/>
      <c r="FC350" s="89"/>
      <c r="FD350" s="89"/>
      <c r="FE350" s="89"/>
      <c r="FF350" s="89"/>
      <c r="FG350" s="89"/>
      <c r="FH350" s="89"/>
      <c r="FI350" s="89"/>
      <c r="FJ350" s="89"/>
      <c r="FK350" s="89"/>
      <c r="FL350" s="89"/>
      <c r="FM350" s="89"/>
      <c r="FN350" s="89"/>
      <c r="FO350" s="89"/>
      <c r="FP350" s="89"/>
      <c r="FQ350" s="89"/>
      <c r="FR350" s="89"/>
      <c r="FS350" s="89"/>
      <c r="FT350" s="89"/>
      <c r="FU350" s="89"/>
      <c r="FV350" s="89"/>
      <c r="FW350" s="89"/>
      <c r="FX350" s="89"/>
      <c r="FY350" s="89"/>
      <c r="FZ350" s="89"/>
      <c r="GA350" s="89"/>
      <c r="GB350" s="89"/>
      <c r="GC350" s="89"/>
      <c r="GD350" s="89"/>
      <c r="GE350" s="89"/>
      <c r="GF350" s="89"/>
      <c r="GG350" s="89"/>
      <c r="GH350" s="89"/>
      <c r="GI350" s="89"/>
      <c r="GJ350" s="89"/>
      <c r="GK350" s="89"/>
      <c r="GL350" s="89"/>
      <c r="GM350" s="89"/>
      <c r="GN350" s="89"/>
      <c r="GO350" s="89"/>
      <c r="GP350" s="89"/>
      <c r="GQ350" s="89"/>
      <c r="GR350" s="89"/>
      <c r="GS350" s="89"/>
      <c r="GT350" s="89"/>
      <c r="GU350" s="89"/>
      <c r="GV350" s="89"/>
      <c r="GW350" s="89"/>
      <c r="GX350" s="89"/>
      <c r="GY350" s="89"/>
      <c r="GZ350" s="89"/>
      <c r="HA350" s="89"/>
      <c r="HB350" s="89"/>
      <c r="HC350" s="89"/>
      <c r="HD350" s="89"/>
      <c r="HE350" s="89"/>
      <c r="HF350" s="89"/>
      <c r="HG350" s="89"/>
      <c r="HH350" s="89"/>
      <c r="HI350" s="89"/>
      <c r="HJ350" s="89"/>
      <c r="HK350" s="89"/>
      <c r="HL350" s="89"/>
      <c r="HM350" s="89"/>
      <c r="HN350" s="89"/>
      <c r="HO350" s="89"/>
      <c r="HP350" s="89"/>
      <c r="HQ350" s="89"/>
      <c r="HR350" s="89"/>
      <c r="HS350" s="89"/>
      <c r="HT350" s="89"/>
      <c r="HU350" s="89"/>
      <c r="HV350" s="89"/>
      <c r="HW350" s="89"/>
      <c r="HX350" s="89"/>
      <c r="HY350" s="89"/>
      <c r="HZ350" s="89"/>
      <c r="IA350" s="89"/>
    </row>
    <row r="351" spans="1:235" s="90" customFormat="1" ht="41.25" customHeight="1">
      <c r="A351" s="80" t="s">
        <v>444</v>
      </c>
      <c r="B351" s="86"/>
      <c r="C351" s="86"/>
      <c r="D351" s="87"/>
      <c r="E351" s="87">
        <f>E355*E357+1</f>
        <v>1000000</v>
      </c>
      <c r="F351" s="87">
        <f aca="true" t="shared" si="35" ref="F351:M351">F355*F357+1</f>
        <v>1000000</v>
      </c>
      <c r="G351" s="87"/>
      <c r="H351" s="87">
        <f>H355*H357</f>
        <v>6900000</v>
      </c>
      <c r="I351" s="87"/>
      <c r="J351" s="87">
        <f>H351</f>
        <v>6900000</v>
      </c>
      <c r="K351" s="87">
        <f t="shared" si="35"/>
        <v>1</v>
      </c>
      <c r="L351" s="87">
        <f t="shared" si="35"/>
        <v>1</v>
      </c>
      <c r="M351" s="87">
        <f t="shared" si="35"/>
        <v>1</v>
      </c>
      <c r="N351" s="87"/>
      <c r="O351" s="87">
        <f>O353</f>
        <v>15400000.000000002</v>
      </c>
      <c r="P351" s="87">
        <f>O351</f>
        <v>15400000.000000002</v>
      </c>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c r="CR351" s="89"/>
      <c r="CS351" s="89"/>
      <c r="CT351" s="89"/>
      <c r="CU351" s="89"/>
      <c r="CV351" s="89"/>
      <c r="CW351" s="89"/>
      <c r="CX351" s="89"/>
      <c r="CY351" s="89"/>
      <c r="CZ351" s="89"/>
      <c r="DA351" s="89"/>
      <c r="DB351" s="89"/>
      <c r="DC351" s="89"/>
      <c r="DD351" s="89"/>
      <c r="DE351" s="89"/>
      <c r="DF351" s="89"/>
      <c r="DG351" s="89"/>
      <c r="DH351" s="89"/>
      <c r="DI351" s="89"/>
      <c r="DJ351" s="89"/>
      <c r="DK351" s="89"/>
      <c r="DL351" s="89"/>
      <c r="DM351" s="89"/>
      <c r="DN351" s="89"/>
      <c r="DO351" s="89"/>
      <c r="DP351" s="89"/>
      <c r="DQ351" s="89"/>
      <c r="DR351" s="89"/>
      <c r="DS351" s="89"/>
      <c r="DT351" s="89"/>
      <c r="DU351" s="89"/>
      <c r="DV351" s="89"/>
      <c r="DW351" s="89"/>
      <c r="DX351" s="89"/>
      <c r="DY351" s="89"/>
      <c r="DZ351" s="89"/>
      <c r="EA351" s="89"/>
      <c r="EB351" s="89"/>
      <c r="EC351" s="89"/>
      <c r="ED351" s="89"/>
      <c r="EE351" s="89"/>
      <c r="EF351" s="89"/>
      <c r="EG351" s="89"/>
      <c r="EH351" s="89"/>
      <c r="EI351" s="89"/>
      <c r="EJ351" s="89"/>
      <c r="EK351" s="89"/>
      <c r="EL351" s="89"/>
      <c r="EM351" s="89"/>
      <c r="EN351" s="89"/>
      <c r="EO351" s="89"/>
      <c r="EP351" s="89"/>
      <c r="EQ351" s="89"/>
      <c r="ER351" s="89"/>
      <c r="ES351" s="89"/>
      <c r="ET351" s="89"/>
      <c r="EU351" s="89"/>
      <c r="EV351" s="89"/>
      <c r="EW351" s="89"/>
      <c r="EX351" s="89"/>
      <c r="EY351" s="89"/>
      <c r="EZ351" s="89"/>
      <c r="FA351" s="89"/>
      <c r="FB351" s="89"/>
      <c r="FC351" s="89"/>
      <c r="FD351" s="89"/>
      <c r="FE351" s="89"/>
      <c r="FF351" s="89"/>
      <c r="FG351" s="89"/>
      <c r="FH351" s="89"/>
      <c r="FI351" s="89"/>
      <c r="FJ351" s="89"/>
      <c r="FK351" s="89"/>
      <c r="FL351" s="89"/>
      <c r="FM351" s="89"/>
      <c r="FN351" s="89"/>
      <c r="FO351" s="89"/>
      <c r="FP351" s="89"/>
      <c r="FQ351" s="89"/>
      <c r="FR351" s="89"/>
      <c r="FS351" s="89"/>
      <c r="FT351" s="89"/>
      <c r="FU351" s="89"/>
      <c r="FV351" s="89"/>
      <c r="FW351" s="89"/>
      <c r="FX351" s="89"/>
      <c r="FY351" s="89"/>
      <c r="FZ351" s="89"/>
      <c r="GA351" s="89"/>
      <c r="GB351" s="89"/>
      <c r="GC351" s="89"/>
      <c r="GD351" s="89"/>
      <c r="GE351" s="89"/>
      <c r="GF351" s="89"/>
      <c r="GG351" s="89"/>
      <c r="GH351" s="89"/>
      <c r="GI351" s="89"/>
      <c r="GJ351" s="89"/>
      <c r="GK351" s="89"/>
      <c r="GL351" s="89"/>
      <c r="GM351" s="89"/>
      <c r="GN351" s="89"/>
      <c r="GO351" s="89"/>
      <c r="GP351" s="89"/>
      <c r="GQ351" s="89"/>
      <c r="GR351" s="89"/>
      <c r="GS351" s="89"/>
      <c r="GT351" s="89"/>
      <c r="GU351" s="89"/>
      <c r="GV351" s="89"/>
      <c r="GW351" s="89"/>
      <c r="GX351" s="89"/>
      <c r="GY351" s="89"/>
      <c r="GZ351" s="89"/>
      <c r="HA351" s="89"/>
      <c r="HB351" s="89"/>
      <c r="HC351" s="89"/>
      <c r="HD351" s="89"/>
      <c r="HE351" s="89"/>
      <c r="HF351" s="89"/>
      <c r="HG351" s="89"/>
      <c r="HH351" s="89"/>
      <c r="HI351" s="89"/>
      <c r="HJ351" s="89"/>
      <c r="HK351" s="89"/>
      <c r="HL351" s="89"/>
      <c r="HM351" s="89"/>
      <c r="HN351" s="89"/>
      <c r="HO351" s="89"/>
      <c r="HP351" s="89"/>
      <c r="HQ351" s="89"/>
      <c r="HR351" s="89"/>
      <c r="HS351" s="89"/>
      <c r="HT351" s="89"/>
      <c r="HU351" s="89"/>
      <c r="HV351" s="89"/>
      <c r="HW351" s="89"/>
      <c r="HX351" s="89"/>
      <c r="HY351" s="89"/>
      <c r="HZ351" s="89"/>
      <c r="IA351" s="89"/>
    </row>
    <row r="352" spans="1:16" ht="11.25">
      <c r="A352" s="52" t="s">
        <v>4</v>
      </c>
      <c r="B352" s="57"/>
      <c r="C352" s="57"/>
      <c r="D352" s="60"/>
      <c r="E352" s="60"/>
      <c r="F352" s="60"/>
      <c r="G352" s="60"/>
      <c r="H352" s="60"/>
      <c r="I352" s="60"/>
      <c r="J352" s="60"/>
      <c r="K352" s="60"/>
      <c r="L352" s="60"/>
      <c r="M352" s="60"/>
      <c r="N352" s="60"/>
      <c r="O352" s="60"/>
      <c r="P352" s="60"/>
    </row>
    <row r="353" spans="1:16" ht="22.5">
      <c r="A353" s="53" t="s">
        <v>375</v>
      </c>
      <c r="B353" s="57"/>
      <c r="C353" s="57"/>
      <c r="D353" s="60"/>
      <c r="E353" s="60">
        <v>10</v>
      </c>
      <c r="F353" s="60">
        <f>E353</f>
        <v>10</v>
      </c>
      <c r="G353" s="60"/>
      <c r="H353" s="60">
        <f>H355*H357</f>
        <v>6900000</v>
      </c>
      <c r="I353" s="60"/>
      <c r="J353" s="60">
        <f>H353</f>
        <v>6900000</v>
      </c>
      <c r="K353" s="60"/>
      <c r="L353" s="60"/>
      <c r="M353" s="60"/>
      <c r="N353" s="60"/>
      <c r="O353" s="60">
        <f>O355*O357+0.22</f>
        <v>15400000.000000002</v>
      </c>
      <c r="P353" s="60">
        <f>O353</f>
        <v>15400000.000000002</v>
      </c>
    </row>
    <row r="354" spans="1:16" ht="11.25">
      <c r="A354" s="52" t="s">
        <v>5</v>
      </c>
      <c r="B354" s="57"/>
      <c r="C354" s="57"/>
      <c r="D354" s="60"/>
      <c r="E354" s="60"/>
      <c r="F354" s="60"/>
      <c r="G354" s="60"/>
      <c r="H354" s="60"/>
      <c r="I354" s="60"/>
      <c r="J354" s="60"/>
      <c r="K354" s="60"/>
      <c r="L354" s="60"/>
      <c r="M354" s="60"/>
      <c r="N354" s="60"/>
      <c r="O354" s="60"/>
      <c r="P354" s="60"/>
    </row>
    <row r="355" spans="1:16" ht="22.5">
      <c r="A355" s="53" t="s">
        <v>374</v>
      </c>
      <c r="B355" s="57"/>
      <c r="C355" s="57"/>
      <c r="D355" s="60"/>
      <c r="E355" s="60">
        <v>3</v>
      </c>
      <c r="F355" s="60">
        <f>E355</f>
        <v>3</v>
      </c>
      <c r="G355" s="60"/>
      <c r="H355" s="60">
        <v>23</v>
      </c>
      <c r="I355" s="60"/>
      <c r="J355" s="60">
        <f>H355</f>
        <v>23</v>
      </c>
      <c r="K355" s="60"/>
      <c r="L355" s="60"/>
      <c r="M355" s="60"/>
      <c r="N355" s="60"/>
      <c r="O355" s="60">
        <v>51</v>
      </c>
      <c r="P355" s="60">
        <f>O355</f>
        <v>51</v>
      </c>
    </row>
    <row r="356" spans="1:16" ht="11.25">
      <c r="A356" s="52" t="s">
        <v>7</v>
      </c>
      <c r="B356" s="57"/>
      <c r="C356" s="57"/>
      <c r="D356" s="60"/>
      <c r="E356" s="60"/>
      <c r="F356" s="60"/>
      <c r="G356" s="60"/>
      <c r="H356" s="60"/>
      <c r="I356" s="60"/>
      <c r="J356" s="60"/>
      <c r="K356" s="60"/>
      <c r="L356" s="60"/>
      <c r="M356" s="60"/>
      <c r="N356" s="60"/>
      <c r="O356" s="60"/>
      <c r="P356" s="60"/>
    </row>
    <row r="357" spans="1:16" ht="22.5">
      <c r="A357" s="53" t="s">
        <v>174</v>
      </c>
      <c r="B357" s="57"/>
      <c r="C357" s="57"/>
      <c r="D357" s="60"/>
      <c r="E357" s="60">
        <v>333333</v>
      </c>
      <c r="F357" s="60">
        <f>E357</f>
        <v>333333</v>
      </c>
      <c r="G357" s="60"/>
      <c r="H357" s="60">
        <v>300000</v>
      </c>
      <c r="I357" s="60"/>
      <c r="J357" s="60">
        <f>H357</f>
        <v>300000</v>
      </c>
      <c r="K357" s="60"/>
      <c r="L357" s="60"/>
      <c r="M357" s="60"/>
      <c r="N357" s="60"/>
      <c r="O357" s="60">
        <v>301960.78</v>
      </c>
      <c r="P357" s="60">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4"/>
      <c r="L358" s="54"/>
      <c r="M358" s="54"/>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2" t="s">
        <v>4</v>
      </c>
      <c r="B360" s="57"/>
      <c r="C360" s="57"/>
      <c r="D360" s="60"/>
      <c r="E360" s="60"/>
      <c r="F360" s="60"/>
      <c r="G360" s="60"/>
      <c r="H360" s="60"/>
      <c r="I360" s="60"/>
      <c r="J360" s="60"/>
      <c r="K360" s="60"/>
      <c r="L360" s="60"/>
      <c r="M360" s="60"/>
      <c r="N360" s="60"/>
      <c r="O360" s="60"/>
      <c r="P360" s="60"/>
    </row>
    <row r="361" spans="1:16" ht="24.75" customHeight="1" hidden="1">
      <c r="A361" s="53" t="s">
        <v>172</v>
      </c>
      <c r="B361" s="57"/>
      <c r="C361" s="57"/>
      <c r="D361" s="60"/>
      <c r="E361" s="60">
        <v>10</v>
      </c>
      <c r="F361" s="60">
        <f>E361</f>
        <v>10</v>
      </c>
      <c r="G361" s="60"/>
      <c r="H361" s="60">
        <v>10</v>
      </c>
      <c r="I361" s="60"/>
      <c r="J361" s="60">
        <f>H361</f>
        <v>10</v>
      </c>
      <c r="K361" s="60"/>
      <c r="L361" s="60"/>
      <c r="M361" s="60"/>
      <c r="N361" s="60"/>
      <c r="O361" s="60">
        <v>10</v>
      </c>
      <c r="P361" s="60">
        <f>O361</f>
        <v>10</v>
      </c>
    </row>
    <row r="362" spans="1:16" ht="15" customHeight="1" hidden="1">
      <c r="A362" s="52" t="s">
        <v>5</v>
      </c>
      <c r="B362" s="57"/>
      <c r="C362" s="57"/>
      <c r="D362" s="60"/>
      <c r="E362" s="60"/>
      <c r="F362" s="60"/>
      <c r="G362" s="60"/>
      <c r="H362" s="60"/>
      <c r="I362" s="60"/>
      <c r="J362" s="60"/>
      <c r="K362" s="60"/>
      <c r="L362" s="60"/>
      <c r="M362" s="60"/>
      <c r="N362" s="60"/>
      <c r="O362" s="60"/>
      <c r="P362" s="60"/>
    </row>
    <row r="363" spans="1:16" ht="12.75" customHeight="1" hidden="1">
      <c r="A363" s="53" t="s">
        <v>173</v>
      </c>
      <c r="B363" s="57"/>
      <c r="C363" s="57"/>
      <c r="D363" s="60"/>
      <c r="E363" s="60">
        <v>3</v>
      </c>
      <c r="F363" s="60">
        <f>E363</f>
        <v>3</v>
      </c>
      <c r="G363" s="60"/>
      <c r="H363" s="60">
        <v>3</v>
      </c>
      <c r="I363" s="60"/>
      <c r="J363" s="60">
        <f>H363</f>
        <v>3</v>
      </c>
      <c r="K363" s="60"/>
      <c r="L363" s="60"/>
      <c r="M363" s="60"/>
      <c r="N363" s="60"/>
      <c r="O363" s="60">
        <v>4</v>
      </c>
      <c r="P363" s="60">
        <f>O363</f>
        <v>4</v>
      </c>
    </row>
    <row r="364" spans="1:16" ht="16.5" customHeight="1" hidden="1">
      <c r="A364" s="52" t="s">
        <v>7</v>
      </c>
      <c r="B364" s="57"/>
      <c r="C364" s="57"/>
      <c r="D364" s="60"/>
      <c r="E364" s="60"/>
      <c r="F364" s="60"/>
      <c r="G364" s="60"/>
      <c r="H364" s="60"/>
      <c r="I364" s="60"/>
      <c r="J364" s="60"/>
      <c r="K364" s="60"/>
      <c r="L364" s="60"/>
      <c r="M364" s="60"/>
      <c r="N364" s="60"/>
      <c r="O364" s="60"/>
      <c r="P364" s="60"/>
    </row>
    <row r="365" spans="1:16" ht="30" customHeight="1" hidden="1">
      <c r="A365" s="53" t="s">
        <v>174</v>
      </c>
      <c r="B365" s="57"/>
      <c r="C365" s="57"/>
      <c r="D365" s="60"/>
      <c r="E365" s="60">
        <v>333333</v>
      </c>
      <c r="F365" s="60">
        <f>E365</f>
        <v>333333</v>
      </c>
      <c r="G365" s="60"/>
      <c r="H365" s="60">
        <v>440000</v>
      </c>
      <c r="I365" s="60"/>
      <c r="J365" s="60">
        <f>H365</f>
        <v>440000</v>
      </c>
      <c r="K365" s="60"/>
      <c r="L365" s="60"/>
      <c r="M365" s="60"/>
      <c r="N365" s="60"/>
      <c r="O365" s="60">
        <v>395000</v>
      </c>
      <c r="P365" s="60">
        <f>O365</f>
        <v>395000</v>
      </c>
    </row>
    <row r="366" spans="1:16" ht="15" customHeight="1" hidden="1">
      <c r="A366" s="52" t="s">
        <v>6</v>
      </c>
      <c r="B366" s="58"/>
      <c r="C366" s="58"/>
      <c r="D366" s="60"/>
      <c r="E366" s="62"/>
      <c r="F366" s="62"/>
      <c r="G366" s="60"/>
      <c r="H366" s="62"/>
      <c r="I366" s="62"/>
      <c r="J366" s="62"/>
      <c r="K366" s="62"/>
      <c r="L366" s="62"/>
      <c r="M366" s="62"/>
      <c r="N366" s="60"/>
      <c r="O366" s="62"/>
      <c r="P366" s="62"/>
    </row>
    <row r="367" spans="1:16" ht="53.25" customHeight="1" hidden="1">
      <c r="A367" s="53" t="s">
        <v>192</v>
      </c>
      <c r="B367" s="59"/>
      <c r="C367" s="59"/>
      <c r="D367" s="126"/>
      <c r="E367" s="60">
        <f>E363/E361*100</f>
        <v>30</v>
      </c>
      <c r="F367" s="60">
        <f>E367</f>
        <v>30</v>
      </c>
      <c r="G367" s="60"/>
      <c r="H367" s="60">
        <f>H363/H361*100</f>
        <v>30</v>
      </c>
      <c r="I367" s="60"/>
      <c r="J367" s="60">
        <f>H367</f>
        <v>30</v>
      </c>
      <c r="K367" s="60" t="e">
        <f>(#REF!*#REF!)+(#REF!*#REF!)+(#REF!*#REF!)</f>
        <v>#REF!</v>
      </c>
      <c r="L367" s="60" t="e">
        <f>(#REF!*#REF!)+(#REF!*#REF!)+(#REF!*#REF!)</f>
        <v>#REF!</v>
      </c>
      <c r="M367" s="60" t="e">
        <f>(#REF!*#REF!)+(#REF!*#REF!)+(#REF!*#REF!)</f>
        <v>#REF!</v>
      </c>
      <c r="N367" s="60"/>
      <c r="O367" s="60">
        <f>O363/O361*100</f>
        <v>40</v>
      </c>
      <c r="P367" s="60">
        <f>O367</f>
        <v>40</v>
      </c>
    </row>
    <row r="368" spans="1:16" ht="21.75" customHeight="1" hidden="1">
      <c r="A368" s="53"/>
      <c r="B368" s="59"/>
      <c r="C368" s="59"/>
      <c r="D368" s="126"/>
      <c r="E368" s="60"/>
      <c r="F368" s="60"/>
      <c r="G368" s="60"/>
      <c r="H368" s="60"/>
      <c r="I368" s="60"/>
      <c r="J368" s="60"/>
      <c r="K368" s="60"/>
      <c r="L368" s="60"/>
      <c r="M368" s="60"/>
      <c r="N368" s="60"/>
      <c r="O368" s="60"/>
      <c r="P368" s="60"/>
    </row>
    <row r="369" spans="1:16" ht="54" customHeight="1" hidden="1">
      <c r="A369" s="53"/>
      <c r="B369" s="59"/>
      <c r="C369" s="59"/>
      <c r="D369" s="126"/>
      <c r="E369" s="60"/>
      <c r="F369" s="60"/>
      <c r="G369" s="60"/>
      <c r="H369" s="60"/>
      <c r="I369" s="60"/>
      <c r="J369" s="60"/>
      <c r="K369" s="60"/>
      <c r="L369" s="60"/>
      <c r="M369" s="60"/>
      <c r="N369" s="60"/>
      <c r="O369" s="60"/>
      <c r="P369" s="60"/>
    </row>
    <row r="370" spans="1:16" ht="54" customHeight="1" hidden="1">
      <c r="A370" s="53"/>
      <c r="B370" s="59"/>
      <c r="C370" s="59"/>
      <c r="D370" s="126"/>
      <c r="E370" s="60"/>
      <c r="F370" s="60"/>
      <c r="G370" s="60"/>
      <c r="H370" s="60"/>
      <c r="I370" s="60"/>
      <c r="J370" s="60"/>
      <c r="K370" s="60"/>
      <c r="L370" s="60"/>
      <c r="M370" s="60"/>
      <c r="N370" s="60"/>
      <c r="O370" s="60"/>
      <c r="P370" s="60"/>
    </row>
    <row r="371" spans="1:16" ht="54" customHeight="1" hidden="1">
      <c r="A371" s="53"/>
      <c r="B371" s="59"/>
      <c r="C371" s="59"/>
      <c r="D371" s="126"/>
      <c r="E371" s="60"/>
      <c r="F371" s="60"/>
      <c r="G371" s="60"/>
      <c r="H371" s="60"/>
      <c r="I371" s="60"/>
      <c r="J371" s="60"/>
      <c r="K371" s="60"/>
      <c r="L371" s="60"/>
      <c r="M371" s="60"/>
      <c r="N371" s="60"/>
      <c r="O371" s="60"/>
      <c r="P371" s="60"/>
    </row>
    <row r="372" spans="1:16" ht="54" customHeight="1" hidden="1">
      <c r="A372" s="53"/>
      <c r="B372" s="59"/>
      <c r="C372" s="59"/>
      <c r="D372" s="126"/>
      <c r="E372" s="60"/>
      <c r="F372" s="60"/>
      <c r="G372" s="60"/>
      <c r="H372" s="60"/>
      <c r="I372" s="60"/>
      <c r="J372" s="60"/>
      <c r="K372" s="60"/>
      <c r="L372" s="60"/>
      <c r="M372" s="60"/>
      <c r="N372" s="60"/>
      <c r="O372" s="60"/>
      <c r="P372" s="60"/>
    </row>
    <row r="373" spans="1:16" ht="40.5" customHeight="1">
      <c r="A373" s="80" t="s">
        <v>445</v>
      </c>
      <c r="B373" s="164"/>
      <c r="C373" s="164"/>
      <c r="D373" s="148"/>
      <c r="E373" s="76"/>
      <c r="F373" s="76"/>
      <c r="G373" s="76"/>
      <c r="H373" s="148">
        <f>H375</f>
        <v>100000</v>
      </c>
      <c r="I373" s="148">
        <f aca="true" t="shared" si="36" ref="I373:P373">I375</f>
        <v>0</v>
      </c>
      <c r="J373" s="148">
        <f t="shared" si="36"/>
        <v>100000</v>
      </c>
      <c r="K373" s="148">
        <f t="shared" si="36"/>
        <v>0</v>
      </c>
      <c r="L373" s="148">
        <f t="shared" si="36"/>
        <v>0</v>
      </c>
      <c r="M373" s="148">
        <f t="shared" si="36"/>
        <v>0</v>
      </c>
      <c r="N373" s="148">
        <f t="shared" si="36"/>
        <v>0</v>
      </c>
      <c r="O373" s="148">
        <f t="shared" si="36"/>
        <v>2500000</v>
      </c>
      <c r="P373" s="148">
        <f t="shared" si="36"/>
        <v>2500000</v>
      </c>
    </row>
    <row r="374" spans="1:16" ht="17.25" customHeight="1">
      <c r="A374" s="52" t="s">
        <v>4</v>
      </c>
      <c r="B374" s="59"/>
      <c r="C374" s="59"/>
      <c r="D374" s="126"/>
      <c r="E374" s="60"/>
      <c r="F374" s="60"/>
      <c r="G374" s="60"/>
      <c r="H374" s="60"/>
      <c r="I374" s="60"/>
      <c r="J374" s="60"/>
      <c r="K374" s="60"/>
      <c r="L374" s="60"/>
      <c r="M374" s="60"/>
      <c r="N374" s="60"/>
      <c r="O374" s="60"/>
      <c r="P374" s="60"/>
    </row>
    <row r="375" spans="1:16" ht="25.5" customHeight="1">
      <c r="A375" s="53" t="s">
        <v>376</v>
      </c>
      <c r="B375" s="59"/>
      <c r="C375" s="59"/>
      <c r="D375" s="126"/>
      <c r="E375" s="60"/>
      <c r="F375" s="60"/>
      <c r="G375" s="60"/>
      <c r="H375" s="60">
        <f>H377*H379</f>
        <v>100000</v>
      </c>
      <c r="I375" s="60"/>
      <c r="J375" s="60">
        <f>H375</f>
        <v>100000</v>
      </c>
      <c r="K375" s="60"/>
      <c r="L375" s="60"/>
      <c r="M375" s="60"/>
      <c r="N375" s="60"/>
      <c r="O375" s="60">
        <f>1500000+1000000</f>
        <v>2500000</v>
      </c>
      <c r="P375" s="60">
        <f>O375</f>
        <v>2500000</v>
      </c>
    </row>
    <row r="376" spans="1:16" ht="15.75" customHeight="1">
      <c r="A376" s="52" t="s">
        <v>5</v>
      </c>
      <c r="B376" s="59"/>
      <c r="C376" s="59"/>
      <c r="D376" s="126"/>
      <c r="E376" s="60"/>
      <c r="F376" s="60"/>
      <c r="G376" s="60"/>
      <c r="H376" s="60"/>
      <c r="I376" s="60"/>
      <c r="J376" s="60"/>
      <c r="K376" s="60"/>
      <c r="L376" s="60"/>
      <c r="M376" s="60"/>
      <c r="N376" s="60"/>
      <c r="O376" s="60"/>
      <c r="P376" s="60"/>
    </row>
    <row r="377" spans="1:16" ht="25.5" customHeight="1">
      <c r="A377" s="53" t="s">
        <v>173</v>
      </c>
      <c r="B377" s="59"/>
      <c r="C377" s="59"/>
      <c r="D377" s="126"/>
      <c r="E377" s="60"/>
      <c r="F377" s="60"/>
      <c r="G377" s="60"/>
      <c r="H377" s="60">
        <v>1</v>
      </c>
      <c r="I377" s="60"/>
      <c r="J377" s="60">
        <f>H377</f>
        <v>1</v>
      </c>
      <c r="K377" s="60"/>
      <c r="L377" s="60"/>
      <c r="M377" s="60"/>
      <c r="N377" s="60"/>
      <c r="O377" s="60">
        <v>16</v>
      </c>
      <c r="P377" s="60">
        <v>16</v>
      </c>
    </row>
    <row r="378" spans="1:16" ht="15.75" customHeight="1">
      <c r="A378" s="52" t="s">
        <v>7</v>
      </c>
      <c r="B378" s="59"/>
      <c r="C378" s="59"/>
      <c r="D378" s="126"/>
      <c r="E378" s="60"/>
      <c r="F378" s="60"/>
      <c r="G378" s="60"/>
      <c r="H378" s="60"/>
      <c r="I378" s="60"/>
      <c r="J378" s="60"/>
      <c r="K378" s="60"/>
      <c r="L378" s="60"/>
      <c r="M378" s="60"/>
      <c r="N378" s="60"/>
      <c r="O378" s="60"/>
      <c r="P378" s="60"/>
    </row>
    <row r="379" spans="1:16" ht="37.5" customHeight="1">
      <c r="A379" s="53" t="s">
        <v>377</v>
      </c>
      <c r="B379" s="59"/>
      <c r="C379" s="59"/>
      <c r="D379" s="126"/>
      <c r="E379" s="60"/>
      <c r="F379" s="60"/>
      <c r="G379" s="60"/>
      <c r="H379" s="60">
        <v>100000</v>
      </c>
      <c r="I379" s="60"/>
      <c r="J379" s="60">
        <f>H379</f>
        <v>100000</v>
      </c>
      <c r="K379" s="60"/>
      <c r="L379" s="60"/>
      <c r="M379" s="60"/>
      <c r="N379" s="60"/>
      <c r="O379" s="60">
        <f>300000*0.3</f>
        <v>90000</v>
      </c>
      <c r="P379" s="60">
        <f>300000*0.3</f>
        <v>90000</v>
      </c>
    </row>
    <row r="380" spans="1:235" s="83" customFormat="1" ht="16.5" customHeight="1">
      <c r="A380" s="105" t="s">
        <v>418</v>
      </c>
      <c r="B380" s="105"/>
      <c r="C380" s="105"/>
      <c r="D380" s="116">
        <f>D381+D382+D383</f>
        <v>1889680.002</v>
      </c>
      <c r="E380" s="116"/>
      <c r="F380" s="116">
        <f>F381+F382+F383</f>
        <v>1889680.002</v>
      </c>
      <c r="G380" s="116">
        <f aca="true" t="shared" si="37" ref="G380:N380">G381+G382+G383</f>
        <v>2339999.9981235997</v>
      </c>
      <c r="H380" s="116">
        <f t="shared" si="37"/>
        <v>0</v>
      </c>
      <c r="I380" s="116">
        <f t="shared" si="37"/>
        <v>0</v>
      </c>
      <c r="J380" s="116">
        <f t="shared" si="37"/>
        <v>2339999.9981235997</v>
      </c>
      <c r="K380" s="116" t="e">
        <f t="shared" si="37"/>
        <v>#REF!</v>
      </c>
      <c r="L380" s="116">
        <f t="shared" si="37"/>
        <v>0</v>
      </c>
      <c r="M380" s="116">
        <f t="shared" si="37"/>
        <v>0</v>
      </c>
      <c r="N380" s="116">
        <f t="shared" si="37"/>
        <v>3134717.9999869997</v>
      </c>
      <c r="O380" s="116">
        <f>O381+O382+O383</f>
        <v>0</v>
      </c>
      <c r="P380" s="116">
        <f>P381+P382+P383</f>
        <v>3134717.9999869997</v>
      </c>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c r="CA380" s="118"/>
      <c r="CB380" s="118"/>
      <c r="CC380" s="118"/>
      <c r="CD380" s="118"/>
      <c r="CE380" s="118"/>
      <c r="CF380" s="118"/>
      <c r="CG380" s="118"/>
      <c r="CH380" s="118"/>
      <c r="CI380" s="118"/>
      <c r="CJ380" s="118"/>
      <c r="CK380" s="118"/>
      <c r="CL380" s="118"/>
      <c r="CM380" s="118"/>
      <c r="CN380" s="118"/>
      <c r="CO380" s="118"/>
      <c r="CP380" s="118"/>
      <c r="CQ380" s="118"/>
      <c r="CR380" s="118"/>
      <c r="CS380" s="118"/>
      <c r="CT380" s="118"/>
      <c r="CU380" s="118"/>
      <c r="CV380" s="118"/>
      <c r="CW380" s="118"/>
      <c r="CX380" s="118"/>
      <c r="CY380" s="118"/>
      <c r="CZ380" s="118"/>
      <c r="DA380" s="118"/>
      <c r="DB380" s="118"/>
      <c r="DC380" s="118"/>
      <c r="DD380" s="118"/>
      <c r="DE380" s="118"/>
      <c r="DF380" s="118"/>
      <c r="DG380" s="118"/>
      <c r="DH380" s="118"/>
      <c r="DI380" s="118"/>
      <c r="DJ380" s="118"/>
      <c r="DK380" s="118"/>
      <c r="DL380" s="118"/>
      <c r="DM380" s="118"/>
      <c r="DN380" s="118"/>
      <c r="DO380" s="118"/>
      <c r="DP380" s="118"/>
      <c r="DQ380" s="118"/>
      <c r="DR380" s="118"/>
      <c r="DS380" s="118"/>
      <c r="DT380" s="118"/>
      <c r="DU380" s="118"/>
      <c r="DV380" s="118"/>
      <c r="DW380" s="118"/>
      <c r="DX380" s="118"/>
      <c r="DY380" s="118"/>
      <c r="DZ380" s="118"/>
      <c r="EA380" s="118"/>
      <c r="EB380" s="118"/>
      <c r="EC380" s="118"/>
      <c r="ED380" s="118"/>
      <c r="EE380" s="118"/>
      <c r="EF380" s="118"/>
      <c r="EG380" s="118"/>
      <c r="EH380" s="118"/>
      <c r="EI380" s="118"/>
      <c r="EJ380" s="118"/>
      <c r="EK380" s="118"/>
      <c r="EL380" s="118"/>
      <c r="EM380" s="118"/>
      <c r="EN380" s="118"/>
      <c r="EO380" s="118"/>
      <c r="EP380" s="118"/>
      <c r="EQ380" s="118"/>
      <c r="ER380" s="118"/>
      <c r="ES380" s="118"/>
      <c r="ET380" s="118"/>
      <c r="EU380" s="118"/>
      <c r="EV380" s="118"/>
      <c r="EW380" s="118"/>
      <c r="EX380" s="118"/>
      <c r="EY380" s="118"/>
      <c r="EZ380" s="118"/>
      <c r="FA380" s="118"/>
      <c r="FB380" s="118"/>
      <c r="FC380" s="118"/>
      <c r="FD380" s="118"/>
      <c r="FE380" s="118"/>
      <c r="FF380" s="118"/>
      <c r="FG380" s="118"/>
      <c r="FH380" s="118"/>
      <c r="FI380" s="118"/>
      <c r="FJ380" s="118"/>
      <c r="FK380" s="118"/>
      <c r="FL380" s="118"/>
      <c r="FM380" s="118"/>
      <c r="FN380" s="118"/>
      <c r="FO380" s="118"/>
      <c r="FP380" s="118"/>
      <c r="FQ380" s="118"/>
      <c r="FR380" s="118"/>
      <c r="FS380" s="118"/>
      <c r="FT380" s="118"/>
      <c r="FU380" s="118"/>
      <c r="FV380" s="118"/>
      <c r="FW380" s="118"/>
      <c r="FX380" s="118"/>
      <c r="FY380" s="118"/>
      <c r="FZ380" s="118"/>
      <c r="GA380" s="118"/>
      <c r="GB380" s="118"/>
      <c r="GC380" s="118"/>
      <c r="GD380" s="118"/>
      <c r="GE380" s="118"/>
      <c r="GF380" s="118"/>
      <c r="GG380" s="118"/>
      <c r="GH380" s="118"/>
      <c r="GI380" s="118"/>
      <c r="GJ380" s="118"/>
      <c r="GK380" s="118"/>
      <c r="GL380" s="118"/>
      <c r="GM380" s="118"/>
      <c r="GN380" s="118"/>
      <c r="GO380" s="118"/>
      <c r="GP380" s="118"/>
      <c r="GQ380" s="118"/>
      <c r="GR380" s="118"/>
      <c r="GS380" s="118"/>
      <c r="GT380" s="118"/>
      <c r="GU380" s="118"/>
      <c r="GV380" s="118"/>
      <c r="GW380" s="118"/>
      <c r="GX380" s="118"/>
      <c r="GY380" s="118"/>
      <c r="GZ380" s="118"/>
      <c r="HA380" s="118"/>
      <c r="HB380" s="118"/>
      <c r="HC380" s="118"/>
      <c r="HD380" s="118"/>
      <c r="HE380" s="118"/>
      <c r="HF380" s="118"/>
      <c r="HG380" s="118"/>
      <c r="HH380" s="118"/>
      <c r="HI380" s="118"/>
      <c r="HJ380" s="118"/>
      <c r="HK380" s="118"/>
      <c r="HL380" s="118"/>
      <c r="HM380" s="118"/>
      <c r="HN380" s="118"/>
      <c r="HO380" s="118"/>
      <c r="HP380" s="118"/>
      <c r="HQ380" s="118"/>
      <c r="HR380" s="118"/>
      <c r="HS380" s="118"/>
      <c r="HT380" s="118"/>
      <c r="HU380" s="118"/>
      <c r="HV380" s="118"/>
      <c r="HW380" s="118"/>
      <c r="HX380" s="118"/>
      <c r="HY380" s="118"/>
      <c r="HZ380" s="118"/>
      <c r="IA380" s="118"/>
    </row>
    <row r="381" spans="1:235" s="83" customFormat="1" ht="13.5" customHeight="1">
      <c r="A381" s="105" t="s">
        <v>86</v>
      </c>
      <c r="B381" s="105"/>
      <c r="C381" s="105"/>
      <c r="D381" s="116">
        <f>D385+D392+D440+D454</f>
        <v>1536000.002</v>
      </c>
      <c r="E381" s="116"/>
      <c r="F381" s="116">
        <f>F385+F392+F440+F454</f>
        <v>1536000.002</v>
      </c>
      <c r="G381" s="116">
        <f>G385+G392+G445+G454+G440</f>
        <v>2119999.9981255997</v>
      </c>
      <c r="H381" s="116">
        <f aca="true" t="shared" si="38" ref="H381:M381">H385+H392</f>
        <v>0</v>
      </c>
      <c r="I381" s="116">
        <f>I385+I392</f>
        <v>0</v>
      </c>
      <c r="J381" s="116">
        <f>J385+J392+J445+J454+J440</f>
        <v>2119999.9981255997</v>
      </c>
      <c r="K381" s="116" t="e">
        <f t="shared" si="38"/>
        <v>#REF!</v>
      </c>
      <c r="L381" s="116">
        <f t="shared" si="38"/>
        <v>0</v>
      </c>
      <c r="M381" s="116">
        <f t="shared" si="38"/>
        <v>0</v>
      </c>
      <c r="N381" s="116">
        <f>N385+N392+N445+N454+N440</f>
        <v>2554999.9999869997</v>
      </c>
      <c r="O381" s="116">
        <f>O385+O392</f>
        <v>0</v>
      </c>
      <c r="P381" s="116">
        <f>N381+O381</f>
        <v>2554999.9999869997</v>
      </c>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c r="CA381" s="118"/>
      <c r="CB381" s="118"/>
      <c r="CC381" s="118"/>
      <c r="CD381" s="118"/>
      <c r="CE381" s="118"/>
      <c r="CF381" s="118"/>
      <c r="CG381" s="118"/>
      <c r="CH381" s="118"/>
      <c r="CI381" s="118"/>
      <c r="CJ381" s="118"/>
      <c r="CK381" s="118"/>
      <c r="CL381" s="118"/>
      <c r="CM381" s="118"/>
      <c r="CN381" s="118"/>
      <c r="CO381" s="118"/>
      <c r="CP381" s="118"/>
      <c r="CQ381" s="118"/>
      <c r="CR381" s="118"/>
      <c r="CS381" s="118"/>
      <c r="CT381" s="118"/>
      <c r="CU381" s="118"/>
      <c r="CV381" s="118"/>
      <c r="CW381" s="118"/>
      <c r="CX381" s="118"/>
      <c r="CY381" s="118"/>
      <c r="CZ381" s="118"/>
      <c r="DA381" s="118"/>
      <c r="DB381" s="118"/>
      <c r="DC381" s="118"/>
      <c r="DD381" s="118"/>
      <c r="DE381" s="118"/>
      <c r="DF381" s="118"/>
      <c r="DG381" s="118"/>
      <c r="DH381" s="118"/>
      <c r="DI381" s="118"/>
      <c r="DJ381" s="118"/>
      <c r="DK381" s="118"/>
      <c r="DL381" s="118"/>
      <c r="DM381" s="118"/>
      <c r="DN381" s="118"/>
      <c r="DO381" s="118"/>
      <c r="DP381" s="118"/>
      <c r="DQ381" s="118"/>
      <c r="DR381" s="118"/>
      <c r="DS381" s="118"/>
      <c r="DT381" s="118"/>
      <c r="DU381" s="118"/>
      <c r="DV381" s="118"/>
      <c r="DW381" s="118"/>
      <c r="DX381" s="118"/>
      <c r="DY381" s="118"/>
      <c r="DZ381" s="118"/>
      <c r="EA381" s="118"/>
      <c r="EB381" s="118"/>
      <c r="EC381" s="118"/>
      <c r="ED381" s="118"/>
      <c r="EE381" s="118"/>
      <c r="EF381" s="118"/>
      <c r="EG381" s="118"/>
      <c r="EH381" s="118"/>
      <c r="EI381" s="118"/>
      <c r="EJ381" s="118"/>
      <c r="EK381" s="118"/>
      <c r="EL381" s="118"/>
      <c r="EM381" s="118"/>
      <c r="EN381" s="118"/>
      <c r="EO381" s="118"/>
      <c r="EP381" s="118"/>
      <c r="EQ381" s="118"/>
      <c r="ER381" s="118"/>
      <c r="ES381" s="118"/>
      <c r="ET381" s="118"/>
      <c r="EU381" s="118"/>
      <c r="EV381" s="118"/>
      <c r="EW381" s="118"/>
      <c r="EX381" s="118"/>
      <c r="EY381" s="118"/>
      <c r="EZ381" s="118"/>
      <c r="FA381" s="118"/>
      <c r="FB381" s="118"/>
      <c r="FC381" s="118"/>
      <c r="FD381" s="118"/>
      <c r="FE381" s="118"/>
      <c r="FF381" s="118"/>
      <c r="FG381" s="118"/>
      <c r="FH381" s="118"/>
      <c r="FI381" s="118"/>
      <c r="FJ381" s="118"/>
      <c r="FK381" s="118"/>
      <c r="FL381" s="118"/>
      <c r="FM381" s="118"/>
      <c r="FN381" s="118"/>
      <c r="FO381" s="118"/>
      <c r="FP381" s="118"/>
      <c r="FQ381" s="118"/>
      <c r="FR381" s="118"/>
      <c r="FS381" s="118"/>
      <c r="FT381" s="118"/>
      <c r="FU381" s="118"/>
      <c r="FV381" s="118"/>
      <c r="FW381" s="118"/>
      <c r="FX381" s="118"/>
      <c r="FY381" s="118"/>
      <c r="FZ381" s="118"/>
      <c r="GA381" s="118"/>
      <c r="GB381" s="118"/>
      <c r="GC381" s="118"/>
      <c r="GD381" s="118"/>
      <c r="GE381" s="118"/>
      <c r="GF381" s="118"/>
      <c r="GG381" s="118"/>
      <c r="GH381" s="118"/>
      <c r="GI381" s="118"/>
      <c r="GJ381" s="118"/>
      <c r="GK381" s="118"/>
      <c r="GL381" s="118"/>
      <c r="GM381" s="118"/>
      <c r="GN381" s="118"/>
      <c r="GO381" s="118"/>
      <c r="GP381" s="118"/>
      <c r="GQ381" s="118"/>
      <c r="GR381" s="118"/>
      <c r="GS381" s="118"/>
      <c r="GT381" s="118"/>
      <c r="GU381" s="118"/>
      <c r="GV381" s="118"/>
      <c r="GW381" s="118"/>
      <c r="GX381" s="118"/>
      <c r="GY381" s="118"/>
      <c r="GZ381" s="118"/>
      <c r="HA381" s="118"/>
      <c r="HB381" s="118"/>
      <c r="HC381" s="118"/>
      <c r="HD381" s="118"/>
      <c r="HE381" s="118"/>
      <c r="HF381" s="118"/>
      <c r="HG381" s="118"/>
      <c r="HH381" s="118"/>
      <c r="HI381" s="118"/>
      <c r="HJ381" s="118"/>
      <c r="HK381" s="118"/>
      <c r="HL381" s="118"/>
      <c r="HM381" s="118"/>
      <c r="HN381" s="118"/>
      <c r="HO381" s="118"/>
      <c r="HP381" s="118"/>
      <c r="HQ381" s="118"/>
      <c r="HR381" s="118"/>
      <c r="HS381" s="118"/>
      <c r="HT381" s="118"/>
      <c r="HU381" s="118"/>
      <c r="HV381" s="118"/>
      <c r="HW381" s="118"/>
      <c r="HX381" s="118"/>
      <c r="HY381" s="118"/>
      <c r="HZ381" s="118"/>
      <c r="IA381" s="118"/>
    </row>
    <row r="382" spans="1:235" s="83" customFormat="1" ht="12.75">
      <c r="A382" s="121" t="s">
        <v>333</v>
      </c>
      <c r="B382" s="105"/>
      <c r="C382" s="105"/>
      <c r="D382" s="116">
        <f>D404+D418</f>
        <v>353680</v>
      </c>
      <c r="E382" s="116">
        <f aca="true" t="shared" si="39" ref="E382:P382">E404+E418</f>
        <v>0</v>
      </c>
      <c r="F382" s="116">
        <f t="shared" si="39"/>
        <v>353680</v>
      </c>
      <c r="G382" s="116">
        <f t="shared" si="39"/>
        <v>0</v>
      </c>
      <c r="H382" s="116">
        <f t="shared" si="39"/>
        <v>0</v>
      </c>
      <c r="I382" s="116">
        <f t="shared" si="39"/>
        <v>0</v>
      </c>
      <c r="J382" s="116">
        <f t="shared" si="39"/>
        <v>0</v>
      </c>
      <c r="K382" s="116">
        <f t="shared" si="39"/>
        <v>0</v>
      </c>
      <c r="L382" s="116">
        <f t="shared" si="39"/>
        <v>0</v>
      </c>
      <c r="M382" s="116">
        <f t="shared" si="39"/>
        <v>0</v>
      </c>
      <c r="N382" s="116">
        <f t="shared" si="39"/>
        <v>0</v>
      </c>
      <c r="O382" s="116">
        <f>O404+O418</f>
        <v>0</v>
      </c>
      <c r="P382" s="116">
        <f t="shared" si="39"/>
        <v>0</v>
      </c>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c r="CA382" s="118"/>
      <c r="CB382" s="118"/>
      <c r="CC382" s="118"/>
      <c r="CD382" s="118"/>
      <c r="CE382" s="118"/>
      <c r="CF382" s="118"/>
      <c r="CG382" s="118"/>
      <c r="CH382" s="118"/>
      <c r="CI382" s="118"/>
      <c r="CJ382" s="118"/>
      <c r="CK382" s="118"/>
      <c r="CL382" s="118"/>
      <c r="CM382" s="118"/>
      <c r="CN382" s="118"/>
      <c r="CO382" s="118"/>
      <c r="CP382" s="118"/>
      <c r="CQ382" s="118"/>
      <c r="CR382" s="118"/>
      <c r="CS382" s="118"/>
      <c r="CT382" s="118"/>
      <c r="CU382" s="118"/>
      <c r="CV382" s="118"/>
      <c r="CW382" s="118"/>
      <c r="CX382" s="118"/>
      <c r="CY382" s="118"/>
      <c r="CZ382" s="118"/>
      <c r="DA382" s="118"/>
      <c r="DB382" s="118"/>
      <c r="DC382" s="118"/>
      <c r="DD382" s="118"/>
      <c r="DE382" s="118"/>
      <c r="DF382" s="118"/>
      <c r="DG382" s="118"/>
      <c r="DH382" s="118"/>
      <c r="DI382" s="118"/>
      <c r="DJ382" s="118"/>
      <c r="DK382" s="118"/>
      <c r="DL382" s="118"/>
      <c r="DM382" s="118"/>
      <c r="DN382" s="118"/>
      <c r="DO382" s="118"/>
      <c r="DP382" s="118"/>
      <c r="DQ382" s="118"/>
      <c r="DR382" s="118"/>
      <c r="DS382" s="118"/>
      <c r="DT382" s="118"/>
      <c r="DU382" s="118"/>
      <c r="DV382" s="118"/>
      <c r="DW382" s="118"/>
      <c r="DX382" s="118"/>
      <c r="DY382" s="118"/>
      <c r="DZ382" s="118"/>
      <c r="EA382" s="118"/>
      <c r="EB382" s="118"/>
      <c r="EC382" s="118"/>
      <c r="ED382" s="118"/>
      <c r="EE382" s="118"/>
      <c r="EF382" s="118"/>
      <c r="EG382" s="118"/>
      <c r="EH382" s="118"/>
      <c r="EI382" s="118"/>
      <c r="EJ382" s="118"/>
      <c r="EK382" s="118"/>
      <c r="EL382" s="118"/>
      <c r="EM382" s="118"/>
      <c r="EN382" s="118"/>
      <c r="EO382" s="118"/>
      <c r="EP382" s="118"/>
      <c r="EQ382" s="118"/>
      <c r="ER382" s="118"/>
      <c r="ES382" s="118"/>
      <c r="ET382" s="118"/>
      <c r="EU382" s="118"/>
      <c r="EV382" s="118"/>
      <c r="EW382" s="118"/>
      <c r="EX382" s="118"/>
      <c r="EY382" s="118"/>
      <c r="EZ382" s="118"/>
      <c r="FA382" s="118"/>
      <c r="FB382" s="118"/>
      <c r="FC382" s="118"/>
      <c r="FD382" s="118"/>
      <c r="FE382" s="118"/>
      <c r="FF382" s="118"/>
      <c r="FG382" s="118"/>
      <c r="FH382" s="118"/>
      <c r="FI382" s="118"/>
      <c r="FJ382" s="118"/>
      <c r="FK382" s="118"/>
      <c r="FL382" s="118"/>
      <c r="FM382" s="118"/>
      <c r="FN382" s="118"/>
      <c r="FO382" s="118"/>
      <c r="FP382" s="118"/>
      <c r="FQ382" s="118"/>
      <c r="FR382" s="118"/>
      <c r="FS382" s="118"/>
      <c r="FT382" s="118"/>
      <c r="FU382" s="118"/>
      <c r="FV382" s="118"/>
      <c r="FW382" s="118"/>
      <c r="FX382" s="118"/>
      <c r="FY382" s="118"/>
      <c r="FZ382" s="118"/>
      <c r="GA382" s="118"/>
      <c r="GB382" s="118"/>
      <c r="GC382" s="118"/>
      <c r="GD382" s="118"/>
      <c r="GE382" s="118"/>
      <c r="GF382" s="118"/>
      <c r="GG382" s="118"/>
      <c r="GH382" s="118"/>
      <c r="GI382" s="118"/>
      <c r="GJ382" s="118"/>
      <c r="GK382" s="118"/>
      <c r="GL382" s="118"/>
      <c r="GM382" s="118"/>
      <c r="GN382" s="118"/>
      <c r="GO382" s="118"/>
      <c r="GP382" s="118"/>
      <c r="GQ382" s="118"/>
      <c r="GR382" s="118"/>
      <c r="GS382" s="118"/>
      <c r="GT382" s="118"/>
      <c r="GU382" s="118"/>
      <c r="GV382" s="118"/>
      <c r="GW382" s="118"/>
      <c r="GX382" s="118"/>
      <c r="GY382" s="118"/>
      <c r="GZ382" s="118"/>
      <c r="HA382" s="118"/>
      <c r="HB382" s="118"/>
      <c r="HC382" s="118"/>
      <c r="HD382" s="118"/>
      <c r="HE382" s="118"/>
      <c r="HF382" s="118"/>
      <c r="HG382" s="118"/>
      <c r="HH382" s="118"/>
      <c r="HI382" s="118"/>
      <c r="HJ382" s="118"/>
      <c r="HK382" s="118"/>
      <c r="HL382" s="118"/>
      <c r="HM382" s="118"/>
      <c r="HN382" s="118"/>
      <c r="HO382" s="118"/>
      <c r="HP382" s="118"/>
      <c r="HQ382" s="118"/>
      <c r="HR382" s="118"/>
      <c r="HS382" s="118"/>
      <c r="HT382" s="118"/>
      <c r="HU382" s="118"/>
      <c r="HV382" s="118"/>
      <c r="HW382" s="118"/>
      <c r="HX382" s="118"/>
      <c r="HY382" s="118"/>
      <c r="HZ382" s="118"/>
      <c r="IA382" s="118"/>
    </row>
    <row r="383" spans="1:235" s="83" customFormat="1" ht="12.75">
      <c r="A383" s="121" t="s">
        <v>334</v>
      </c>
      <c r="B383" s="105"/>
      <c r="C383" s="105"/>
      <c r="D383" s="116">
        <f>D411+D429</f>
        <v>0</v>
      </c>
      <c r="E383" s="116">
        <f aca="true" t="shared" si="40" ref="E383:P383">E411+E429</f>
        <v>0</v>
      </c>
      <c r="F383" s="116">
        <f t="shared" si="40"/>
        <v>0</v>
      </c>
      <c r="G383" s="116">
        <f>G411+G429</f>
        <v>219999.99999799998</v>
      </c>
      <c r="H383" s="116">
        <f t="shared" si="40"/>
        <v>0</v>
      </c>
      <c r="I383" s="116">
        <f t="shared" si="40"/>
        <v>0</v>
      </c>
      <c r="J383" s="116">
        <f t="shared" si="40"/>
        <v>219999.99999799998</v>
      </c>
      <c r="K383" s="116">
        <f t="shared" si="40"/>
        <v>0</v>
      </c>
      <c r="L383" s="116">
        <f t="shared" si="40"/>
        <v>0</v>
      </c>
      <c r="M383" s="116">
        <f t="shared" si="40"/>
        <v>0</v>
      </c>
      <c r="N383" s="116">
        <f t="shared" si="40"/>
        <v>579718</v>
      </c>
      <c r="O383" s="116">
        <f>O411+O429</f>
        <v>0</v>
      </c>
      <c r="P383" s="116">
        <f t="shared" si="40"/>
        <v>579718</v>
      </c>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c r="CA383" s="118"/>
      <c r="CB383" s="118"/>
      <c r="CC383" s="118"/>
      <c r="CD383" s="118"/>
      <c r="CE383" s="118"/>
      <c r="CF383" s="118"/>
      <c r="CG383" s="118"/>
      <c r="CH383" s="118"/>
      <c r="CI383" s="118"/>
      <c r="CJ383" s="118"/>
      <c r="CK383" s="118"/>
      <c r="CL383" s="118"/>
      <c r="CM383" s="118"/>
      <c r="CN383" s="118"/>
      <c r="CO383" s="118"/>
      <c r="CP383" s="118"/>
      <c r="CQ383" s="118"/>
      <c r="CR383" s="118"/>
      <c r="CS383" s="118"/>
      <c r="CT383" s="118"/>
      <c r="CU383" s="118"/>
      <c r="CV383" s="118"/>
      <c r="CW383" s="118"/>
      <c r="CX383" s="118"/>
      <c r="CY383" s="118"/>
      <c r="CZ383" s="118"/>
      <c r="DA383" s="118"/>
      <c r="DB383" s="118"/>
      <c r="DC383" s="118"/>
      <c r="DD383" s="118"/>
      <c r="DE383" s="118"/>
      <c r="DF383" s="118"/>
      <c r="DG383" s="118"/>
      <c r="DH383" s="118"/>
      <c r="DI383" s="118"/>
      <c r="DJ383" s="118"/>
      <c r="DK383" s="118"/>
      <c r="DL383" s="118"/>
      <c r="DM383" s="118"/>
      <c r="DN383" s="118"/>
      <c r="DO383" s="118"/>
      <c r="DP383" s="118"/>
      <c r="DQ383" s="118"/>
      <c r="DR383" s="118"/>
      <c r="DS383" s="118"/>
      <c r="DT383" s="118"/>
      <c r="DU383" s="118"/>
      <c r="DV383" s="118"/>
      <c r="DW383" s="118"/>
      <c r="DX383" s="118"/>
      <c r="DY383" s="118"/>
      <c r="DZ383" s="118"/>
      <c r="EA383" s="118"/>
      <c r="EB383" s="118"/>
      <c r="EC383" s="118"/>
      <c r="ED383" s="118"/>
      <c r="EE383" s="118"/>
      <c r="EF383" s="118"/>
      <c r="EG383" s="118"/>
      <c r="EH383" s="118"/>
      <c r="EI383" s="118"/>
      <c r="EJ383" s="118"/>
      <c r="EK383" s="118"/>
      <c r="EL383" s="118"/>
      <c r="EM383" s="118"/>
      <c r="EN383" s="118"/>
      <c r="EO383" s="118"/>
      <c r="EP383" s="118"/>
      <c r="EQ383" s="118"/>
      <c r="ER383" s="118"/>
      <c r="ES383" s="118"/>
      <c r="ET383" s="118"/>
      <c r="EU383" s="118"/>
      <c r="EV383" s="118"/>
      <c r="EW383" s="118"/>
      <c r="EX383" s="118"/>
      <c r="EY383" s="118"/>
      <c r="EZ383" s="118"/>
      <c r="FA383" s="118"/>
      <c r="FB383" s="118"/>
      <c r="FC383" s="118"/>
      <c r="FD383" s="118"/>
      <c r="FE383" s="118"/>
      <c r="FF383" s="118"/>
      <c r="FG383" s="118"/>
      <c r="FH383" s="118"/>
      <c r="FI383" s="118"/>
      <c r="FJ383" s="118"/>
      <c r="FK383" s="118"/>
      <c r="FL383" s="118"/>
      <c r="FM383" s="118"/>
      <c r="FN383" s="118"/>
      <c r="FO383" s="118"/>
      <c r="FP383" s="118"/>
      <c r="FQ383" s="118"/>
      <c r="FR383" s="118"/>
      <c r="FS383" s="118"/>
      <c r="FT383" s="118"/>
      <c r="FU383" s="118"/>
      <c r="FV383" s="118"/>
      <c r="FW383" s="118"/>
      <c r="FX383" s="118"/>
      <c r="FY383" s="118"/>
      <c r="FZ383" s="118"/>
      <c r="GA383" s="118"/>
      <c r="GB383" s="118"/>
      <c r="GC383" s="118"/>
      <c r="GD383" s="118"/>
      <c r="GE383" s="118"/>
      <c r="GF383" s="118"/>
      <c r="GG383" s="118"/>
      <c r="GH383" s="118"/>
      <c r="GI383" s="118"/>
      <c r="GJ383" s="118"/>
      <c r="GK383" s="118"/>
      <c r="GL383" s="118"/>
      <c r="GM383" s="118"/>
      <c r="GN383" s="118"/>
      <c r="GO383" s="118"/>
      <c r="GP383" s="118"/>
      <c r="GQ383" s="118"/>
      <c r="GR383" s="118"/>
      <c r="GS383" s="118"/>
      <c r="GT383" s="118"/>
      <c r="GU383" s="118"/>
      <c r="GV383" s="118"/>
      <c r="GW383" s="118"/>
      <c r="GX383" s="118"/>
      <c r="GY383" s="118"/>
      <c r="GZ383" s="118"/>
      <c r="HA383" s="118"/>
      <c r="HB383" s="118"/>
      <c r="HC383" s="118"/>
      <c r="HD383" s="118"/>
      <c r="HE383" s="118"/>
      <c r="HF383" s="118"/>
      <c r="HG383" s="118"/>
      <c r="HH383" s="118"/>
      <c r="HI383" s="118"/>
      <c r="HJ383" s="118"/>
      <c r="HK383" s="118"/>
      <c r="HL383" s="118"/>
      <c r="HM383" s="118"/>
      <c r="HN383" s="118"/>
      <c r="HO383" s="118"/>
      <c r="HP383" s="118"/>
      <c r="HQ383" s="118"/>
      <c r="HR383" s="118"/>
      <c r="HS383" s="118"/>
      <c r="HT383" s="118"/>
      <c r="HU383" s="118"/>
      <c r="HV383" s="118"/>
      <c r="HW383" s="118"/>
      <c r="HX383" s="118"/>
      <c r="HY383" s="118"/>
      <c r="HZ383" s="118"/>
      <c r="IA383" s="118"/>
    </row>
    <row r="384" spans="1:16" ht="36" customHeight="1">
      <c r="A384" s="21" t="s">
        <v>193</v>
      </c>
      <c r="B384" s="7"/>
      <c r="C384" s="7"/>
      <c r="D384" s="13"/>
      <c r="E384" s="13"/>
      <c r="F384" s="13"/>
      <c r="G384" s="13"/>
      <c r="H384" s="13"/>
      <c r="I384" s="13"/>
      <c r="J384" s="13"/>
      <c r="K384" s="17"/>
      <c r="L384" s="10"/>
      <c r="M384" s="10"/>
      <c r="N384" s="13"/>
      <c r="O384" s="13"/>
      <c r="P384" s="13"/>
    </row>
    <row r="385" spans="1:235" s="90" customFormat="1" ht="22.5">
      <c r="A385" s="80" t="s">
        <v>363</v>
      </c>
      <c r="B385" s="86"/>
      <c r="C385" s="86"/>
      <c r="D385" s="87">
        <f>D387</f>
        <v>1385000</v>
      </c>
      <c r="E385" s="87"/>
      <c r="F385" s="87">
        <f>D385</f>
        <v>1385000</v>
      </c>
      <c r="G385" s="87">
        <f>G389*G391</f>
        <v>1659999.999996</v>
      </c>
      <c r="H385" s="87"/>
      <c r="I385" s="87"/>
      <c r="J385" s="87">
        <f>G385</f>
        <v>1659999.999996</v>
      </c>
      <c r="K385" s="87"/>
      <c r="L385" s="87"/>
      <c r="M385" s="87"/>
      <c r="N385" s="87">
        <f>N389*N391</f>
        <v>1989999.999999</v>
      </c>
      <c r="O385" s="87"/>
      <c r="P385" s="87">
        <f>N385</f>
        <v>1989999.999999</v>
      </c>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c r="CR385" s="89"/>
      <c r="CS385" s="89"/>
      <c r="CT385" s="89"/>
      <c r="CU385" s="89"/>
      <c r="CV385" s="89"/>
      <c r="CW385" s="89"/>
      <c r="CX385" s="89"/>
      <c r="CY385" s="89"/>
      <c r="CZ385" s="89"/>
      <c r="DA385" s="89"/>
      <c r="DB385" s="89"/>
      <c r="DC385" s="89"/>
      <c r="DD385" s="89"/>
      <c r="DE385" s="89"/>
      <c r="DF385" s="89"/>
      <c r="DG385" s="89"/>
      <c r="DH385" s="89"/>
      <c r="DI385" s="89"/>
      <c r="DJ385" s="89"/>
      <c r="DK385" s="89"/>
      <c r="DL385" s="89"/>
      <c r="DM385" s="89"/>
      <c r="DN385" s="89"/>
      <c r="DO385" s="89"/>
      <c r="DP385" s="89"/>
      <c r="DQ385" s="89"/>
      <c r="DR385" s="89"/>
      <c r="DS385" s="89"/>
      <c r="DT385" s="89"/>
      <c r="DU385" s="89"/>
      <c r="DV385" s="89"/>
      <c r="DW385" s="89"/>
      <c r="DX385" s="89"/>
      <c r="DY385" s="89"/>
      <c r="DZ385" s="89"/>
      <c r="EA385" s="89"/>
      <c r="EB385" s="89"/>
      <c r="EC385" s="89"/>
      <c r="ED385" s="89"/>
      <c r="EE385" s="89"/>
      <c r="EF385" s="89"/>
      <c r="EG385" s="89"/>
      <c r="EH385" s="89"/>
      <c r="EI385" s="89"/>
      <c r="EJ385" s="89"/>
      <c r="EK385" s="89"/>
      <c r="EL385" s="89"/>
      <c r="EM385" s="89"/>
      <c r="EN385" s="89"/>
      <c r="EO385" s="89"/>
      <c r="EP385" s="89"/>
      <c r="EQ385" s="89"/>
      <c r="ER385" s="89"/>
      <c r="ES385" s="89"/>
      <c r="ET385" s="89"/>
      <c r="EU385" s="89"/>
      <c r="EV385" s="89"/>
      <c r="EW385" s="89"/>
      <c r="EX385" s="89"/>
      <c r="EY385" s="89"/>
      <c r="EZ385" s="89"/>
      <c r="FA385" s="89"/>
      <c r="FB385" s="89"/>
      <c r="FC385" s="89"/>
      <c r="FD385" s="89"/>
      <c r="FE385" s="89"/>
      <c r="FF385" s="89"/>
      <c r="FG385" s="89"/>
      <c r="FH385" s="89"/>
      <c r="FI385" s="89"/>
      <c r="FJ385" s="89"/>
      <c r="FK385" s="89"/>
      <c r="FL385" s="89"/>
      <c r="FM385" s="89"/>
      <c r="FN385" s="89"/>
      <c r="FO385" s="89"/>
      <c r="FP385" s="89"/>
      <c r="FQ385" s="89"/>
      <c r="FR385" s="89"/>
      <c r="FS385" s="89"/>
      <c r="FT385" s="89"/>
      <c r="FU385" s="89"/>
      <c r="FV385" s="89"/>
      <c r="FW385" s="89"/>
      <c r="FX385" s="89"/>
      <c r="FY385" s="89"/>
      <c r="FZ385" s="89"/>
      <c r="GA385" s="89"/>
      <c r="GB385" s="89"/>
      <c r="GC385" s="89"/>
      <c r="GD385" s="89"/>
      <c r="GE385" s="89"/>
      <c r="GF385" s="89"/>
      <c r="GG385" s="89"/>
      <c r="GH385" s="89"/>
      <c r="GI385" s="89"/>
      <c r="GJ385" s="89"/>
      <c r="GK385" s="89"/>
      <c r="GL385" s="89"/>
      <c r="GM385" s="89"/>
      <c r="GN385" s="89"/>
      <c r="GO385" s="89"/>
      <c r="GP385" s="89"/>
      <c r="GQ385" s="89"/>
      <c r="GR385" s="89"/>
      <c r="GS385" s="89"/>
      <c r="GT385" s="89"/>
      <c r="GU385" s="89"/>
      <c r="GV385" s="89"/>
      <c r="GW385" s="89"/>
      <c r="GX385" s="89"/>
      <c r="GY385" s="89"/>
      <c r="GZ385" s="89"/>
      <c r="HA385" s="89"/>
      <c r="HB385" s="89"/>
      <c r="HC385" s="89"/>
      <c r="HD385" s="89"/>
      <c r="HE385" s="89"/>
      <c r="HF385" s="89"/>
      <c r="HG385" s="89"/>
      <c r="HH385" s="89"/>
      <c r="HI385" s="89"/>
      <c r="HJ385" s="89"/>
      <c r="HK385" s="89"/>
      <c r="HL385" s="89"/>
      <c r="HM385" s="89"/>
      <c r="HN385" s="89"/>
      <c r="HO385" s="89"/>
      <c r="HP385" s="89"/>
      <c r="HQ385" s="89"/>
      <c r="HR385" s="89"/>
      <c r="HS385" s="89"/>
      <c r="HT385" s="89"/>
      <c r="HU385" s="89"/>
      <c r="HV385" s="89"/>
      <c r="HW385" s="89"/>
      <c r="HX385" s="89"/>
      <c r="HY385" s="89"/>
      <c r="HZ385" s="89"/>
      <c r="IA385" s="89"/>
    </row>
    <row r="386" spans="1:16" ht="11.25">
      <c r="A386" s="20" t="s">
        <v>58</v>
      </c>
      <c r="B386" s="5"/>
      <c r="C386" s="5"/>
      <c r="D386" s="127"/>
      <c r="E386" s="127"/>
      <c r="F386" s="127"/>
      <c r="G386" s="127"/>
      <c r="H386" s="127"/>
      <c r="I386" s="127"/>
      <c r="J386" s="127"/>
      <c r="K386" s="17"/>
      <c r="L386" s="125"/>
      <c r="M386" s="125"/>
      <c r="N386" s="127"/>
      <c r="O386" s="127"/>
      <c r="P386" s="127"/>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27"/>
      <c r="E388" s="127"/>
      <c r="F388" s="14"/>
      <c r="G388" s="127"/>
      <c r="H388" s="127"/>
      <c r="I388" s="127"/>
      <c r="J388" s="14"/>
      <c r="K388" s="17"/>
      <c r="L388" s="125"/>
      <c r="M388" s="125"/>
      <c r="N388" s="127"/>
      <c r="O388" s="127"/>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27"/>
      <c r="E390" s="127"/>
      <c r="F390" s="14"/>
      <c r="G390" s="127"/>
      <c r="H390" s="127"/>
      <c r="I390" s="127"/>
      <c r="J390" s="14"/>
      <c r="K390" s="17"/>
      <c r="L390" s="125"/>
      <c r="M390" s="125"/>
      <c r="N390" s="127"/>
      <c r="O390" s="127"/>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0" customFormat="1" ht="36" customHeight="1">
      <c r="A392" s="80" t="s">
        <v>465</v>
      </c>
      <c r="B392" s="86"/>
      <c r="C392" s="86"/>
      <c r="D392" s="128">
        <f>D396*D399-216</f>
        <v>99784</v>
      </c>
      <c r="E392" s="128"/>
      <c r="F392" s="128">
        <f>F396*F399-216</f>
        <v>99784</v>
      </c>
      <c r="G392" s="128">
        <f aca="true" t="shared" si="41" ref="G392:M392">G396*G399</f>
        <v>182699.99813</v>
      </c>
      <c r="H392" s="128"/>
      <c r="I392" s="128"/>
      <c r="J392" s="128">
        <f t="shared" si="41"/>
        <v>182699.99813</v>
      </c>
      <c r="K392" s="128" t="e">
        <f t="shared" si="41"/>
        <v>#REF!</v>
      </c>
      <c r="L392" s="128">
        <f t="shared" si="41"/>
        <v>0</v>
      </c>
      <c r="M392" s="128">
        <f t="shared" si="41"/>
        <v>0</v>
      </c>
      <c r="N392" s="128">
        <f>N396*N399+N397*N400</f>
        <v>250000</v>
      </c>
      <c r="O392" s="128"/>
      <c r="P392" s="128">
        <f>P396*P399+P397*P400</f>
        <v>250000</v>
      </c>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c r="CR392" s="89"/>
      <c r="CS392" s="89"/>
      <c r="CT392" s="89"/>
      <c r="CU392" s="89"/>
      <c r="CV392" s="89"/>
      <c r="CW392" s="89"/>
      <c r="CX392" s="89"/>
      <c r="CY392" s="89"/>
      <c r="CZ392" s="89"/>
      <c r="DA392" s="89"/>
      <c r="DB392" s="89"/>
      <c r="DC392" s="89"/>
      <c r="DD392" s="89"/>
      <c r="DE392" s="89"/>
      <c r="DF392" s="89"/>
      <c r="DG392" s="89"/>
      <c r="DH392" s="89"/>
      <c r="DI392" s="89"/>
      <c r="DJ392" s="89"/>
      <c r="DK392" s="89"/>
      <c r="DL392" s="89"/>
      <c r="DM392" s="89"/>
      <c r="DN392" s="89"/>
      <c r="DO392" s="89"/>
      <c r="DP392" s="89"/>
      <c r="DQ392" s="89"/>
      <c r="DR392" s="89"/>
      <c r="DS392" s="89"/>
      <c r="DT392" s="89"/>
      <c r="DU392" s="89"/>
      <c r="DV392" s="89"/>
      <c r="DW392" s="89"/>
      <c r="DX392" s="89"/>
      <c r="DY392" s="89"/>
      <c r="DZ392" s="89"/>
      <c r="EA392" s="89"/>
      <c r="EB392" s="89"/>
      <c r="EC392" s="89"/>
      <c r="ED392" s="89"/>
      <c r="EE392" s="89"/>
      <c r="EF392" s="89"/>
      <c r="EG392" s="89"/>
      <c r="EH392" s="89"/>
      <c r="EI392" s="89"/>
      <c r="EJ392" s="89"/>
      <c r="EK392" s="89"/>
      <c r="EL392" s="89"/>
      <c r="EM392" s="89"/>
      <c r="EN392" s="89"/>
      <c r="EO392" s="89"/>
      <c r="EP392" s="89"/>
      <c r="EQ392" s="89"/>
      <c r="ER392" s="89"/>
      <c r="ES392" s="89"/>
      <c r="ET392" s="89"/>
      <c r="EU392" s="89"/>
      <c r="EV392" s="89"/>
      <c r="EW392" s="89"/>
      <c r="EX392" s="89"/>
      <c r="EY392" s="89"/>
      <c r="EZ392" s="89"/>
      <c r="FA392" s="89"/>
      <c r="FB392" s="89"/>
      <c r="FC392" s="89"/>
      <c r="FD392" s="89"/>
      <c r="FE392" s="89"/>
      <c r="FF392" s="89"/>
      <c r="FG392" s="89"/>
      <c r="FH392" s="89"/>
      <c r="FI392" s="89"/>
      <c r="FJ392" s="89"/>
      <c r="FK392" s="89"/>
      <c r="FL392" s="89"/>
      <c r="FM392" s="89"/>
      <c r="FN392" s="89"/>
      <c r="FO392" s="89"/>
      <c r="FP392" s="89"/>
      <c r="FQ392" s="89"/>
      <c r="FR392" s="89"/>
      <c r="FS392" s="89"/>
      <c r="FT392" s="89"/>
      <c r="FU392" s="89"/>
      <c r="FV392" s="89"/>
      <c r="FW392" s="89"/>
      <c r="FX392" s="89"/>
      <c r="FY392" s="89"/>
      <c r="FZ392" s="89"/>
      <c r="GA392" s="89"/>
      <c r="GB392" s="89"/>
      <c r="GC392" s="89"/>
      <c r="GD392" s="89"/>
      <c r="GE392" s="89"/>
      <c r="GF392" s="89"/>
      <c r="GG392" s="89"/>
      <c r="GH392" s="89"/>
      <c r="GI392" s="89"/>
      <c r="GJ392" s="89"/>
      <c r="GK392" s="89"/>
      <c r="GL392" s="89"/>
      <c r="GM392" s="89"/>
      <c r="GN392" s="89"/>
      <c r="GO392" s="89"/>
      <c r="GP392" s="89"/>
      <c r="GQ392" s="89"/>
      <c r="GR392" s="89"/>
      <c r="GS392" s="89"/>
      <c r="GT392" s="89"/>
      <c r="GU392" s="89"/>
      <c r="GV392" s="89"/>
      <c r="GW392" s="89"/>
      <c r="GX392" s="89"/>
      <c r="GY392" s="89"/>
      <c r="GZ392" s="89"/>
      <c r="HA392" s="89"/>
      <c r="HB392" s="89"/>
      <c r="HC392" s="89"/>
      <c r="HD392" s="89"/>
      <c r="HE392" s="89"/>
      <c r="HF392" s="89"/>
      <c r="HG392" s="89"/>
      <c r="HH392" s="89"/>
      <c r="HI392" s="89"/>
      <c r="HJ392" s="89"/>
      <c r="HK392" s="89"/>
      <c r="HL392" s="89"/>
      <c r="HM392" s="89"/>
      <c r="HN392" s="89"/>
      <c r="HO392" s="89"/>
      <c r="HP392" s="89"/>
      <c r="HQ392" s="89"/>
      <c r="HR392" s="89"/>
      <c r="HS392" s="89"/>
      <c r="HT392" s="89"/>
      <c r="HU392" s="89"/>
      <c r="HV392" s="89"/>
      <c r="HW392" s="89"/>
      <c r="HX392" s="89"/>
      <c r="HY392" s="89"/>
      <c r="HZ392" s="89"/>
      <c r="IA392" s="89"/>
    </row>
    <row r="393" spans="1:16" ht="11.25">
      <c r="A393" s="20" t="s">
        <v>58</v>
      </c>
      <c r="B393" s="5"/>
      <c r="C393" s="5"/>
      <c r="D393" s="129"/>
      <c r="E393" s="129"/>
      <c r="F393" s="129"/>
      <c r="G393" s="127"/>
      <c r="H393" s="127"/>
      <c r="I393" s="127"/>
      <c r="J393" s="127"/>
      <c r="K393" s="17"/>
      <c r="L393" s="125"/>
      <c r="M393" s="125"/>
      <c r="N393" s="127"/>
      <c r="O393" s="127"/>
      <c r="P393" s="127"/>
    </row>
    <row r="394" spans="1:16" ht="23.25" customHeight="1">
      <c r="A394" s="21" t="s">
        <v>198</v>
      </c>
      <c r="B394" s="7"/>
      <c r="C394" s="7"/>
      <c r="D394" s="129">
        <v>1752</v>
      </c>
      <c r="E394" s="129"/>
      <c r="F394" s="129">
        <f>D394</f>
        <v>1752</v>
      </c>
      <c r="G394" s="129">
        <v>1752</v>
      </c>
      <c r="H394" s="129"/>
      <c r="I394" s="129"/>
      <c r="J394" s="129">
        <f>G394</f>
        <v>1752</v>
      </c>
      <c r="K394" s="17" t="e">
        <f>#REF!/G394*100</f>
        <v>#REF!</v>
      </c>
      <c r="L394" s="17"/>
      <c r="M394" s="17"/>
      <c r="N394" s="129">
        <v>1752</v>
      </c>
      <c r="O394" s="129"/>
      <c r="P394" s="129">
        <f>N394</f>
        <v>1752</v>
      </c>
    </row>
    <row r="395" spans="1:16" ht="11.25">
      <c r="A395" s="20" t="s">
        <v>5</v>
      </c>
      <c r="B395" s="5"/>
      <c r="C395" s="5"/>
      <c r="D395" s="129"/>
      <c r="E395" s="129"/>
      <c r="F395" s="129"/>
      <c r="G395" s="127"/>
      <c r="H395" s="127"/>
      <c r="I395" s="127"/>
      <c r="J395" s="14"/>
      <c r="K395" s="17"/>
      <c r="L395" s="125"/>
      <c r="M395" s="125"/>
      <c r="N395" s="127"/>
      <c r="O395" s="127"/>
      <c r="P395" s="14"/>
    </row>
    <row r="396" spans="1:16" ht="24" customHeight="1">
      <c r="A396" s="21" t="s">
        <v>196</v>
      </c>
      <c r="B396" s="7"/>
      <c r="C396" s="7"/>
      <c r="D396" s="129">
        <v>625</v>
      </c>
      <c r="E396" s="129"/>
      <c r="F396" s="129">
        <f>D396</f>
        <v>625</v>
      </c>
      <c r="G396" s="129">
        <v>751</v>
      </c>
      <c r="H396" s="129"/>
      <c r="I396" s="129"/>
      <c r="J396" s="129">
        <f>G396</f>
        <v>751</v>
      </c>
      <c r="K396" s="17" t="e">
        <f>#REF!/G396*100</f>
        <v>#REF!</v>
      </c>
      <c r="L396" s="17"/>
      <c r="M396" s="17"/>
      <c r="N396" s="129">
        <v>1250</v>
      </c>
      <c r="O396" s="129"/>
      <c r="P396" s="129">
        <f>N396</f>
        <v>1250</v>
      </c>
    </row>
    <row r="397" spans="1:16" ht="24" customHeight="1">
      <c r="A397" s="21" t="s">
        <v>466</v>
      </c>
      <c r="B397" s="7"/>
      <c r="C397" s="7"/>
      <c r="D397" s="129"/>
      <c r="E397" s="129"/>
      <c r="F397" s="129"/>
      <c r="G397" s="129">
        <v>0</v>
      </c>
      <c r="H397" s="129"/>
      <c r="I397" s="129"/>
      <c r="J397" s="129"/>
      <c r="K397" s="17"/>
      <c r="L397" s="17"/>
      <c r="M397" s="17"/>
      <c r="N397" s="129">
        <v>5</v>
      </c>
      <c r="O397" s="129"/>
      <c r="P397" s="129">
        <f>N397</f>
        <v>5</v>
      </c>
    </row>
    <row r="398" spans="1:16" ht="11.25">
      <c r="A398" s="20" t="s">
        <v>7</v>
      </c>
      <c r="B398" s="5"/>
      <c r="C398" s="5"/>
      <c r="D398" s="129"/>
      <c r="E398" s="129"/>
      <c r="F398" s="129"/>
      <c r="G398" s="129"/>
      <c r="H398" s="129"/>
      <c r="I398" s="129"/>
      <c r="J398" s="129"/>
      <c r="K398" s="17"/>
      <c r="L398" s="125"/>
      <c r="M398" s="125"/>
      <c r="N398" s="129"/>
      <c r="O398" s="129"/>
      <c r="P398" s="129"/>
    </row>
    <row r="399" spans="1:16" ht="24" customHeight="1">
      <c r="A399" s="21" t="s">
        <v>60</v>
      </c>
      <c r="B399" s="7"/>
      <c r="C399" s="7"/>
      <c r="D399" s="129">
        <v>160</v>
      </c>
      <c r="E399" s="129"/>
      <c r="F399" s="129">
        <f>D399</f>
        <v>160</v>
      </c>
      <c r="G399" s="129">
        <v>243.27563</v>
      </c>
      <c r="H399" s="129"/>
      <c r="I399" s="129"/>
      <c r="J399" s="129">
        <f>G399</f>
        <v>243.27563</v>
      </c>
      <c r="K399" s="17" t="e">
        <f>#REF!/G399*100</f>
        <v>#REF!</v>
      </c>
      <c r="L399" s="17"/>
      <c r="M399" s="17"/>
      <c r="N399" s="129">
        <v>160</v>
      </c>
      <c r="O399" s="129"/>
      <c r="P399" s="129">
        <f>N399</f>
        <v>160</v>
      </c>
    </row>
    <row r="400" spans="1:16" ht="24" customHeight="1">
      <c r="A400" s="21" t="s">
        <v>467</v>
      </c>
      <c r="B400" s="51"/>
      <c r="C400" s="51"/>
      <c r="D400" s="129"/>
      <c r="E400" s="129"/>
      <c r="F400" s="129"/>
      <c r="G400" s="129"/>
      <c r="H400" s="129"/>
      <c r="I400" s="129"/>
      <c r="J400" s="129"/>
      <c r="K400" s="17"/>
      <c r="L400" s="17"/>
      <c r="M400" s="17"/>
      <c r="N400" s="129">
        <v>10000</v>
      </c>
      <c r="O400" s="129"/>
      <c r="P400" s="129">
        <f>N400</f>
        <v>10000</v>
      </c>
    </row>
    <row r="401" spans="1:16" ht="11.25">
      <c r="A401" s="52" t="s">
        <v>6</v>
      </c>
      <c r="B401" s="51"/>
      <c r="C401" s="51"/>
      <c r="D401" s="129"/>
      <c r="E401" s="129"/>
      <c r="F401" s="129"/>
      <c r="G401" s="14"/>
      <c r="H401" s="14"/>
      <c r="I401" s="14"/>
      <c r="J401" s="14"/>
      <c r="K401" s="17"/>
      <c r="L401" s="17"/>
      <c r="M401" s="17"/>
      <c r="N401" s="14"/>
      <c r="O401" s="14"/>
      <c r="P401" s="14"/>
    </row>
    <row r="402" spans="1:16" ht="39" customHeight="1">
      <c r="A402" s="209" t="s">
        <v>197</v>
      </c>
      <c r="B402" s="51"/>
      <c r="C402" s="51"/>
      <c r="D402" s="210">
        <f>D396/D394*100</f>
        <v>35.67351598173516</v>
      </c>
      <c r="E402" s="210"/>
      <c r="F402" s="210">
        <f>D402</f>
        <v>35.67351598173516</v>
      </c>
      <c r="G402" s="210">
        <f>G396/G394*100</f>
        <v>42.86529680365297</v>
      </c>
      <c r="H402" s="210"/>
      <c r="I402" s="210"/>
      <c r="J402" s="210">
        <f>G402</f>
        <v>42.86529680365297</v>
      </c>
      <c r="K402" s="211"/>
      <c r="L402" s="211"/>
      <c r="M402" s="211"/>
      <c r="N402" s="210">
        <f>N396/N394*100</f>
        <v>71.34703196347031</v>
      </c>
      <c r="O402" s="210"/>
      <c r="P402" s="210">
        <f>N402</f>
        <v>71.34703196347031</v>
      </c>
    </row>
    <row r="403" spans="1:16" ht="39" customHeight="1">
      <c r="A403" s="53" t="s">
        <v>468</v>
      </c>
      <c r="B403" s="7"/>
      <c r="C403" s="7"/>
      <c r="D403" s="129"/>
      <c r="E403" s="129"/>
      <c r="F403" s="129"/>
      <c r="G403" s="129"/>
      <c r="H403" s="129"/>
      <c r="I403" s="129"/>
      <c r="J403" s="129"/>
      <c r="K403" s="17"/>
      <c r="L403" s="17"/>
      <c r="M403" s="17"/>
      <c r="N403" s="129"/>
      <c r="O403" s="129"/>
      <c r="P403" s="129"/>
    </row>
    <row r="404" spans="1:235" s="90" customFormat="1" ht="36.75" customHeight="1">
      <c r="A404" s="212" t="s">
        <v>364</v>
      </c>
      <c r="B404" s="212"/>
      <c r="C404" s="212"/>
      <c r="D404" s="130">
        <f>D408*D410</f>
        <v>60000</v>
      </c>
      <c r="E404" s="130"/>
      <c r="F404" s="130">
        <f>F408*F410</f>
        <v>60000</v>
      </c>
      <c r="G404" s="130">
        <f>G408*G410</f>
        <v>0</v>
      </c>
      <c r="H404" s="130"/>
      <c r="I404" s="130"/>
      <c r="J404" s="130">
        <f>G404+H404</f>
        <v>0</v>
      </c>
      <c r="K404" s="130"/>
      <c r="L404" s="130"/>
      <c r="M404" s="130"/>
      <c r="N404" s="130">
        <f>N408*N410</f>
        <v>0</v>
      </c>
      <c r="O404" s="130"/>
      <c r="P404" s="130">
        <f>N404</f>
        <v>0</v>
      </c>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c r="CR404" s="89"/>
      <c r="CS404" s="89"/>
      <c r="CT404" s="89"/>
      <c r="CU404" s="89"/>
      <c r="CV404" s="89"/>
      <c r="CW404" s="89"/>
      <c r="CX404" s="89"/>
      <c r="CY404" s="89"/>
      <c r="CZ404" s="89"/>
      <c r="DA404" s="89"/>
      <c r="DB404" s="89"/>
      <c r="DC404" s="89"/>
      <c r="DD404" s="89"/>
      <c r="DE404" s="89"/>
      <c r="DF404" s="89"/>
      <c r="DG404" s="89"/>
      <c r="DH404" s="89"/>
      <c r="DI404" s="89"/>
      <c r="DJ404" s="89"/>
      <c r="DK404" s="89"/>
      <c r="DL404" s="89"/>
      <c r="DM404" s="89"/>
      <c r="DN404" s="89"/>
      <c r="DO404" s="89"/>
      <c r="DP404" s="89"/>
      <c r="DQ404" s="89"/>
      <c r="DR404" s="89"/>
      <c r="DS404" s="89"/>
      <c r="DT404" s="89"/>
      <c r="DU404" s="89"/>
      <c r="DV404" s="89"/>
      <c r="DW404" s="89"/>
      <c r="DX404" s="89"/>
      <c r="DY404" s="89"/>
      <c r="DZ404" s="89"/>
      <c r="EA404" s="89"/>
      <c r="EB404" s="89"/>
      <c r="EC404" s="89"/>
      <c r="ED404" s="89"/>
      <c r="EE404" s="89"/>
      <c r="EF404" s="89"/>
      <c r="EG404" s="89"/>
      <c r="EH404" s="89"/>
      <c r="EI404" s="89"/>
      <c r="EJ404" s="89"/>
      <c r="EK404" s="89"/>
      <c r="EL404" s="89"/>
      <c r="EM404" s="89"/>
      <c r="EN404" s="89"/>
      <c r="EO404" s="89"/>
      <c r="EP404" s="89"/>
      <c r="EQ404" s="89"/>
      <c r="ER404" s="89"/>
      <c r="ES404" s="89"/>
      <c r="ET404" s="89"/>
      <c r="EU404" s="89"/>
      <c r="EV404" s="89"/>
      <c r="EW404" s="89"/>
      <c r="EX404" s="89"/>
      <c r="EY404" s="89"/>
      <c r="EZ404" s="89"/>
      <c r="FA404" s="89"/>
      <c r="FB404" s="89"/>
      <c r="FC404" s="89"/>
      <c r="FD404" s="89"/>
      <c r="FE404" s="89"/>
      <c r="FF404" s="89"/>
      <c r="FG404" s="89"/>
      <c r="FH404" s="89"/>
      <c r="FI404" s="89"/>
      <c r="FJ404" s="89"/>
      <c r="FK404" s="89"/>
      <c r="FL404" s="89"/>
      <c r="FM404" s="89"/>
      <c r="FN404" s="89"/>
      <c r="FO404" s="89"/>
      <c r="FP404" s="89"/>
      <c r="FQ404" s="89"/>
      <c r="FR404" s="89"/>
      <c r="FS404" s="89"/>
      <c r="FT404" s="89"/>
      <c r="FU404" s="89"/>
      <c r="FV404" s="89"/>
      <c r="FW404" s="89"/>
      <c r="FX404" s="89"/>
      <c r="FY404" s="89"/>
      <c r="FZ404" s="89"/>
      <c r="GA404" s="89"/>
      <c r="GB404" s="89"/>
      <c r="GC404" s="89"/>
      <c r="GD404" s="89"/>
      <c r="GE404" s="89"/>
      <c r="GF404" s="89"/>
      <c r="GG404" s="89"/>
      <c r="GH404" s="89"/>
      <c r="GI404" s="89"/>
      <c r="GJ404" s="89"/>
      <c r="GK404" s="89"/>
      <c r="GL404" s="89"/>
      <c r="GM404" s="89"/>
      <c r="GN404" s="89"/>
      <c r="GO404" s="89"/>
      <c r="GP404" s="89"/>
      <c r="GQ404" s="89"/>
      <c r="GR404" s="89"/>
      <c r="GS404" s="89"/>
      <c r="GT404" s="89"/>
      <c r="GU404" s="89"/>
      <c r="GV404" s="89"/>
      <c r="GW404" s="89"/>
      <c r="GX404" s="89"/>
      <c r="GY404" s="89"/>
      <c r="GZ404" s="89"/>
      <c r="HA404" s="89"/>
      <c r="HB404" s="89"/>
      <c r="HC404" s="89"/>
      <c r="HD404" s="89"/>
      <c r="HE404" s="89"/>
      <c r="HF404" s="89"/>
      <c r="HG404" s="89"/>
      <c r="HH404" s="89"/>
      <c r="HI404" s="89"/>
      <c r="HJ404" s="89"/>
      <c r="HK404" s="89"/>
      <c r="HL404" s="89"/>
      <c r="HM404" s="89"/>
      <c r="HN404" s="89"/>
      <c r="HO404" s="89"/>
      <c r="HP404" s="89"/>
      <c r="HQ404" s="89"/>
      <c r="HR404" s="89"/>
      <c r="HS404" s="89"/>
      <c r="HT404" s="89"/>
      <c r="HU404" s="89"/>
      <c r="HV404" s="89"/>
      <c r="HW404" s="89"/>
      <c r="HX404" s="89"/>
      <c r="HY404" s="89"/>
      <c r="HZ404" s="89"/>
      <c r="IA404" s="89"/>
    </row>
    <row r="405" spans="1:16" ht="11.25">
      <c r="A405" s="42" t="s">
        <v>4</v>
      </c>
      <c r="B405" s="31"/>
      <c r="C405" s="31"/>
      <c r="D405" s="131"/>
      <c r="E405" s="131"/>
      <c r="F405" s="131"/>
      <c r="G405" s="131"/>
      <c r="H405" s="131"/>
      <c r="I405" s="131"/>
      <c r="J405" s="131"/>
      <c r="K405" s="34"/>
      <c r="L405" s="131"/>
      <c r="M405" s="131"/>
      <c r="N405" s="131"/>
      <c r="O405" s="131"/>
      <c r="P405" s="131"/>
    </row>
    <row r="406" spans="1:16" ht="15" customHeight="1">
      <c r="A406" s="43" t="s">
        <v>65</v>
      </c>
      <c r="B406" s="33"/>
      <c r="C406" s="33"/>
      <c r="D406" s="35">
        <f>D404/D410</f>
        <v>4</v>
      </c>
      <c r="E406" s="35"/>
      <c r="F406" s="35">
        <f>D406</f>
        <v>4</v>
      </c>
      <c r="G406" s="35">
        <v>0</v>
      </c>
      <c r="H406" s="35"/>
      <c r="I406" s="35"/>
      <c r="J406" s="35">
        <f>G406+H406</f>
        <v>0</v>
      </c>
      <c r="K406" s="35">
        <f>G406/D406*100</f>
        <v>0</v>
      </c>
      <c r="L406" s="35"/>
      <c r="M406" s="35"/>
      <c r="N406" s="35">
        <v>0</v>
      </c>
      <c r="O406" s="35"/>
      <c r="P406" s="35">
        <f>N406</f>
        <v>0</v>
      </c>
    </row>
    <row r="407" spans="1:16" ht="11.25">
      <c r="A407" s="42" t="s">
        <v>5</v>
      </c>
      <c r="B407" s="31"/>
      <c r="C407" s="31"/>
      <c r="D407" s="132"/>
      <c r="E407" s="132"/>
      <c r="F407" s="35"/>
      <c r="G407" s="132"/>
      <c r="H407" s="132"/>
      <c r="I407" s="132"/>
      <c r="J407" s="35"/>
      <c r="K407" s="35"/>
      <c r="L407" s="132"/>
      <c r="M407" s="132"/>
      <c r="N407" s="132"/>
      <c r="O407" s="132"/>
      <c r="P407" s="35"/>
    </row>
    <row r="408" spans="1:16" ht="24" customHeight="1">
      <c r="A408" s="43" t="s">
        <v>66</v>
      </c>
      <c r="B408" s="33"/>
      <c r="C408" s="33"/>
      <c r="D408" s="35">
        <v>4</v>
      </c>
      <c r="E408" s="35"/>
      <c r="F408" s="35">
        <f>D408</f>
        <v>4</v>
      </c>
      <c r="G408" s="35">
        <v>0</v>
      </c>
      <c r="H408" s="35"/>
      <c r="I408" s="35"/>
      <c r="J408" s="35">
        <f>G408+H408</f>
        <v>0</v>
      </c>
      <c r="K408" s="35">
        <f>G408/D408*100</f>
        <v>0</v>
      </c>
      <c r="L408" s="35"/>
      <c r="M408" s="35"/>
      <c r="N408" s="35">
        <v>0</v>
      </c>
      <c r="O408" s="35"/>
      <c r="P408" s="35">
        <f>N408</f>
        <v>0</v>
      </c>
    </row>
    <row r="409" spans="1:16" ht="11.25">
      <c r="A409" s="42" t="s">
        <v>7</v>
      </c>
      <c r="B409" s="31"/>
      <c r="C409" s="31"/>
      <c r="D409" s="131"/>
      <c r="E409" s="131"/>
      <c r="F409" s="34"/>
      <c r="G409" s="131"/>
      <c r="H409" s="131"/>
      <c r="I409" s="131"/>
      <c r="J409" s="34"/>
      <c r="K409" s="34"/>
      <c r="L409" s="131"/>
      <c r="M409" s="131"/>
      <c r="N409" s="131"/>
      <c r="O409" s="131"/>
      <c r="P409" s="34"/>
    </row>
    <row r="410" spans="1:16" ht="24" customHeight="1">
      <c r="A410" s="43" t="s">
        <v>67</v>
      </c>
      <c r="B410" s="33"/>
      <c r="C410" s="33"/>
      <c r="D410" s="34">
        <v>15000</v>
      </c>
      <c r="E410" s="34"/>
      <c r="F410" s="34">
        <f>D410</f>
        <v>15000</v>
      </c>
      <c r="G410" s="34">
        <v>0</v>
      </c>
      <c r="H410" s="34"/>
      <c r="I410" s="34"/>
      <c r="J410" s="34">
        <f>G410</f>
        <v>0</v>
      </c>
      <c r="K410" s="34">
        <f>G410/D410*100</f>
        <v>0</v>
      </c>
      <c r="L410" s="34"/>
      <c r="M410" s="34"/>
      <c r="N410" s="34">
        <v>0</v>
      </c>
      <c r="O410" s="34"/>
      <c r="P410" s="34">
        <f>N410</f>
        <v>0</v>
      </c>
    </row>
    <row r="411" spans="1:235" s="90" customFormat="1" ht="36.75" customHeight="1">
      <c r="A411" s="93" t="s">
        <v>365</v>
      </c>
      <c r="B411" s="93"/>
      <c r="C411" s="93"/>
      <c r="D411" s="130">
        <f>D415*D417</f>
        <v>0</v>
      </c>
      <c r="E411" s="130"/>
      <c r="F411" s="130">
        <f>F415*F417</f>
        <v>0</v>
      </c>
      <c r="G411" s="130">
        <f>G415*G417</f>
        <v>119999.9999996</v>
      </c>
      <c r="H411" s="130"/>
      <c r="I411" s="130"/>
      <c r="J411" s="130">
        <f>G411+H411</f>
        <v>119999.9999996</v>
      </c>
      <c r="K411" s="130"/>
      <c r="L411" s="130"/>
      <c r="M411" s="130"/>
      <c r="N411" s="130">
        <f>N415*N417</f>
        <v>280508</v>
      </c>
      <c r="O411" s="130"/>
      <c r="P411" s="130">
        <f>N411</f>
        <v>280508</v>
      </c>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c r="CR411" s="89"/>
      <c r="CS411" s="89"/>
      <c r="CT411" s="89"/>
      <c r="CU411" s="89"/>
      <c r="CV411" s="89"/>
      <c r="CW411" s="89"/>
      <c r="CX411" s="89"/>
      <c r="CY411" s="89"/>
      <c r="CZ411" s="89"/>
      <c r="DA411" s="89"/>
      <c r="DB411" s="89"/>
      <c r="DC411" s="89"/>
      <c r="DD411" s="89"/>
      <c r="DE411" s="89"/>
      <c r="DF411" s="89"/>
      <c r="DG411" s="89"/>
      <c r="DH411" s="89"/>
      <c r="DI411" s="89"/>
      <c r="DJ411" s="89"/>
      <c r="DK411" s="89"/>
      <c r="DL411" s="89"/>
      <c r="DM411" s="89"/>
      <c r="DN411" s="89"/>
      <c r="DO411" s="89"/>
      <c r="DP411" s="89"/>
      <c r="DQ411" s="89"/>
      <c r="DR411" s="89"/>
      <c r="DS411" s="89"/>
      <c r="DT411" s="89"/>
      <c r="DU411" s="89"/>
      <c r="DV411" s="89"/>
      <c r="DW411" s="89"/>
      <c r="DX411" s="89"/>
      <c r="DY411" s="89"/>
      <c r="DZ411" s="89"/>
      <c r="EA411" s="89"/>
      <c r="EB411" s="89"/>
      <c r="EC411" s="89"/>
      <c r="ED411" s="89"/>
      <c r="EE411" s="89"/>
      <c r="EF411" s="89"/>
      <c r="EG411" s="89"/>
      <c r="EH411" s="89"/>
      <c r="EI411" s="89"/>
      <c r="EJ411" s="89"/>
      <c r="EK411" s="89"/>
      <c r="EL411" s="89"/>
      <c r="EM411" s="89"/>
      <c r="EN411" s="89"/>
      <c r="EO411" s="89"/>
      <c r="EP411" s="89"/>
      <c r="EQ411" s="89"/>
      <c r="ER411" s="89"/>
      <c r="ES411" s="89"/>
      <c r="ET411" s="89"/>
      <c r="EU411" s="89"/>
      <c r="EV411" s="89"/>
      <c r="EW411" s="89"/>
      <c r="EX411" s="89"/>
      <c r="EY411" s="89"/>
      <c r="EZ411" s="89"/>
      <c r="FA411" s="89"/>
      <c r="FB411" s="89"/>
      <c r="FC411" s="89"/>
      <c r="FD411" s="89"/>
      <c r="FE411" s="89"/>
      <c r="FF411" s="89"/>
      <c r="FG411" s="89"/>
      <c r="FH411" s="89"/>
      <c r="FI411" s="89"/>
      <c r="FJ411" s="89"/>
      <c r="FK411" s="89"/>
      <c r="FL411" s="89"/>
      <c r="FM411" s="89"/>
      <c r="FN411" s="89"/>
      <c r="FO411" s="89"/>
      <c r="FP411" s="89"/>
      <c r="FQ411" s="89"/>
      <c r="FR411" s="89"/>
      <c r="FS411" s="89"/>
      <c r="FT411" s="89"/>
      <c r="FU411" s="89"/>
      <c r="FV411" s="89"/>
      <c r="FW411" s="89"/>
      <c r="FX411" s="89"/>
      <c r="FY411" s="89"/>
      <c r="FZ411" s="89"/>
      <c r="GA411" s="89"/>
      <c r="GB411" s="89"/>
      <c r="GC411" s="89"/>
      <c r="GD411" s="89"/>
      <c r="GE411" s="89"/>
      <c r="GF411" s="89"/>
      <c r="GG411" s="89"/>
      <c r="GH411" s="89"/>
      <c r="GI411" s="89"/>
      <c r="GJ411" s="89"/>
      <c r="GK411" s="89"/>
      <c r="GL411" s="89"/>
      <c r="GM411" s="89"/>
      <c r="GN411" s="89"/>
      <c r="GO411" s="89"/>
      <c r="GP411" s="89"/>
      <c r="GQ411" s="89"/>
      <c r="GR411" s="89"/>
      <c r="GS411" s="89"/>
      <c r="GT411" s="89"/>
      <c r="GU411" s="89"/>
      <c r="GV411" s="89"/>
      <c r="GW411" s="89"/>
      <c r="GX411" s="89"/>
      <c r="GY411" s="89"/>
      <c r="GZ411" s="89"/>
      <c r="HA411" s="89"/>
      <c r="HB411" s="89"/>
      <c r="HC411" s="89"/>
      <c r="HD411" s="89"/>
      <c r="HE411" s="89"/>
      <c r="HF411" s="89"/>
      <c r="HG411" s="89"/>
      <c r="HH411" s="89"/>
      <c r="HI411" s="89"/>
      <c r="HJ411" s="89"/>
      <c r="HK411" s="89"/>
      <c r="HL411" s="89"/>
      <c r="HM411" s="89"/>
      <c r="HN411" s="89"/>
      <c r="HO411" s="89"/>
      <c r="HP411" s="89"/>
      <c r="HQ411" s="89"/>
      <c r="HR411" s="89"/>
      <c r="HS411" s="89"/>
      <c r="HT411" s="89"/>
      <c r="HU411" s="89"/>
      <c r="HV411" s="89"/>
      <c r="HW411" s="89"/>
      <c r="HX411" s="89"/>
      <c r="HY411" s="89"/>
      <c r="HZ411" s="89"/>
      <c r="IA411" s="89"/>
    </row>
    <row r="412" spans="1:16" ht="11.25">
      <c r="A412" s="42" t="s">
        <v>4</v>
      </c>
      <c r="B412" s="31"/>
      <c r="C412" s="31"/>
      <c r="D412" s="131"/>
      <c r="E412" s="131"/>
      <c r="F412" s="131"/>
      <c r="G412" s="131"/>
      <c r="H412" s="131"/>
      <c r="I412" s="131"/>
      <c r="J412" s="131"/>
      <c r="K412" s="34"/>
      <c r="L412" s="131"/>
      <c r="M412" s="131"/>
      <c r="N412" s="131"/>
      <c r="O412" s="131"/>
      <c r="P412" s="131"/>
    </row>
    <row r="413" spans="1:16" ht="15" customHeight="1">
      <c r="A413" s="43" t="s">
        <v>474</v>
      </c>
      <c r="B413" s="33"/>
      <c r="C413" s="33"/>
      <c r="D413" s="35">
        <v>0</v>
      </c>
      <c r="E413" s="35"/>
      <c r="F413" s="35">
        <f>D413</f>
        <v>0</v>
      </c>
      <c r="G413" s="35">
        <v>7</v>
      </c>
      <c r="H413" s="35"/>
      <c r="I413" s="35"/>
      <c r="J413" s="35">
        <f>G413+H413</f>
        <v>7</v>
      </c>
      <c r="K413" s="35" t="e">
        <f>G413/D413*100</f>
        <v>#DIV/0!</v>
      </c>
      <c r="L413" s="35"/>
      <c r="M413" s="35"/>
      <c r="N413" s="35">
        <v>23</v>
      </c>
      <c r="O413" s="35"/>
      <c r="P413" s="35">
        <f>N413</f>
        <v>23</v>
      </c>
    </row>
    <row r="414" spans="1:16" ht="11.25">
      <c r="A414" s="42" t="s">
        <v>5</v>
      </c>
      <c r="B414" s="31"/>
      <c r="C414" s="31"/>
      <c r="D414" s="132"/>
      <c r="E414" s="132"/>
      <c r="F414" s="35"/>
      <c r="G414" s="132"/>
      <c r="H414" s="132"/>
      <c r="I414" s="132"/>
      <c r="J414" s="35"/>
      <c r="K414" s="35"/>
      <c r="L414" s="132"/>
      <c r="M414" s="132"/>
      <c r="N414" s="132"/>
      <c r="O414" s="132"/>
      <c r="P414" s="35"/>
    </row>
    <row r="415" spans="1:16" ht="24" customHeight="1">
      <c r="A415" s="43" t="s">
        <v>475</v>
      </c>
      <c r="B415" s="33"/>
      <c r="C415" s="33"/>
      <c r="D415" s="35">
        <v>0</v>
      </c>
      <c r="E415" s="35"/>
      <c r="F415" s="35">
        <f>D415</f>
        <v>0</v>
      </c>
      <c r="G415" s="35">
        <v>7</v>
      </c>
      <c r="H415" s="35"/>
      <c r="I415" s="35"/>
      <c r="J415" s="35">
        <f>G415+H415</f>
        <v>7</v>
      </c>
      <c r="K415" s="35" t="e">
        <f>G415/D415*100</f>
        <v>#DIV/0!</v>
      </c>
      <c r="L415" s="35"/>
      <c r="M415" s="35"/>
      <c r="N415" s="35">
        <v>23</v>
      </c>
      <c r="O415" s="35"/>
      <c r="P415" s="35">
        <f>N415</f>
        <v>23</v>
      </c>
    </row>
    <row r="416" spans="1:16" ht="11.25">
      <c r="A416" s="42" t="s">
        <v>7</v>
      </c>
      <c r="B416" s="31"/>
      <c r="C416" s="31"/>
      <c r="D416" s="131"/>
      <c r="E416" s="131"/>
      <c r="F416" s="34"/>
      <c r="G416" s="131"/>
      <c r="H416" s="131"/>
      <c r="I416" s="131"/>
      <c r="J416" s="34"/>
      <c r="K416" s="34"/>
      <c r="L416" s="131"/>
      <c r="M416" s="131"/>
      <c r="N416" s="131"/>
      <c r="O416" s="131"/>
      <c r="P416" s="34"/>
    </row>
    <row r="417" spans="1:16" ht="24" customHeight="1">
      <c r="A417" s="43" t="s">
        <v>476</v>
      </c>
      <c r="B417" s="33"/>
      <c r="C417" s="33"/>
      <c r="D417" s="34">
        <v>0</v>
      </c>
      <c r="E417" s="34"/>
      <c r="F417" s="34">
        <f>D417</f>
        <v>0</v>
      </c>
      <c r="G417" s="34">
        <v>17142.8571428</v>
      </c>
      <c r="H417" s="34"/>
      <c r="I417" s="34"/>
      <c r="J417" s="34">
        <f>G417</f>
        <v>17142.8571428</v>
      </c>
      <c r="K417" s="34" t="e">
        <f>G417/D417*100</f>
        <v>#DIV/0!</v>
      </c>
      <c r="L417" s="34"/>
      <c r="M417" s="34"/>
      <c r="N417" s="34">
        <v>12196</v>
      </c>
      <c r="O417" s="34"/>
      <c r="P417" s="34">
        <f>N417</f>
        <v>12196</v>
      </c>
    </row>
    <row r="418" spans="1:235" s="90" customFormat="1" ht="33.75">
      <c r="A418" s="93" t="s">
        <v>366</v>
      </c>
      <c r="B418" s="93"/>
      <c r="C418" s="93"/>
      <c r="D418" s="97">
        <f>(D422*D427)+(D423*D428)+2.8</f>
        <v>293680</v>
      </c>
      <c r="E418" s="97"/>
      <c r="F418" s="97">
        <f>D418</f>
        <v>293680</v>
      </c>
      <c r="G418" s="97"/>
      <c r="H418" s="97"/>
      <c r="I418" s="97"/>
      <c r="J418" s="97"/>
      <c r="K418" s="97"/>
      <c r="L418" s="97"/>
      <c r="M418" s="97"/>
      <c r="N418" s="97"/>
      <c r="O418" s="97"/>
      <c r="P418" s="97"/>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c r="CR418" s="89"/>
      <c r="CS418" s="89"/>
      <c r="CT418" s="89"/>
      <c r="CU418" s="89"/>
      <c r="CV418" s="89"/>
      <c r="CW418" s="89"/>
      <c r="CX418" s="89"/>
      <c r="CY418" s="89"/>
      <c r="CZ418" s="89"/>
      <c r="DA418" s="89"/>
      <c r="DB418" s="89"/>
      <c r="DC418" s="89"/>
      <c r="DD418" s="89"/>
      <c r="DE418" s="89"/>
      <c r="DF418" s="89"/>
      <c r="DG418" s="89"/>
      <c r="DH418" s="89"/>
      <c r="DI418" s="89"/>
      <c r="DJ418" s="89"/>
      <c r="DK418" s="89"/>
      <c r="DL418" s="89"/>
      <c r="DM418" s="89"/>
      <c r="DN418" s="89"/>
      <c r="DO418" s="89"/>
      <c r="DP418" s="89"/>
      <c r="DQ418" s="89"/>
      <c r="DR418" s="89"/>
      <c r="DS418" s="89"/>
      <c r="DT418" s="89"/>
      <c r="DU418" s="89"/>
      <c r="DV418" s="89"/>
      <c r="DW418" s="89"/>
      <c r="DX418" s="89"/>
      <c r="DY418" s="89"/>
      <c r="DZ418" s="89"/>
      <c r="EA418" s="89"/>
      <c r="EB418" s="89"/>
      <c r="EC418" s="89"/>
      <c r="ED418" s="89"/>
      <c r="EE418" s="89"/>
      <c r="EF418" s="89"/>
      <c r="EG418" s="89"/>
      <c r="EH418" s="89"/>
      <c r="EI418" s="89"/>
      <c r="EJ418" s="89"/>
      <c r="EK418" s="89"/>
      <c r="EL418" s="89"/>
      <c r="EM418" s="89"/>
      <c r="EN418" s="89"/>
      <c r="EO418" s="89"/>
      <c r="EP418" s="89"/>
      <c r="EQ418" s="89"/>
      <c r="ER418" s="89"/>
      <c r="ES418" s="89"/>
      <c r="ET418" s="89"/>
      <c r="EU418" s="89"/>
      <c r="EV418" s="89"/>
      <c r="EW418" s="89"/>
      <c r="EX418" s="89"/>
      <c r="EY418" s="89"/>
      <c r="EZ418" s="89"/>
      <c r="FA418" s="89"/>
      <c r="FB418" s="89"/>
      <c r="FC418" s="89"/>
      <c r="FD418" s="89"/>
      <c r="FE418" s="89"/>
      <c r="FF418" s="89"/>
      <c r="FG418" s="89"/>
      <c r="FH418" s="89"/>
      <c r="FI418" s="89"/>
      <c r="FJ418" s="89"/>
      <c r="FK418" s="89"/>
      <c r="FL418" s="89"/>
      <c r="FM418" s="89"/>
      <c r="FN418" s="89"/>
      <c r="FO418" s="89"/>
      <c r="FP418" s="89"/>
      <c r="FQ418" s="89"/>
      <c r="FR418" s="89"/>
      <c r="FS418" s="89"/>
      <c r="FT418" s="89"/>
      <c r="FU418" s="89"/>
      <c r="FV418" s="89"/>
      <c r="FW418" s="89"/>
      <c r="FX418" s="89"/>
      <c r="FY418" s="89"/>
      <c r="FZ418" s="89"/>
      <c r="GA418" s="89"/>
      <c r="GB418" s="89"/>
      <c r="GC418" s="89"/>
      <c r="GD418" s="89"/>
      <c r="GE418" s="89"/>
      <c r="GF418" s="89"/>
      <c r="GG418" s="89"/>
      <c r="GH418" s="89"/>
      <c r="GI418" s="89"/>
      <c r="GJ418" s="89"/>
      <c r="GK418" s="89"/>
      <c r="GL418" s="89"/>
      <c r="GM418" s="89"/>
      <c r="GN418" s="89"/>
      <c r="GO418" s="89"/>
      <c r="GP418" s="89"/>
      <c r="GQ418" s="89"/>
      <c r="GR418" s="89"/>
      <c r="GS418" s="89"/>
      <c r="GT418" s="89"/>
      <c r="GU418" s="89"/>
      <c r="GV418" s="89"/>
      <c r="GW418" s="89"/>
      <c r="GX418" s="89"/>
      <c r="GY418" s="89"/>
      <c r="GZ418" s="89"/>
      <c r="HA418" s="89"/>
      <c r="HB418" s="89"/>
      <c r="HC418" s="89"/>
      <c r="HD418" s="89"/>
      <c r="HE418" s="89"/>
      <c r="HF418" s="89"/>
      <c r="HG418" s="89"/>
      <c r="HH418" s="89"/>
      <c r="HI418" s="89"/>
      <c r="HJ418" s="89"/>
      <c r="HK418" s="89"/>
      <c r="HL418" s="89"/>
      <c r="HM418" s="89"/>
      <c r="HN418" s="89"/>
      <c r="HO418" s="89"/>
      <c r="HP418" s="89"/>
      <c r="HQ418" s="89"/>
      <c r="HR418" s="89"/>
      <c r="HS418" s="89"/>
      <c r="HT418" s="89"/>
      <c r="HU418" s="89"/>
      <c r="HV418" s="89"/>
      <c r="HW418" s="89"/>
      <c r="HX418" s="89"/>
      <c r="HY418" s="89"/>
      <c r="HZ418" s="89"/>
      <c r="IA418" s="89"/>
    </row>
    <row r="419" spans="1:16" ht="11.25">
      <c r="A419" s="42" t="s">
        <v>5</v>
      </c>
      <c r="B419" s="31"/>
      <c r="C419" s="31"/>
      <c r="D419" s="131"/>
      <c r="E419" s="131"/>
      <c r="F419" s="34"/>
      <c r="G419" s="131"/>
      <c r="H419" s="131"/>
      <c r="I419" s="131"/>
      <c r="J419" s="34"/>
      <c r="K419" s="37"/>
      <c r="L419" s="133"/>
      <c r="M419" s="133"/>
      <c r="N419" s="131"/>
      <c r="O419" s="131"/>
      <c r="P419" s="34"/>
    </row>
    <row r="420" spans="1:16" ht="24" customHeight="1">
      <c r="A420" s="43" t="s">
        <v>199</v>
      </c>
      <c r="B420" s="33"/>
      <c r="C420" s="33"/>
      <c r="D420" s="35"/>
      <c r="E420" s="35"/>
      <c r="F420" s="35">
        <v>230</v>
      </c>
      <c r="G420" s="35"/>
      <c r="H420" s="35"/>
      <c r="I420" s="35"/>
      <c r="J420" s="35"/>
      <c r="K420" s="35"/>
      <c r="L420" s="35"/>
      <c r="M420" s="35"/>
      <c r="N420" s="35"/>
      <c r="O420" s="35"/>
      <c r="P420" s="35"/>
    </row>
    <row r="421" spans="1:16" ht="13.5" customHeight="1">
      <c r="A421" s="43" t="s">
        <v>68</v>
      </c>
      <c r="B421" s="33"/>
      <c r="C421" s="33"/>
      <c r="D421" s="35"/>
      <c r="E421" s="35"/>
      <c r="F421" s="35"/>
      <c r="G421" s="35"/>
      <c r="H421" s="35"/>
      <c r="I421" s="35"/>
      <c r="J421" s="35"/>
      <c r="K421" s="35"/>
      <c r="L421" s="35"/>
      <c r="M421" s="35"/>
      <c r="N421" s="35"/>
      <c r="O421" s="35"/>
      <c r="P421" s="35"/>
    </row>
    <row r="422" spans="1:16" ht="23.25" customHeight="1">
      <c r="A422" s="43" t="s">
        <v>200</v>
      </c>
      <c r="B422" s="33"/>
      <c r="C422" s="33"/>
      <c r="D422" s="35">
        <v>180</v>
      </c>
      <c r="E422" s="35"/>
      <c r="F422" s="35">
        <f>D422</f>
        <v>180</v>
      </c>
      <c r="G422" s="35"/>
      <c r="H422" s="35"/>
      <c r="I422" s="35"/>
      <c r="J422" s="35"/>
      <c r="K422" s="35"/>
      <c r="L422" s="35"/>
      <c r="M422" s="35"/>
      <c r="N422" s="35"/>
      <c r="O422" s="35"/>
      <c r="P422" s="35"/>
    </row>
    <row r="423" spans="1:16" ht="27" customHeight="1">
      <c r="A423" s="43" t="s">
        <v>201</v>
      </c>
      <c r="B423" s="33"/>
      <c r="C423" s="33"/>
      <c r="D423" s="35">
        <v>540</v>
      </c>
      <c r="E423" s="35"/>
      <c r="F423" s="35">
        <f>D423</f>
        <v>540</v>
      </c>
      <c r="G423" s="35"/>
      <c r="H423" s="35"/>
      <c r="I423" s="35"/>
      <c r="J423" s="35"/>
      <c r="K423" s="35"/>
      <c r="L423" s="35"/>
      <c r="M423" s="35"/>
      <c r="N423" s="35"/>
      <c r="O423" s="35"/>
      <c r="P423" s="35"/>
    </row>
    <row r="424" spans="1:16" ht="11.25">
      <c r="A424" s="42" t="s">
        <v>7</v>
      </c>
      <c r="B424" s="31"/>
      <c r="C424" s="31"/>
      <c r="D424" s="132"/>
      <c r="E424" s="132"/>
      <c r="F424" s="35"/>
      <c r="G424" s="132"/>
      <c r="H424" s="132"/>
      <c r="I424" s="132"/>
      <c r="J424" s="35"/>
      <c r="K424" s="36"/>
      <c r="L424" s="100"/>
      <c r="M424" s="100"/>
      <c r="N424" s="132"/>
      <c r="O424" s="132"/>
      <c r="P424" s="35"/>
    </row>
    <row r="425" spans="1:16" ht="35.25" customHeight="1">
      <c r="A425" s="43" t="s">
        <v>202</v>
      </c>
      <c r="B425" s="33"/>
      <c r="C425" s="33"/>
      <c r="D425" s="35"/>
      <c r="E425" s="35"/>
      <c r="F425" s="35">
        <f>D425</f>
        <v>0</v>
      </c>
      <c r="G425" s="35"/>
      <c r="H425" s="35"/>
      <c r="I425" s="35"/>
      <c r="J425" s="35"/>
      <c r="K425" s="36"/>
      <c r="L425" s="36"/>
      <c r="M425" s="36"/>
      <c r="N425" s="35"/>
      <c r="O425" s="35"/>
      <c r="P425" s="35"/>
    </row>
    <row r="426" spans="1:16" ht="11.25">
      <c r="A426" s="43" t="s">
        <v>68</v>
      </c>
      <c r="B426" s="33"/>
      <c r="C426" s="33"/>
      <c r="D426" s="34"/>
      <c r="E426" s="34"/>
      <c r="F426" s="34"/>
      <c r="G426" s="34"/>
      <c r="H426" s="34"/>
      <c r="I426" s="34"/>
      <c r="J426" s="34"/>
      <c r="K426" s="37"/>
      <c r="L426" s="37"/>
      <c r="M426" s="37"/>
      <c r="N426" s="34"/>
      <c r="O426" s="34"/>
      <c r="P426" s="34"/>
    </row>
    <row r="427" spans="1:16" ht="23.25" customHeight="1">
      <c r="A427" s="43" t="s">
        <v>200</v>
      </c>
      <c r="B427" s="33"/>
      <c r="C427" s="33"/>
      <c r="D427" s="35">
        <v>122.96</v>
      </c>
      <c r="E427" s="35"/>
      <c r="F427" s="35">
        <f>D427</f>
        <v>122.96</v>
      </c>
      <c r="G427" s="35"/>
      <c r="H427" s="35"/>
      <c r="I427" s="35"/>
      <c r="J427" s="35"/>
      <c r="K427" s="37"/>
      <c r="L427" s="37"/>
      <c r="M427" s="37"/>
      <c r="N427" s="35"/>
      <c r="O427" s="35"/>
      <c r="P427" s="35"/>
    </row>
    <row r="428" spans="1:16" ht="24" customHeight="1">
      <c r="A428" s="43" t="s">
        <v>201</v>
      </c>
      <c r="B428" s="33"/>
      <c r="C428" s="33"/>
      <c r="D428" s="35">
        <v>502.86</v>
      </c>
      <c r="E428" s="35"/>
      <c r="F428" s="35">
        <f>D428</f>
        <v>502.86</v>
      </c>
      <c r="G428" s="35"/>
      <c r="H428" s="35"/>
      <c r="I428" s="35"/>
      <c r="J428" s="35"/>
      <c r="K428" s="37"/>
      <c r="L428" s="37"/>
      <c r="M428" s="37"/>
      <c r="N428" s="35"/>
      <c r="O428" s="35"/>
      <c r="P428" s="35"/>
    </row>
    <row r="429" spans="1:235" s="90" customFormat="1" ht="45">
      <c r="A429" s="93" t="s">
        <v>455</v>
      </c>
      <c r="B429" s="93"/>
      <c r="C429" s="93"/>
      <c r="D429" s="97"/>
      <c r="E429" s="97"/>
      <c r="F429" s="97"/>
      <c r="G429" s="97">
        <f>G433*G438+G434*G439</f>
        <v>99999.9999984</v>
      </c>
      <c r="H429" s="97"/>
      <c r="I429" s="97"/>
      <c r="J429" s="97">
        <f>G429+H429</f>
        <v>99999.9999984</v>
      </c>
      <c r="K429" s="97"/>
      <c r="L429" s="97"/>
      <c r="M429" s="97"/>
      <c r="N429" s="97">
        <f>(N433*N438)+(N434*N439)-1.3</f>
        <v>299210</v>
      </c>
      <c r="O429" s="97"/>
      <c r="P429" s="97">
        <f>N429</f>
        <v>299210</v>
      </c>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c r="CR429" s="89"/>
      <c r="CS429" s="89"/>
      <c r="CT429" s="89"/>
      <c r="CU429" s="89"/>
      <c r="CV429" s="89"/>
      <c r="CW429" s="89"/>
      <c r="CX429" s="89"/>
      <c r="CY429" s="89"/>
      <c r="CZ429" s="89"/>
      <c r="DA429" s="89"/>
      <c r="DB429" s="89"/>
      <c r="DC429" s="89"/>
      <c r="DD429" s="89"/>
      <c r="DE429" s="89"/>
      <c r="DF429" s="89"/>
      <c r="DG429" s="89"/>
      <c r="DH429" s="89"/>
      <c r="DI429" s="89"/>
      <c r="DJ429" s="89"/>
      <c r="DK429" s="89"/>
      <c r="DL429" s="89"/>
      <c r="DM429" s="89"/>
      <c r="DN429" s="89"/>
      <c r="DO429" s="89"/>
      <c r="DP429" s="89"/>
      <c r="DQ429" s="89"/>
      <c r="DR429" s="89"/>
      <c r="DS429" s="89"/>
      <c r="DT429" s="89"/>
      <c r="DU429" s="89"/>
      <c r="DV429" s="89"/>
      <c r="DW429" s="89"/>
      <c r="DX429" s="89"/>
      <c r="DY429" s="89"/>
      <c r="DZ429" s="89"/>
      <c r="EA429" s="89"/>
      <c r="EB429" s="89"/>
      <c r="EC429" s="89"/>
      <c r="ED429" s="89"/>
      <c r="EE429" s="89"/>
      <c r="EF429" s="89"/>
      <c r="EG429" s="89"/>
      <c r="EH429" s="89"/>
      <c r="EI429" s="89"/>
      <c r="EJ429" s="89"/>
      <c r="EK429" s="89"/>
      <c r="EL429" s="89"/>
      <c r="EM429" s="89"/>
      <c r="EN429" s="89"/>
      <c r="EO429" s="89"/>
      <c r="EP429" s="89"/>
      <c r="EQ429" s="89"/>
      <c r="ER429" s="89"/>
      <c r="ES429" s="89"/>
      <c r="ET429" s="89"/>
      <c r="EU429" s="89"/>
      <c r="EV429" s="89"/>
      <c r="EW429" s="89"/>
      <c r="EX429" s="89"/>
      <c r="EY429" s="89"/>
      <c r="EZ429" s="89"/>
      <c r="FA429" s="89"/>
      <c r="FB429" s="89"/>
      <c r="FC429" s="89"/>
      <c r="FD429" s="89"/>
      <c r="FE429" s="89"/>
      <c r="FF429" s="89"/>
      <c r="FG429" s="89"/>
      <c r="FH429" s="89"/>
      <c r="FI429" s="89"/>
      <c r="FJ429" s="89"/>
      <c r="FK429" s="89"/>
      <c r="FL429" s="89"/>
      <c r="FM429" s="89"/>
      <c r="FN429" s="89"/>
      <c r="FO429" s="89"/>
      <c r="FP429" s="89"/>
      <c r="FQ429" s="89"/>
      <c r="FR429" s="89"/>
      <c r="FS429" s="89"/>
      <c r="FT429" s="89"/>
      <c r="FU429" s="89"/>
      <c r="FV429" s="89"/>
      <c r="FW429" s="89"/>
      <c r="FX429" s="89"/>
      <c r="FY429" s="89"/>
      <c r="FZ429" s="89"/>
      <c r="GA429" s="89"/>
      <c r="GB429" s="89"/>
      <c r="GC429" s="89"/>
      <c r="GD429" s="89"/>
      <c r="GE429" s="89"/>
      <c r="GF429" s="89"/>
      <c r="GG429" s="89"/>
      <c r="GH429" s="89"/>
      <c r="GI429" s="89"/>
      <c r="GJ429" s="89"/>
      <c r="GK429" s="89"/>
      <c r="GL429" s="89"/>
      <c r="GM429" s="89"/>
      <c r="GN429" s="89"/>
      <c r="GO429" s="89"/>
      <c r="GP429" s="89"/>
      <c r="GQ429" s="89"/>
      <c r="GR429" s="89"/>
      <c r="GS429" s="89"/>
      <c r="GT429" s="89"/>
      <c r="GU429" s="89"/>
      <c r="GV429" s="89"/>
      <c r="GW429" s="89"/>
      <c r="GX429" s="89"/>
      <c r="GY429" s="89"/>
      <c r="GZ429" s="89"/>
      <c r="HA429" s="89"/>
      <c r="HB429" s="89"/>
      <c r="HC429" s="89"/>
      <c r="HD429" s="89"/>
      <c r="HE429" s="89"/>
      <c r="HF429" s="89"/>
      <c r="HG429" s="89"/>
      <c r="HH429" s="89"/>
      <c r="HI429" s="89"/>
      <c r="HJ429" s="89"/>
      <c r="HK429" s="89"/>
      <c r="HL429" s="89"/>
      <c r="HM429" s="89"/>
      <c r="HN429" s="89"/>
      <c r="HO429" s="89"/>
      <c r="HP429" s="89"/>
      <c r="HQ429" s="89"/>
      <c r="HR429" s="89"/>
      <c r="HS429" s="89"/>
      <c r="HT429" s="89"/>
      <c r="HU429" s="89"/>
      <c r="HV429" s="89"/>
      <c r="HW429" s="89"/>
      <c r="HX429" s="89"/>
      <c r="HY429" s="89"/>
      <c r="HZ429" s="89"/>
      <c r="IA429" s="89"/>
    </row>
    <row r="430" spans="1:16" ht="11.25">
      <c r="A430" s="42" t="s">
        <v>5</v>
      </c>
      <c r="B430" s="31"/>
      <c r="C430" s="31"/>
      <c r="D430" s="131"/>
      <c r="E430" s="131"/>
      <c r="F430" s="34"/>
      <c r="G430" s="131"/>
      <c r="H430" s="131"/>
      <c r="I430" s="131"/>
      <c r="J430" s="34"/>
      <c r="K430" s="37"/>
      <c r="L430" s="133"/>
      <c r="M430" s="133"/>
      <c r="N430" s="131"/>
      <c r="O430" s="131"/>
      <c r="P430" s="34"/>
    </row>
    <row r="431" spans="1:16" ht="24" customHeight="1">
      <c r="A431" s="43" t="s">
        <v>453</v>
      </c>
      <c r="B431" s="33"/>
      <c r="C431" s="33"/>
      <c r="D431" s="35"/>
      <c r="E431" s="35"/>
      <c r="F431" s="35"/>
      <c r="G431" s="35">
        <v>270</v>
      </c>
      <c r="H431" s="35"/>
      <c r="I431" s="35"/>
      <c r="J431" s="35">
        <v>257</v>
      </c>
      <c r="K431" s="35" t="e">
        <f>G431/D431*100</f>
        <v>#DIV/0!</v>
      </c>
      <c r="L431" s="35"/>
      <c r="M431" s="35"/>
      <c r="N431" s="35">
        <v>765</v>
      </c>
      <c r="O431" s="35"/>
      <c r="P431" s="35">
        <v>765</v>
      </c>
    </row>
    <row r="432" spans="1:16" ht="13.5" customHeight="1">
      <c r="A432" s="43" t="s">
        <v>68</v>
      </c>
      <c r="B432" s="33"/>
      <c r="C432" s="33"/>
      <c r="D432" s="35"/>
      <c r="E432" s="35"/>
      <c r="F432" s="35"/>
      <c r="G432" s="35"/>
      <c r="H432" s="35"/>
      <c r="I432" s="35"/>
      <c r="J432" s="35"/>
      <c r="K432" s="35"/>
      <c r="L432" s="35"/>
      <c r="M432" s="35"/>
      <c r="N432" s="35"/>
      <c r="O432" s="35"/>
      <c r="P432" s="35"/>
    </row>
    <row r="433" spans="1:16" ht="23.25" customHeight="1">
      <c r="A433" s="43" t="s">
        <v>200</v>
      </c>
      <c r="B433" s="33"/>
      <c r="C433" s="33"/>
      <c r="D433" s="35"/>
      <c r="E433" s="35"/>
      <c r="F433" s="35"/>
      <c r="G433" s="35">
        <v>77</v>
      </c>
      <c r="H433" s="35"/>
      <c r="I433" s="35"/>
      <c r="J433" s="35">
        <f>G433+H433</f>
        <v>77</v>
      </c>
      <c r="K433" s="35"/>
      <c r="L433" s="35"/>
      <c r="M433" s="35"/>
      <c r="N433" s="35">
        <v>225</v>
      </c>
      <c r="O433" s="35"/>
      <c r="P433" s="35">
        <f>N433</f>
        <v>225</v>
      </c>
    </row>
    <row r="434" spans="1:16" ht="27" customHeight="1">
      <c r="A434" s="43" t="s">
        <v>201</v>
      </c>
      <c r="B434" s="33"/>
      <c r="C434" s="33"/>
      <c r="D434" s="35"/>
      <c r="E434" s="35"/>
      <c r="F434" s="35"/>
      <c r="G434" s="35">
        <v>180</v>
      </c>
      <c r="H434" s="35"/>
      <c r="I434" s="35"/>
      <c r="J434" s="35">
        <f>G434+H434</f>
        <v>180</v>
      </c>
      <c r="K434" s="35"/>
      <c r="L434" s="35"/>
      <c r="M434" s="35"/>
      <c r="N434" s="35">
        <v>540</v>
      </c>
      <c r="O434" s="35"/>
      <c r="P434" s="35">
        <f>N434</f>
        <v>540</v>
      </c>
    </row>
    <row r="435" spans="1:16" ht="11.25">
      <c r="A435" s="42" t="s">
        <v>7</v>
      </c>
      <c r="B435" s="31"/>
      <c r="C435" s="31"/>
      <c r="D435" s="132"/>
      <c r="E435" s="132"/>
      <c r="F435" s="35"/>
      <c r="G435" s="132"/>
      <c r="H435" s="132"/>
      <c r="I435" s="132"/>
      <c r="J435" s="35"/>
      <c r="K435" s="36"/>
      <c r="L435" s="100"/>
      <c r="M435" s="100"/>
      <c r="N435" s="132"/>
      <c r="O435" s="132"/>
      <c r="P435" s="35"/>
    </row>
    <row r="436" spans="1:16" ht="36" customHeight="1">
      <c r="A436" s="43" t="s">
        <v>454</v>
      </c>
      <c r="B436" s="33"/>
      <c r="C436" s="33"/>
      <c r="D436" s="35"/>
      <c r="E436" s="35"/>
      <c r="F436" s="35"/>
      <c r="G436" s="35"/>
      <c r="H436" s="35"/>
      <c r="I436" s="35"/>
      <c r="J436" s="35">
        <f>G436</f>
        <v>0</v>
      </c>
      <c r="K436" s="36" t="e">
        <f>G436/D436*100</f>
        <v>#DIV/0!</v>
      </c>
      <c r="L436" s="36"/>
      <c r="M436" s="36"/>
      <c r="N436" s="35"/>
      <c r="O436" s="35"/>
      <c r="P436" s="35">
        <f>N436</f>
        <v>0</v>
      </c>
    </row>
    <row r="437" spans="1:16" ht="11.25">
      <c r="A437" s="43" t="s">
        <v>68</v>
      </c>
      <c r="B437" s="33"/>
      <c r="C437" s="33"/>
      <c r="D437" s="34"/>
      <c r="E437" s="34"/>
      <c r="F437" s="34"/>
      <c r="G437" s="34"/>
      <c r="H437" s="34"/>
      <c r="I437" s="34"/>
      <c r="J437" s="34"/>
      <c r="K437" s="37"/>
      <c r="L437" s="37"/>
      <c r="M437" s="37"/>
      <c r="N437" s="34"/>
      <c r="O437" s="34"/>
      <c r="P437" s="34"/>
    </row>
    <row r="438" spans="1:16" ht="23.25" customHeight="1">
      <c r="A438" s="43" t="s">
        <v>200</v>
      </c>
      <c r="B438" s="33"/>
      <c r="C438" s="33"/>
      <c r="D438" s="35"/>
      <c r="E438" s="35"/>
      <c r="F438" s="35"/>
      <c r="G438" s="35">
        <v>123</v>
      </c>
      <c r="H438" s="35"/>
      <c r="I438" s="35"/>
      <c r="J438" s="35">
        <f>G438</f>
        <v>123</v>
      </c>
      <c r="K438" s="37"/>
      <c r="L438" s="37"/>
      <c r="M438" s="37"/>
      <c r="N438" s="35">
        <v>144.9</v>
      </c>
      <c r="O438" s="35"/>
      <c r="P438" s="35">
        <f>N438</f>
        <v>144.9</v>
      </c>
    </row>
    <row r="439" spans="1:16" ht="24" customHeight="1">
      <c r="A439" s="43" t="s">
        <v>201</v>
      </c>
      <c r="B439" s="33"/>
      <c r="C439" s="33"/>
      <c r="D439" s="35"/>
      <c r="E439" s="35"/>
      <c r="F439" s="35"/>
      <c r="G439" s="35">
        <v>502.93888888</v>
      </c>
      <c r="H439" s="35"/>
      <c r="I439" s="35"/>
      <c r="J439" s="35">
        <f>G439</f>
        <v>502.93888888</v>
      </c>
      <c r="K439" s="37"/>
      <c r="L439" s="37"/>
      <c r="M439" s="37"/>
      <c r="N439" s="35">
        <v>493.72</v>
      </c>
      <c r="O439" s="35"/>
      <c r="P439" s="35">
        <f>N439</f>
        <v>493.72</v>
      </c>
    </row>
    <row r="440" spans="1:235" s="90" customFormat="1" ht="24" customHeight="1">
      <c r="A440" s="93" t="s">
        <v>367</v>
      </c>
      <c r="B440" s="93"/>
      <c r="C440" s="93"/>
      <c r="D440" s="97">
        <f>(D442*D444)+0.02</f>
        <v>51000.002</v>
      </c>
      <c r="E440" s="97"/>
      <c r="F440" s="97">
        <f>D440</f>
        <v>51000.002</v>
      </c>
      <c r="G440" s="97">
        <v>75000</v>
      </c>
      <c r="H440" s="97"/>
      <c r="I440" s="97"/>
      <c r="J440" s="97">
        <f>G440</f>
        <v>75000</v>
      </c>
      <c r="K440" s="97"/>
      <c r="L440" s="97"/>
      <c r="M440" s="97"/>
      <c r="N440" s="97">
        <v>75000</v>
      </c>
      <c r="O440" s="97"/>
      <c r="P440" s="97">
        <f>N440</f>
        <v>75000</v>
      </c>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c r="CR440" s="89"/>
      <c r="CS440" s="89"/>
      <c r="CT440" s="89"/>
      <c r="CU440" s="89"/>
      <c r="CV440" s="89"/>
      <c r="CW440" s="89"/>
      <c r="CX440" s="89"/>
      <c r="CY440" s="89"/>
      <c r="CZ440" s="89"/>
      <c r="DA440" s="89"/>
      <c r="DB440" s="89"/>
      <c r="DC440" s="89"/>
      <c r="DD440" s="89"/>
      <c r="DE440" s="89"/>
      <c r="DF440" s="89"/>
      <c r="DG440" s="89"/>
      <c r="DH440" s="89"/>
      <c r="DI440" s="89"/>
      <c r="DJ440" s="89"/>
      <c r="DK440" s="89"/>
      <c r="DL440" s="89"/>
      <c r="DM440" s="89"/>
      <c r="DN440" s="89"/>
      <c r="DO440" s="89"/>
      <c r="DP440" s="89"/>
      <c r="DQ440" s="89"/>
      <c r="DR440" s="89"/>
      <c r="DS440" s="89"/>
      <c r="DT440" s="89"/>
      <c r="DU440" s="89"/>
      <c r="DV440" s="89"/>
      <c r="DW440" s="89"/>
      <c r="DX440" s="89"/>
      <c r="DY440" s="89"/>
      <c r="DZ440" s="89"/>
      <c r="EA440" s="89"/>
      <c r="EB440" s="89"/>
      <c r="EC440" s="89"/>
      <c r="ED440" s="89"/>
      <c r="EE440" s="89"/>
      <c r="EF440" s="89"/>
      <c r="EG440" s="89"/>
      <c r="EH440" s="89"/>
      <c r="EI440" s="89"/>
      <c r="EJ440" s="89"/>
      <c r="EK440" s="89"/>
      <c r="EL440" s="89"/>
      <c r="EM440" s="89"/>
      <c r="EN440" s="89"/>
      <c r="EO440" s="89"/>
      <c r="EP440" s="89"/>
      <c r="EQ440" s="89"/>
      <c r="ER440" s="89"/>
      <c r="ES440" s="89"/>
      <c r="ET440" s="89"/>
      <c r="EU440" s="89"/>
      <c r="EV440" s="89"/>
      <c r="EW440" s="89"/>
      <c r="EX440" s="89"/>
      <c r="EY440" s="89"/>
      <c r="EZ440" s="89"/>
      <c r="FA440" s="89"/>
      <c r="FB440" s="89"/>
      <c r="FC440" s="89"/>
      <c r="FD440" s="89"/>
      <c r="FE440" s="89"/>
      <c r="FF440" s="89"/>
      <c r="FG440" s="89"/>
      <c r="FH440" s="89"/>
      <c r="FI440" s="89"/>
      <c r="FJ440" s="89"/>
      <c r="FK440" s="89"/>
      <c r="FL440" s="89"/>
      <c r="FM440" s="89"/>
      <c r="FN440" s="89"/>
      <c r="FO440" s="89"/>
      <c r="FP440" s="89"/>
      <c r="FQ440" s="89"/>
      <c r="FR440" s="89"/>
      <c r="FS440" s="89"/>
      <c r="FT440" s="89"/>
      <c r="FU440" s="89"/>
      <c r="FV440" s="89"/>
      <c r="FW440" s="89"/>
      <c r="FX440" s="89"/>
      <c r="FY440" s="89"/>
      <c r="FZ440" s="89"/>
      <c r="GA440" s="89"/>
      <c r="GB440" s="89"/>
      <c r="GC440" s="89"/>
      <c r="GD440" s="89"/>
      <c r="GE440" s="89"/>
      <c r="GF440" s="89"/>
      <c r="GG440" s="89"/>
      <c r="GH440" s="89"/>
      <c r="GI440" s="89"/>
      <c r="GJ440" s="89"/>
      <c r="GK440" s="89"/>
      <c r="GL440" s="89"/>
      <c r="GM440" s="89"/>
      <c r="GN440" s="89"/>
      <c r="GO440" s="89"/>
      <c r="GP440" s="89"/>
      <c r="GQ440" s="89"/>
      <c r="GR440" s="89"/>
      <c r="GS440" s="89"/>
      <c r="GT440" s="89"/>
      <c r="GU440" s="89"/>
      <c r="GV440" s="89"/>
      <c r="GW440" s="89"/>
      <c r="GX440" s="89"/>
      <c r="GY440" s="89"/>
      <c r="GZ440" s="89"/>
      <c r="HA440" s="89"/>
      <c r="HB440" s="89"/>
      <c r="HC440" s="89"/>
      <c r="HD440" s="89"/>
      <c r="HE440" s="89"/>
      <c r="HF440" s="89"/>
      <c r="HG440" s="89"/>
      <c r="HH440" s="89"/>
      <c r="HI440" s="89"/>
      <c r="HJ440" s="89"/>
      <c r="HK440" s="89"/>
      <c r="HL440" s="89"/>
      <c r="HM440" s="89"/>
      <c r="HN440" s="89"/>
      <c r="HO440" s="89"/>
      <c r="HP440" s="89"/>
      <c r="HQ440" s="89"/>
      <c r="HR440" s="89"/>
      <c r="HS440" s="89"/>
      <c r="HT440" s="89"/>
      <c r="HU440" s="89"/>
      <c r="HV440" s="89"/>
      <c r="HW440" s="89"/>
      <c r="HX440" s="89"/>
      <c r="HY440" s="89"/>
      <c r="HZ440" s="89"/>
      <c r="IA440" s="89"/>
    </row>
    <row r="441" spans="1:16" ht="12.75" customHeight="1">
      <c r="A441" s="42" t="s">
        <v>234</v>
      </c>
      <c r="B441" s="63"/>
      <c r="C441" s="63"/>
      <c r="D441" s="38"/>
      <c r="E441" s="38"/>
      <c r="F441" s="38"/>
      <c r="G441" s="38"/>
      <c r="H441" s="38"/>
      <c r="I441" s="38"/>
      <c r="J441" s="38"/>
      <c r="K441" s="134"/>
      <c r="L441" s="38"/>
      <c r="M441" s="38"/>
      <c r="N441" s="38"/>
      <c r="O441" s="38"/>
      <c r="P441" s="38"/>
    </row>
    <row r="442" spans="1:16" ht="24" customHeight="1">
      <c r="A442" s="53" t="s">
        <v>233</v>
      </c>
      <c r="B442" s="33"/>
      <c r="C442" s="33"/>
      <c r="D442" s="35">
        <v>6600</v>
      </c>
      <c r="E442" s="35"/>
      <c r="F442" s="35">
        <f>D442</f>
        <v>6600</v>
      </c>
      <c r="G442" s="35">
        <v>7200</v>
      </c>
      <c r="H442" s="35"/>
      <c r="I442" s="35"/>
      <c r="J442" s="35">
        <f>G442</f>
        <v>7200</v>
      </c>
      <c r="K442" s="37"/>
      <c r="L442" s="37"/>
      <c r="M442" s="37"/>
      <c r="N442" s="35">
        <v>7200</v>
      </c>
      <c r="O442" s="35"/>
      <c r="P442" s="35">
        <f>N442</f>
        <v>7200</v>
      </c>
    </row>
    <row r="443" spans="1:16" ht="11.25">
      <c r="A443" s="42" t="s">
        <v>7</v>
      </c>
      <c r="B443" s="33"/>
      <c r="C443" s="33"/>
      <c r="D443" s="35"/>
      <c r="E443" s="35"/>
      <c r="F443" s="35"/>
      <c r="G443" s="35"/>
      <c r="H443" s="35"/>
      <c r="I443" s="35"/>
      <c r="J443" s="35"/>
      <c r="K443" s="37"/>
      <c r="L443" s="37"/>
      <c r="M443" s="37"/>
      <c r="N443" s="35"/>
      <c r="O443" s="35"/>
      <c r="P443" s="35"/>
    </row>
    <row r="444" spans="1:16" ht="24" customHeight="1">
      <c r="A444" s="43" t="s">
        <v>235</v>
      </c>
      <c r="B444" s="33"/>
      <c r="C444" s="33"/>
      <c r="D444" s="35">
        <f>7727.27/1000</f>
        <v>7.727270000000001</v>
      </c>
      <c r="E444" s="35"/>
      <c r="F444" s="35">
        <f>D444</f>
        <v>7.727270000000001</v>
      </c>
      <c r="G444" s="35">
        <f>G440/G442</f>
        <v>10.416666666666666</v>
      </c>
      <c r="H444" s="35"/>
      <c r="I444" s="35"/>
      <c r="J444" s="35">
        <f>G444</f>
        <v>10.416666666666666</v>
      </c>
      <c r="K444" s="37"/>
      <c r="L444" s="37"/>
      <c r="M444" s="37"/>
      <c r="N444" s="35">
        <f>N440/N442</f>
        <v>10.416666666666666</v>
      </c>
      <c r="O444" s="35"/>
      <c r="P444" s="35">
        <f>N444</f>
        <v>10.416666666666666</v>
      </c>
    </row>
    <row r="445" spans="1:235" s="90" customFormat="1" ht="38.25" customHeight="1">
      <c r="A445" s="93" t="s">
        <v>368</v>
      </c>
      <c r="B445" s="93"/>
      <c r="C445" s="93"/>
      <c r="D445" s="97"/>
      <c r="E445" s="97"/>
      <c r="F445" s="97"/>
      <c r="G445" s="97">
        <f>G447*G449</f>
        <v>168999.9999996</v>
      </c>
      <c r="H445" s="97"/>
      <c r="I445" s="97"/>
      <c r="J445" s="97">
        <f>G445</f>
        <v>168999.9999996</v>
      </c>
      <c r="K445" s="100"/>
      <c r="L445" s="100"/>
      <c r="M445" s="100"/>
      <c r="N445" s="97">
        <f>N447*N449</f>
        <v>169999.999992</v>
      </c>
      <c r="O445" s="97"/>
      <c r="P445" s="97">
        <f>N445</f>
        <v>169999.999992</v>
      </c>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c r="CR445" s="89"/>
      <c r="CS445" s="89"/>
      <c r="CT445" s="89"/>
      <c r="CU445" s="89"/>
      <c r="CV445" s="89"/>
      <c r="CW445" s="89"/>
      <c r="CX445" s="89"/>
      <c r="CY445" s="89"/>
      <c r="CZ445" s="89"/>
      <c r="DA445" s="89"/>
      <c r="DB445" s="89"/>
      <c r="DC445" s="89"/>
      <c r="DD445" s="89"/>
      <c r="DE445" s="89"/>
      <c r="DF445" s="89"/>
      <c r="DG445" s="89"/>
      <c r="DH445" s="89"/>
      <c r="DI445" s="89"/>
      <c r="DJ445" s="89"/>
      <c r="DK445" s="89"/>
      <c r="DL445" s="89"/>
      <c r="DM445" s="89"/>
      <c r="DN445" s="89"/>
      <c r="DO445" s="89"/>
      <c r="DP445" s="89"/>
      <c r="DQ445" s="89"/>
      <c r="DR445" s="89"/>
      <c r="DS445" s="89"/>
      <c r="DT445" s="89"/>
      <c r="DU445" s="89"/>
      <c r="DV445" s="89"/>
      <c r="DW445" s="89"/>
      <c r="DX445" s="89"/>
      <c r="DY445" s="89"/>
      <c r="DZ445" s="89"/>
      <c r="EA445" s="89"/>
      <c r="EB445" s="89"/>
      <c r="EC445" s="89"/>
      <c r="ED445" s="89"/>
      <c r="EE445" s="89"/>
      <c r="EF445" s="89"/>
      <c r="EG445" s="89"/>
      <c r="EH445" s="89"/>
      <c r="EI445" s="89"/>
      <c r="EJ445" s="89"/>
      <c r="EK445" s="89"/>
      <c r="EL445" s="89"/>
      <c r="EM445" s="89"/>
      <c r="EN445" s="89"/>
      <c r="EO445" s="89"/>
      <c r="EP445" s="89"/>
      <c r="EQ445" s="89"/>
      <c r="ER445" s="89"/>
      <c r="ES445" s="89"/>
      <c r="ET445" s="89"/>
      <c r="EU445" s="89"/>
      <c r="EV445" s="89"/>
      <c r="EW445" s="89"/>
      <c r="EX445" s="89"/>
      <c r="EY445" s="89"/>
      <c r="EZ445" s="89"/>
      <c r="FA445" s="89"/>
      <c r="FB445" s="89"/>
      <c r="FC445" s="89"/>
      <c r="FD445" s="89"/>
      <c r="FE445" s="89"/>
      <c r="FF445" s="89"/>
      <c r="FG445" s="89"/>
      <c r="FH445" s="89"/>
      <c r="FI445" s="89"/>
      <c r="FJ445" s="89"/>
      <c r="FK445" s="89"/>
      <c r="FL445" s="89"/>
      <c r="FM445" s="89"/>
      <c r="FN445" s="89"/>
      <c r="FO445" s="89"/>
      <c r="FP445" s="89"/>
      <c r="FQ445" s="89"/>
      <c r="FR445" s="89"/>
      <c r="FS445" s="89"/>
      <c r="FT445" s="89"/>
      <c r="FU445" s="89"/>
      <c r="FV445" s="89"/>
      <c r="FW445" s="89"/>
      <c r="FX445" s="89"/>
      <c r="FY445" s="89"/>
      <c r="FZ445" s="89"/>
      <c r="GA445" s="89"/>
      <c r="GB445" s="89"/>
      <c r="GC445" s="89"/>
      <c r="GD445" s="89"/>
      <c r="GE445" s="89"/>
      <c r="GF445" s="89"/>
      <c r="GG445" s="89"/>
      <c r="GH445" s="89"/>
      <c r="GI445" s="89"/>
      <c r="GJ445" s="89"/>
      <c r="GK445" s="89"/>
      <c r="GL445" s="89"/>
      <c r="GM445" s="89"/>
      <c r="GN445" s="89"/>
      <c r="GO445" s="89"/>
      <c r="GP445" s="89"/>
      <c r="GQ445" s="89"/>
      <c r="GR445" s="89"/>
      <c r="GS445" s="89"/>
      <c r="GT445" s="89"/>
      <c r="GU445" s="89"/>
      <c r="GV445" s="89"/>
      <c r="GW445" s="89"/>
      <c r="GX445" s="89"/>
      <c r="GY445" s="89"/>
      <c r="GZ445" s="89"/>
      <c r="HA445" s="89"/>
      <c r="HB445" s="89"/>
      <c r="HC445" s="89"/>
      <c r="HD445" s="89"/>
      <c r="HE445" s="89"/>
      <c r="HF445" s="89"/>
      <c r="HG445" s="89"/>
      <c r="HH445" s="89"/>
      <c r="HI445" s="89"/>
      <c r="HJ445" s="89"/>
      <c r="HK445" s="89"/>
      <c r="HL445" s="89"/>
      <c r="HM445" s="89"/>
      <c r="HN445" s="89"/>
      <c r="HO445" s="89"/>
      <c r="HP445" s="89"/>
      <c r="HQ445" s="89"/>
      <c r="HR445" s="89"/>
      <c r="HS445" s="89"/>
      <c r="HT445" s="89"/>
      <c r="HU445" s="89"/>
      <c r="HV445" s="89"/>
      <c r="HW445" s="89"/>
      <c r="HX445" s="89"/>
      <c r="HY445" s="89"/>
      <c r="HZ445" s="89"/>
      <c r="IA445" s="89"/>
    </row>
    <row r="446" spans="1:16" ht="11.25">
      <c r="A446" s="42" t="s">
        <v>234</v>
      </c>
      <c r="B446" s="63"/>
      <c r="C446" s="63"/>
      <c r="D446" s="38"/>
      <c r="E446" s="38"/>
      <c r="F446" s="38"/>
      <c r="G446" s="38"/>
      <c r="H446" s="38"/>
      <c r="I446" s="38"/>
      <c r="J446" s="38"/>
      <c r="K446" s="37"/>
      <c r="L446" s="37"/>
      <c r="M446" s="37"/>
      <c r="N446" s="35"/>
      <c r="O446" s="35"/>
      <c r="P446" s="35"/>
    </row>
    <row r="447" spans="1:16" ht="40.5" customHeight="1">
      <c r="A447" s="53" t="s">
        <v>286</v>
      </c>
      <c r="B447" s="33"/>
      <c r="C447" s="33"/>
      <c r="D447" s="35"/>
      <c r="E447" s="35"/>
      <c r="F447" s="35"/>
      <c r="G447" s="35">
        <v>12</v>
      </c>
      <c r="H447" s="35"/>
      <c r="I447" s="35"/>
      <c r="J447" s="35">
        <f>G447</f>
        <v>12</v>
      </c>
      <c r="K447" s="37"/>
      <c r="L447" s="37"/>
      <c r="M447" s="37"/>
      <c r="N447" s="35">
        <v>12</v>
      </c>
      <c r="O447" s="35"/>
      <c r="P447" s="35">
        <f>N447</f>
        <v>12</v>
      </c>
    </row>
    <row r="448" spans="1:16" ht="11.25">
      <c r="A448" s="42" t="s">
        <v>7</v>
      </c>
      <c r="B448" s="33"/>
      <c r="C448" s="33"/>
      <c r="D448" s="35"/>
      <c r="E448" s="35"/>
      <c r="F448" s="35"/>
      <c r="G448" s="35"/>
      <c r="H448" s="35"/>
      <c r="I448" s="35"/>
      <c r="J448" s="35"/>
      <c r="K448" s="37"/>
      <c r="L448" s="37"/>
      <c r="M448" s="37"/>
      <c r="N448" s="35"/>
      <c r="O448" s="35"/>
      <c r="P448" s="35"/>
    </row>
    <row r="449" spans="1:16" ht="36.75" customHeight="1">
      <c r="A449" s="43" t="s">
        <v>287</v>
      </c>
      <c r="B449" s="33"/>
      <c r="C449" s="33"/>
      <c r="D449" s="35"/>
      <c r="E449" s="35"/>
      <c r="F449" s="35"/>
      <c r="G449" s="35">
        <v>14083.3333333</v>
      </c>
      <c r="H449" s="35"/>
      <c r="I449" s="35"/>
      <c r="J449" s="35">
        <f>G449</f>
        <v>14083.3333333</v>
      </c>
      <c r="K449" s="37"/>
      <c r="L449" s="37"/>
      <c r="M449" s="37"/>
      <c r="N449" s="35">
        <v>14166.666666</v>
      </c>
      <c r="O449" s="35"/>
      <c r="P449" s="35">
        <f>N449</f>
        <v>14166.666666</v>
      </c>
    </row>
    <row r="450" spans="1:16" ht="2.25" customHeight="1" hidden="1">
      <c r="A450" s="43"/>
      <c r="B450" s="33"/>
      <c r="C450" s="33"/>
      <c r="D450" s="35"/>
      <c r="E450" s="35"/>
      <c r="F450" s="35"/>
      <c r="G450" s="35"/>
      <c r="H450" s="35"/>
      <c r="I450" s="35"/>
      <c r="J450" s="35"/>
      <c r="K450" s="37"/>
      <c r="L450" s="37"/>
      <c r="M450" s="37"/>
      <c r="N450" s="35"/>
      <c r="O450" s="35"/>
      <c r="P450" s="35"/>
    </row>
    <row r="451" spans="1:16" ht="24" customHeight="1" hidden="1">
      <c r="A451" s="43"/>
      <c r="B451" s="33"/>
      <c r="C451" s="33"/>
      <c r="D451" s="35"/>
      <c r="E451" s="35"/>
      <c r="F451" s="35"/>
      <c r="G451" s="35"/>
      <c r="H451" s="35"/>
      <c r="I451" s="35"/>
      <c r="J451" s="35"/>
      <c r="K451" s="37"/>
      <c r="L451" s="37"/>
      <c r="M451" s="37"/>
      <c r="N451" s="35"/>
      <c r="O451" s="35"/>
      <c r="P451" s="35"/>
    </row>
    <row r="452" spans="1:16" ht="24" customHeight="1" hidden="1">
      <c r="A452" s="43"/>
      <c r="B452" s="33"/>
      <c r="C452" s="33"/>
      <c r="D452" s="35"/>
      <c r="E452" s="35"/>
      <c r="F452" s="35"/>
      <c r="G452" s="35"/>
      <c r="H452" s="35"/>
      <c r="I452" s="35"/>
      <c r="J452" s="35"/>
      <c r="K452" s="37"/>
      <c r="L452" s="37"/>
      <c r="M452" s="37"/>
      <c r="N452" s="35"/>
      <c r="O452" s="35"/>
      <c r="P452" s="35"/>
    </row>
    <row r="453" spans="1:16" ht="24" customHeight="1" hidden="1">
      <c r="A453" s="43"/>
      <c r="B453" s="33"/>
      <c r="C453" s="33"/>
      <c r="D453" s="35"/>
      <c r="E453" s="35"/>
      <c r="F453" s="35"/>
      <c r="G453" s="35"/>
      <c r="H453" s="35"/>
      <c r="I453" s="35"/>
      <c r="J453" s="35"/>
      <c r="K453" s="37"/>
      <c r="L453" s="37"/>
      <c r="M453" s="37"/>
      <c r="N453" s="35"/>
      <c r="O453" s="35"/>
      <c r="P453" s="35"/>
    </row>
    <row r="454" spans="1:235" s="90" customFormat="1" ht="45">
      <c r="A454" s="93" t="s">
        <v>456</v>
      </c>
      <c r="B454" s="93"/>
      <c r="C454" s="93"/>
      <c r="D454" s="97">
        <v>216</v>
      </c>
      <c r="E454" s="97"/>
      <c r="F454" s="97">
        <f>D454</f>
        <v>216</v>
      </c>
      <c r="G454" s="97">
        <f>G457*G460</f>
        <v>33300</v>
      </c>
      <c r="H454" s="97"/>
      <c r="I454" s="97"/>
      <c r="J454" s="97">
        <f>G454</f>
        <v>33300</v>
      </c>
      <c r="K454" s="100"/>
      <c r="L454" s="100"/>
      <c r="M454" s="100"/>
      <c r="N454" s="97">
        <f>N457*N460+N456*N459</f>
        <v>69999.999996</v>
      </c>
      <c r="O454" s="97"/>
      <c r="P454" s="97">
        <f>N454</f>
        <v>69999.999996</v>
      </c>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c r="CR454" s="89"/>
      <c r="CS454" s="89"/>
      <c r="CT454" s="89"/>
      <c r="CU454" s="89"/>
      <c r="CV454" s="89"/>
      <c r="CW454" s="89"/>
      <c r="CX454" s="89"/>
      <c r="CY454" s="89"/>
      <c r="CZ454" s="89"/>
      <c r="DA454" s="89"/>
      <c r="DB454" s="89"/>
      <c r="DC454" s="89"/>
      <c r="DD454" s="89"/>
      <c r="DE454" s="89"/>
      <c r="DF454" s="89"/>
      <c r="DG454" s="89"/>
      <c r="DH454" s="89"/>
      <c r="DI454" s="89"/>
      <c r="DJ454" s="89"/>
      <c r="DK454" s="89"/>
      <c r="DL454" s="89"/>
      <c r="DM454" s="89"/>
      <c r="DN454" s="89"/>
      <c r="DO454" s="89"/>
      <c r="DP454" s="89"/>
      <c r="DQ454" s="89"/>
      <c r="DR454" s="89"/>
      <c r="DS454" s="89"/>
      <c r="DT454" s="89"/>
      <c r="DU454" s="89"/>
      <c r="DV454" s="89"/>
      <c r="DW454" s="89"/>
      <c r="DX454" s="89"/>
      <c r="DY454" s="89"/>
      <c r="DZ454" s="89"/>
      <c r="EA454" s="89"/>
      <c r="EB454" s="89"/>
      <c r="EC454" s="89"/>
      <c r="ED454" s="89"/>
      <c r="EE454" s="89"/>
      <c r="EF454" s="89"/>
      <c r="EG454" s="89"/>
      <c r="EH454" s="89"/>
      <c r="EI454" s="89"/>
      <c r="EJ454" s="89"/>
      <c r="EK454" s="89"/>
      <c r="EL454" s="89"/>
      <c r="EM454" s="89"/>
      <c r="EN454" s="89"/>
      <c r="EO454" s="89"/>
      <c r="EP454" s="89"/>
      <c r="EQ454" s="89"/>
      <c r="ER454" s="89"/>
      <c r="ES454" s="89"/>
      <c r="ET454" s="89"/>
      <c r="EU454" s="89"/>
      <c r="EV454" s="89"/>
      <c r="EW454" s="89"/>
      <c r="EX454" s="89"/>
      <c r="EY454" s="89"/>
      <c r="EZ454" s="89"/>
      <c r="FA454" s="89"/>
      <c r="FB454" s="89"/>
      <c r="FC454" s="89"/>
      <c r="FD454" s="89"/>
      <c r="FE454" s="89"/>
      <c r="FF454" s="89"/>
      <c r="FG454" s="89"/>
      <c r="FH454" s="89"/>
      <c r="FI454" s="89"/>
      <c r="FJ454" s="89"/>
      <c r="FK454" s="89"/>
      <c r="FL454" s="89"/>
      <c r="FM454" s="89"/>
      <c r="FN454" s="89"/>
      <c r="FO454" s="89"/>
      <c r="FP454" s="89"/>
      <c r="FQ454" s="89"/>
      <c r="FR454" s="89"/>
      <c r="FS454" s="89"/>
      <c r="FT454" s="89"/>
      <c r="FU454" s="89"/>
      <c r="FV454" s="89"/>
      <c r="FW454" s="89"/>
      <c r="FX454" s="89"/>
      <c r="FY454" s="89"/>
      <c r="FZ454" s="89"/>
      <c r="GA454" s="89"/>
      <c r="GB454" s="89"/>
      <c r="GC454" s="89"/>
      <c r="GD454" s="89"/>
      <c r="GE454" s="89"/>
      <c r="GF454" s="89"/>
      <c r="GG454" s="89"/>
      <c r="GH454" s="89"/>
      <c r="GI454" s="89"/>
      <c r="GJ454" s="89"/>
      <c r="GK454" s="89"/>
      <c r="GL454" s="89"/>
      <c r="GM454" s="89"/>
      <c r="GN454" s="89"/>
      <c r="GO454" s="89"/>
      <c r="GP454" s="89"/>
      <c r="GQ454" s="89"/>
      <c r="GR454" s="89"/>
      <c r="GS454" s="89"/>
      <c r="GT454" s="89"/>
      <c r="GU454" s="89"/>
      <c r="GV454" s="89"/>
      <c r="GW454" s="89"/>
      <c r="GX454" s="89"/>
      <c r="GY454" s="89"/>
      <c r="GZ454" s="89"/>
      <c r="HA454" s="89"/>
      <c r="HB454" s="89"/>
      <c r="HC454" s="89"/>
      <c r="HD454" s="89"/>
      <c r="HE454" s="89"/>
      <c r="HF454" s="89"/>
      <c r="HG454" s="89"/>
      <c r="HH454" s="89"/>
      <c r="HI454" s="89"/>
      <c r="HJ454" s="89"/>
      <c r="HK454" s="89"/>
      <c r="HL454" s="89"/>
      <c r="HM454" s="89"/>
      <c r="HN454" s="89"/>
      <c r="HO454" s="89"/>
      <c r="HP454" s="89"/>
      <c r="HQ454" s="89"/>
      <c r="HR454" s="89"/>
      <c r="HS454" s="89"/>
      <c r="HT454" s="89"/>
      <c r="HU454" s="89"/>
      <c r="HV454" s="89"/>
      <c r="HW454" s="89"/>
      <c r="HX454" s="89"/>
      <c r="HY454" s="89"/>
      <c r="HZ454" s="89"/>
      <c r="IA454" s="89"/>
    </row>
    <row r="455" spans="1:16" ht="11.25">
      <c r="A455" s="42" t="s">
        <v>234</v>
      </c>
      <c r="B455" s="63"/>
      <c r="C455" s="63"/>
      <c r="D455" s="38"/>
      <c r="E455" s="38"/>
      <c r="F455" s="38"/>
      <c r="G455" s="38"/>
      <c r="H455" s="38"/>
      <c r="I455" s="38"/>
      <c r="J455" s="38"/>
      <c r="K455" s="37"/>
      <c r="L455" s="37"/>
      <c r="M455" s="37"/>
      <c r="N455" s="35"/>
      <c r="O455" s="35"/>
      <c r="P455" s="35"/>
    </row>
    <row r="456" spans="1:16" ht="22.5">
      <c r="A456" s="53" t="s">
        <v>458</v>
      </c>
      <c r="B456" s="63"/>
      <c r="C456" s="63"/>
      <c r="D456" s="38"/>
      <c r="E456" s="38"/>
      <c r="F456" s="38"/>
      <c r="G456" s="38"/>
      <c r="H456" s="38"/>
      <c r="I456" s="38"/>
      <c r="J456" s="38"/>
      <c r="K456" s="37"/>
      <c r="L456" s="37"/>
      <c r="M456" s="37"/>
      <c r="N456" s="35">
        <v>2</v>
      </c>
      <c r="O456" s="35"/>
      <c r="P456" s="35">
        <f>N456</f>
        <v>2</v>
      </c>
    </row>
    <row r="457" spans="1:16" ht="39" customHeight="1">
      <c r="A457" s="53" t="s">
        <v>288</v>
      </c>
      <c r="B457" s="33"/>
      <c r="C457" s="33"/>
      <c r="D457" s="35">
        <v>2</v>
      </c>
      <c r="E457" s="35"/>
      <c r="F457" s="35" t="s">
        <v>461</v>
      </c>
      <c r="G457" s="35">
        <v>12</v>
      </c>
      <c r="H457" s="35"/>
      <c r="I457" s="35"/>
      <c r="J457" s="35">
        <f>G457</f>
        <v>12</v>
      </c>
      <c r="K457" s="37"/>
      <c r="L457" s="37"/>
      <c r="M457" s="37"/>
      <c r="N457" s="35">
        <v>12</v>
      </c>
      <c r="O457" s="35"/>
      <c r="P457" s="35">
        <f>N457</f>
        <v>12</v>
      </c>
    </row>
    <row r="458" spans="1:16" ht="11.25">
      <c r="A458" s="42" t="s">
        <v>7</v>
      </c>
      <c r="B458" s="33"/>
      <c r="C458" s="33"/>
      <c r="D458" s="35"/>
      <c r="E458" s="35"/>
      <c r="F458" s="35"/>
      <c r="G458" s="35"/>
      <c r="H458" s="35"/>
      <c r="I458" s="35"/>
      <c r="J458" s="35"/>
      <c r="K458" s="37"/>
      <c r="L458" s="37"/>
      <c r="M458" s="37"/>
      <c r="N458" s="35"/>
      <c r="O458" s="35"/>
      <c r="P458" s="35"/>
    </row>
    <row r="459" spans="1:16" ht="22.5">
      <c r="A459" s="43" t="s">
        <v>457</v>
      </c>
      <c r="B459" s="33"/>
      <c r="C459" s="33"/>
      <c r="D459" s="35"/>
      <c r="E459" s="35"/>
      <c r="F459" s="35"/>
      <c r="G459" s="35"/>
      <c r="H459" s="35"/>
      <c r="I459" s="35"/>
      <c r="J459" s="35"/>
      <c r="K459" s="37"/>
      <c r="L459" s="37"/>
      <c r="M459" s="37"/>
      <c r="N459" s="35">
        <v>30000</v>
      </c>
      <c r="O459" s="35"/>
      <c r="P459" s="35">
        <f>N459</f>
        <v>30000</v>
      </c>
    </row>
    <row r="460" spans="1:16" ht="33.75" customHeight="1">
      <c r="A460" s="43" t="s">
        <v>289</v>
      </c>
      <c r="B460" s="33"/>
      <c r="C460" s="33"/>
      <c r="D460" s="35">
        <f>D454/D457</f>
        <v>108</v>
      </c>
      <c r="E460" s="35"/>
      <c r="F460" s="35">
        <f>D460</f>
        <v>108</v>
      </c>
      <c r="G460" s="35">
        <v>2775</v>
      </c>
      <c r="H460" s="35"/>
      <c r="I460" s="35"/>
      <c r="J460" s="35">
        <f>G460</f>
        <v>2775</v>
      </c>
      <c r="K460" s="37"/>
      <c r="L460" s="37"/>
      <c r="M460" s="37"/>
      <c r="N460" s="35">
        <v>833.333333</v>
      </c>
      <c r="O460" s="35"/>
      <c r="P460" s="35">
        <f>N460</f>
        <v>833.333333</v>
      </c>
    </row>
    <row r="461" spans="1:235" s="83" customFormat="1" ht="12">
      <c r="A461" s="122" t="s">
        <v>419</v>
      </c>
      <c r="B461" s="119"/>
      <c r="C461" s="119"/>
      <c r="D461" s="120"/>
      <c r="E461" s="120">
        <f>E466+E474+E479</f>
        <v>534080</v>
      </c>
      <c r="F461" s="120">
        <f>E461</f>
        <v>534080</v>
      </c>
      <c r="G461" s="120">
        <f>G462+G463+G464</f>
        <v>0</v>
      </c>
      <c r="H461" s="120">
        <f>H466+H474+H479+H493+H500+H486+H464</f>
        <v>1116509.9999997</v>
      </c>
      <c r="I461" s="120"/>
      <c r="J461" s="120">
        <f>J462+J463+J464</f>
        <v>1116509.9999997</v>
      </c>
      <c r="K461" s="135"/>
      <c r="L461" s="136"/>
      <c r="M461" s="136"/>
      <c r="N461" s="120">
        <f>N462+N463+N464</f>
        <v>0</v>
      </c>
      <c r="O461" s="120">
        <f>O466+O474+O479+O486+O464</f>
        <v>5824501.9999997</v>
      </c>
      <c r="P461" s="120">
        <f>O461+N461</f>
        <v>5824501.9999997</v>
      </c>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c r="CA461" s="118"/>
      <c r="CB461" s="118"/>
      <c r="CC461" s="118"/>
      <c r="CD461" s="118"/>
      <c r="CE461" s="118"/>
      <c r="CF461" s="118"/>
      <c r="CG461" s="118"/>
      <c r="CH461" s="118"/>
      <c r="CI461" s="118"/>
      <c r="CJ461" s="118"/>
      <c r="CK461" s="118"/>
      <c r="CL461" s="118"/>
      <c r="CM461" s="118"/>
      <c r="CN461" s="118"/>
      <c r="CO461" s="118"/>
      <c r="CP461" s="118"/>
      <c r="CQ461" s="118"/>
      <c r="CR461" s="118"/>
      <c r="CS461" s="118"/>
      <c r="CT461" s="118"/>
      <c r="CU461" s="118"/>
      <c r="CV461" s="118"/>
      <c r="CW461" s="118"/>
      <c r="CX461" s="118"/>
      <c r="CY461" s="118"/>
      <c r="CZ461" s="118"/>
      <c r="DA461" s="118"/>
      <c r="DB461" s="118"/>
      <c r="DC461" s="118"/>
      <c r="DD461" s="118"/>
      <c r="DE461" s="118"/>
      <c r="DF461" s="118"/>
      <c r="DG461" s="118"/>
      <c r="DH461" s="118"/>
      <c r="DI461" s="118"/>
      <c r="DJ461" s="118"/>
      <c r="DK461" s="118"/>
      <c r="DL461" s="118"/>
      <c r="DM461" s="118"/>
      <c r="DN461" s="118"/>
      <c r="DO461" s="118"/>
      <c r="DP461" s="118"/>
      <c r="DQ461" s="118"/>
      <c r="DR461" s="118"/>
      <c r="DS461" s="118"/>
      <c r="DT461" s="118"/>
      <c r="DU461" s="118"/>
      <c r="DV461" s="118"/>
      <c r="DW461" s="118"/>
      <c r="DX461" s="118"/>
      <c r="DY461" s="118"/>
      <c r="DZ461" s="118"/>
      <c r="EA461" s="118"/>
      <c r="EB461" s="118"/>
      <c r="EC461" s="118"/>
      <c r="ED461" s="118"/>
      <c r="EE461" s="118"/>
      <c r="EF461" s="118"/>
      <c r="EG461" s="118"/>
      <c r="EH461" s="118"/>
      <c r="EI461" s="118"/>
      <c r="EJ461" s="118"/>
      <c r="EK461" s="118"/>
      <c r="EL461" s="118"/>
      <c r="EM461" s="118"/>
      <c r="EN461" s="118"/>
      <c r="EO461" s="118"/>
      <c r="EP461" s="118"/>
      <c r="EQ461" s="118"/>
      <c r="ER461" s="118"/>
      <c r="ES461" s="118"/>
      <c r="ET461" s="118"/>
      <c r="EU461" s="118"/>
      <c r="EV461" s="118"/>
      <c r="EW461" s="118"/>
      <c r="EX461" s="118"/>
      <c r="EY461" s="118"/>
      <c r="EZ461" s="118"/>
      <c r="FA461" s="118"/>
      <c r="FB461" s="118"/>
      <c r="FC461" s="118"/>
      <c r="FD461" s="118"/>
      <c r="FE461" s="118"/>
      <c r="FF461" s="118"/>
      <c r="FG461" s="118"/>
      <c r="FH461" s="118"/>
      <c r="FI461" s="118"/>
      <c r="FJ461" s="118"/>
      <c r="FK461" s="118"/>
      <c r="FL461" s="118"/>
      <c r="FM461" s="118"/>
      <c r="FN461" s="118"/>
      <c r="FO461" s="118"/>
      <c r="FP461" s="118"/>
      <c r="FQ461" s="118"/>
      <c r="FR461" s="118"/>
      <c r="FS461" s="118"/>
      <c r="FT461" s="118"/>
      <c r="FU461" s="118"/>
      <c r="FV461" s="118"/>
      <c r="FW461" s="118"/>
      <c r="FX461" s="118"/>
      <c r="FY461" s="118"/>
      <c r="FZ461" s="118"/>
      <c r="GA461" s="118"/>
      <c r="GB461" s="118"/>
      <c r="GC461" s="118"/>
      <c r="GD461" s="118"/>
      <c r="GE461" s="118"/>
      <c r="GF461" s="118"/>
      <c r="GG461" s="118"/>
      <c r="GH461" s="118"/>
      <c r="GI461" s="118"/>
      <c r="GJ461" s="118"/>
      <c r="GK461" s="118"/>
      <c r="GL461" s="118"/>
      <c r="GM461" s="118"/>
      <c r="GN461" s="118"/>
      <c r="GO461" s="118"/>
      <c r="GP461" s="118"/>
      <c r="GQ461" s="118"/>
      <c r="GR461" s="118"/>
      <c r="GS461" s="118"/>
      <c r="GT461" s="118"/>
      <c r="GU461" s="118"/>
      <c r="GV461" s="118"/>
      <c r="GW461" s="118"/>
      <c r="GX461" s="118"/>
      <c r="GY461" s="118"/>
      <c r="GZ461" s="118"/>
      <c r="HA461" s="118"/>
      <c r="HB461" s="118"/>
      <c r="HC461" s="118"/>
      <c r="HD461" s="118"/>
      <c r="HE461" s="118"/>
      <c r="HF461" s="118"/>
      <c r="HG461" s="118"/>
      <c r="HH461" s="118"/>
      <c r="HI461" s="118"/>
      <c r="HJ461" s="118"/>
      <c r="HK461" s="118"/>
      <c r="HL461" s="118"/>
      <c r="HM461" s="118"/>
      <c r="HN461" s="118"/>
      <c r="HO461" s="118"/>
      <c r="HP461" s="118"/>
      <c r="HQ461" s="118"/>
      <c r="HR461" s="118"/>
      <c r="HS461" s="118"/>
      <c r="HT461" s="118"/>
      <c r="HU461" s="118"/>
      <c r="HV461" s="118"/>
      <c r="HW461" s="118"/>
      <c r="HX461" s="118"/>
      <c r="HY461" s="118"/>
      <c r="HZ461" s="118"/>
      <c r="IA461" s="118"/>
    </row>
    <row r="462" spans="1:235" s="83" customFormat="1" ht="12">
      <c r="A462" s="122" t="s">
        <v>333</v>
      </c>
      <c r="B462" s="119"/>
      <c r="C462" s="119"/>
      <c r="D462" s="120"/>
      <c r="E462" s="120">
        <f>E466+E474+E479</f>
        <v>534080</v>
      </c>
      <c r="F462" s="120">
        <f aca="true" t="shared" si="42" ref="F462:N462">F466+F474+F479</f>
        <v>534080</v>
      </c>
      <c r="G462" s="120">
        <f t="shared" si="42"/>
        <v>0</v>
      </c>
      <c r="H462" s="120">
        <f>33.5026841552*H471</f>
        <v>64399.99999992592</v>
      </c>
      <c r="I462" s="120"/>
      <c r="J462" s="120">
        <f>33.5026841552*J471</f>
        <v>64399.99999992592</v>
      </c>
      <c r="K462" s="120">
        <f t="shared" si="42"/>
        <v>0</v>
      </c>
      <c r="L462" s="120">
        <f t="shared" si="42"/>
        <v>0</v>
      </c>
      <c r="M462" s="120">
        <f t="shared" si="42"/>
        <v>0</v>
      </c>
      <c r="N462" s="120">
        <f t="shared" si="42"/>
        <v>0</v>
      </c>
      <c r="O462" s="120">
        <v>0</v>
      </c>
      <c r="P462" s="120">
        <v>0</v>
      </c>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c r="CA462" s="118"/>
      <c r="CB462" s="118"/>
      <c r="CC462" s="118"/>
      <c r="CD462" s="118"/>
      <c r="CE462" s="118"/>
      <c r="CF462" s="118"/>
      <c r="CG462" s="118"/>
      <c r="CH462" s="118"/>
      <c r="CI462" s="118"/>
      <c r="CJ462" s="118"/>
      <c r="CK462" s="118"/>
      <c r="CL462" s="118"/>
      <c r="CM462" s="118"/>
      <c r="CN462" s="118"/>
      <c r="CO462" s="118"/>
      <c r="CP462" s="118"/>
      <c r="CQ462" s="118"/>
      <c r="CR462" s="118"/>
      <c r="CS462" s="118"/>
      <c r="CT462" s="118"/>
      <c r="CU462" s="118"/>
      <c r="CV462" s="118"/>
      <c r="CW462" s="118"/>
      <c r="CX462" s="118"/>
      <c r="CY462" s="118"/>
      <c r="CZ462" s="118"/>
      <c r="DA462" s="118"/>
      <c r="DB462" s="118"/>
      <c r="DC462" s="118"/>
      <c r="DD462" s="118"/>
      <c r="DE462" s="118"/>
      <c r="DF462" s="118"/>
      <c r="DG462" s="118"/>
      <c r="DH462" s="118"/>
      <c r="DI462" s="118"/>
      <c r="DJ462" s="118"/>
      <c r="DK462" s="118"/>
      <c r="DL462" s="118"/>
      <c r="DM462" s="118"/>
      <c r="DN462" s="118"/>
      <c r="DO462" s="118"/>
      <c r="DP462" s="118"/>
      <c r="DQ462" s="118"/>
      <c r="DR462" s="118"/>
      <c r="DS462" s="118"/>
      <c r="DT462" s="118"/>
      <c r="DU462" s="118"/>
      <c r="DV462" s="118"/>
      <c r="DW462" s="118"/>
      <c r="DX462" s="118"/>
      <c r="DY462" s="118"/>
      <c r="DZ462" s="118"/>
      <c r="EA462" s="118"/>
      <c r="EB462" s="118"/>
      <c r="EC462" s="118"/>
      <c r="ED462" s="118"/>
      <c r="EE462" s="118"/>
      <c r="EF462" s="118"/>
      <c r="EG462" s="118"/>
      <c r="EH462" s="118"/>
      <c r="EI462" s="118"/>
      <c r="EJ462" s="118"/>
      <c r="EK462" s="118"/>
      <c r="EL462" s="118"/>
      <c r="EM462" s="118"/>
      <c r="EN462" s="118"/>
      <c r="EO462" s="118"/>
      <c r="EP462" s="118"/>
      <c r="EQ462" s="118"/>
      <c r="ER462" s="118"/>
      <c r="ES462" s="118"/>
      <c r="ET462" s="118"/>
      <c r="EU462" s="118"/>
      <c r="EV462" s="118"/>
      <c r="EW462" s="118"/>
      <c r="EX462" s="118"/>
      <c r="EY462" s="118"/>
      <c r="EZ462" s="118"/>
      <c r="FA462" s="118"/>
      <c r="FB462" s="118"/>
      <c r="FC462" s="118"/>
      <c r="FD462" s="118"/>
      <c r="FE462" s="118"/>
      <c r="FF462" s="118"/>
      <c r="FG462" s="118"/>
      <c r="FH462" s="118"/>
      <c r="FI462" s="118"/>
      <c r="FJ462" s="118"/>
      <c r="FK462" s="118"/>
      <c r="FL462" s="118"/>
      <c r="FM462" s="118"/>
      <c r="FN462" s="118"/>
      <c r="FO462" s="118"/>
      <c r="FP462" s="118"/>
      <c r="FQ462" s="118"/>
      <c r="FR462" s="118"/>
      <c r="FS462" s="118"/>
      <c r="FT462" s="118"/>
      <c r="FU462" s="118"/>
      <c r="FV462" s="118"/>
      <c r="FW462" s="118"/>
      <c r="FX462" s="118"/>
      <c r="FY462" s="118"/>
      <c r="FZ462" s="118"/>
      <c r="GA462" s="118"/>
      <c r="GB462" s="118"/>
      <c r="GC462" s="118"/>
      <c r="GD462" s="118"/>
      <c r="GE462" s="118"/>
      <c r="GF462" s="118"/>
      <c r="GG462" s="118"/>
      <c r="GH462" s="118"/>
      <c r="GI462" s="118"/>
      <c r="GJ462" s="118"/>
      <c r="GK462" s="118"/>
      <c r="GL462" s="118"/>
      <c r="GM462" s="118"/>
      <c r="GN462" s="118"/>
      <c r="GO462" s="118"/>
      <c r="GP462" s="118"/>
      <c r="GQ462" s="118"/>
      <c r="GR462" s="118"/>
      <c r="GS462" s="118"/>
      <c r="GT462" s="118"/>
      <c r="GU462" s="118"/>
      <c r="GV462" s="118"/>
      <c r="GW462" s="118"/>
      <c r="GX462" s="118"/>
      <c r="GY462" s="118"/>
      <c r="GZ462" s="118"/>
      <c r="HA462" s="118"/>
      <c r="HB462" s="118"/>
      <c r="HC462" s="118"/>
      <c r="HD462" s="118"/>
      <c r="HE462" s="118"/>
      <c r="HF462" s="118"/>
      <c r="HG462" s="118"/>
      <c r="HH462" s="118"/>
      <c r="HI462" s="118"/>
      <c r="HJ462" s="118"/>
      <c r="HK462" s="118"/>
      <c r="HL462" s="118"/>
      <c r="HM462" s="118"/>
      <c r="HN462" s="118"/>
      <c r="HO462" s="118"/>
      <c r="HP462" s="118"/>
      <c r="HQ462" s="118"/>
      <c r="HR462" s="118"/>
      <c r="HS462" s="118"/>
      <c r="HT462" s="118"/>
      <c r="HU462" s="118"/>
      <c r="HV462" s="118"/>
      <c r="HW462" s="118"/>
      <c r="HX462" s="118"/>
      <c r="HY462" s="118"/>
      <c r="HZ462" s="118"/>
      <c r="IA462" s="118"/>
    </row>
    <row r="463" spans="1:235" s="83" customFormat="1" ht="12">
      <c r="A463" s="122" t="s">
        <v>334</v>
      </c>
      <c r="B463" s="119"/>
      <c r="C463" s="119"/>
      <c r="D463" s="120"/>
      <c r="E463" s="120">
        <f>E486+E493+E500</f>
        <v>0</v>
      </c>
      <c r="F463" s="120">
        <f>F486+F493+F500</f>
        <v>0</v>
      </c>
      <c r="G463" s="120">
        <f>G486+G493+G500</f>
        <v>0</v>
      </c>
      <c r="H463" s="120">
        <f>H466-H462+H474+H486+H493+H500</f>
        <v>814109.999999774</v>
      </c>
      <c r="I463" s="120"/>
      <c r="J463" s="120">
        <f aca="true" t="shared" si="43" ref="J463:P463">J466-J462+J474+J486+J493+J500</f>
        <v>814109.999999774</v>
      </c>
      <c r="K463" s="120">
        <f t="shared" si="43"/>
        <v>0</v>
      </c>
      <c r="L463" s="120">
        <f t="shared" si="43"/>
        <v>0</v>
      </c>
      <c r="M463" s="120">
        <f t="shared" si="43"/>
        <v>0</v>
      </c>
      <c r="N463" s="120">
        <f t="shared" si="43"/>
        <v>0</v>
      </c>
      <c r="O463" s="120">
        <f t="shared" si="43"/>
        <v>644501.9999997</v>
      </c>
      <c r="P463" s="120">
        <f t="shared" si="43"/>
        <v>644509.9999997</v>
      </c>
      <c r="Q463" s="120">
        <f>Q486+Q493+Q500</f>
        <v>0</v>
      </c>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c r="CA463" s="118"/>
      <c r="CB463" s="118"/>
      <c r="CC463" s="118"/>
      <c r="CD463" s="118"/>
      <c r="CE463" s="118"/>
      <c r="CF463" s="118"/>
      <c r="CG463" s="118"/>
      <c r="CH463" s="118"/>
      <c r="CI463" s="118"/>
      <c r="CJ463" s="118"/>
      <c r="CK463" s="118"/>
      <c r="CL463" s="118"/>
      <c r="CM463" s="118"/>
      <c r="CN463" s="118"/>
      <c r="CO463" s="118"/>
      <c r="CP463" s="118"/>
      <c r="CQ463" s="118"/>
      <c r="CR463" s="118"/>
      <c r="CS463" s="118"/>
      <c r="CT463" s="118"/>
      <c r="CU463" s="118"/>
      <c r="CV463" s="118"/>
      <c r="CW463" s="118"/>
      <c r="CX463" s="118"/>
      <c r="CY463" s="118"/>
      <c r="CZ463" s="118"/>
      <c r="DA463" s="118"/>
      <c r="DB463" s="118"/>
      <c r="DC463" s="118"/>
      <c r="DD463" s="118"/>
      <c r="DE463" s="118"/>
      <c r="DF463" s="118"/>
      <c r="DG463" s="118"/>
      <c r="DH463" s="118"/>
      <c r="DI463" s="118"/>
      <c r="DJ463" s="118"/>
      <c r="DK463" s="118"/>
      <c r="DL463" s="118"/>
      <c r="DM463" s="118"/>
      <c r="DN463" s="118"/>
      <c r="DO463" s="118"/>
      <c r="DP463" s="118"/>
      <c r="DQ463" s="118"/>
      <c r="DR463" s="118"/>
      <c r="DS463" s="118"/>
      <c r="DT463" s="118"/>
      <c r="DU463" s="118"/>
      <c r="DV463" s="118"/>
      <c r="DW463" s="118"/>
      <c r="DX463" s="118"/>
      <c r="DY463" s="118"/>
      <c r="DZ463" s="118"/>
      <c r="EA463" s="118"/>
      <c r="EB463" s="118"/>
      <c r="EC463" s="118"/>
      <c r="ED463" s="118"/>
      <c r="EE463" s="118"/>
      <c r="EF463" s="118"/>
      <c r="EG463" s="118"/>
      <c r="EH463" s="118"/>
      <c r="EI463" s="118"/>
      <c r="EJ463" s="118"/>
      <c r="EK463" s="118"/>
      <c r="EL463" s="118"/>
      <c r="EM463" s="118"/>
      <c r="EN463" s="118"/>
      <c r="EO463" s="118"/>
      <c r="EP463" s="118"/>
      <c r="EQ463" s="118"/>
      <c r="ER463" s="118"/>
      <c r="ES463" s="118"/>
      <c r="ET463" s="118"/>
      <c r="EU463" s="118"/>
      <c r="EV463" s="118"/>
      <c r="EW463" s="118"/>
      <c r="EX463" s="118"/>
      <c r="EY463" s="118"/>
      <c r="EZ463" s="118"/>
      <c r="FA463" s="118"/>
      <c r="FB463" s="118"/>
      <c r="FC463" s="118"/>
      <c r="FD463" s="118"/>
      <c r="FE463" s="118"/>
      <c r="FF463" s="118"/>
      <c r="FG463" s="118"/>
      <c r="FH463" s="118"/>
      <c r="FI463" s="118"/>
      <c r="FJ463" s="118"/>
      <c r="FK463" s="118"/>
      <c r="FL463" s="118"/>
      <c r="FM463" s="118"/>
      <c r="FN463" s="118"/>
      <c r="FO463" s="118"/>
      <c r="FP463" s="118"/>
      <c r="FQ463" s="118"/>
      <c r="FR463" s="118"/>
      <c r="FS463" s="118"/>
      <c r="FT463" s="118"/>
      <c r="FU463" s="118"/>
      <c r="FV463" s="118"/>
      <c r="FW463" s="118"/>
      <c r="FX463" s="118"/>
      <c r="FY463" s="118"/>
      <c r="FZ463" s="118"/>
      <c r="GA463" s="118"/>
      <c r="GB463" s="118"/>
      <c r="GC463" s="118"/>
      <c r="GD463" s="118"/>
      <c r="GE463" s="118"/>
      <c r="GF463" s="118"/>
      <c r="GG463" s="118"/>
      <c r="GH463" s="118"/>
      <c r="GI463" s="118"/>
      <c r="GJ463" s="118"/>
      <c r="GK463" s="118"/>
      <c r="GL463" s="118"/>
      <c r="GM463" s="118"/>
      <c r="GN463" s="118"/>
      <c r="GO463" s="118"/>
      <c r="GP463" s="118"/>
      <c r="GQ463" s="118"/>
      <c r="GR463" s="118"/>
      <c r="GS463" s="118"/>
      <c r="GT463" s="118"/>
      <c r="GU463" s="118"/>
      <c r="GV463" s="118"/>
      <c r="GW463" s="118"/>
      <c r="GX463" s="118"/>
      <c r="GY463" s="118"/>
      <c r="GZ463" s="118"/>
      <c r="HA463" s="118"/>
      <c r="HB463" s="118"/>
      <c r="HC463" s="118"/>
      <c r="HD463" s="118"/>
      <c r="HE463" s="118"/>
      <c r="HF463" s="118"/>
      <c r="HG463" s="118"/>
      <c r="HH463" s="118"/>
      <c r="HI463" s="118"/>
      <c r="HJ463" s="118"/>
      <c r="HK463" s="118"/>
      <c r="HL463" s="118"/>
      <c r="HM463" s="118"/>
      <c r="HN463" s="118"/>
      <c r="HO463" s="118"/>
      <c r="HP463" s="118"/>
      <c r="HQ463" s="118"/>
      <c r="HR463" s="118"/>
      <c r="HS463" s="118"/>
      <c r="HT463" s="118"/>
      <c r="HU463" s="118"/>
      <c r="HV463" s="118"/>
      <c r="HW463" s="118"/>
      <c r="HX463" s="118"/>
      <c r="HY463" s="118"/>
      <c r="HZ463" s="118"/>
      <c r="IA463" s="118"/>
    </row>
    <row r="464" spans="1:235" s="83" customFormat="1" ht="12">
      <c r="A464" s="122" t="s">
        <v>399</v>
      </c>
      <c r="B464" s="119"/>
      <c r="C464" s="119"/>
      <c r="D464" s="120"/>
      <c r="E464" s="120"/>
      <c r="F464" s="120"/>
      <c r="G464" s="120">
        <f>G507</f>
        <v>0</v>
      </c>
      <c r="H464" s="120">
        <f>H507</f>
        <v>238000</v>
      </c>
      <c r="I464" s="120"/>
      <c r="J464" s="120">
        <f>G464+H464</f>
        <v>238000</v>
      </c>
      <c r="K464" s="120"/>
      <c r="L464" s="120"/>
      <c r="M464" s="120"/>
      <c r="N464" s="120">
        <f>N507</f>
        <v>0</v>
      </c>
      <c r="O464" s="120">
        <f>O507</f>
        <v>5255000</v>
      </c>
      <c r="P464" s="120">
        <f>O464+N464</f>
        <v>5255000</v>
      </c>
      <c r="Q464" s="179"/>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c r="CA464" s="118"/>
      <c r="CB464" s="118"/>
      <c r="CC464" s="118"/>
      <c r="CD464" s="118"/>
      <c r="CE464" s="118"/>
      <c r="CF464" s="118"/>
      <c r="CG464" s="118"/>
      <c r="CH464" s="118"/>
      <c r="CI464" s="118"/>
      <c r="CJ464" s="118"/>
      <c r="CK464" s="118"/>
      <c r="CL464" s="118"/>
      <c r="CM464" s="118"/>
      <c r="CN464" s="118"/>
      <c r="CO464" s="118"/>
      <c r="CP464" s="118"/>
      <c r="CQ464" s="118"/>
      <c r="CR464" s="118"/>
      <c r="CS464" s="118"/>
      <c r="CT464" s="118"/>
      <c r="CU464" s="118"/>
      <c r="CV464" s="118"/>
      <c r="CW464" s="118"/>
      <c r="CX464" s="118"/>
      <c r="CY464" s="118"/>
      <c r="CZ464" s="118"/>
      <c r="DA464" s="118"/>
      <c r="DB464" s="118"/>
      <c r="DC464" s="118"/>
      <c r="DD464" s="118"/>
      <c r="DE464" s="118"/>
      <c r="DF464" s="118"/>
      <c r="DG464" s="118"/>
      <c r="DH464" s="118"/>
      <c r="DI464" s="118"/>
      <c r="DJ464" s="118"/>
      <c r="DK464" s="118"/>
      <c r="DL464" s="118"/>
      <c r="DM464" s="118"/>
      <c r="DN464" s="118"/>
      <c r="DO464" s="118"/>
      <c r="DP464" s="118"/>
      <c r="DQ464" s="118"/>
      <c r="DR464" s="118"/>
      <c r="DS464" s="118"/>
      <c r="DT464" s="118"/>
      <c r="DU464" s="118"/>
      <c r="DV464" s="118"/>
      <c r="DW464" s="118"/>
      <c r="DX464" s="118"/>
      <c r="DY464" s="118"/>
      <c r="DZ464" s="118"/>
      <c r="EA464" s="118"/>
      <c r="EB464" s="118"/>
      <c r="EC464" s="118"/>
      <c r="ED464" s="118"/>
      <c r="EE464" s="118"/>
      <c r="EF464" s="118"/>
      <c r="EG464" s="118"/>
      <c r="EH464" s="118"/>
      <c r="EI464" s="118"/>
      <c r="EJ464" s="118"/>
      <c r="EK464" s="118"/>
      <c r="EL464" s="118"/>
      <c r="EM464" s="118"/>
      <c r="EN464" s="118"/>
      <c r="EO464" s="118"/>
      <c r="EP464" s="118"/>
      <c r="EQ464" s="118"/>
      <c r="ER464" s="118"/>
      <c r="ES464" s="118"/>
      <c r="ET464" s="118"/>
      <c r="EU464" s="118"/>
      <c r="EV464" s="118"/>
      <c r="EW464" s="118"/>
      <c r="EX464" s="118"/>
      <c r="EY464" s="118"/>
      <c r="EZ464" s="118"/>
      <c r="FA464" s="118"/>
      <c r="FB464" s="118"/>
      <c r="FC464" s="118"/>
      <c r="FD464" s="118"/>
      <c r="FE464" s="118"/>
      <c r="FF464" s="118"/>
      <c r="FG464" s="118"/>
      <c r="FH464" s="118"/>
      <c r="FI464" s="118"/>
      <c r="FJ464" s="118"/>
      <c r="FK464" s="118"/>
      <c r="FL464" s="118"/>
      <c r="FM464" s="118"/>
      <c r="FN464" s="118"/>
      <c r="FO464" s="118"/>
      <c r="FP464" s="118"/>
      <c r="FQ464" s="118"/>
      <c r="FR464" s="118"/>
      <c r="FS464" s="118"/>
      <c r="FT464" s="118"/>
      <c r="FU464" s="118"/>
      <c r="FV464" s="118"/>
      <c r="FW464" s="118"/>
      <c r="FX464" s="118"/>
      <c r="FY464" s="118"/>
      <c r="FZ464" s="118"/>
      <c r="GA464" s="118"/>
      <c r="GB464" s="118"/>
      <c r="GC464" s="118"/>
      <c r="GD464" s="118"/>
      <c r="GE464" s="118"/>
      <c r="GF464" s="118"/>
      <c r="GG464" s="118"/>
      <c r="GH464" s="118"/>
      <c r="GI464" s="118"/>
      <c r="GJ464" s="118"/>
      <c r="GK464" s="118"/>
      <c r="GL464" s="118"/>
      <c r="GM464" s="118"/>
      <c r="GN464" s="118"/>
      <c r="GO464" s="118"/>
      <c r="GP464" s="118"/>
      <c r="GQ464" s="118"/>
      <c r="GR464" s="118"/>
      <c r="GS464" s="118"/>
      <c r="GT464" s="118"/>
      <c r="GU464" s="118"/>
      <c r="GV464" s="118"/>
      <c r="GW464" s="118"/>
      <c r="GX464" s="118"/>
      <c r="GY464" s="118"/>
      <c r="GZ464" s="118"/>
      <c r="HA464" s="118"/>
      <c r="HB464" s="118"/>
      <c r="HC464" s="118"/>
      <c r="HD464" s="118"/>
      <c r="HE464" s="118"/>
      <c r="HF464" s="118"/>
      <c r="HG464" s="118"/>
      <c r="HH464" s="118"/>
      <c r="HI464" s="118"/>
      <c r="HJ464" s="118"/>
      <c r="HK464" s="118"/>
      <c r="HL464" s="118"/>
      <c r="HM464" s="118"/>
      <c r="HN464" s="118"/>
      <c r="HO464" s="118"/>
      <c r="HP464" s="118"/>
      <c r="HQ464" s="118"/>
      <c r="HR464" s="118"/>
      <c r="HS464" s="118"/>
      <c r="HT464" s="118"/>
      <c r="HU464" s="118"/>
      <c r="HV464" s="118"/>
      <c r="HW464" s="118"/>
      <c r="HX464" s="118"/>
      <c r="HY464" s="118"/>
      <c r="HZ464" s="118"/>
      <c r="IA464" s="118"/>
    </row>
    <row r="465" spans="1:16" ht="101.25" customHeight="1">
      <c r="A465" s="44" t="s">
        <v>415</v>
      </c>
      <c r="B465" s="40"/>
      <c r="C465" s="40"/>
      <c r="D465" s="38"/>
      <c r="E465" s="38"/>
      <c r="F465" s="38"/>
      <c r="G465" s="38"/>
      <c r="H465" s="38"/>
      <c r="I465" s="38"/>
      <c r="J465" s="38"/>
      <c r="K465" s="137"/>
      <c r="L465" s="39"/>
      <c r="M465" s="39"/>
      <c r="N465" s="38"/>
      <c r="O465" s="38"/>
      <c r="P465" s="38"/>
    </row>
    <row r="466" spans="1:235" s="83" customFormat="1" ht="24.75" customHeight="1">
      <c r="A466" s="93" t="s">
        <v>369</v>
      </c>
      <c r="B466" s="93"/>
      <c r="C466" s="93"/>
      <c r="D466" s="97"/>
      <c r="E466" s="97">
        <f>E469*E471+1.32</f>
        <v>180690</v>
      </c>
      <c r="F466" s="97">
        <f>E466</f>
        <v>180690</v>
      </c>
      <c r="G466" s="97"/>
      <c r="H466" s="97">
        <f>H469*H471</f>
        <v>180689.9999997</v>
      </c>
      <c r="I466" s="97"/>
      <c r="J466" s="97">
        <f>H466</f>
        <v>180689.9999997</v>
      </c>
      <c r="K466" s="135"/>
      <c r="L466" s="97"/>
      <c r="M466" s="97"/>
      <c r="N466" s="97"/>
      <c r="O466" s="97">
        <f>O469*O471</f>
        <v>180689.9999997</v>
      </c>
      <c r="P466" s="97">
        <f>O466</f>
        <v>180689.9999997</v>
      </c>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c r="CA466" s="118"/>
      <c r="CB466" s="118"/>
      <c r="CC466" s="118"/>
      <c r="CD466" s="118"/>
      <c r="CE466" s="118"/>
      <c r="CF466" s="118"/>
      <c r="CG466" s="118"/>
      <c r="CH466" s="118"/>
      <c r="CI466" s="118"/>
      <c r="CJ466" s="118"/>
      <c r="CK466" s="118"/>
      <c r="CL466" s="118"/>
      <c r="CM466" s="118"/>
      <c r="CN466" s="118"/>
      <c r="CO466" s="118"/>
      <c r="CP466" s="118"/>
      <c r="CQ466" s="118"/>
      <c r="CR466" s="118"/>
      <c r="CS466" s="118"/>
      <c r="CT466" s="118"/>
      <c r="CU466" s="118"/>
      <c r="CV466" s="118"/>
      <c r="CW466" s="118"/>
      <c r="CX466" s="118"/>
      <c r="CY466" s="118"/>
      <c r="CZ466" s="118"/>
      <c r="DA466" s="118"/>
      <c r="DB466" s="118"/>
      <c r="DC466" s="118"/>
      <c r="DD466" s="118"/>
      <c r="DE466" s="118"/>
      <c r="DF466" s="118"/>
      <c r="DG466" s="118"/>
      <c r="DH466" s="118"/>
      <c r="DI466" s="118"/>
      <c r="DJ466" s="118"/>
      <c r="DK466" s="118"/>
      <c r="DL466" s="118"/>
      <c r="DM466" s="118"/>
      <c r="DN466" s="118"/>
      <c r="DO466" s="118"/>
      <c r="DP466" s="118"/>
      <c r="DQ466" s="118"/>
      <c r="DR466" s="118"/>
      <c r="DS466" s="118"/>
      <c r="DT466" s="118"/>
      <c r="DU466" s="118"/>
      <c r="DV466" s="118"/>
      <c r="DW466" s="118"/>
      <c r="DX466" s="118"/>
      <c r="DY466" s="118"/>
      <c r="DZ466" s="118"/>
      <c r="EA466" s="118"/>
      <c r="EB466" s="118"/>
      <c r="EC466" s="118"/>
      <c r="ED466" s="118"/>
      <c r="EE466" s="118"/>
      <c r="EF466" s="118"/>
      <c r="EG466" s="118"/>
      <c r="EH466" s="118"/>
      <c r="EI466" s="118"/>
      <c r="EJ466" s="118"/>
      <c r="EK466" s="118"/>
      <c r="EL466" s="118"/>
      <c r="EM466" s="118"/>
      <c r="EN466" s="118"/>
      <c r="EO466" s="118"/>
      <c r="EP466" s="118"/>
      <c r="EQ466" s="118"/>
      <c r="ER466" s="118"/>
      <c r="ES466" s="118"/>
      <c r="ET466" s="118"/>
      <c r="EU466" s="118"/>
      <c r="EV466" s="118"/>
      <c r="EW466" s="118"/>
      <c r="EX466" s="118"/>
      <c r="EY466" s="118"/>
      <c r="EZ466" s="118"/>
      <c r="FA466" s="118"/>
      <c r="FB466" s="118"/>
      <c r="FC466" s="118"/>
      <c r="FD466" s="118"/>
      <c r="FE466" s="118"/>
      <c r="FF466" s="118"/>
      <c r="FG466" s="118"/>
      <c r="FH466" s="118"/>
      <c r="FI466" s="118"/>
      <c r="FJ466" s="118"/>
      <c r="FK466" s="118"/>
      <c r="FL466" s="118"/>
      <c r="FM466" s="118"/>
      <c r="FN466" s="118"/>
      <c r="FO466" s="118"/>
      <c r="FP466" s="118"/>
      <c r="FQ466" s="118"/>
      <c r="FR466" s="118"/>
      <c r="FS466" s="118"/>
      <c r="FT466" s="118"/>
      <c r="FU466" s="118"/>
      <c r="FV466" s="118"/>
      <c r="FW466" s="118"/>
      <c r="FX466" s="118"/>
      <c r="FY466" s="118"/>
      <c r="FZ466" s="118"/>
      <c r="GA466" s="118"/>
      <c r="GB466" s="118"/>
      <c r="GC466" s="118"/>
      <c r="GD466" s="118"/>
      <c r="GE466" s="118"/>
      <c r="GF466" s="118"/>
      <c r="GG466" s="118"/>
      <c r="GH466" s="118"/>
      <c r="GI466" s="118"/>
      <c r="GJ466" s="118"/>
      <c r="GK466" s="118"/>
      <c r="GL466" s="118"/>
      <c r="GM466" s="118"/>
      <c r="GN466" s="118"/>
      <c r="GO466" s="118"/>
      <c r="GP466" s="118"/>
      <c r="GQ466" s="118"/>
      <c r="GR466" s="118"/>
      <c r="GS466" s="118"/>
      <c r="GT466" s="118"/>
      <c r="GU466" s="118"/>
      <c r="GV466" s="118"/>
      <c r="GW466" s="118"/>
      <c r="GX466" s="118"/>
      <c r="GY466" s="118"/>
      <c r="GZ466" s="118"/>
      <c r="HA466" s="118"/>
      <c r="HB466" s="118"/>
      <c r="HC466" s="118"/>
      <c r="HD466" s="118"/>
      <c r="HE466" s="118"/>
      <c r="HF466" s="118"/>
      <c r="HG466" s="118"/>
      <c r="HH466" s="118"/>
      <c r="HI466" s="118"/>
      <c r="HJ466" s="118"/>
      <c r="HK466" s="118"/>
      <c r="HL466" s="118"/>
      <c r="HM466" s="118"/>
      <c r="HN466" s="118"/>
      <c r="HO466" s="118"/>
      <c r="HP466" s="118"/>
      <c r="HQ466" s="118"/>
      <c r="HR466" s="118"/>
      <c r="HS466" s="118"/>
      <c r="HT466" s="118"/>
      <c r="HU466" s="118"/>
      <c r="HV466" s="118"/>
      <c r="HW466" s="118"/>
      <c r="HX466" s="118"/>
      <c r="HY466" s="118"/>
      <c r="HZ466" s="118"/>
      <c r="IA466" s="118"/>
    </row>
    <row r="467" spans="1:16" ht="11.25">
      <c r="A467" s="42" t="s">
        <v>5</v>
      </c>
      <c r="B467" s="30"/>
      <c r="C467" s="30"/>
      <c r="D467" s="131"/>
      <c r="E467" s="131"/>
      <c r="F467" s="34"/>
      <c r="G467" s="131"/>
      <c r="H467" s="131"/>
      <c r="I467" s="131"/>
      <c r="J467" s="34"/>
      <c r="K467" s="34"/>
      <c r="L467" s="131"/>
      <c r="M467" s="131"/>
      <c r="N467" s="131"/>
      <c r="O467" s="131"/>
      <c r="P467" s="34"/>
    </row>
    <row r="468" spans="1:16" ht="26.25" customHeight="1">
      <c r="A468" s="43" t="s">
        <v>203</v>
      </c>
      <c r="B468" s="32"/>
      <c r="C468" s="32"/>
      <c r="D468" s="35"/>
      <c r="E468" s="35">
        <v>33</v>
      </c>
      <c r="F468" s="35">
        <f>E468</f>
        <v>33</v>
      </c>
      <c r="G468" s="35"/>
      <c r="H468" s="35">
        <v>33</v>
      </c>
      <c r="I468" s="35"/>
      <c r="J468" s="35">
        <f>H468</f>
        <v>33</v>
      </c>
      <c r="K468" s="35" t="e">
        <f>G468/D468*100</f>
        <v>#DIV/0!</v>
      </c>
      <c r="L468" s="35"/>
      <c r="M468" s="35"/>
      <c r="N468" s="35"/>
      <c r="O468" s="35">
        <v>33</v>
      </c>
      <c r="P468" s="35">
        <f>O468</f>
        <v>33</v>
      </c>
    </row>
    <row r="469" spans="1:16" ht="26.25" customHeight="1">
      <c r="A469" s="43" t="s">
        <v>69</v>
      </c>
      <c r="B469" s="32"/>
      <c r="C469" s="32"/>
      <c r="D469" s="35"/>
      <c r="E469" s="35">
        <v>94</v>
      </c>
      <c r="F469" s="35">
        <v>94</v>
      </c>
      <c r="G469" s="35"/>
      <c r="H469" s="35">
        <v>94</v>
      </c>
      <c r="I469" s="35"/>
      <c r="J469" s="35">
        <v>94</v>
      </c>
      <c r="K469" s="35"/>
      <c r="L469" s="35"/>
      <c r="M469" s="35"/>
      <c r="N469" s="35"/>
      <c r="O469" s="35">
        <v>94</v>
      </c>
      <c r="P469" s="35">
        <v>94</v>
      </c>
    </row>
    <row r="470" spans="1:16" ht="11.25">
      <c r="A470" s="42" t="s">
        <v>7</v>
      </c>
      <c r="B470" s="30"/>
      <c r="C470" s="30"/>
      <c r="D470" s="131"/>
      <c r="E470" s="131"/>
      <c r="F470" s="34"/>
      <c r="G470" s="131"/>
      <c r="H470" s="131"/>
      <c r="I470" s="131"/>
      <c r="J470" s="34"/>
      <c r="K470" s="34"/>
      <c r="L470" s="131"/>
      <c r="M470" s="131"/>
      <c r="N470" s="131"/>
      <c r="O470" s="131"/>
      <c r="P470" s="34"/>
    </row>
    <row r="471" spans="1:16" ht="23.25" customHeight="1">
      <c r="A471" s="43" t="s">
        <v>70</v>
      </c>
      <c r="B471" s="32"/>
      <c r="C471" s="32"/>
      <c r="D471" s="34"/>
      <c r="E471" s="34">
        <v>1922.22</v>
      </c>
      <c r="F471" s="34">
        <f>E471</f>
        <v>1922.22</v>
      </c>
      <c r="G471" s="34"/>
      <c r="H471" s="34">
        <v>1922.23404255</v>
      </c>
      <c r="I471" s="34"/>
      <c r="J471" s="34">
        <f>H471</f>
        <v>1922.23404255</v>
      </c>
      <c r="K471" s="34" t="e">
        <f>G471/D471*100</f>
        <v>#DIV/0!</v>
      </c>
      <c r="L471" s="34"/>
      <c r="M471" s="34"/>
      <c r="N471" s="34"/>
      <c r="O471" s="34">
        <v>1922.23404255</v>
      </c>
      <c r="P471" s="34">
        <f>O471</f>
        <v>1922.23404255</v>
      </c>
    </row>
    <row r="472" spans="1:16" ht="11.25">
      <c r="A472" s="52" t="s">
        <v>6</v>
      </c>
      <c r="B472" s="32"/>
      <c r="C472" s="32"/>
      <c r="D472" s="34"/>
      <c r="E472" s="34"/>
      <c r="F472" s="34"/>
      <c r="G472" s="34"/>
      <c r="H472" s="34"/>
      <c r="I472" s="34"/>
      <c r="J472" s="34"/>
      <c r="K472" s="34"/>
      <c r="L472" s="34"/>
      <c r="M472" s="34"/>
      <c r="N472" s="34"/>
      <c r="O472" s="34"/>
      <c r="P472" s="34"/>
    </row>
    <row r="473" spans="1:16" ht="29.25" customHeight="1">
      <c r="A473" s="53" t="s">
        <v>204</v>
      </c>
      <c r="B473" s="32"/>
      <c r="C473" s="32"/>
      <c r="D473" s="34"/>
      <c r="E473" s="34"/>
      <c r="F473" s="34"/>
      <c r="G473" s="34"/>
      <c r="H473" s="34"/>
      <c r="I473" s="34"/>
      <c r="J473" s="34"/>
      <c r="K473" s="34"/>
      <c r="L473" s="34"/>
      <c r="M473" s="34"/>
      <c r="N473" s="34"/>
      <c r="O473" s="34"/>
      <c r="P473" s="34"/>
    </row>
    <row r="474" spans="1:235" s="90" customFormat="1" ht="33.75" customHeight="1">
      <c r="A474" s="93" t="s">
        <v>370</v>
      </c>
      <c r="B474" s="93"/>
      <c r="C474" s="93"/>
      <c r="D474" s="97"/>
      <c r="E474" s="97">
        <f>E478</f>
        <v>162140</v>
      </c>
      <c r="F474" s="97">
        <f>E474</f>
        <v>162140</v>
      </c>
      <c r="G474" s="97"/>
      <c r="H474" s="97">
        <f>H478</f>
        <v>257570</v>
      </c>
      <c r="I474" s="97"/>
      <c r="J474" s="97">
        <f>H474</f>
        <v>257570</v>
      </c>
      <c r="K474" s="97"/>
      <c r="L474" s="97"/>
      <c r="M474" s="97"/>
      <c r="N474" s="97"/>
      <c r="O474" s="97">
        <f>O478</f>
        <v>257570</v>
      </c>
      <c r="P474" s="97">
        <f>O474</f>
        <v>257570</v>
      </c>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c r="CR474" s="89"/>
      <c r="CS474" s="89"/>
      <c r="CT474" s="89"/>
      <c r="CU474" s="89"/>
      <c r="CV474" s="89"/>
      <c r="CW474" s="89"/>
      <c r="CX474" s="89"/>
      <c r="CY474" s="89"/>
      <c r="CZ474" s="89"/>
      <c r="DA474" s="89"/>
      <c r="DB474" s="89"/>
      <c r="DC474" s="89"/>
      <c r="DD474" s="89"/>
      <c r="DE474" s="89"/>
      <c r="DF474" s="89"/>
      <c r="DG474" s="89"/>
      <c r="DH474" s="89"/>
      <c r="DI474" s="89"/>
      <c r="DJ474" s="89"/>
      <c r="DK474" s="89"/>
      <c r="DL474" s="89"/>
      <c r="DM474" s="89"/>
      <c r="DN474" s="89"/>
      <c r="DO474" s="89"/>
      <c r="DP474" s="89"/>
      <c r="DQ474" s="89"/>
      <c r="DR474" s="89"/>
      <c r="DS474" s="89"/>
      <c r="DT474" s="89"/>
      <c r="DU474" s="89"/>
      <c r="DV474" s="89"/>
      <c r="DW474" s="89"/>
      <c r="DX474" s="89"/>
      <c r="DY474" s="89"/>
      <c r="DZ474" s="89"/>
      <c r="EA474" s="89"/>
      <c r="EB474" s="89"/>
      <c r="EC474" s="89"/>
      <c r="ED474" s="89"/>
      <c r="EE474" s="89"/>
      <c r="EF474" s="89"/>
      <c r="EG474" s="89"/>
      <c r="EH474" s="89"/>
      <c r="EI474" s="89"/>
      <c r="EJ474" s="89"/>
      <c r="EK474" s="89"/>
      <c r="EL474" s="89"/>
      <c r="EM474" s="89"/>
      <c r="EN474" s="89"/>
      <c r="EO474" s="89"/>
      <c r="EP474" s="89"/>
      <c r="EQ474" s="89"/>
      <c r="ER474" s="89"/>
      <c r="ES474" s="89"/>
      <c r="ET474" s="89"/>
      <c r="EU474" s="89"/>
      <c r="EV474" s="89"/>
      <c r="EW474" s="89"/>
      <c r="EX474" s="89"/>
      <c r="EY474" s="89"/>
      <c r="EZ474" s="89"/>
      <c r="FA474" s="89"/>
      <c r="FB474" s="89"/>
      <c r="FC474" s="89"/>
      <c r="FD474" s="89"/>
      <c r="FE474" s="89"/>
      <c r="FF474" s="89"/>
      <c r="FG474" s="89"/>
      <c r="FH474" s="89"/>
      <c r="FI474" s="89"/>
      <c r="FJ474" s="89"/>
      <c r="FK474" s="89"/>
      <c r="FL474" s="89"/>
      <c r="FM474" s="89"/>
      <c r="FN474" s="89"/>
      <c r="FO474" s="89"/>
      <c r="FP474" s="89"/>
      <c r="FQ474" s="89"/>
      <c r="FR474" s="89"/>
      <c r="FS474" s="89"/>
      <c r="FT474" s="89"/>
      <c r="FU474" s="89"/>
      <c r="FV474" s="89"/>
      <c r="FW474" s="89"/>
      <c r="FX474" s="89"/>
      <c r="FY474" s="89"/>
      <c r="FZ474" s="89"/>
      <c r="GA474" s="89"/>
      <c r="GB474" s="89"/>
      <c r="GC474" s="89"/>
      <c r="GD474" s="89"/>
      <c r="GE474" s="89"/>
      <c r="GF474" s="89"/>
      <c r="GG474" s="89"/>
      <c r="GH474" s="89"/>
      <c r="GI474" s="89"/>
      <c r="GJ474" s="89"/>
      <c r="GK474" s="89"/>
      <c r="GL474" s="89"/>
      <c r="GM474" s="89"/>
      <c r="GN474" s="89"/>
      <c r="GO474" s="89"/>
      <c r="GP474" s="89"/>
      <c r="GQ474" s="89"/>
      <c r="GR474" s="89"/>
      <c r="GS474" s="89"/>
      <c r="GT474" s="89"/>
      <c r="GU474" s="89"/>
      <c r="GV474" s="89"/>
      <c r="GW474" s="89"/>
      <c r="GX474" s="89"/>
      <c r="GY474" s="89"/>
      <c r="GZ474" s="89"/>
      <c r="HA474" s="89"/>
      <c r="HB474" s="89"/>
      <c r="HC474" s="89"/>
      <c r="HD474" s="89"/>
      <c r="HE474" s="89"/>
      <c r="HF474" s="89"/>
      <c r="HG474" s="89"/>
      <c r="HH474" s="89"/>
      <c r="HI474" s="89"/>
      <c r="HJ474" s="89"/>
      <c r="HK474" s="89"/>
      <c r="HL474" s="89"/>
      <c r="HM474" s="89"/>
      <c r="HN474" s="89"/>
      <c r="HO474" s="89"/>
      <c r="HP474" s="89"/>
      <c r="HQ474" s="89"/>
      <c r="HR474" s="89"/>
      <c r="HS474" s="89"/>
      <c r="HT474" s="89"/>
      <c r="HU474" s="89"/>
      <c r="HV474" s="89"/>
      <c r="HW474" s="89"/>
      <c r="HX474" s="89"/>
      <c r="HY474" s="89"/>
      <c r="HZ474" s="89"/>
      <c r="IA474" s="89"/>
    </row>
    <row r="475" spans="1:16" ht="11.25">
      <c r="A475" s="42" t="s">
        <v>5</v>
      </c>
      <c r="B475" s="30"/>
      <c r="C475" s="30"/>
      <c r="D475" s="131"/>
      <c r="E475" s="131"/>
      <c r="F475" s="34"/>
      <c r="G475" s="131"/>
      <c r="H475" s="131"/>
      <c r="I475" s="131"/>
      <c r="J475" s="34"/>
      <c r="K475" s="34"/>
      <c r="L475" s="131"/>
      <c r="M475" s="131"/>
      <c r="N475" s="131"/>
      <c r="O475" s="131"/>
      <c r="P475" s="34"/>
    </row>
    <row r="476" spans="1:16" ht="24" customHeight="1">
      <c r="A476" s="43" t="s">
        <v>205</v>
      </c>
      <c r="B476" s="32"/>
      <c r="C476" s="32"/>
      <c r="D476" s="35"/>
      <c r="E476" s="35">
        <v>236</v>
      </c>
      <c r="F476" s="35">
        <f>E476</f>
        <v>236</v>
      </c>
      <c r="G476" s="35"/>
      <c r="H476" s="35">
        <v>236</v>
      </c>
      <c r="I476" s="35"/>
      <c r="J476" s="35">
        <f>H476</f>
        <v>236</v>
      </c>
      <c r="K476" s="35" t="e">
        <f>G476/D476*100</f>
        <v>#DIV/0!</v>
      </c>
      <c r="L476" s="35"/>
      <c r="M476" s="35"/>
      <c r="N476" s="35"/>
      <c r="O476" s="35">
        <v>236</v>
      </c>
      <c r="P476" s="35">
        <f>O476</f>
        <v>236</v>
      </c>
    </row>
    <row r="477" spans="1:16" ht="11.25">
      <c r="A477" s="42" t="s">
        <v>7</v>
      </c>
      <c r="B477" s="30"/>
      <c r="C477" s="30"/>
      <c r="D477" s="138"/>
      <c r="E477" s="138"/>
      <c r="F477" s="78"/>
      <c r="G477" s="138"/>
      <c r="H477" s="138"/>
      <c r="I477" s="138"/>
      <c r="J477" s="78"/>
      <c r="K477" s="78"/>
      <c r="L477" s="138"/>
      <c r="M477" s="138"/>
      <c r="N477" s="138"/>
      <c r="O477" s="138"/>
      <c r="P477" s="78"/>
    </row>
    <row r="478" spans="1:16" ht="24" customHeight="1">
      <c r="A478" s="45" t="s">
        <v>206</v>
      </c>
      <c r="B478" s="46"/>
      <c r="C478" s="74"/>
      <c r="D478" s="73"/>
      <c r="E478" s="73">
        <v>162140</v>
      </c>
      <c r="F478" s="73">
        <f>E478</f>
        <v>162140</v>
      </c>
      <c r="G478" s="73"/>
      <c r="H478" s="73">
        <v>257570</v>
      </c>
      <c r="I478" s="73"/>
      <c r="J478" s="73">
        <f>H478</f>
        <v>257570</v>
      </c>
      <c r="K478" s="73" t="e">
        <f>G478/D478*100</f>
        <v>#DIV/0!</v>
      </c>
      <c r="L478" s="73"/>
      <c r="M478" s="73"/>
      <c r="N478" s="73"/>
      <c r="O478" s="73">
        <v>257570</v>
      </c>
      <c r="P478" s="73">
        <f>O478</f>
        <v>257570</v>
      </c>
    </row>
    <row r="479" spans="1:235" s="90" customFormat="1" ht="33.75">
      <c r="A479" s="93" t="s">
        <v>371</v>
      </c>
      <c r="B479" s="93"/>
      <c r="C479" s="94"/>
      <c r="D479" s="102"/>
      <c r="E479" s="102">
        <v>191250</v>
      </c>
      <c r="F479" s="102">
        <f>E479</f>
        <v>191250</v>
      </c>
      <c r="G479" s="102"/>
      <c r="H479" s="102"/>
      <c r="I479" s="102"/>
      <c r="J479" s="102"/>
      <c r="K479" s="102"/>
      <c r="L479" s="102"/>
      <c r="M479" s="102"/>
      <c r="N479" s="102"/>
      <c r="O479" s="102"/>
      <c r="P479" s="102"/>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89"/>
      <c r="CD479" s="89"/>
      <c r="CE479" s="89"/>
      <c r="CF479" s="89"/>
      <c r="CG479" s="89"/>
      <c r="CH479" s="89"/>
      <c r="CI479" s="89"/>
      <c r="CJ479" s="89"/>
      <c r="CK479" s="89"/>
      <c r="CL479" s="89"/>
      <c r="CM479" s="89"/>
      <c r="CN479" s="89"/>
      <c r="CO479" s="89"/>
      <c r="CP479" s="89"/>
      <c r="CQ479" s="89"/>
      <c r="CR479" s="89"/>
      <c r="CS479" s="89"/>
      <c r="CT479" s="89"/>
      <c r="CU479" s="89"/>
      <c r="CV479" s="89"/>
      <c r="CW479" s="89"/>
      <c r="CX479" s="89"/>
      <c r="CY479" s="89"/>
      <c r="CZ479" s="89"/>
      <c r="DA479" s="89"/>
      <c r="DB479" s="89"/>
      <c r="DC479" s="89"/>
      <c r="DD479" s="89"/>
      <c r="DE479" s="89"/>
      <c r="DF479" s="89"/>
      <c r="DG479" s="89"/>
      <c r="DH479" s="89"/>
      <c r="DI479" s="89"/>
      <c r="DJ479" s="89"/>
      <c r="DK479" s="89"/>
      <c r="DL479" s="89"/>
      <c r="DM479" s="89"/>
      <c r="DN479" s="89"/>
      <c r="DO479" s="89"/>
      <c r="DP479" s="89"/>
      <c r="DQ479" s="89"/>
      <c r="DR479" s="89"/>
      <c r="DS479" s="89"/>
      <c r="DT479" s="89"/>
      <c r="DU479" s="89"/>
      <c r="DV479" s="89"/>
      <c r="DW479" s="89"/>
      <c r="DX479" s="89"/>
      <c r="DY479" s="89"/>
      <c r="DZ479" s="89"/>
      <c r="EA479" s="89"/>
      <c r="EB479" s="89"/>
      <c r="EC479" s="89"/>
      <c r="ED479" s="89"/>
      <c r="EE479" s="89"/>
      <c r="EF479" s="89"/>
      <c r="EG479" s="89"/>
      <c r="EH479" s="89"/>
      <c r="EI479" s="89"/>
      <c r="EJ479" s="89"/>
      <c r="EK479" s="89"/>
      <c r="EL479" s="89"/>
      <c r="EM479" s="89"/>
      <c r="EN479" s="89"/>
      <c r="EO479" s="89"/>
      <c r="EP479" s="89"/>
      <c r="EQ479" s="89"/>
      <c r="ER479" s="89"/>
      <c r="ES479" s="89"/>
      <c r="ET479" s="89"/>
      <c r="EU479" s="89"/>
      <c r="EV479" s="89"/>
      <c r="EW479" s="89"/>
      <c r="EX479" s="89"/>
      <c r="EY479" s="89"/>
      <c r="EZ479" s="89"/>
      <c r="FA479" s="89"/>
      <c r="FB479" s="89"/>
      <c r="FC479" s="89"/>
      <c r="FD479" s="89"/>
      <c r="FE479" s="89"/>
      <c r="FF479" s="89"/>
      <c r="FG479" s="89"/>
      <c r="FH479" s="89"/>
      <c r="FI479" s="89"/>
      <c r="FJ479" s="89"/>
      <c r="FK479" s="89"/>
      <c r="FL479" s="89"/>
      <c r="FM479" s="89"/>
      <c r="FN479" s="89"/>
      <c r="FO479" s="89"/>
      <c r="FP479" s="89"/>
      <c r="FQ479" s="89"/>
      <c r="FR479" s="89"/>
      <c r="FS479" s="89"/>
      <c r="FT479" s="89"/>
      <c r="FU479" s="89"/>
      <c r="FV479" s="89"/>
      <c r="FW479" s="89"/>
      <c r="FX479" s="89"/>
      <c r="FY479" s="89"/>
      <c r="FZ479" s="89"/>
      <c r="GA479" s="89"/>
      <c r="GB479" s="89"/>
      <c r="GC479" s="89"/>
      <c r="GD479" s="89"/>
      <c r="GE479" s="89"/>
      <c r="GF479" s="89"/>
      <c r="GG479" s="89"/>
      <c r="GH479" s="89"/>
      <c r="GI479" s="89"/>
      <c r="GJ479" s="89"/>
      <c r="GK479" s="89"/>
      <c r="GL479" s="89"/>
      <c r="GM479" s="89"/>
      <c r="GN479" s="89"/>
      <c r="GO479" s="89"/>
      <c r="GP479" s="89"/>
      <c r="GQ479" s="89"/>
      <c r="GR479" s="89"/>
      <c r="GS479" s="89"/>
      <c r="GT479" s="89"/>
      <c r="GU479" s="89"/>
      <c r="GV479" s="89"/>
      <c r="GW479" s="89"/>
      <c r="GX479" s="89"/>
      <c r="GY479" s="89"/>
      <c r="GZ479" s="89"/>
      <c r="HA479" s="89"/>
      <c r="HB479" s="89"/>
      <c r="HC479" s="89"/>
      <c r="HD479" s="89"/>
      <c r="HE479" s="89"/>
      <c r="HF479" s="89"/>
      <c r="HG479" s="89"/>
      <c r="HH479" s="89"/>
      <c r="HI479" s="89"/>
      <c r="HJ479" s="89"/>
      <c r="HK479" s="89"/>
      <c r="HL479" s="89"/>
      <c r="HM479" s="89"/>
      <c r="HN479" s="89"/>
      <c r="HO479" s="89"/>
      <c r="HP479" s="89"/>
      <c r="HQ479" s="89"/>
      <c r="HR479" s="89"/>
      <c r="HS479" s="89"/>
      <c r="HT479" s="89"/>
      <c r="HU479" s="89"/>
      <c r="HV479" s="89"/>
      <c r="HW479" s="89"/>
      <c r="HX479" s="89"/>
      <c r="HY479" s="89"/>
      <c r="HZ479" s="89"/>
      <c r="IA479" s="89"/>
    </row>
    <row r="480" spans="1:16" ht="11.25">
      <c r="A480" s="42" t="s">
        <v>4</v>
      </c>
      <c r="B480" s="31"/>
      <c r="C480" s="31"/>
      <c r="D480" s="139"/>
      <c r="E480" s="139"/>
      <c r="F480" s="139"/>
      <c r="G480" s="139"/>
      <c r="H480" s="139"/>
      <c r="I480" s="139"/>
      <c r="J480" s="139"/>
      <c r="K480" s="140"/>
      <c r="L480" s="139"/>
      <c r="M480" s="139"/>
      <c r="N480" s="139"/>
      <c r="O480" s="139"/>
      <c r="P480" s="139"/>
    </row>
    <row r="481" spans="1:16" ht="11.25">
      <c r="A481" s="43" t="s">
        <v>65</v>
      </c>
      <c r="B481" s="33"/>
      <c r="C481" s="33"/>
      <c r="D481" s="35"/>
      <c r="E481" s="35">
        <f>E479/E485</f>
        <v>11.417910447761194</v>
      </c>
      <c r="F481" s="35">
        <f>E481</f>
        <v>11.417910447761194</v>
      </c>
      <c r="G481" s="35"/>
      <c r="H481" s="35"/>
      <c r="I481" s="35"/>
      <c r="J481" s="35"/>
      <c r="K481" s="35"/>
      <c r="L481" s="35"/>
      <c r="M481" s="35"/>
      <c r="N481" s="35"/>
      <c r="O481" s="35"/>
      <c r="P481" s="35"/>
    </row>
    <row r="482" spans="1:16" ht="11.25">
      <c r="A482" s="42" t="s">
        <v>5</v>
      </c>
      <c r="B482" s="31"/>
      <c r="C482" s="31"/>
      <c r="D482" s="132"/>
      <c r="E482" s="132"/>
      <c r="F482" s="35"/>
      <c r="G482" s="132"/>
      <c r="H482" s="132"/>
      <c r="I482" s="132"/>
      <c r="J482" s="35"/>
      <c r="K482" s="35"/>
      <c r="L482" s="132"/>
      <c r="M482" s="132"/>
      <c r="N482" s="132"/>
      <c r="O482" s="132"/>
      <c r="P482" s="35"/>
    </row>
    <row r="483" spans="1:16" ht="24" customHeight="1">
      <c r="A483" s="43" t="s">
        <v>66</v>
      </c>
      <c r="B483" s="33"/>
      <c r="C483" s="33"/>
      <c r="D483" s="35"/>
      <c r="E483" s="35">
        <v>11</v>
      </c>
      <c r="F483" s="35">
        <f>E483</f>
        <v>11</v>
      </c>
      <c r="G483" s="35"/>
      <c r="H483" s="35"/>
      <c r="I483" s="35"/>
      <c r="J483" s="35"/>
      <c r="K483" s="35"/>
      <c r="L483" s="35"/>
      <c r="M483" s="35"/>
      <c r="N483" s="35"/>
      <c r="O483" s="35"/>
      <c r="P483" s="35"/>
    </row>
    <row r="484" spans="1:16" ht="11.25">
      <c r="A484" s="42" t="s">
        <v>7</v>
      </c>
      <c r="B484" s="31"/>
      <c r="C484" s="31"/>
      <c r="D484" s="131"/>
      <c r="E484" s="131"/>
      <c r="F484" s="34"/>
      <c r="G484" s="131"/>
      <c r="H484" s="131"/>
      <c r="I484" s="131"/>
      <c r="J484" s="34"/>
      <c r="K484" s="34"/>
      <c r="L484" s="131"/>
      <c r="M484" s="131"/>
      <c r="N484" s="131"/>
      <c r="O484" s="131"/>
      <c r="P484" s="34"/>
    </row>
    <row r="485" spans="1:16" ht="24" customHeight="1">
      <c r="A485" s="45" t="s">
        <v>67</v>
      </c>
      <c r="B485" s="77"/>
      <c r="C485" s="77"/>
      <c r="D485" s="78"/>
      <c r="E485" s="78">
        <v>16750</v>
      </c>
      <c r="F485" s="78">
        <f>E485</f>
        <v>16750</v>
      </c>
      <c r="G485" s="78"/>
      <c r="H485" s="78"/>
      <c r="I485" s="78"/>
      <c r="J485" s="78"/>
      <c r="K485" s="78"/>
      <c r="L485" s="78"/>
      <c r="M485" s="78"/>
      <c r="N485" s="78"/>
      <c r="O485" s="78"/>
      <c r="P485" s="78"/>
    </row>
    <row r="486" spans="1:235" s="90" customFormat="1" ht="33.75">
      <c r="A486" s="93" t="s">
        <v>372</v>
      </c>
      <c r="B486" s="93"/>
      <c r="C486" s="94"/>
      <c r="D486" s="102"/>
      <c r="E486" s="102"/>
      <c r="F486" s="102"/>
      <c r="G486" s="102"/>
      <c r="H486" s="102">
        <f>H490*H492</f>
        <v>131250</v>
      </c>
      <c r="I486" s="102">
        <f aca="true" t="shared" si="44" ref="I486:Q486">I490*I492</f>
        <v>0</v>
      </c>
      <c r="J486" s="102">
        <f t="shared" si="44"/>
        <v>131250</v>
      </c>
      <c r="K486" s="102">
        <f t="shared" si="44"/>
        <v>0</v>
      </c>
      <c r="L486" s="102">
        <f t="shared" si="44"/>
        <v>0</v>
      </c>
      <c r="M486" s="102">
        <f t="shared" si="44"/>
        <v>0</v>
      </c>
      <c r="N486" s="102">
        <f t="shared" si="44"/>
        <v>0</v>
      </c>
      <c r="O486" s="102">
        <f t="shared" si="44"/>
        <v>131242</v>
      </c>
      <c r="P486" s="102">
        <f t="shared" si="44"/>
        <v>131250</v>
      </c>
      <c r="Q486" s="95">
        <f t="shared" si="44"/>
        <v>0</v>
      </c>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c r="CR486" s="89"/>
      <c r="CS486" s="89"/>
      <c r="CT486" s="89"/>
      <c r="CU486" s="89"/>
      <c r="CV486" s="89"/>
      <c r="CW486" s="89"/>
      <c r="CX486" s="89"/>
      <c r="CY486" s="89"/>
      <c r="CZ486" s="89"/>
      <c r="DA486" s="89"/>
      <c r="DB486" s="89"/>
      <c r="DC486" s="89"/>
      <c r="DD486" s="89"/>
      <c r="DE486" s="89"/>
      <c r="DF486" s="89"/>
      <c r="DG486" s="89"/>
      <c r="DH486" s="89"/>
      <c r="DI486" s="89"/>
      <c r="DJ486" s="89"/>
      <c r="DK486" s="89"/>
      <c r="DL486" s="89"/>
      <c r="DM486" s="89"/>
      <c r="DN486" s="89"/>
      <c r="DO486" s="89"/>
      <c r="DP486" s="89"/>
      <c r="DQ486" s="89"/>
      <c r="DR486" s="89"/>
      <c r="DS486" s="89"/>
      <c r="DT486" s="89"/>
      <c r="DU486" s="89"/>
      <c r="DV486" s="89"/>
      <c r="DW486" s="89"/>
      <c r="DX486" s="89"/>
      <c r="DY486" s="89"/>
      <c r="DZ486" s="89"/>
      <c r="EA486" s="89"/>
      <c r="EB486" s="89"/>
      <c r="EC486" s="89"/>
      <c r="ED486" s="89"/>
      <c r="EE486" s="89"/>
      <c r="EF486" s="89"/>
      <c r="EG486" s="89"/>
      <c r="EH486" s="89"/>
      <c r="EI486" s="89"/>
      <c r="EJ486" s="89"/>
      <c r="EK486" s="89"/>
      <c r="EL486" s="89"/>
      <c r="EM486" s="89"/>
      <c r="EN486" s="89"/>
      <c r="EO486" s="89"/>
      <c r="EP486" s="89"/>
      <c r="EQ486" s="89"/>
      <c r="ER486" s="89"/>
      <c r="ES486" s="89"/>
      <c r="ET486" s="89"/>
      <c r="EU486" s="89"/>
      <c r="EV486" s="89"/>
      <c r="EW486" s="89"/>
      <c r="EX486" s="89"/>
      <c r="EY486" s="89"/>
      <c r="EZ486" s="89"/>
      <c r="FA486" s="89"/>
      <c r="FB486" s="89"/>
      <c r="FC486" s="89"/>
      <c r="FD486" s="89"/>
      <c r="FE486" s="89"/>
      <c r="FF486" s="89"/>
      <c r="FG486" s="89"/>
      <c r="FH486" s="89"/>
      <c r="FI486" s="89"/>
      <c r="FJ486" s="89"/>
      <c r="FK486" s="89"/>
      <c r="FL486" s="89"/>
      <c r="FM486" s="89"/>
      <c r="FN486" s="89"/>
      <c r="FO486" s="89"/>
      <c r="FP486" s="89"/>
      <c r="FQ486" s="89"/>
      <c r="FR486" s="89"/>
      <c r="FS486" s="89"/>
      <c r="FT486" s="89"/>
      <c r="FU486" s="89"/>
      <c r="FV486" s="89"/>
      <c r="FW486" s="89"/>
      <c r="FX486" s="89"/>
      <c r="FY486" s="89"/>
      <c r="FZ486" s="89"/>
      <c r="GA486" s="89"/>
      <c r="GB486" s="89"/>
      <c r="GC486" s="89"/>
      <c r="GD486" s="89"/>
      <c r="GE486" s="89"/>
      <c r="GF486" s="89"/>
      <c r="GG486" s="89"/>
      <c r="GH486" s="89"/>
      <c r="GI486" s="89"/>
      <c r="GJ486" s="89"/>
      <c r="GK486" s="89"/>
      <c r="GL486" s="89"/>
      <c r="GM486" s="89"/>
      <c r="GN486" s="89"/>
      <c r="GO486" s="89"/>
      <c r="GP486" s="89"/>
      <c r="GQ486" s="89"/>
      <c r="GR486" s="89"/>
      <c r="GS486" s="89"/>
      <c r="GT486" s="89"/>
      <c r="GU486" s="89"/>
      <c r="GV486" s="89"/>
      <c r="GW486" s="89"/>
      <c r="GX486" s="89"/>
      <c r="GY486" s="89"/>
      <c r="GZ486" s="89"/>
      <c r="HA486" s="89"/>
      <c r="HB486" s="89"/>
      <c r="HC486" s="89"/>
      <c r="HD486" s="89"/>
      <c r="HE486" s="89"/>
      <c r="HF486" s="89"/>
      <c r="HG486" s="89"/>
      <c r="HH486" s="89"/>
      <c r="HI486" s="89"/>
      <c r="HJ486" s="89"/>
      <c r="HK486" s="89"/>
      <c r="HL486" s="89"/>
      <c r="HM486" s="89"/>
      <c r="HN486" s="89"/>
      <c r="HO486" s="89"/>
      <c r="HP486" s="89"/>
      <c r="HQ486" s="89"/>
      <c r="HR486" s="89"/>
      <c r="HS486" s="89"/>
      <c r="HT486" s="89"/>
      <c r="HU486" s="89"/>
      <c r="HV486" s="89"/>
      <c r="HW486" s="89"/>
      <c r="HX486" s="89"/>
      <c r="HY486" s="89"/>
      <c r="HZ486" s="89"/>
      <c r="IA486" s="89"/>
    </row>
    <row r="487" spans="1:16" ht="11.25">
      <c r="A487" s="42" t="s">
        <v>4</v>
      </c>
      <c r="B487" s="31"/>
      <c r="C487" s="31"/>
      <c r="D487" s="139"/>
      <c r="E487" s="139"/>
      <c r="F487" s="139"/>
      <c r="G487" s="139"/>
      <c r="H487" s="139"/>
      <c r="I487" s="139"/>
      <c r="J487" s="139"/>
      <c r="K487" s="140"/>
      <c r="L487" s="139"/>
      <c r="M487" s="139"/>
      <c r="N487" s="139"/>
      <c r="O487" s="139"/>
      <c r="P487" s="139"/>
    </row>
    <row r="488" spans="1:16" ht="11.25">
      <c r="A488" s="43" t="s">
        <v>65</v>
      </c>
      <c r="B488" s="33"/>
      <c r="C488" s="33"/>
      <c r="D488" s="35"/>
      <c r="E488" s="35"/>
      <c r="F488" s="35"/>
      <c r="G488" s="35"/>
      <c r="H488" s="35">
        <v>8</v>
      </c>
      <c r="I488" s="35"/>
      <c r="J488" s="35">
        <v>8</v>
      </c>
      <c r="K488" s="35"/>
      <c r="L488" s="35"/>
      <c r="M488" s="35"/>
      <c r="N488" s="35"/>
      <c r="O488" s="35">
        <v>8</v>
      </c>
      <c r="P488" s="35">
        <v>8</v>
      </c>
    </row>
    <row r="489" spans="1:16" ht="11.25">
      <c r="A489" s="42" t="s">
        <v>5</v>
      </c>
      <c r="B489" s="31"/>
      <c r="C489" s="31"/>
      <c r="D489" s="132"/>
      <c r="E489" s="132"/>
      <c r="F489" s="35"/>
      <c r="G489" s="132"/>
      <c r="H489" s="132"/>
      <c r="I489" s="132"/>
      <c r="J489" s="35"/>
      <c r="K489" s="35"/>
      <c r="L489" s="132"/>
      <c r="M489" s="132"/>
      <c r="N489" s="132"/>
      <c r="O489" s="132"/>
      <c r="P489" s="35"/>
    </row>
    <row r="490" spans="1:16" ht="24" customHeight="1">
      <c r="A490" s="43" t="s">
        <v>66</v>
      </c>
      <c r="B490" s="33"/>
      <c r="C490" s="33"/>
      <c r="D490" s="35"/>
      <c r="E490" s="35"/>
      <c r="F490" s="35"/>
      <c r="G490" s="35"/>
      <c r="H490" s="35">
        <v>8</v>
      </c>
      <c r="I490" s="35"/>
      <c r="J490" s="35">
        <v>8</v>
      </c>
      <c r="K490" s="35"/>
      <c r="L490" s="35"/>
      <c r="M490" s="35"/>
      <c r="N490" s="35"/>
      <c r="O490" s="35">
        <v>8</v>
      </c>
      <c r="P490" s="35">
        <v>8</v>
      </c>
    </row>
    <row r="491" spans="1:16" ht="11.25">
      <c r="A491" s="42" t="s">
        <v>7</v>
      </c>
      <c r="B491" s="31"/>
      <c r="C491" s="31"/>
      <c r="D491" s="131"/>
      <c r="E491" s="131"/>
      <c r="F491" s="34"/>
      <c r="G491" s="131"/>
      <c r="H491" s="131"/>
      <c r="I491" s="131"/>
      <c r="J491" s="34"/>
      <c r="K491" s="34"/>
      <c r="L491" s="131"/>
      <c r="M491" s="131"/>
      <c r="N491" s="131"/>
      <c r="O491" s="131"/>
      <c r="P491" s="34"/>
    </row>
    <row r="492" spans="1:16" ht="24" customHeight="1">
      <c r="A492" s="45" t="s">
        <v>67</v>
      </c>
      <c r="B492" s="77"/>
      <c r="C492" s="77"/>
      <c r="D492" s="78"/>
      <c r="E492" s="78"/>
      <c r="F492" s="78"/>
      <c r="G492" s="78"/>
      <c r="H492" s="78">
        <v>16406.25</v>
      </c>
      <c r="I492" s="78"/>
      <c r="J492" s="78">
        <v>16406.25</v>
      </c>
      <c r="K492" s="78"/>
      <c r="L492" s="78"/>
      <c r="M492" s="78"/>
      <c r="N492" s="78"/>
      <c r="O492" s="78">
        <v>16405.25</v>
      </c>
      <c r="P492" s="78">
        <v>16406.25</v>
      </c>
    </row>
    <row r="493" spans="1:235" s="90" customFormat="1" ht="35.25" customHeight="1">
      <c r="A493" s="93" t="s">
        <v>373</v>
      </c>
      <c r="B493" s="101"/>
      <c r="C493" s="101"/>
      <c r="D493" s="102"/>
      <c r="E493" s="102"/>
      <c r="F493" s="102"/>
      <c r="G493" s="102"/>
      <c r="H493" s="102">
        <f>H497*H499</f>
        <v>110000</v>
      </c>
      <c r="I493" s="102"/>
      <c r="J493" s="102">
        <f>H493</f>
        <v>110000</v>
      </c>
      <c r="K493" s="102"/>
      <c r="L493" s="102"/>
      <c r="M493" s="102"/>
      <c r="N493" s="102"/>
      <c r="O493" s="102"/>
      <c r="P493" s="102"/>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c r="CR493" s="89"/>
      <c r="CS493" s="89"/>
      <c r="CT493" s="89"/>
      <c r="CU493" s="89"/>
      <c r="CV493" s="89"/>
      <c r="CW493" s="89"/>
      <c r="CX493" s="89"/>
      <c r="CY493" s="89"/>
      <c r="CZ493" s="89"/>
      <c r="DA493" s="89"/>
      <c r="DB493" s="89"/>
      <c r="DC493" s="89"/>
      <c r="DD493" s="89"/>
      <c r="DE493" s="89"/>
      <c r="DF493" s="89"/>
      <c r="DG493" s="89"/>
      <c r="DH493" s="89"/>
      <c r="DI493" s="89"/>
      <c r="DJ493" s="89"/>
      <c r="DK493" s="89"/>
      <c r="DL493" s="89"/>
      <c r="DM493" s="89"/>
      <c r="DN493" s="89"/>
      <c r="DO493" s="89"/>
      <c r="DP493" s="89"/>
      <c r="DQ493" s="89"/>
      <c r="DR493" s="89"/>
      <c r="DS493" s="89"/>
      <c r="DT493" s="89"/>
      <c r="DU493" s="89"/>
      <c r="DV493" s="89"/>
      <c r="DW493" s="89"/>
      <c r="DX493" s="89"/>
      <c r="DY493" s="89"/>
      <c r="DZ493" s="89"/>
      <c r="EA493" s="89"/>
      <c r="EB493" s="89"/>
      <c r="EC493" s="89"/>
      <c r="ED493" s="89"/>
      <c r="EE493" s="89"/>
      <c r="EF493" s="89"/>
      <c r="EG493" s="89"/>
      <c r="EH493" s="89"/>
      <c r="EI493" s="89"/>
      <c r="EJ493" s="89"/>
      <c r="EK493" s="89"/>
      <c r="EL493" s="89"/>
      <c r="EM493" s="89"/>
      <c r="EN493" s="89"/>
      <c r="EO493" s="89"/>
      <c r="EP493" s="89"/>
      <c r="EQ493" s="89"/>
      <c r="ER493" s="89"/>
      <c r="ES493" s="89"/>
      <c r="ET493" s="89"/>
      <c r="EU493" s="89"/>
      <c r="EV493" s="89"/>
      <c r="EW493" s="89"/>
      <c r="EX493" s="89"/>
      <c r="EY493" s="89"/>
      <c r="EZ493" s="89"/>
      <c r="FA493" s="89"/>
      <c r="FB493" s="89"/>
      <c r="FC493" s="89"/>
      <c r="FD493" s="89"/>
      <c r="FE493" s="89"/>
      <c r="FF493" s="89"/>
      <c r="FG493" s="89"/>
      <c r="FH493" s="89"/>
      <c r="FI493" s="89"/>
      <c r="FJ493" s="89"/>
      <c r="FK493" s="89"/>
      <c r="FL493" s="89"/>
      <c r="FM493" s="89"/>
      <c r="FN493" s="89"/>
      <c r="FO493" s="89"/>
      <c r="FP493" s="89"/>
      <c r="FQ493" s="89"/>
      <c r="FR493" s="89"/>
      <c r="FS493" s="89"/>
      <c r="FT493" s="89"/>
      <c r="FU493" s="89"/>
      <c r="FV493" s="89"/>
      <c r="FW493" s="89"/>
      <c r="FX493" s="89"/>
      <c r="FY493" s="89"/>
      <c r="FZ493" s="89"/>
      <c r="GA493" s="89"/>
      <c r="GB493" s="89"/>
      <c r="GC493" s="89"/>
      <c r="GD493" s="89"/>
      <c r="GE493" s="89"/>
      <c r="GF493" s="89"/>
      <c r="GG493" s="89"/>
      <c r="GH493" s="89"/>
      <c r="GI493" s="89"/>
      <c r="GJ493" s="89"/>
      <c r="GK493" s="89"/>
      <c r="GL493" s="89"/>
      <c r="GM493" s="89"/>
      <c r="GN493" s="89"/>
      <c r="GO493" s="89"/>
      <c r="GP493" s="89"/>
      <c r="GQ493" s="89"/>
      <c r="GR493" s="89"/>
      <c r="GS493" s="89"/>
      <c r="GT493" s="89"/>
      <c r="GU493" s="89"/>
      <c r="GV493" s="89"/>
      <c r="GW493" s="89"/>
      <c r="GX493" s="89"/>
      <c r="GY493" s="89"/>
      <c r="GZ493" s="89"/>
      <c r="HA493" s="89"/>
      <c r="HB493" s="89"/>
      <c r="HC493" s="89"/>
      <c r="HD493" s="89"/>
      <c r="HE493" s="89"/>
      <c r="HF493" s="89"/>
      <c r="HG493" s="89"/>
      <c r="HH493" s="89"/>
      <c r="HI493" s="89"/>
      <c r="HJ493" s="89"/>
      <c r="HK493" s="89"/>
      <c r="HL493" s="89"/>
      <c r="HM493" s="89"/>
      <c r="HN493" s="89"/>
      <c r="HO493" s="89"/>
      <c r="HP493" s="89"/>
      <c r="HQ493" s="89"/>
      <c r="HR493" s="89"/>
      <c r="HS493" s="89"/>
      <c r="HT493" s="89"/>
      <c r="HU493" s="89"/>
      <c r="HV493" s="89"/>
      <c r="HW493" s="89"/>
      <c r="HX493" s="89"/>
      <c r="HY493" s="89"/>
      <c r="HZ493" s="89"/>
      <c r="IA493" s="89"/>
    </row>
    <row r="494" spans="1:16" ht="11.25">
      <c r="A494" s="42" t="s">
        <v>4</v>
      </c>
      <c r="B494" s="79"/>
      <c r="C494" s="79"/>
      <c r="D494" s="73"/>
      <c r="E494" s="73"/>
      <c r="F494" s="73"/>
      <c r="G494" s="73"/>
      <c r="H494" s="73"/>
      <c r="I494" s="73"/>
      <c r="J494" s="73"/>
      <c r="K494" s="73"/>
      <c r="L494" s="73"/>
      <c r="M494" s="73"/>
      <c r="N494" s="73"/>
      <c r="O494" s="73"/>
      <c r="P494" s="73"/>
    </row>
    <row r="495" spans="1:16" ht="33.75">
      <c r="A495" s="43" t="s">
        <v>305</v>
      </c>
      <c r="B495" s="79"/>
      <c r="C495" s="79"/>
      <c r="D495" s="73"/>
      <c r="E495" s="73"/>
      <c r="F495" s="73"/>
      <c r="G495" s="73"/>
      <c r="H495" s="73">
        <v>110000</v>
      </c>
      <c r="I495" s="73"/>
      <c r="J495" s="73">
        <f>H495</f>
        <v>110000</v>
      </c>
      <c r="K495" s="73"/>
      <c r="L495" s="73"/>
      <c r="M495" s="73"/>
      <c r="N495" s="73"/>
      <c r="O495" s="73"/>
      <c r="P495" s="73"/>
    </row>
    <row r="496" spans="1:16" ht="11.25">
      <c r="A496" s="42" t="s">
        <v>5</v>
      </c>
      <c r="B496" s="79"/>
      <c r="C496" s="79"/>
      <c r="D496" s="73"/>
      <c r="E496" s="73"/>
      <c r="F496" s="73"/>
      <c r="G496" s="73"/>
      <c r="H496" s="73"/>
      <c r="I496" s="73"/>
      <c r="J496" s="73"/>
      <c r="K496" s="73"/>
      <c r="L496" s="73"/>
      <c r="M496" s="73"/>
      <c r="N496" s="73"/>
      <c r="O496" s="73"/>
      <c r="P496" s="73"/>
    </row>
    <row r="497" spans="1:16" ht="37.5" customHeight="1">
      <c r="A497" s="104" t="s">
        <v>319</v>
      </c>
      <c r="B497" s="79"/>
      <c r="C497" s="79"/>
      <c r="D497" s="73"/>
      <c r="E497" s="73"/>
      <c r="F497" s="73"/>
      <c r="G497" s="73"/>
      <c r="H497" s="73">
        <v>1</v>
      </c>
      <c r="I497" s="73"/>
      <c r="J497" s="73">
        <v>1</v>
      </c>
      <c r="K497" s="73"/>
      <c r="L497" s="73"/>
      <c r="M497" s="73"/>
      <c r="N497" s="73"/>
      <c r="O497" s="73"/>
      <c r="P497" s="73"/>
    </row>
    <row r="498" spans="1:16" ht="11.25">
      <c r="A498" s="42" t="s">
        <v>7</v>
      </c>
      <c r="B498" s="79"/>
      <c r="C498" s="79"/>
      <c r="D498" s="73"/>
      <c r="E498" s="73"/>
      <c r="F498" s="73"/>
      <c r="G498" s="73"/>
      <c r="H498" s="73"/>
      <c r="I498" s="73"/>
      <c r="J498" s="73"/>
      <c r="K498" s="73"/>
      <c r="L498" s="73"/>
      <c r="M498" s="73"/>
      <c r="N498" s="73"/>
      <c r="O498" s="73"/>
      <c r="P498" s="73"/>
    </row>
    <row r="499" spans="1:16" ht="39" customHeight="1">
      <c r="A499" s="45" t="s">
        <v>306</v>
      </c>
      <c r="B499" s="79"/>
      <c r="C499" s="79"/>
      <c r="D499" s="73"/>
      <c r="E499" s="73"/>
      <c r="F499" s="73"/>
      <c r="G499" s="73"/>
      <c r="H499" s="73">
        <v>110000</v>
      </c>
      <c r="I499" s="73"/>
      <c r="J499" s="73">
        <f>J495/H497</f>
        <v>110000</v>
      </c>
      <c r="K499" s="73"/>
      <c r="L499" s="73"/>
      <c r="M499" s="73"/>
      <c r="N499" s="73"/>
      <c r="O499" s="73"/>
      <c r="P499" s="73"/>
    </row>
    <row r="500" spans="1:235" s="90" customFormat="1" ht="57" customHeight="1">
      <c r="A500" s="96" t="s">
        <v>451</v>
      </c>
      <c r="B500" s="101"/>
      <c r="C500" s="101"/>
      <c r="D500" s="102"/>
      <c r="E500" s="102"/>
      <c r="F500" s="102"/>
      <c r="G500" s="102"/>
      <c r="H500" s="102">
        <f>H502*H506</f>
        <v>199000</v>
      </c>
      <c r="I500" s="102"/>
      <c r="J500" s="102">
        <f>G500+H500</f>
        <v>199000</v>
      </c>
      <c r="K500" s="102"/>
      <c r="L500" s="102"/>
      <c r="M500" s="102"/>
      <c r="N500" s="102"/>
      <c r="O500" s="102">
        <f>O502*O504</f>
        <v>75000</v>
      </c>
      <c r="P500" s="102">
        <f>O500</f>
        <v>75000</v>
      </c>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c r="CR500" s="89"/>
      <c r="CS500" s="89"/>
      <c r="CT500" s="89"/>
      <c r="CU500" s="89"/>
      <c r="CV500" s="89"/>
      <c r="CW500" s="89"/>
      <c r="CX500" s="89"/>
      <c r="CY500" s="89"/>
      <c r="CZ500" s="89"/>
      <c r="DA500" s="89"/>
      <c r="DB500" s="89"/>
      <c r="DC500" s="89"/>
      <c r="DD500" s="89"/>
      <c r="DE500" s="89"/>
      <c r="DF500" s="89"/>
      <c r="DG500" s="89"/>
      <c r="DH500" s="89"/>
      <c r="DI500" s="89"/>
      <c r="DJ500" s="89"/>
      <c r="DK500" s="89"/>
      <c r="DL500" s="89"/>
      <c r="DM500" s="89"/>
      <c r="DN500" s="89"/>
      <c r="DO500" s="89"/>
      <c r="DP500" s="89"/>
      <c r="DQ500" s="89"/>
      <c r="DR500" s="89"/>
      <c r="DS500" s="89"/>
      <c r="DT500" s="89"/>
      <c r="DU500" s="89"/>
      <c r="DV500" s="89"/>
      <c r="DW500" s="89"/>
      <c r="DX500" s="89"/>
      <c r="DY500" s="89"/>
      <c r="DZ500" s="89"/>
      <c r="EA500" s="89"/>
      <c r="EB500" s="89"/>
      <c r="EC500" s="89"/>
      <c r="ED500" s="89"/>
      <c r="EE500" s="89"/>
      <c r="EF500" s="89"/>
      <c r="EG500" s="89"/>
      <c r="EH500" s="89"/>
      <c r="EI500" s="89"/>
      <c r="EJ500" s="89"/>
      <c r="EK500" s="89"/>
      <c r="EL500" s="89"/>
      <c r="EM500" s="89"/>
      <c r="EN500" s="89"/>
      <c r="EO500" s="89"/>
      <c r="EP500" s="89"/>
      <c r="EQ500" s="89"/>
      <c r="ER500" s="89"/>
      <c r="ES500" s="89"/>
      <c r="ET500" s="89"/>
      <c r="EU500" s="89"/>
      <c r="EV500" s="89"/>
      <c r="EW500" s="89"/>
      <c r="EX500" s="89"/>
      <c r="EY500" s="89"/>
      <c r="EZ500" s="89"/>
      <c r="FA500" s="89"/>
      <c r="FB500" s="89"/>
      <c r="FC500" s="89"/>
      <c r="FD500" s="89"/>
      <c r="FE500" s="89"/>
      <c r="FF500" s="89"/>
      <c r="FG500" s="89"/>
      <c r="FH500" s="89"/>
      <c r="FI500" s="89"/>
      <c r="FJ500" s="89"/>
      <c r="FK500" s="89"/>
      <c r="FL500" s="89"/>
      <c r="FM500" s="89"/>
      <c r="FN500" s="89"/>
      <c r="FO500" s="89"/>
      <c r="FP500" s="89"/>
      <c r="FQ500" s="89"/>
      <c r="FR500" s="89"/>
      <c r="FS500" s="89"/>
      <c r="FT500" s="89"/>
      <c r="FU500" s="89"/>
      <c r="FV500" s="89"/>
      <c r="FW500" s="89"/>
      <c r="FX500" s="89"/>
      <c r="FY500" s="89"/>
      <c r="FZ500" s="89"/>
      <c r="GA500" s="89"/>
      <c r="GB500" s="89"/>
      <c r="GC500" s="89"/>
      <c r="GD500" s="89"/>
      <c r="GE500" s="89"/>
      <c r="GF500" s="89"/>
      <c r="GG500" s="89"/>
      <c r="GH500" s="89"/>
      <c r="GI500" s="89"/>
      <c r="GJ500" s="89"/>
      <c r="GK500" s="89"/>
      <c r="GL500" s="89"/>
      <c r="GM500" s="89"/>
      <c r="GN500" s="89"/>
      <c r="GO500" s="89"/>
      <c r="GP500" s="89"/>
      <c r="GQ500" s="89"/>
      <c r="GR500" s="89"/>
      <c r="GS500" s="89"/>
      <c r="GT500" s="89"/>
      <c r="GU500" s="89"/>
      <c r="GV500" s="89"/>
      <c r="GW500" s="89"/>
      <c r="GX500" s="89"/>
      <c r="GY500" s="89"/>
      <c r="GZ500" s="89"/>
      <c r="HA500" s="89"/>
      <c r="HB500" s="89"/>
      <c r="HC500" s="89"/>
      <c r="HD500" s="89"/>
      <c r="HE500" s="89"/>
      <c r="HF500" s="89"/>
      <c r="HG500" s="89"/>
      <c r="HH500" s="89"/>
      <c r="HI500" s="89"/>
      <c r="HJ500" s="89"/>
      <c r="HK500" s="89"/>
      <c r="HL500" s="89"/>
      <c r="HM500" s="89"/>
      <c r="HN500" s="89"/>
      <c r="HO500" s="89"/>
      <c r="HP500" s="89"/>
      <c r="HQ500" s="89"/>
      <c r="HR500" s="89"/>
      <c r="HS500" s="89"/>
      <c r="HT500" s="89"/>
      <c r="HU500" s="89"/>
      <c r="HV500" s="89"/>
      <c r="HW500" s="89"/>
      <c r="HX500" s="89"/>
      <c r="HY500" s="89"/>
      <c r="HZ500" s="89"/>
      <c r="IA500" s="89"/>
    </row>
    <row r="501" spans="1:16" ht="11.25">
      <c r="A501" s="85" t="s">
        <v>311</v>
      </c>
      <c r="B501" s="79"/>
      <c r="C501" s="79"/>
      <c r="D501" s="73"/>
      <c r="E501" s="73"/>
      <c r="F501" s="73"/>
      <c r="G501" s="73"/>
      <c r="H501" s="73"/>
      <c r="I501" s="73"/>
      <c r="J501" s="73"/>
      <c r="K501" s="73"/>
      <c r="L501" s="73"/>
      <c r="M501" s="73"/>
      <c r="N501" s="73"/>
      <c r="O501" s="73"/>
      <c r="P501" s="73">
        <f>O501</f>
        <v>0</v>
      </c>
    </row>
    <row r="502" spans="1:16" ht="45">
      <c r="A502" s="206" t="s">
        <v>448</v>
      </c>
      <c r="B502" s="207"/>
      <c r="C502" s="207"/>
      <c r="D502" s="208"/>
      <c r="E502" s="208"/>
      <c r="F502" s="208"/>
      <c r="G502" s="208"/>
      <c r="H502" s="208">
        <v>1</v>
      </c>
      <c r="I502" s="208"/>
      <c r="J502" s="208">
        <f>H502+G502</f>
        <v>1</v>
      </c>
      <c r="K502" s="73"/>
      <c r="L502" s="73"/>
      <c r="M502" s="73"/>
      <c r="N502" s="73"/>
      <c r="O502" s="73">
        <v>1</v>
      </c>
      <c r="P502" s="73">
        <f>O502</f>
        <v>1</v>
      </c>
    </row>
    <row r="503" spans="1:16" ht="11.25">
      <c r="A503" s="85" t="s">
        <v>312</v>
      </c>
      <c r="B503" s="79"/>
      <c r="C503" s="79"/>
      <c r="D503" s="73"/>
      <c r="E503" s="73"/>
      <c r="F503" s="73"/>
      <c r="G503" s="73"/>
      <c r="H503" s="73"/>
      <c r="I503" s="73"/>
      <c r="J503" s="73"/>
      <c r="K503" s="73"/>
      <c r="L503" s="73"/>
      <c r="M503" s="73"/>
      <c r="N503" s="73"/>
      <c r="O503" s="73"/>
      <c r="P503" s="73"/>
    </row>
    <row r="504" spans="1:16" ht="45">
      <c r="A504" s="84" t="s">
        <v>449</v>
      </c>
      <c r="B504" s="79"/>
      <c r="C504" s="79"/>
      <c r="D504" s="73"/>
      <c r="E504" s="73"/>
      <c r="F504" s="73"/>
      <c r="G504" s="73"/>
      <c r="H504" s="73">
        <v>199000</v>
      </c>
      <c r="I504" s="73"/>
      <c r="J504" s="73">
        <f>G504+H504</f>
        <v>199000</v>
      </c>
      <c r="K504" s="73"/>
      <c r="L504" s="73"/>
      <c r="M504" s="73"/>
      <c r="N504" s="73"/>
      <c r="O504" s="73">
        <v>75000</v>
      </c>
      <c r="P504" s="73">
        <f>O504</f>
        <v>75000</v>
      </c>
    </row>
    <row r="505" spans="1:16" ht="11.25">
      <c r="A505" s="85" t="s">
        <v>313</v>
      </c>
      <c r="B505" s="79"/>
      <c r="C505" s="79"/>
      <c r="D505" s="73"/>
      <c r="E505" s="73"/>
      <c r="F505" s="73"/>
      <c r="G505" s="73"/>
      <c r="H505" s="73"/>
      <c r="I505" s="73"/>
      <c r="J505" s="73"/>
      <c r="K505" s="73"/>
      <c r="L505" s="73"/>
      <c r="M505" s="73"/>
      <c r="N505" s="73"/>
      <c r="O505" s="73"/>
      <c r="P505" s="73"/>
    </row>
    <row r="506" spans="1:16" ht="37.5" customHeight="1">
      <c r="A506" s="84" t="s">
        <v>314</v>
      </c>
      <c r="B506" s="79"/>
      <c r="C506" s="79"/>
      <c r="D506" s="73"/>
      <c r="E506" s="73"/>
      <c r="F506" s="73"/>
      <c r="G506" s="73"/>
      <c r="H506" s="73">
        <v>199000</v>
      </c>
      <c r="I506" s="73"/>
      <c r="J506" s="73">
        <f>G506+H506</f>
        <v>199000</v>
      </c>
      <c r="K506" s="73"/>
      <c r="L506" s="73"/>
      <c r="M506" s="73"/>
      <c r="N506" s="73"/>
      <c r="O506" s="73"/>
      <c r="P506" s="73">
        <f>O506</f>
        <v>0</v>
      </c>
    </row>
    <row r="507" spans="1:16" ht="38.25" customHeight="1">
      <c r="A507" s="80" t="s">
        <v>450</v>
      </c>
      <c r="B507" s="180"/>
      <c r="C507" s="180"/>
      <c r="D507" s="181"/>
      <c r="E507" s="181"/>
      <c r="F507" s="181"/>
      <c r="G507" s="102"/>
      <c r="H507" s="102">
        <f>H509+H510</f>
        <v>238000</v>
      </c>
      <c r="I507" s="102"/>
      <c r="J507" s="102">
        <f>G507+H507</f>
        <v>238000</v>
      </c>
      <c r="K507" s="102"/>
      <c r="L507" s="102"/>
      <c r="M507" s="102"/>
      <c r="N507" s="102">
        <f>N509</f>
        <v>0</v>
      </c>
      <c r="O507" s="102">
        <f>O510+O509</f>
        <v>5255000</v>
      </c>
      <c r="P507" s="102">
        <f>O507+N507</f>
        <v>5255000</v>
      </c>
    </row>
    <row r="508" spans="1:16" ht="22.5" customHeight="1">
      <c r="A508" s="42" t="s">
        <v>4</v>
      </c>
      <c r="B508" s="79"/>
      <c r="C508" s="79"/>
      <c r="D508" s="73"/>
      <c r="E508" s="73"/>
      <c r="F508" s="73"/>
      <c r="G508" s="73"/>
      <c r="H508" s="73"/>
      <c r="I508" s="73"/>
      <c r="J508" s="73"/>
      <c r="K508" s="73"/>
      <c r="L508" s="73"/>
      <c r="M508" s="73"/>
      <c r="N508" s="73"/>
      <c r="O508" s="73"/>
      <c r="P508" s="73"/>
    </row>
    <row r="509" spans="1:16" ht="24.75" customHeight="1">
      <c r="A509" s="43" t="s">
        <v>383</v>
      </c>
      <c r="B509" s="79"/>
      <c r="C509" s="79"/>
      <c r="D509" s="73"/>
      <c r="E509" s="73"/>
      <c r="F509" s="73"/>
      <c r="H509" s="73">
        <f>163000+75000</f>
        <v>238000</v>
      </c>
      <c r="J509" s="73">
        <f>H509+H510</f>
        <v>238000</v>
      </c>
      <c r="K509" s="73"/>
      <c r="L509" s="73"/>
      <c r="M509" s="73"/>
      <c r="N509" s="73"/>
      <c r="O509" s="73">
        <f>80000+175000</f>
        <v>255000</v>
      </c>
      <c r="P509" s="73">
        <f>N509</f>
        <v>0</v>
      </c>
    </row>
    <row r="510" spans="1:16" ht="24.75" customHeight="1">
      <c r="A510" s="43" t="s">
        <v>389</v>
      </c>
      <c r="B510" s="79"/>
      <c r="C510" s="79"/>
      <c r="D510" s="73"/>
      <c r="E510" s="73"/>
      <c r="F510" s="73"/>
      <c r="G510" s="73"/>
      <c r="H510" s="73"/>
      <c r="I510" s="73"/>
      <c r="J510" s="73"/>
      <c r="K510" s="73"/>
      <c r="L510" s="73"/>
      <c r="M510" s="73"/>
      <c r="N510" s="73"/>
      <c r="O510" s="73">
        <v>5000000</v>
      </c>
      <c r="P510" s="73">
        <f>O510</f>
        <v>5000000</v>
      </c>
    </row>
    <row r="511" spans="1:16" ht="15.75" customHeight="1">
      <c r="A511" s="42" t="s">
        <v>5</v>
      </c>
      <c r="B511" s="79"/>
      <c r="C511" s="79"/>
      <c r="D511" s="73"/>
      <c r="E511" s="73"/>
      <c r="F511" s="73"/>
      <c r="G511" s="73"/>
      <c r="H511" s="73"/>
      <c r="I511" s="73"/>
      <c r="J511" s="73"/>
      <c r="K511" s="73"/>
      <c r="L511" s="73"/>
      <c r="M511" s="73"/>
      <c r="N511" s="73"/>
      <c r="O511" s="73"/>
      <c r="P511" s="73"/>
    </row>
    <row r="512" spans="1:16" ht="24.75" customHeight="1">
      <c r="A512" s="205" t="s">
        <v>416</v>
      </c>
      <c r="B512" s="79"/>
      <c r="C512" s="79"/>
      <c r="D512" s="73"/>
      <c r="E512" s="73"/>
      <c r="F512" s="73"/>
      <c r="G512" s="73"/>
      <c r="H512" s="189">
        <v>500</v>
      </c>
      <c r="I512" s="73"/>
      <c r="J512" s="73"/>
      <c r="K512" s="73"/>
      <c r="L512" s="73"/>
      <c r="M512" s="73"/>
      <c r="N512" s="73"/>
      <c r="O512" s="190">
        <v>533</v>
      </c>
      <c r="P512" s="73">
        <f>O512</f>
        <v>533</v>
      </c>
    </row>
    <row r="513" spans="1:16" ht="24" customHeight="1">
      <c r="A513" s="191" t="s">
        <v>386</v>
      </c>
      <c r="B513" s="79"/>
      <c r="C513" s="79"/>
      <c r="D513" s="192"/>
      <c r="E513" s="73"/>
      <c r="F513" s="73"/>
      <c r="G513" s="73"/>
      <c r="H513" s="73">
        <v>6</v>
      </c>
      <c r="I513" s="73"/>
      <c r="J513" s="73"/>
      <c r="K513" s="73"/>
      <c r="L513" s="73"/>
      <c r="M513" s="73"/>
      <c r="N513" s="73"/>
      <c r="O513" s="73"/>
      <c r="P513" s="73"/>
    </row>
    <row r="514" spans="1:16" ht="26.25" customHeight="1">
      <c r="A514" s="104" t="s">
        <v>387</v>
      </c>
      <c r="B514" s="79"/>
      <c r="C514" s="79"/>
      <c r="D514" s="73"/>
      <c r="E514" s="73"/>
      <c r="F514" s="73"/>
      <c r="G514" s="73"/>
      <c r="H514" s="73"/>
      <c r="I514" s="73"/>
      <c r="J514" s="73"/>
      <c r="K514" s="73"/>
      <c r="L514" s="73"/>
      <c r="M514" s="73"/>
      <c r="N514" s="73"/>
      <c r="O514" s="190">
        <v>50</v>
      </c>
      <c r="P514" s="73">
        <f>O514</f>
        <v>50</v>
      </c>
    </row>
    <row r="515" spans="1:16" ht="11.25" customHeight="1">
      <c r="A515" s="42" t="s">
        <v>7</v>
      </c>
      <c r="B515" s="79"/>
      <c r="C515" s="79"/>
      <c r="D515" s="73"/>
      <c r="E515" s="73"/>
      <c r="F515" s="73"/>
      <c r="G515" s="73"/>
      <c r="H515" s="73"/>
      <c r="I515" s="73"/>
      <c r="J515" s="73"/>
      <c r="K515" s="73"/>
      <c r="L515" s="73"/>
      <c r="M515" s="73"/>
      <c r="N515" s="73"/>
      <c r="O515" s="73"/>
      <c r="P515" s="73"/>
    </row>
    <row r="516" spans="1:16" ht="23.25" customHeight="1">
      <c r="A516" s="45" t="s">
        <v>384</v>
      </c>
      <c r="B516" s="79"/>
      <c r="C516" s="79"/>
      <c r="D516" s="73"/>
      <c r="E516" s="73"/>
      <c r="F516" s="73"/>
      <c r="G516" s="73"/>
      <c r="H516" s="73">
        <f>75000/H512</f>
        <v>150</v>
      </c>
      <c r="I516" s="73"/>
      <c r="J516" s="73">
        <f>H516</f>
        <v>150</v>
      </c>
      <c r="K516" s="73"/>
      <c r="L516" s="73"/>
      <c r="M516" s="73"/>
      <c r="N516" s="73"/>
      <c r="O516" s="73">
        <f>O509/O512</f>
        <v>478.42401500938087</v>
      </c>
      <c r="P516" s="73">
        <f>O516</f>
        <v>478.42401500938087</v>
      </c>
    </row>
    <row r="517" spans="1:16" ht="25.5" customHeight="1">
      <c r="A517" s="45" t="s">
        <v>385</v>
      </c>
      <c r="B517" s="79"/>
      <c r="C517" s="79"/>
      <c r="D517" s="73"/>
      <c r="E517" s="73"/>
      <c r="F517" s="73"/>
      <c r="G517" s="73"/>
      <c r="H517" s="73">
        <f>163000/H513</f>
        <v>27166.666666666668</v>
      </c>
      <c r="I517" s="73"/>
      <c r="J517" s="73">
        <f>I517</f>
        <v>0</v>
      </c>
      <c r="K517" s="73"/>
      <c r="L517" s="73"/>
      <c r="M517" s="73"/>
      <c r="N517" s="73"/>
      <c r="O517" s="73"/>
      <c r="P517" s="73"/>
    </row>
    <row r="518" spans="1:16" ht="30.75" customHeight="1">
      <c r="A518" s="104" t="s">
        <v>388</v>
      </c>
      <c r="B518" s="79"/>
      <c r="C518" s="79"/>
      <c r="D518" s="73"/>
      <c r="E518" s="73"/>
      <c r="F518" s="73"/>
      <c r="G518" s="73"/>
      <c r="H518" s="73"/>
      <c r="I518" s="73"/>
      <c r="J518" s="73"/>
      <c r="K518" s="73"/>
      <c r="L518" s="73"/>
      <c r="M518" s="73"/>
      <c r="N518" s="73"/>
      <c r="O518" s="73">
        <f>O510/O514</f>
        <v>100000</v>
      </c>
      <c r="P518" s="73">
        <f>O518</f>
        <v>100000</v>
      </c>
    </row>
    <row r="519" spans="1:235" s="83" customFormat="1" ht="16.5" customHeight="1">
      <c r="A519" s="105" t="s">
        <v>420</v>
      </c>
      <c r="B519" s="105"/>
      <c r="C519" s="105"/>
      <c r="D519" s="116">
        <f>D520</f>
        <v>2172800</v>
      </c>
      <c r="E519" s="116">
        <f>E528</f>
        <v>13000</v>
      </c>
      <c r="F519" s="116">
        <f>D519+E519</f>
        <v>2185800</v>
      </c>
      <c r="G519" s="116">
        <f>G520</f>
        <v>298340</v>
      </c>
      <c r="H519" s="116"/>
      <c r="I519" s="116">
        <f>I520</f>
        <v>0</v>
      </c>
      <c r="J519" s="116">
        <f>G519</f>
        <v>298340</v>
      </c>
      <c r="K519" s="116" t="e">
        <f>#REF!+K520</f>
        <v>#REF!</v>
      </c>
      <c r="L519" s="116" t="e">
        <f>#REF!+L520</f>
        <v>#REF!</v>
      </c>
      <c r="M519" s="116" t="e">
        <f>#REF!+M520</f>
        <v>#REF!</v>
      </c>
      <c r="N519" s="116">
        <f>N520</f>
        <v>1634700</v>
      </c>
      <c r="O519" s="116">
        <f>O520</f>
        <v>0</v>
      </c>
      <c r="P519" s="116">
        <f>N519</f>
        <v>1634700</v>
      </c>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c r="EQ519" s="118"/>
      <c r="ER519" s="118"/>
      <c r="ES519" s="118"/>
      <c r="ET519" s="118"/>
      <c r="EU519" s="118"/>
      <c r="EV519" s="118"/>
      <c r="EW519" s="118"/>
      <c r="EX519" s="118"/>
      <c r="EY519" s="118"/>
      <c r="EZ519" s="118"/>
      <c r="FA519" s="118"/>
      <c r="FB519" s="118"/>
      <c r="FC519" s="118"/>
      <c r="FD519" s="118"/>
      <c r="FE519" s="118"/>
      <c r="FF519" s="118"/>
      <c r="FG519" s="118"/>
      <c r="FH519" s="118"/>
      <c r="FI519" s="118"/>
      <c r="FJ519" s="118"/>
      <c r="FK519" s="118"/>
      <c r="FL519" s="118"/>
      <c r="FM519" s="118"/>
      <c r="FN519" s="118"/>
      <c r="FO519" s="118"/>
      <c r="FP519" s="118"/>
      <c r="FQ519" s="118"/>
      <c r="FR519" s="118"/>
      <c r="FS519" s="118"/>
      <c r="FT519" s="118"/>
      <c r="FU519" s="118"/>
      <c r="FV519" s="118"/>
      <c r="FW519" s="118"/>
      <c r="FX519" s="118"/>
      <c r="FY519" s="118"/>
      <c r="FZ519" s="118"/>
      <c r="GA519" s="118"/>
      <c r="GB519" s="118"/>
      <c r="GC519" s="118"/>
      <c r="GD519" s="118"/>
      <c r="GE519" s="118"/>
      <c r="GF519" s="118"/>
      <c r="GG519" s="118"/>
      <c r="GH519" s="118"/>
      <c r="GI519" s="118"/>
      <c r="GJ519" s="118"/>
      <c r="GK519" s="118"/>
      <c r="GL519" s="118"/>
      <c r="GM519" s="118"/>
      <c r="GN519" s="118"/>
      <c r="GO519" s="118"/>
      <c r="GP519" s="118"/>
      <c r="GQ519" s="118"/>
      <c r="GR519" s="118"/>
      <c r="GS519" s="118"/>
      <c r="GT519" s="118"/>
      <c r="GU519" s="118"/>
      <c r="GV519" s="118"/>
      <c r="GW519" s="118"/>
      <c r="GX519" s="118"/>
      <c r="GY519" s="118"/>
      <c r="GZ519" s="118"/>
      <c r="HA519" s="118"/>
      <c r="HB519" s="118"/>
      <c r="HC519" s="118"/>
      <c r="HD519" s="118"/>
      <c r="HE519" s="118"/>
      <c r="HF519" s="118"/>
      <c r="HG519" s="118"/>
      <c r="HH519" s="118"/>
      <c r="HI519" s="118"/>
      <c r="HJ519" s="118"/>
      <c r="HK519" s="118"/>
      <c r="HL519" s="118"/>
      <c r="HM519" s="118"/>
      <c r="HN519" s="118"/>
      <c r="HO519" s="118"/>
      <c r="HP519" s="118"/>
      <c r="HQ519" s="118"/>
      <c r="HR519" s="118"/>
      <c r="HS519" s="118"/>
      <c r="HT519" s="118"/>
      <c r="HU519" s="118"/>
      <c r="HV519" s="118"/>
      <c r="HW519" s="118"/>
      <c r="HX519" s="118"/>
      <c r="HY519" s="118"/>
      <c r="HZ519" s="118"/>
      <c r="IA519" s="118"/>
    </row>
    <row r="520" spans="1:235" s="90" customFormat="1" ht="29.25" customHeight="1">
      <c r="A520" s="80" t="s">
        <v>390</v>
      </c>
      <c r="B520" s="86"/>
      <c r="C520" s="86"/>
      <c r="D520" s="87">
        <f>D523</f>
        <v>2172800</v>
      </c>
      <c r="E520" s="87"/>
      <c r="F520" s="87">
        <f>D520</f>
        <v>2172800</v>
      </c>
      <c r="G520" s="87">
        <f>G523</f>
        <v>298340</v>
      </c>
      <c r="H520" s="87"/>
      <c r="I520" s="87">
        <f>I523</f>
        <v>0</v>
      </c>
      <c r="J520" s="87">
        <f>G520</f>
        <v>298340</v>
      </c>
      <c r="K520" s="87"/>
      <c r="L520" s="87"/>
      <c r="M520" s="87"/>
      <c r="N520" s="87">
        <f>N523</f>
        <v>1634700</v>
      </c>
      <c r="O520" s="87">
        <f>O523</f>
        <v>0</v>
      </c>
      <c r="P520" s="87">
        <f>N520</f>
        <v>1634700</v>
      </c>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c r="CR520" s="89"/>
      <c r="CS520" s="89"/>
      <c r="CT520" s="89"/>
      <c r="CU520" s="89"/>
      <c r="CV520" s="89"/>
      <c r="CW520" s="89"/>
      <c r="CX520" s="89"/>
      <c r="CY520" s="89"/>
      <c r="CZ520" s="89"/>
      <c r="DA520" s="89"/>
      <c r="DB520" s="89"/>
      <c r="DC520" s="89"/>
      <c r="DD520" s="89"/>
      <c r="DE520" s="89"/>
      <c r="DF520" s="89"/>
      <c r="DG520" s="89"/>
      <c r="DH520" s="89"/>
      <c r="DI520" s="89"/>
      <c r="DJ520" s="89"/>
      <c r="DK520" s="89"/>
      <c r="DL520" s="89"/>
      <c r="DM520" s="89"/>
      <c r="DN520" s="89"/>
      <c r="DO520" s="89"/>
      <c r="DP520" s="89"/>
      <c r="DQ520" s="89"/>
      <c r="DR520" s="89"/>
      <c r="DS520" s="89"/>
      <c r="DT520" s="89"/>
      <c r="DU520" s="89"/>
      <c r="DV520" s="89"/>
      <c r="DW520" s="89"/>
      <c r="DX520" s="89"/>
      <c r="DY520" s="89"/>
      <c r="DZ520" s="89"/>
      <c r="EA520" s="89"/>
      <c r="EB520" s="89"/>
      <c r="EC520" s="89"/>
      <c r="ED520" s="89"/>
      <c r="EE520" s="89"/>
      <c r="EF520" s="89"/>
      <c r="EG520" s="89"/>
      <c r="EH520" s="89"/>
      <c r="EI520" s="89"/>
      <c r="EJ520" s="89"/>
      <c r="EK520" s="89"/>
      <c r="EL520" s="89"/>
      <c r="EM520" s="89"/>
      <c r="EN520" s="89"/>
      <c r="EO520" s="89"/>
      <c r="EP520" s="89"/>
      <c r="EQ520" s="89"/>
      <c r="ER520" s="89"/>
      <c r="ES520" s="89"/>
      <c r="ET520" s="89"/>
      <c r="EU520" s="89"/>
      <c r="EV520" s="89"/>
      <c r="EW520" s="89"/>
      <c r="EX520" s="89"/>
      <c r="EY520" s="89"/>
      <c r="EZ520" s="89"/>
      <c r="FA520" s="89"/>
      <c r="FB520" s="89"/>
      <c r="FC520" s="89"/>
      <c r="FD520" s="89"/>
      <c r="FE520" s="89"/>
      <c r="FF520" s="89"/>
      <c r="FG520" s="89"/>
      <c r="FH520" s="89"/>
      <c r="FI520" s="89"/>
      <c r="FJ520" s="89"/>
      <c r="FK520" s="89"/>
      <c r="FL520" s="89"/>
      <c r="FM520" s="89"/>
      <c r="FN520" s="89"/>
      <c r="FO520" s="89"/>
      <c r="FP520" s="89"/>
      <c r="FQ520" s="89"/>
      <c r="FR520" s="89"/>
      <c r="FS520" s="89"/>
      <c r="FT520" s="89"/>
      <c r="FU520" s="89"/>
      <c r="FV520" s="89"/>
      <c r="FW520" s="89"/>
      <c r="FX520" s="89"/>
      <c r="FY520" s="89"/>
      <c r="FZ520" s="89"/>
      <c r="GA520" s="89"/>
      <c r="GB520" s="89"/>
      <c r="GC520" s="89"/>
      <c r="GD520" s="89"/>
      <c r="GE520" s="89"/>
      <c r="GF520" s="89"/>
      <c r="GG520" s="89"/>
      <c r="GH520" s="89"/>
      <c r="GI520" s="89"/>
      <c r="GJ520" s="89"/>
      <c r="GK520" s="89"/>
      <c r="GL520" s="89"/>
      <c r="GM520" s="89"/>
      <c r="GN520" s="89"/>
      <c r="GO520" s="89"/>
      <c r="GP520" s="89"/>
      <c r="GQ520" s="89"/>
      <c r="GR520" s="89"/>
      <c r="GS520" s="89"/>
      <c r="GT520" s="89"/>
      <c r="GU520" s="89"/>
      <c r="GV520" s="89"/>
      <c r="GW520" s="89"/>
      <c r="GX520" s="89"/>
      <c r="GY520" s="89"/>
      <c r="GZ520" s="89"/>
      <c r="HA520" s="89"/>
      <c r="HB520" s="89"/>
      <c r="HC520" s="89"/>
      <c r="HD520" s="89"/>
      <c r="HE520" s="89"/>
      <c r="HF520" s="89"/>
      <c r="HG520" s="89"/>
      <c r="HH520" s="89"/>
      <c r="HI520" s="89"/>
      <c r="HJ520" s="89"/>
      <c r="HK520" s="89"/>
      <c r="HL520" s="89"/>
      <c r="HM520" s="89"/>
      <c r="HN520" s="89"/>
      <c r="HO520" s="89"/>
      <c r="HP520" s="89"/>
      <c r="HQ520" s="89"/>
      <c r="HR520" s="89"/>
      <c r="HS520" s="89"/>
      <c r="HT520" s="89"/>
      <c r="HU520" s="89"/>
      <c r="HV520" s="89"/>
      <c r="HW520" s="89"/>
      <c r="HX520" s="89"/>
      <c r="HY520" s="89"/>
      <c r="HZ520" s="89"/>
      <c r="IA520" s="89"/>
    </row>
    <row r="521" spans="1:16" ht="26.25" customHeight="1">
      <c r="A521" s="44" t="s">
        <v>207</v>
      </c>
      <c r="B521" s="7"/>
      <c r="C521" s="7"/>
      <c r="D521" s="127"/>
      <c r="E521" s="127"/>
      <c r="F521" s="127"/>
      <c r="G521" s="127"/>
      <c r="H521" s="127"/>
      <c r="I521" s="127"/>
      <c r="J521" s="127"/>
      <c r="K521" s="14"/>
      <c r="L521" s="14"/>
      <c r="M521" s="14"/>
      <c r="N521" s="127"/>
      <c r="O521" s="127"/>
      <c r="P521" s="127"/>
    </row>
    <row r="522" spans="1:16" ht="11.25">
      <c r="A522" s="20" t="s">
        <v>4</v>
      </c>
      <c r="B522" s="7"/>
      <c r="C522" s="7"/>
      <c r="D522" s="14"/>
      <c r="E522" s="14"/>
      <c r="F522" s="14"/>
      <c r="G522" s="14"/>
      <c r="H522" s="14"/>
      <c r="I522" s="14"/>
      <c r="J522" s="14"/>
      <c r="K522" s="14"/>
      <c r="L522" s="14"/>
      <c r="M522" s="14"/>
      <c r="N522" s="14"/>
      <c r="O522" s="14"/>
      <c r="P522" s="14"/>
    </row>
    <row r="523" spans="1:16" ht="35.25" customHeight="1">
      <c r="A523" s="53" t="s">
        <v>262</v>
      </c>
      <c r="B523" s="57"/>
      <c r="C523" s="57"/>
      <c r="D523" s="60">
        <f>458700+125100+1589000</f>
        <v>2172800</v>
      </c>
      <c r="E523" s="60"/>
      <c r="F523" s="60">
        <f>D523</f>
        <v>2172800</v>
      </c>
      <c r="G523" s="14">
        <f>221340+30000+96800-49800</f>
        <v>298340</v>
      </c>
      <c r="H523" s="14"/>
      <c r="I523" s="14"/>
      <c r="J523" s="14">
        <f>G523</f>
        <v>298340</v>
      </c>
      <c r="K523" s="14"/>
      <c r="L523" s="14"/>
      <c r="M523" s="14"/>
      <c r="N523" s="14">
        <f>N525*N527</f>
        <v>1634700</v>
      </c>
      <c r="O523" s="14"/>
      <c r="P523" s="14">
        <f>N523</f>
        <v>1634700</v>
      </c>
    </row>
    <row r="524" spans="1:16" ht="11.25">
      <c r="A524" s="52" t="s">
        <v>5</v>
      </c>
      <c r="B524" s="57"/>
      <c r="C524" s="57"/>
      <c r="D524" s="60"/>
      <c r="E524" s="60"/>
      <c r="F524" s="60"/>
      <c r="G524" s="14"/>
      <c r="H524" s="14"/>
      <c r="I524" s="14"/>
      <c r="J524" s="14"/>
      <c r="K524" s="14"/>
      <c r="L524" s="14"/>
      <c r="M524" s="14"/>
      <c r="N524" s="14"/>
      <c r="O524" s="14"/>
      <c r="P524" s="14"/>
    </row>
    <row r="525" spans="1:16" ht="27" customHeight="1">
      <c r="A525" s="53" t="s">
        <v>236</v>
      </c>
      <c r="B525" s="57"/>
      <c r="C525" s="57"/>
      <c r="D525" s="60">
        <v>3</v>
      </c>
      <c r="E525" s="60"/>
      <c r="F525" s="60">
        <f>D525</f>
        <v>3</v>
      </c>
      <c r="G525" s="14">
        <v>6</v>
      </c>
      <c r="H525" s="14"/>
      <c r="I525" s="14"/>
      <c r="J525" s="14">
        <v>6</v>
      </c>
      <c r="K525" s="14"/>
      <c r="L525" s="14"/>
      <c r="M525" s="14"/>
      <c r="N525" s="14">
        <v>4</v>
      </c>
      <c r="O525" s="14"/>
      <c r="P525" s="14">
        <f>N525</f>
        <v>4</v>
      </c>
    </row>
    <row r="526" spans="1:16" ht="11.25">
      <c r="A526" s="52" t="s">
        <v>7</v>
      </c>
      <c r="B526" s="57"/>
      <c r="C526" s="57"/>
      <c r="D526" s="60"/>
      <c r="E526" s="60"/>
      <c r="F526" s="60"/>
      <c r="G526" s="14"/>
      <c r="H526" s="14"/>
      <c r="I526" s="14"/>
      <c r="J526" s="14"/>
      <c r="K526" s="14"/>
      <c r="L526" s="14"/>
      <c r="M526" s="14"/>
      <c r="N526" s="14"/>
      <c r="O526" s="14"/>
      <c r="P526" s="14"/>
    </row>
    <row r="527" spans="1:16" ht="24.75" customHeight="1">
      <c r="A527" s="21" t="s">
        <v>210</v>
      </c>
      <c r="B527" s="7"/>
      <c r="C527" s="7"/>
      <c r="D527" s="60">
        <f>D523/D525</f>
        <v>724266.6666666666</v>
      </c>
      <c r="E527" s="60"/>
      <c r="F527" s="60">
        <f>F523/F525</f>
        <v>724266.6666666666</v>
      </c>
      <c r="G527" s="14">
        <f>G523/G525</f>
        <v>49723.333333333336</v>
      </c>
      <c r="H527" s="14"/>
      <c r="I527" s="14"/>
      <c r="J527" s="14">
        <f>J523/J525</f>
        <v>49723.333333333336</v>
      </c>
      <c r="K527" s="14"/>
      <c r="L527" s="14"/>
      <c r="M527" s="14"/>
      <c r="N527" s="14">
        <v>408675</v>
      </c>
      <c r="O527" s="14"/>
      <c r="P527" s="14">
        <f>P523/P525</f>
        <v>408675</v>
      </c>
    </row>
    <row r="528" spans="1:235" s="90" customFormat="1" ht="33.75">
      <c r="A528" s="80" t="s">
        <v>391</v>
      </c>
      <c r="B528" s="86"/>
      <c r="C528" s="86"/>
      <c r="D528" s="87" t="str">
        <f>D530</f>
        <v> </v>
      </c>
      <c r="E528" s="87">
        <f>E530</f>
        <v>13000</v>
      </c>
      <c r="F528" s="87">
        <f>E528</f>
        <v>13000</v>
      </c>
      <c r="G528" s="87"/>
      <c r="H528" s="87"/>
      <c r="I528" s="87"/>
      <c r="J528" s="87"/>
      <c r="K528" s="87"/>
      <c r="L528" s="87"/>
      <c r="M528" s="87"/>
      <c r="N528" s="87"/>
      <c r="O528" s="87"/>
      <c r="P528" s="87"/>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c r="CR528" s="89"/>
      <c r="CS528" s="89"/>
      <c r="CT528" s="89"/>
      <c r="CU528" s="89"/>
      <c r="CV528" s="89"/>
      <c r="CW528" s="89"/>
      <c r="CX528" s="89"/>
      <c r="CY528" s="89"/>
      <c r="CZ528" s="89"/>
      <c r="DA528" s="89"/>
      <c r="DB528" s="89"/>
      <c r="DC528" s="89"/>
      <c r="DD528" s="89"/>
      <c r="DE528" s="89"/>
      <c r="DF528" s="89"/>
      <c r="DG528" s="89"/>
      <c r="DH528" s="89"/>
      <c r="DI528" s="89"/>
      <c r="DJ528" s="89"/>
      <c r="DK528" s="89"/>
      <c r="DL528" s="89"/>
      <c r="DM528" s="89"/>
      <c r="DN528" s="89"/>
      <c r="DO528" s="89"/>
      <c r="DP528" s="89"/>
      <c r="DQ528" s="89"/>
      <c r="DR528" s="89"/>
      <c r="DS528" s="89"/>
      <c r="DT528" s="89"/>
      <c r="DU528" s="89"/>
      <c r="DV528" s="89"/>
      <c r="DW528" s="89"/>
      <c r="DX528" s="89"/>
      <c r="DY528" s="89"/>
      <c r="DZ528" s="89"/>
      <c r="EA528" s="89"/>
      <c r="EB528" s="89"/>
      <c r="EC528" s="89"/>
      <c r="ED528" s="89"/>
      <c r="EE528" s="89"/>
      <c r="EF528" s="89"/>
      <c r="EG528" s="89"/>
      <c r="EH528" s="89"/>
      <c r="EI528" s="89"/>
      <c r="EJ528" s="89"/>
      <c r="EK528" s="89"/>
      <c r="EL528" s="89"/>
      <c r="EM528" s="89"/>
      <c r="EN528" s="89"/>
      <c r="EO528" s="89"/>
      <c r="EP528" s="89"/>
      <c r="EQ528" s="89"/>
      <c r="ER528" s="89"/>
      <c r="ES528" s="89"/>
      <c r="ET528" s="89"/>
      <c r="EU528" s="89"/>
      <c r="EV528" s="89"/>
      <c r="EW528" s="89"/>
      <c r="EX528" s="89"/>
      <c r="EY528" s="89"/>
      <c r="EZ528" s="89"/>
      <c r="FA528" s="89"/>
      <c r="FB528" s="89"/>
      <c r="FC528" s="89"/>
      <c r="FD528" s="89"/>
      <c r="FE528" s="89"/>
      <c r="FF528" s="89"/>
      <c r="FG528" s="89"/>
      <c r="FH528" s="89"/>
      <c r="FI528" s="89"/>
      <c r="FJ528" s="89"/>
      <c r="FK528" s="89"/>
      <c r="FL528" s="89"/>
      <c r="FM528" s="89"/>
      <c r="FN528" s="89"/>
      <c r="FO528" s="89"/>
      <c r="FP528" s="89"/>
      <c r="FQ528" s="89"/>
      <c r="FR528" s="89"/>
      <c r="FS528" s="89"/>
      <c r="FT528" s="89"/>
      <c r="FU528" s="89"/>
      <c r="FV528" s="89"/>
      <c r="FW528" s="89"/>
      <c r="FX528" s="89"/>
      <c r="FY528" s="89"/>
      <c r="FZ528" s="89"/>
      <c r="GA528" s="89"/>
      <c r="GB528" s="89"/>
      <c r="GC528" s="89"/>
      <c r="GD528" s="89"/>
      <c r="GE528" s="89"/>
      <c r="GF528" s="89"/>
      <c r="GG528" s="89"/>
      <c r="GH528" s="89"/>
      <c r="GI528" s="89"/>
      <c r="GJ528" s="89"/>
      <c r="GK528" s="89"/>
      <c r="GL528" s="89"/>
      <c r="GM528" s="89"/>
      <c r="GN528" s="89"/>
      <c r="GO528" s="89"/>
      <c r="GP528" s="89"/>
      <c r="GQ528" s="89"/>
      <c r="GR528" s="89"/>
      <c r="GS528" s="89"/>
      <c r="GT528" s="89"/>
      <c r="GU528" s="89"/>
      <c r="GV528" s="89"/>
      <c r="GW528" s="89"/>
      <c r="GX528" s="89"/>
      <c r="GY528" s="89"/>
      <c r="GZ528" s="89"/>
      <c r="HA528" s="89"/>
      <c r="HB528" s="89"/>
      <c r="HC528" s="89"/>
      <c r="HD528" s="89"/>
      <c r="HE528" s="89"/>
      <c r="HF528" s="89"/>
      <c r="HG528" s="89"/>
      <c r="HH528" s="89"/>
      <c r="HI528" s="89"/>
      <c r="HJ528" s="89"/>
      <c r="HK528" s="89"/>
      <c r="HL528" s="89"/>
      <c r="HM528" s="89"/>
      <c r="HN528" s="89"/>
      <c r="HO528" s="89"/>
      <c r="HP528" s="89"/>
      <c r="HQ528" s="89"/>
      <c r="HR528" s="89"/>
      <c r="HS528" s="89"/>
      <c r="HT528" s="89"/>
      <c r="HU528" s="89"/>
      <c r="HV528" s="89"/>
      <c r="HW528" s="89"/>
      <c r="HX528" s="89"/>
      <c r="HY528" s="89"/>
      <c r="HZ528" s="89"/>
      <c r="IA528" s="89"/>
    </row>
    <row r="529" spans="1:16" ht="11.25">
      <c r="A529" s="52" t="s">
        <v>4</v>
      </c>
      <c r="B529" s="7"/>
      <c r="C529" s="7"/>
      <c r="D529" s="14"/>
      <c r="E529" s="14"/>
      <c r="F529" s="14"/>
      <c r="G529" s="14"/>
      <c r="H529" s="14"/>
      <c r="I529" s="14"/>
      <c r="J529" s="14"/>
      <c r="K529" s="14"/>
      <c r="L529" s="14"/>
      <c r="M529" s="14"/>
      <c r="N529" s="14"/>
      <c r="O529" s="14"/>
      <c r="P529" s="14"/>
    </row>
    <row r="530" spans="1:16" ht="15" customHeight="1">
      <c r="A530" s="53" t="s">
        <v>63</v>
      </c>
      <c r="B530" s="7"/>
      <c r="C530" s="7"/>
      <c r="D530" s="14" t="s">
        <v>263</v>
      </c>
      <c r="E530" s="14">
        <v>13000</v>
      </c>
      <c r="F530" s="14">
        <f>E530</f>
        <v>13000</v>
      </c>
      <c r="G530" s="14"/>
      <c r="H530" s="14"/>
      <c r="I530" s="14"/>
      <c r="J530" s="14"/>
      <c r="K530" s="14"/>
      <c r="L530" s="14"/>
      <c r="M530" s="14"/>
      <c r="N530" s="14"/>
      <c r="O530" s="14"/>
      <c r="P530" s="14"/>
    </row>
    <row r="531" spans="1:16" ht="11.25">
      <c r="A531" s="52" t="s">
        <v>5</v>
      </c>
      <c r="B531" s="7"/>
      <c r="C531" s="7"/>
      <c r="D531" s="14"/>
      <c r="E531" s="14"/>
      <c r="F531" s="14"/>
      <c r="G531" s="14"/>
      <c r="H531" s="14"/>
      <c r="I531" s="14"/>
      <c r="J531" s="14"/>
      <c r="K531" s="14"/>
      <c r="L531" s="14"/>
      <c r="M531" s="14"/>
      <c r="N531" s="14"/>
      <c r="O531" s="14"/>
      <c r="P531" s="14"/>
    </row>
    <row r="532" spans="1:16" ht="41.25" customHeight="1">
      <c r="A532" s="53" t="s">
        <v>252</v>
      </c>
      <c r="B532" s="7"/>
      <c r="C532" s="7"/>
      <c r="D532" s="14" t="s">
        <v>263</v>
      </c>
      <c r="E532" s="14">
        <v>1</v>
      </c>
      <c r="F532" s="14">
        <f>E532</f>
        <v>1</v>
      </c>
      <c r="G532" s="14"/>
      <c r="H532" s="14"/>
      <c r="I532" s="14"/>
      <c r="J532" s="14"/>
      <c r="K532" s="14"/>
      <c r="L532" s="14"/>
      <c r="M532" s="14"/>
      <c r="N532" s="14"/>
      <c r="O532" s="14"/>
      <c r="P532" s="14"/>
    </row>
    <row r="533" spans="1:16" ht="11.25">
      <c r="A533" s="52" t="s">
        <v>7</v>
      </c>
      <c r="B533" s="7"/>
      <c r="C533" s="7"/>
      <c r="D533" s="14"/>
      <c r="E533" s="14"/>
      <c r="F533" s="14"/>
      <c r="G533" s="14"/>
      <c r="H533" s="14"/>
      <c r="I533" s="14"/>
      <c r="J533" s="14"/>
      <c r="K533" s="14"/>
      <c r="L533" s="14"/>
      <c r="M533" s="14"/>
      <c r="N533" s="14"/>
      <c r="O533" s="14"/>
      <c r="P533" s="14"/>
    </row>
    <row r="534" spans="1:16" ht="35.25" customHeight="1">
      <c r="A534" s="53" t="s">
        <v>253</v>
      </c>
      <c r="B534" s="7"/>
      <c r="C534" s="7"/>
      <c r="D534" s="14" t="s">
        <v>263</v>
      </c>
      <c r="E534" s="14">
        <v>13000</v>
      </c>
      <c r="F534" s="14">
        <f>E534</f>
        <v>13000</v>
      </c>
      <c r="G534" s="14"/>
      <c r="H534" s="14"/>
      <c r="I534" s="14"/>
      <c r="J534" s="14"/>
      <c r="K534" s="14"/>
      <c r="L534" s="14"/>
      <c r="M534" s="14"/>
      <c r="N534" s="14"/>
      <c r="O534" s="14"/>
      <c r="P534" s="14"/>
    </row>
    <row r="535" spans="1:235" s="83" customFormat="1" ht="15" customHeight="1">
      <c r="A535" s="105" t="s">
        <v>421</v>
      </c>
      <c r="B535" s="75"/>
      <c r="C535" s="75"/>
      <c r="D535" s="87">
        <f>D537+D544+D551+D560+D567</f>
        <v>2702500</v>
      </c>
      <c r="E535" s="87"/>
      <c r="F535" s="87">
        <f>D535</f>
        <v>2702500</v>
      </c>
      <c r="G535" s="87">
        <f aca="true" t="shared" si="45" ref="G535:Q535">G537+G544+G560+G574+G581+G551+G567+G588+G595</f>
        <v>6206810</v>
      </c>
      <c r="H535" s="87">
        <f t="shared" si="45"/>
        <v>4700000</v>
      </c>
      <c r="I535" s="87">
        <f t="shared" si="45"/>
        <v>0</v>
      </c>
      <c r="J535" s="87">
        <f t="shared" si="45"/>
        <v>10906810</v>
      </c>
      <c r="K535" s="87">
        <f t="shared" si="45"/>
        <v>0</v>
      </c>
      <c r="L535" s="87">
        <f t="shared" si="45"/>
        <v>0</v>
      </c>
      <c r="M535" s="87">
        <f t="shared" si="45"/>
        <v>0</v>
      </c>
      <c r="N535" s="87">
        <f>N537+N544+N560+N574+N581+N551+N567+N588+N595</f>
        <v>7219560.00205</v>
      </c>
      <c r="O535" s="87">
        <f t="shared" si="45"/>
        <v>0</v>
      </c>
      <c r="P535" s="87">
        <f t="shared" si="45"/>
        <v>7219560.00205</v>
      </c>
      <c r="Q535" s="87">
        <f t="shared" si="45"/>
        <v>0</v>
      </c>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c r="CA535" s="118"/>
      <c r="CB535" s="118"/>
      <c r="CC535" s="118"/>
      <c r="CD535" s="118"/>
      <c r="CE535" s="118"/>
      <c r="CF535" s="118"/>
      <c r="CG535" s="118"/>
      <c r="CH535" s="118"/>
      <c r="CI535" s="118"/>
      <c r="CJ535" s="118"/>
      <c r="CK535" s="118"/>
      <c r="CL535" s="118"/>
      <c r="CM535" s="118"/>
      <c r="CN535" s="118"/>
      <c r="CO535" s="118"/>
      <c r="CP535" s="118"/>
      <c r="CQ535" s="118"/>
      <c r="CR535" s="118"/>
      <c r="CS535" s="118"/>
      <c r="CT535" s="118"/>
      <c r="CU535" s="118"/>
      <c r="CV535" s="118"/>
      <c r="CW535" s="118"/>
      <c r="CX535" s="118"/>
      <c r="CY535" s="118"/>
      <c r="CZ535" s="118"/>
      <c r="DA535" s="118"/>
      <c r="DB535" s="118"/>
      <c r="DC535" s="118"/>
      <c r="DD535" s="118"/>
      <c r="DE535" s="118"/>
      <c r="DF535" s="118"/>
      <c r="DG535" s="118"/>
      <c r="DH535" s="118"/>
      <c r="DI535" s="118"/>
      <c r="DJ535" s="118"/>
      <c r="DK535" s="118"/>
      <c r="DL535" s="118"/>
      <c r="DM535" s="118"/>
      <c r="DN535" s="118"/>
      <c r="DO535" s="118"/>
      <c r="DP535" s="118"/>
      <c r="DQ535" s="118"/>
      <c r="DR535" s="118"/>
      <c r="DS535" s="118"/>
      <c r="DT535" s="118"/>
      <c r="DU535" s="118"/>
      <c r="DV535" s="118"/>
      <c r="DW535" s="118"/>
      <c r="DX535" s="118"/>
      <c r="DY535" s="118"/>
      <c r="DZ535" s="118"/>
      <c r="EA535" s="118"/>
      <c r="EB535" s="118"/>
      <c r="EC535" s="118"/>
      <c r="ED535" s="118"/>
      <c r="EE535" s="118"/>
      <c r="EF535" s="118"/>
      <c r="EG535" s="118"/>
      <c r="EH535" s="118"/>
      <c r="EI535" s="118"/>
      <c r="EJ535" s="118"/>
      <c r="EK535" s="118"/>
      <c r="EL535" s="118"/>
      <c r="EM535" s="118"/>
      <c r="EN535" s="118"/>
      <c r="EO535" s="118"/>
      <c r="EP535" s="118"/>
      <c r="EQ535" s="118"/>
      <c r="ER535" s="118"/>
      <c r="ES535" s="118"/>
      <c r="ET535" s="118"/>
      <c r="EU535" s="118"/>
      <c r="EV535" s="118"/>
      <c r="EW535" s="118"/>
      <c r="EX535" s="118"/>
      <c r="EY535" s="118"/>
      <c r="EZ535" s="118"/>
      <c r="FA535" s="118"/>
      <c r="FB535" s="118"/>
      <c r="FC535" s="118"/>
      <c r="FD535" s="118"/>
      <c r="FE535" s="118"/>
      <c r="FF535" s="118"/>
      <c r="FG535" s="118"/>
      <c r="FH535" s="118"/>
      <c r="FI535" s="118"/>
      <c r="FJ535" s="118"/>
      <c r="FK535" s="118"/>
      <c r="FL535" s="118"/>
      <c r="FM535" s="118"/>
      <c r="FN535" s="118"/>
      <c r="FO535" s="118"/>
      <c r="FP535" s="118"/>
      <c r="FQ535" s="118"/>
      <c r="FR535" s="118"/>
      <c r="FS535" s="118"/>
      <c r="FT535" s="118"/>
      <c r="FU535" s="118"/>
      <c r="FV535" s="118"/>
      <c r="FW535" s="118"/>
      <c r="FX535" s="118"/>
      <c r="FY535" s="118"/>
      <c r="FZ535" s="118"/>
      <c r="GA535" s="118"/>
      <c r="GB535" s="118"/>
      <c r="GC535" s="118"/>
      <c r="GD535" s="118"/>
      <c r="GE535" s="118"/>
      <c r="GF535" s="118"/>
      <c r="GG535" s="118"/>
      <c r="GH535" s="118"/>
      <c r="GI535" s="118"/>
      <c r="GJ535" s="118"/>
      <c r="GK535" s="118"/>
      <c r="GL535" s="118"/>
      <c r="GM535" s="118"/>
      <c r="GN535" s="118"/>
      <c r="GO535" s="118"/>
      <c r="GP535" s="118"/>
      <c r="GQ535" s="118"/>
      <c r="GR535" s="118"/>
      <c r="GS535" s="118"/>
      <c r="GT535" s="118"/>
      <c r="GU535" s="118"/>
      <c r="GV535" s="118"/>
      <c r="GW535" s="118"/>
      <c r="GX535" s="118"/>
      <c r="GY535" s="118"/>
      <c r="GZ535" s="118"/>
      <c r="HA535" s="118"/>
      <c r="HB535" s="118"/>
      <c r="HC535" s="118"/>
      <c r="HD535" s="118"/>
      <c r="HE535" s="118"/>
      <c r="HF535" s="118"/>
      <c r="HG535" s="118"/>
      <c r="HH535" s="118"/>
      <c r="HI535" s="118"/>
      <c r="HJ535" s="118"/>
      <c r="HK535" s="118"/>
      <c r="HL535" s="118"/>
      <c r="HM535" s="118"/>
      <c r="HN535" s="118"/>
      <c r="HO535" s="118"/>
      <c r="HP535" s="118"/>
      <c r="HQ535" s="118"/>
      <c r="HR535" s="118"/>
      <c r="HS535" s="118"/>
      <c r="HT535" s="118"/>
      <c r="HU535" s="118"/>
      <c r="HV535" s="118"/>
      <c r="HW535" s="118"/>
      <c r="HX535" s="118"/>
      <c r="HY535" s="118"/>
      <c r="HZ535" s="118"/>
      <c r="IA535" s="118"/>
    </row>
    <row r="536" spans="1:16" ht="23.25" customHeight="1">
      <c r="A536" s="21" t="s">
        <v>208</v>
      </c>
      <c r="B536" s="7"/>
      <c r="C536" s="7"/>
      <c r="D536" s="14"/>
      <c r="E536" s="14"/>
      <c r="F536" s="14"/>
      <c r="G536" s="14"/>
      <c r="H536" s="14"/>
      <c r="I536" s="14"/>
      <c r="J536" s="14"/>
      <c r="K536" s="14"/>
      <c r="L536" s="14"/>
      <c r="M536" s="14"/>
      <c r="N536" s="14"/>
      <c r="O536" s="14"/>
      <c r="P536" s="14"/>
    </row>
    <row r="537" spans="1:235" s="90" customFormat="1" ht="27.75" customHeight="1">
      <c r="A537" s="80" t="s">
        <v>392</v>
      </c>
      <c r="B537" s="86"/>
      <c r="C537" s="86"/>
      <c r="D537" s="87">
        <f>D539</f>
        <v>2200000</v>
      </c>
      <c r="E537" s="87"/>
      <c r="F537" s="87">
        <f>D537</f>
        <v>2200000</v>
      </c>
      <c r="G537" s="87">
        <f>G541*G543</f>
        <v>5886610</v>
      </c>
      <c r="H537" s="87"/>
      <c r="I537" s="87"/>
      <c r="J537" s="87">
        <f>G537</f>
        <v>5886610</v>
      </c>
      <c r="K537" s="87"/>
      <c r="L537" s="87"/>
      <c r="M537" s="87"/>
      <c r="N537" s="87">
        <f>N541*N543</f>
        <v>6169560</v>
      </c>
      <c r="O537" s="87">
        <f>O541*O543</f>
        <v>0</v>
      </c>
      <c r="P537" s="87">
        <f>N537</f>
        <v>6169560</v>
      </c>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c r="CR537" s="89"/>
      <c r="CS537" s="89"/>
      <c r="CT537" s="89"/>
      <c r="CU537" s="89"/>
      <c r="CV537" s="89"/>
      <c r="CW537" s="89"/>
      <c r="CX537" s="89"/>
      <c r="CY537" s="89"/>
      <c r="CZ537" s="89"/>
      <c r="DA537" s="89"/>
      <c r="DB537" s="89"/>
      <c r="DC537" s="89"/>
      <c r="DD537" s="89"/>
      <c r="DE537" s="89"/>
      <c r="DF537" s="89"/>
      <c r="DG537" s="89"/>
      <c r="DH537" s="89"/>
      <c r="DI537" s="89"/>
      <c r="DJ537" s="89"/>
      <c r="DK537" s="89"/>
      <c r="DL537" s="89"/>
      <c r="DM537" s="89"/>
      <c r="DN537" s="89"/>
      <c r="DO537" s="89"/>
      <c r="DP537" s="89"/>
      <c r="DQ537" s="89"/>
      <c r="DR537" s="89"/>
      <c r="DS537" s="89"/>
      <c r="DT537" s="89"/>
      <c r="DU537" s="89"/>
      <c r="DV537" s="89"/>
      <c r="DW537" s="89"/>
      <c r="DX537" s="89"/>
      <c r="DY537" s="89"/>
      <c r="DZ537" s="89"/>
      <c r="EA537" s="89"/>
      <c r="EB537" s="89"/>
      <c r="EC537" s="89"/>
      <c r="ED537" s="89"/>
      <c r="EE537" s="89"/>
      <c r="EF537" s="89"/>
      <c r="EG537" s="89"/>
      <c r="EH537" s="89"/>
      <c r="EI537" s="89"/>
      <c r="EJ537" s="89"/>
      <c r="EK537" s="89"/>
      <c r="EL537" s="89"/>
      <c r="EM537" s="89"/>
      <c r="EN537" s="89"/>
      <c r="EO537" s="89"/>
      <c r="EP537" s="89"/>
      <c r="EQ537" s="89"/>
      <c r="ER537" s="89"/>
      <c r="ES537" s="89"/>
      <c r="ET537" s="89"/>
      <c r="EU537" s="89"/>
      <c r="EV537" s="89"/>
      <c r="EW537" s="89"/>
      <c r="EX537" s="89"/>
      <c r="EY537" s="89"/>
      <c r="EZ537" s="89"/>
      <c r="FA537" s="89"/>
      <c r="FB537" s="89"/>
      <c r="FC537" s="89"/>
      <c r="FD537" s="89"/>
      <c r="FE537" s="89"/>
      <c r="FF537" s="89"/>
      <c r="FG537" s="89"/>
      <c r="FH537" s="89"/>
      <c r="FI537" s="89"/>
      <c r="FJ537" s="89"/>
      <c r="FK537" s="89"/>
      <c r="FL537" s="89"/>
      <c r="FM537" s="89"/>
      <c r="FN537" s="89"/>
      <c r="FO537" s="89"/>
      <c r="FP537" s="89"/>
      <c r="FQ537" s="89"/>
      <c r="FR537" s="89"/>
      <c r="FS537" s="89"/>
      <c r="FT537" s="89"/>
      <c r="FU537" s="89"/>
      <c r="FV537" s="89"/>
      <c r="FW537" s="89"/>
      <c r="FX537" s="89"/>
      <c r="FY537" s="89"/>
      <c r="FZ537" s="89"/>
      <c r="GA537" s="89"/>
      <c r="GB537" s="89"/>
      <c r="GC537" s="89"/>
      <c r="GD537" s="89"/>
      <c r="GE537" s="89"/>
      <c r="GF537" s="89"/>
      <c r="GG537" s="89"/>
      <c r="GH537" s="89"/>
      <c r="GI537" s="89"/>
      <c r="GJ537" s="89"/>
      <c r="GK537" s="89"/>
      <c r="GL537" s="89"/>
      <c r="GM537" s="89"/>
      <c r="GN537" s="89"/>
      <c r="GO537" s="89"/>
      <c r="GP537" s="89"/>
      <c r="GQ537" s="89"/>
      <c r="GR537" s="89"/>
      <c r="GS537" s="89"/>
      <c r="GT537" s="89"/>
      <c r="GU537" s="89"/>
      <c r="GV537" s="89"/>
      <c r="GW537" s="89"/>
      <c r="GX537" s="89"/>
      <c r="GY537" s="89"/>
      <c r="GZ537" s="89"/>
      <c r="HA537" s="89"/>
      <c r="HB537" s="89"/>
      <c r="HC537" s="89"/>
      <c r="HD537" s="89"/>
      <c r="HE537" s="89"/>
      <c r="HF537" s="89"/>
      <c r="HG537" s="89"/>
      <c r="HH537" s="89"/>
      <c r="HI537" s="89"/>
      <c r="HJ537" s="89"/>
      <c r="HK537" s="89"/>
      <c r="HL537" s="89"/>
      <c r="HM537" s="89"/>
      <c r="HN537" s="89"/>
      <c r="HO537" s="89"/>
      <c r="HP537" s="89"/>
      <c r="HQ537" s="89"/>
      <c r="HR537" s="89"/>
      <c r="HS537" s="89"/>
      <c r="HT537" s="89"/>
      <c r="HU537" s="89"/>
      <c r="HV537" s="89"/>
      <c r="HW537" s="89"/>
      <c r="HX537" s="89"/>
      <c r="HY537" s="89"/>
      <c r="HZ537" s="89"/>
      <c r="IA537" s="89"/>
    </row>
    <row r="538" spans="1:16" ht="12" customHeight="1">
      <c r="A538" s="20" t="s">
        <v>4</v>
      </c>
      <c r="B538" s="7"/>
      <c r="C538" s="7"/>
      <c r="D538" s="14"/>
      <c r="E538" s="14"/>
      <c r="F538" s="14"/>
      <c r="G538" s="14"/>
      <c r="H538" s="14"/>
      <c r="I538" s="14"/>
      <c r="J538" s="14"/>
      <c r="K538" s="14"/>
      <c r="L538" s="14"/>
      <c r="M538" s="14"/>
      <c r="N538" s="14"/>
      <c r="O538" s="14"/>
      <c r="P538" s="14"/>
    </row>
    <row r="539" spans="1:16" ht="13.5" customHeight="1">
      <c r="A539" s="21" t="s">
        <v>63</v>
      </c>
      <c r="B539" s="7"/>
      <c r="C539" s="7"/>
      <c r="D539" s="14">
        <v>2200000</v>
      </c>
      <c r="E539" s="14"/>
      <c r="F539" s="14">
        <f>D539</f>
        <v>2200000</v>
      </c>
      <c r="G539" s="14">
        <f>G541*G543</f>
        <v>5886610</v>
      </c>
      <c r="H539" s="14"/>
      <c r="I539" s="14"/>
      <c r="J539" s="14">
        <f>G539</f>
        <v>5886610</v>
      </c>
      <c r="K539" s="14"/>
      <c r="L539" s="14"/>
      <c r="M539" s="14"/>
      <c r="N539" s="14">
        <f>N541*N543</f>
        <v>6169560</v>
      </c>
      <c r="O539" s="14"/>
      <c r="P539" s="14">
        <f>N539</f>
        <v>6169560</v>
      </c>
    </row>
    <row r="540" spans="1:16" ht="12" customHeight="1">
      <c r="A540" s="20" t="s">
        <v>5</v>
      </c>
      <c r="B540" s="7"/>
      <c r="C540" s="7"/>
      <c r="D540" s="14"/>
      <c r="E540" s="14"/>
      <c r="F540" s="14"/>
      <c r="G540" s="14"/>
      <c r="H540" s="14"/>
      <c r="I540" s="14"/>
      <c r="J540" s="14"/>
      <c r="K540" s="14"/>
      <c r="L540" s="14"/>
      <c r="M540" s="14"/>
      <c r="N540" s="14"/>
      <c r="O540" s="14"/>
      <c r="P540" s="14"/>
    </row>
    <row r="541" spans="1:16" ht="33" customHeight="1">
      <c r="A541" s="21" t="s">
        <v>64</v>
      </c>
      <c r="B541" s="7"/>
      <c r="C541" s="7"/>
      <c r="D541" s="14">
        <v>1</v>
      </c>
      <c r="E541" s="14"/>
      <c r="F541" s="14">
        <v>1</v>
      </c>
      <c r="G541" s="14">
        <v>1</v>
      </c>
      <c r="H541" s="14"/>
      <c r="I541" s="14"/>
      <c r="J541" s="14">
        <v>1</v>
      </c>
      <c r="K541" s="14"/>
      <c r="L541" s="14"/>
      <c r="M541" s="14"/>
      <c r="N541" s="14">
        <v>1</v>
      </c>
      <c r="O541" s="14"/>
      <c r="P541" s="14">
        <f>N541</f>
        <v>1</v>
      </c>
    </row>
    <row r="542" spans="1:16" ht="11.25">
      <c r="A542" s="20" t="s">
        <v>7</v>
      </c>
      <c r="B542" s="7"/>
      <c r="C542" s="7"/>
      <c r="D542" s="14"/>
      <c r="E542" s="14"/>
      <c r="F542" s="14"/>
      <c r="G542" s="14"/>
      <c r="H542" s="14"/>
      <c r="I542" s="14"/>
      <c r="J542" s="14"/>
      <c r="K542" s="14"/>
      <c r="L542" s="14"/>
      <c r="M542" s="14"/>
      <c r="N542" s="14"/>
      <c r="O542" s="14"/>
      <c r="P542" s="14"/>
    </row>
    <row r="543" spans="1:16" ht="21" customHeight="1">
      <c r="A543" s="21" t="s">
        <v>210</v>
      </c>
      <c r="B543" s="7"/>
      <c r="C543" s="7"/>
      <c r="D543" s="14">
        <f>D539/D541</f>
        <v>2200000</v>
      </c>
      <c r="E543" s="14"/>
      <c r="F543" s="14">
        <f>D543</f>
        <v>2200000</v>
      </c>
      <c r="G543" s="14">
        <f>4829000+1057610</f>
        <v>5886610</v>
      </c>
      <c r="H543" s="14"/>
      <c r="I543" s="14"/>
      <c r="J543" s="14">
        <f>G543</f>
        <v>5886610</v>
      </c>
      <c r="K543" s="14"/>
      <c r="L543" s="14"/>
      <c r="M543" s="14"/>
      <c r="N543" s="14">
        <v>6169560</v>
      </c>
      <c r="O543" s="14"/>
      <c r="P543" s="14">
        <f>N543</f>
        <v>6169560</v>
      </c>
    </row>
    <row r="544" spans="1:235" s="90" customFormat="1" ht="25.5" customHeight="1">
      <c r="A544" s="80" t="s">
        <v>393</v>
      </c>
      <c r="B544" s="86"/>
      <c r="C544" s="86"/>
      <c r="D544" s="87"/>
      <c r="E544" s="87"/>
      <c r="F544" s="87"/>
      <c r="G544" s="87">
        <f>G548*G550</f>
        <v>70000</v>
      </c>
      <c r="H544" s="87"/>
      <c r="I544" s="87"/>
      <c r="J544" s="87">
        <f>G544</f>
        <v>70000</v>
      </c>
      <c r="K544" s="87"/>
      <c r="L544" s="87"/>
      <c r="M544" s="87"/>
      <c r="N544" s="87">
        <f>N550*N548</f>
        <v>70000</v>
      </c>
      <c r="O544" s="87"/>
      <c r="P544" s="87">
        <f>N544</f>
        <v>70000</v>
      </c>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c r="CR544" s="89"/>
      <c r="CS544" s="89"/>
      <c r="CT544" s="89"/>
      <c r="CU544" s="89"/>
      <c r="CV544" s="89"/>
      <c r="CW544" s="89"/>
      <c r="CX544" s="89"/>
      <c r="CY544" s="89"/>
      <c r="CZ544" s="89"/>
      <c r="DA544" s="89"/>
      <c r="DB544" s="89"/>
      <c r="DC544" s="89"/>
      <c r="DD544" s="89"/>
      <c r="DE544" s="89"/>
      <c r="DF544" s="89"/>
      <c r="DG544" s="89"/>
      <c r="DH544" s="89"/>
      <c r="DI544" s="89"/>
      <c r="DJ544" s="89"/>
      <c r="DK544" s="89"/>
      <c r="DL544" s="89"/>
      <c r="DM544" s="89"/>
      <c r="DN544" s="89"/>
      <c r="DO544" s="89"/>
      <c r="DP544" s="89"/>
      <c r="DQ544" s="89"/>
      <c r="DR544" s="89"/>
      <c r="DS544" s="89"/>
      <c r="DT544" s="89"/>
      <c r="DU544" s="89"/>
      <c r="DV544" s="89"/>
      <c r="DW544" s="89"/>
      <c r="DX544" s="89"/>
      <c r="DY544" s="89"/>
      <c r="DZ544" s="89"/>
      <c r="EA544" s="89"/>
      <c r="EB544" s="89"/>
      <c r="EC544" s="89"/>
      <c r="ED544" s="89"/>
      <c r="EE544" s="89"/>
      <c r="EF544" s="89"/>
      <c r="EG544" s="89"/>
      <c r="EH544" s="89"/>
      <c r="EI544" s="89"/>
      <c r="EJ544" s="89"/>
      <c r="EK544" s="89"/>
      <c r="EL544" s="89"/>
      <c r="EM544" s="89"/>
      <c r="EN544" s="89"/>
      <c r="EO544" s="89"/>
      <c r="EP544" s="89"/>
      <c r="EQ544" s="89"/>
      <c r="ER544" s="89"/>
      <c r="ES544" s="89"/>
      <c r="ET544" s="89"/>
      <c r="EU544" s="89"/>
      <c r="EV544" s="89"/>
      <c r="EW544" s="89"/>
      <c r="EX544" s="89"/>
      <c r="EY544" s="89"/>
      <c r="EZ544" s="89"/>
      <c r="FA544" s="89"/>
      <c r="FB544" s="89"/>
      <c r="FC544" s="89"/>
      <c r="FD544" s="89"/>
      <c r="FE544" s="89"/>
      <c r="FF544" s="89"/>
      <c r="FG544" s="89"/>
      <c r="FH544" s="89"/>
      <c r="FI544" s="89"/>
      <c r="FJ544" s="89"/>
      <c r="FK544" s="89"/>
      <c r="FL544" s="89"/>
      <c r="FM544" s="89"/>
      <c r="FN544" s="89"/>
      <c r="FO544" s="89"/>
      <c r="FP544" s="89"/>
      <c r="FQ544" s="89"/>
      <c r="FR544" s="89"/>
      <c r="FS544" s="89"/>
      <c r="FT544" s="89"/>
      <c r="FU544" s="89"/>
      <c r="FV544" s="89"/>
      <c r="FW544" s="89"/>
      <c r="FX544" s="89"/>
      <c r="FY544" s="89"/>
      <c r="FZ544" s="89"/>
      <c r="GA544" s="89"/>
      <c r="GB544" s="89"/>
      <c r="GC544" s="89"/>
      <c r="GD544" s="89"/>
      <c r="GE544" s="89"/>
      <c r="GF544" s="89"/>
      <c r="GG544" s="89"/>
      <c r="GH544" s="89"/>
      <c r="GI544" s="89"/>
      <c r="GJ544" s="89"/>
      <c r="GK544" s="89"/>
      <c r="GL544" s="89"/>
      <c r="GM544" s="89"/>
      <c r="GN544" s="89"/>
      <c r="GO544" s="89"/>
      <c r="GP544" s="89"/>
      <c r="GQ544" s="89"/>
      <c r="GR544" s="89"/>
      <c r="GS544" s="89"/>
      <c r="GT544" s="89"/>
      <c r="GU544" s="89"/>
      <c r="GV544" s="89"/>
      <c r="GW544" s="89"/>
      <c r="GX544" s="89"/>
      <c r="GY544" s="89"/>
      <c r="GZ544" s="89"/>
      <c r="HA544" s="89"/>
      <c r="HB544" s="89"/>
      <c r="HC544" s="89"/>
      <c r="HD544" s="89"/>
      <c r="HE544" s="89"/>
      <c r="HF544" s="89"/>
      <c r="HG544" s="89"/>
      <c r="HH544" s="89"/>
      <c r="HI544" s="89"/>
      <c r="HJ544" s="89"/>
      <c r="HK544" s="89"/>
      <c r="HL544" s="89"/>
      <c r="HM544" s="89"/>
      <c r="HN544" s="89"/>
      <c r="HO544" s="89"/>
      <c r="HP544" s="89"/>
      <c r="HQ544" s="89"/>
      <c r="HR544" s="89"/>
      <c r="HS544" s="89"/>
      <c r="HT544" s="89"/>
      <c r="HU544" s="89"/>
      <c r="HV544" s="89"/>
      <c r="HW544" s="89"/>
      <c r="HX544" s="89"/>
      <c r="HY544" s="89"/>
      <c r="HZ544" s="89"/>
      <c r="IA544" s="89"/>
    </row>
    <row r="545" spans="1:16" ht="11.25">
      <c r="A545" s="20" t="s">
        <v>4</v>
      </c>
      <c r="B545" s="7"/>
      <c r="C545" s="7"/>
      <c r="D545" s="14"/>
      <c r="E545" s="14"/>
      <c r="F545" s="14"/>
      <c r="G545" s="14"/>
      <c r="H545" s="14"/>
      <c r="I545" s="14"/>
      <c r="J545" s="14"/>
      <c r="K545" s="14"/>
      <c r="L545" s="14"/>
      <c r="M545" s="14"/>
      <c r="N545" s="14"/>
      <c r="O545" s="14"/>
      <c r="P545" s="14"/>
    </row>
    <row r="546" spans="1:16" ht="14.25" customHeight="1">
      <c r="A546" s="21" t="s">
        <v>63</v>
      </c>
      <c r="B546" s="7"/>
      <c r="C546" s="7"/>
      <c r="D546" s="14"/>
      <c r="E546" s="14"/>
      <c r="F546" s="14"/>
      <c r="G546" s="14">
        <v>70000</v>
      </c>
      <c r="H546" s="14"/>
      <c r="I546" s="14"/>
      <c r="J546" s="14">
        <f>G546</f>
        <v>70000</v>
      </c>
      <c r="K546" s="14"/>
      <c r="L546" s="14"/>
      <c r="M546" s="14"/>
      <c r="N546" s="14">
        <v>50000</v>
      </c>
      <c r="O546" s="14"/>
      <c r="P546" s="14">
        <v>50000</v>
      </c>
    </row>
    <row r="547" spans="1:16" ht="11.25">
      <c r="A547" s="20" t="s">
        <v>5</v>
      </c>
      <c r="B547" s="7"/>
      <c r="C547" s="7"/>
      <c r="D547" s="14"/>
      <c r="E547" s="14"/>
      <c r="F547" s="14"/>
      <c r="G547" s="14"/>
      <c r="H547" s="14"/>
      <c r="I547" s="14"/>
      <c r="J547" s="14"/>
      <c r="K547" s="14"/>
      <c r="L547" s="14"/>
      <c r="M547" s="14"/>
      <c r="N547" s="14"/>
      <c r="O547" s="14"/>
      <c r="P547" s="14"/>
    </row>
    <row r="548" spans="1:16" ht="23.25" customHeight="1">
      <c r="A548" s="21" t="s">
        <v>209</v>
      </c>
      <c r="B548" s="7"/>
      <c r="C548" s="7"/>
      <c r="D548" s="14"/>
      <c r="E548" s="14"/>
      <c r="F548" s="14"/>
      <c r="G548" s="14">
        <v>2</v>
      </c>
      <c r="H548" s="14"/>
      <c r="I548" s="14"/>
      <c r="J548" s="14">
        <v>2</v>
      </c>
      <c r="K548" s="14"/>
      <c r="L548" s="14"/>
      <c r="M548" s="14"/>
      <c r="N548" s="14">
        <v>1</v>
      </c>
      <c r="O548" s="14"/>
      <c r="P548" s="14">
        <v>1</v>
      </c>
    </row>
    <row r="549" spans="1:16" ht="11.25">
      <c r="A549" s="20" t="s">
        <v>7</v>
      </c>
      <c r="B549" s="7"/>
      <c r="C549" s="7"/>
      <c r="D549" s="14"/>
      <c r="E549" s="14"/>
      <c r="F549" s="14"/>
      <c r="G549" s="14"/>
      <c r="H549" s="14"/>
      <c r="I549" s="14"/>
      <c r="J549" s="14"/>
      <c r="K549" s="14"/>
      <c r="L549" s="14"/>
      <c r="M549" s="14"/>
      <c r="N549" s="14"/>
      <c r="O549" s="14"/>
      <c r="P549" s="14"/>
    </row>
    <row r="550" spans="1:16" ht="24.75" customHeight="1">
      <c r="A550" s="21" t="s">
        <v>211</v>
      </c>
      <c r="B550" s="7"/>
      <c r="C550" s="7"/>
      <c r="D550" s="14"/>
      <c r="E550" s="14"/>
      <c r="F550" s="14"/>
      <c r="G550" s="14">
        <v>35000</v>
      </c>
      <c r="H550" s="14"/>
      <c r="I550" s="14"/>
      <c r="J550" s="14">
        <f>G550</f>
        <v>35000</v>
      </c>
      <c r="K550" s="14"/>
      <c r="L550" s="14"/>
      <c r="M550" s="14"/>
      <c r="N550" s="14">
        <v>70000</v>
      </c>
      <c r="O550" s="14"/>
      <c r="P550" s="14">
        <v>50000</v>
      </c>
    </row>
    <row r="551" spans="1:235" s="90" customFormat="1" ht="15" customHeight="1">
      <c r="A551" s="80" t="s">
        <v>394</v>
      </c>
      <c r="B551" s="86"/>
      <c r="C551" s="86"/>
      <c r="D551" s="87">
        <f>D553</f>
        <v>150400</v>
      </c>
      <c r="E551" s="87"/>
      <c r="F551" s="87">
        <f>D551</f>
        <v>150400</v>
      </c>
      <c r="G551" s="87"/>
      <c r="H551" s="87"/>
      <c r="I551" s="87"/>
      <c r="J551" s="87"/>
      <c r="K551" s="87"/>
      <c r="L551" s="87"/>
      <c r="M551" s="87"/>
      <c r="N551" s="87"/>
      <c r="O551" s="87"/>
      <c r="P551" s="87"/>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c r="CR551" s="89"/>
      <c r="CS551" s="89"/>
      <c r="CT551" s="89"/>
      <c r="CU551" s="89"/>
      <c r="CV551" s="89"/>
      <c r="CW551" s="89"/>
      <c r="CX551" s="89"/>
      <c r="CY551" s="89"/>
      <c r="CZ551" s="89"/>
      <c r="DA551" s="89"/>
      <c r="DB551" s="89"/>
      <c r="DC551" s="89"/>
      <c r="DD551" s="89"/>
      <c r="DE551" s="89"/>
      <c r="DF551" s="89"/>
      <c r="DG551" s="89"/>
      <c r="DH551" s="89"/>
      <c r="DI551" s="89"/>
      <c r="DJ551" s="89"/>
      <c r="DK551" s="89"/>
      <c r="DL551" s="89"/>
      <c r="DM551" s="89"/>
      <c r="DN551" s="89"/>
      <c r="DO551" s="89"/>
      <c r="DP551" s="89"/>
      <c r="DQ551" s="89"/>
      <c r="DR551" s="89"/>
      <c r="DS551" s="89"/>
      <c r="DT551" s="89"/>
      <c r="DU551" s="89"/>
      <c r="DV551" s="89"/>
      <c r="DW551" s="89"/>
      <c r="DX551" s="89"/>
      <c r="DY551" s="89"/>
      <c r="DZ551" s="89"/>
      <c r="EA551" s="89"/>
      <c r="EB551" s="89"/>
      <c r="EC551" s="89"/>
      <c r="ED551" s="89"/>
      <c r="EE551" s="89"/>
      <c r="EF551" s="89"/>
      <c r="EG551" s="89"/>
      <c r="EH551" s="89"/>
      <c r="EI551" s="89"/>
      <c r="EJ551" s="89"/>
      <c r="EK551" s="89"/>
      <c r="EL551" s="89"/>
      <c r="EM551" s="89"/>
      <c r="EN551" s="89"/>
      <c r="EO551" s="89"/>
      <c r="EP551" s="89"/>
      <c r="EQ551" s="89"/>
      <c r="ER551" s="89"/>
      <c r="ES551" s="89"/>
      <c r="ET551" s="89"/>
      <c r="EU551" s="89"/>
      <c r="EV551" s="89"/>
      <c r="EW551" s="89"/>
      <c r="EX551" s="89"/>
      <c r="EY551" s="89"/>
      <c r="EZ551" s="89"/>
      <c r="FA551" s="89"/>
      <c r="FB551" s="89"/>
      <c r="FC551" s="89"/>
      <c r="FD551" s="89"/>
      <c r="FE551" s="89"/>
      <c r="FF551" s="89"/>
      <c r="FG551" s="89"/>
      <c r="FH551" s="89"/>
      <c r="FI551" s="89"/>
      <c r="FJ551" s="89"/>
      <c r="FK551" s="89"/>
      <c r="FL551" s="89"/>
      <c r="FM551" s="89"/>
      <c r="FN551" s="89"/>
      <c r="FO551" s="89"/>
      <c r="FP551" s="89"/>
      <c r="FQ551" s="89"/>
      <c r="FR551" s="89"/>
      <c r="FS551" s="89"/>
      <c r="FT551" s="89"/>
      <c r="FU551" s="89"/>
      <c r="FV551" s="89"/>
      <c r="FW551" s="89"/>
      <c r="FX551" s="89"/>
      <c r="FY551" s="89"/>
      <c r="FZ551" s="89"/>
      <c r="GA551" s="89"/>
      <c r="GB551" s="89"/>
      <c r="GC551" s="89"/>
      <c r="GD551" s="89"/>
      <c r="GE551" s="89"/>
      <c r="GF551" s="89"/>
      <c r="GG551" s="89"/>
      <c r="GH551" s="89"/>
      <c r="GI551" s="89"/>
      <c r="GJ551" s="89"/>
      <c r="GK551" s="89"/>
      <c r="GL551" s="89"/>
      <c r="GM551" s="89"/>
      <c r="GN551" s="89"/>
      <c r="GO551" s="89"/>
      <c r="GP551" s="89"/>
      <c r="GQ551" s="89"/>
      <c r="GR551" s="89"/>
      <c r="GS551" s="89"/>
      <c r="GT551" s="89"/>
      <c r="GU551" s="89"/>
      <c r="GV551" s="89"/>
      <c r="GW551" s="89"/>
      <c r="GX551" s="89"/>
      <c r="GY551" s="89"/>
      <c r="GZ551" s="89"/>
      <c r="HA551" s="89"/>
      <c r="HB551" s="89"/>
      <c r="HC551" s="89"/>
      <c r="HD551" s="89"/>
      <c r="HE551" s="89"/>
      <c r="HF551" s="89"/>
      <c r="HG551" s="89"/>
      <c r="HH551" s="89"/>
      <c r="HI551" s="89"/>
      <c r="HJ551" s="89"/>
      <c r="HK551" s="89"/>
      <c r="HL551" s="89"/>
      <c r="HM551" s="89"/>
      <c r="HN551" s="89"/>
      <c r="HO551" s="89"/>
      <c r="HP551" s="89"/>
      <c r="HQ551" s="89"/>
      <c r="HR551" s="89"/>
      <c r="HS551" s="89"/>
      <c r="HT551" s="89"/>
      <c r="HU551" s="89"/>
      <c r="HV551" s="89"/>
      <c r="HW551" s="89"/>
      <c r="HX551" s="89"/>
      <c r="HY551" s="89"/>
      <c r="HZ551" s="89"/>
      <c r="IA551" s="89"/>
    </row>
    <row r="552" spans="1:16" ht="12" customHeight="1">
      <c r="A552" s="20" t="s">
        <v>4</v>
      </c>
      <c r="B552" s="7"/>
      <c r="C552" s="7"/>
      <c r="D552" s="14"/>
      <c r="E552" s="14"/>
      <c r="F552" s="14"/>
      <c r="G552" s="14"/>
      <c r="H552" s="14"/>
      <c r="I552" s="14"/>
      <c r="J552" s="14"/>
      <c r="K552" s="14"/>
      <c r="L552" s="14"/>
      <c r="M552" s="14"/>
      <c r="N552" s="14"/>
      <c r="O552" s="14"/>
      <c r="P552" s="14"/>
    </row>
    <row r="553" spans="1:16" ht="12" customHeight="1">
      <c r="A553" s="21" t="s">
        <v>63</v>
      </c>
      <c r="B553" s="7"/>
      <c r="C553" s="7"/>
      <c r="D553" s="14">
        <f>(D555*D558)+(D556*D559)-0.03</f>
        <v>150400</v>
      </c>
      <c r="E553" s="14"/>
      <c r="F553" s="14">
        <f>D553</f>
        <v>150400</v>
      </c>
      <c r="G553" s="14"/>
      <c r="H553" s="14"/>
      <c r="I553" s="14"/>
      <c r="J553" s="14"/>
      <c r="K553" s="14"/>
      <c r="L553" s="14"/>
      <c r="M553" s="14"/>
      <c r="N553" s="14"/>
      <c r="O553" s="14"/>
      <c r="P553" s="14"/>
    </row>
    <row r="554" spans="1:16" ht="12" customHeight="1">
      <c r="A554" s="20" t="s">
        <v>5</v>
      </c>
      <c r="B554" s="7"/>
      <c r="C554" s="7"/>
      <c r="D554" s="14"/>
      <c r="E554" s="14"/>
      <c r="F554" s="14"/>
      <c r="G554" s="14"/>
      <c r="H554" s="14"/>
      <c r="I554" s="14"/>
      <c r="J554" s="14"/>
      <c r="K554" s="14"/>
      <c r="L554" s="14"/>
      <c r="M554" s="14"/>
      <c r="N554" s="14"/>
      <c r="O554" s="14"/>
      <c r="P554" s="14"/>
    </row>
    <row r="555" spans="1:16" ht="24.75" customHeight="1">
      <c r="A555" s="21" t="s">
        <v>239</v>
      </c>
      <c r="B555" s="7"/>
      <c r="C555" s="7"/>
      <c r="D555" s="14">
        <v>57</v>
      </c>
      <c r="E555" s="14"/>
      <c r="F555" s="14">
        <v>57</v>
      </c>
      <c r="G555" s="14"/>
      <c r="H555" s="14"/>
      <c r="I555" s="14"/>
      <c r="J555" s="14"/>
      <c r="K555" s="14"/>
      <c r="L555" s="14"/>
      <c r="M555" s="14"/>
      <c r="N555" s="14"/>
      <c r="O555" s="14"/>
      <c r="P555" s="14"/>
    </row>
    <row r="556" spans="1:16" ht="15.75" customHeight="1">
      <c r="A556" s="21" t="s">
        <v>237</v>
      </c>
      <c r="B556" s="7"/>
      <c r="C556" s="7"/>
      <c r="D556" s="14">
        <v>145</v>
      </c>
      <c r="E556" s="14"/>
      <c r="F556" s="14">
        <f>D556</f>
        <v>145</v>
      </c>
      <c r="G556" s="14"/>
      <c r="H556" s="14"/>
      <c r="I556" s="14"/>
      <c r="J556" s="14"/>
      <c r="K556" s="14"/>
      <c r="L556" s="14"/>
      <c r="M556" s="14"/>
      <c r="N556" s="14"/>
      <c r="O556" s="14"/>
      <c r="P556" s="14"/>
    </row>
    <row r="557" spans="1:16" ht="12.75" customHeight="1">
      <c r="A557" s="20" t="s">
        <v>7</v>
      </c>
      <c r="B557" s="7"/>
      <c r="C557" s="7"/>
      <c r="D557" s="14"/>
      <c r="E557" s="14"/>
      <c r="F557" s="14"/>
      <c r="G557" s="14"/>
      <c r="H557" s="14"/>
      <c r="I557" s="14"/>
      <c r="J557" s="14"/>
      <c r="K557" s="14"/>
      <c r="L557" s="14"/>
      <c r="M557" s="14"/>
      <c r="N557" s="14"/>
      <c r="O557" s="14"/>
      <c r="P557" s="14"/>
    </row>
    <row r="558" spans="1:16" ht="24.75" customHeight="1">
      <c r="A558" s="21" t="s">
        <v>238</v>
      </c>
      <c r="B558" s="7"/>
      <c r="C558" s="7"/>
      <c r="D558" s="14">
        <v>1950.89</v>
      </c>
      <c r="E558" s="14"/>
      <c r="F558" s="14">
        <f>D558</f>
        <v>1950.89</v>
      </c>
      <c r="G558" s="14"/>
      <c r="H558" s="14"/>
      <c r="I558" s="14"/>
      <c r="J558" s="14"/>
      <c r="K558" s="14"/>
      <c r="L558" s="14"/>
      <c r="M558" s="14"/>
      <c r="N558" s="14"/>
      <c r="O558" s="14"/>
      <c r="P558" s="14"/>
    </row>
    <row r="559" spans="1:16" ht="24.75" customHeight="1">
      <c r="A559" s="21" t="s">
        <v>240</v>
      </c>
      <c r="B559" s="7"/>
      <c r="C559" s="7"/>
      <c r="D559" s="14">
        <v>270.34</v>
      </c>
      <c r="E559" s="14"/>
      <c r="F559" s="14">
        <f>D559</f>
        <v>270.34</v>
      </c>
      <c r="G559" s="14"/>
      <c r="H559" s="14"/>
      <c r="I559" s="14"/>
      <c r="J559" s="14"/>
      <c r="K559" s="14"/>
      <c r="L559" s="14"/>
      <c r="M559" s="14"/>
      <c r="N559" s="14"/>
      <c r="O559" s="14"/>
      <c r="P559" s="14"/>
    </row>
    <row r="560" spans="1:235" s="90" customFormat="1" ht="41.25" customHeight="1">
      <c r="A560" s="80" t="s">
        <v>395</v>
      </c>
      <c r="B560" s="86"/>
      <c r="C560" s="86"/>
      <c r="D560" s="87">
        <v>127900</v>
      </c>
      <c r="E560" s="87"/>
      <c r="F560" s="87">
        <f>D560</f>
        <v>127900</v>
      </c>
      <c r="G560" s="87">
        <f>G564*G566</f>
        <v>130000</v>
      </c>
      <c r="H560" s="87"/>
      <c r="I560" s="87"/>
      <c r="J560" s="87">
        <f>G560</f>
        <v>130000</v>
      </c>
      <c r="K560" s="87"/>
      <c r="L560" s="87"/>
      <c r="M560" s="87"/>
      <c r="N560" s="87"/>
      <c r="O560" s="87"/>
      <c r="P560" s="87"/>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c r="CR560" s="89"/>
      <c r="CS560" s="89"/>
      <c r="CT560" s="89"/>
      <c r="CU560" s="89"/>
      <c r="CV560" s="89"/>
      <c r="CW560" s="89"/>
      <c r="CX560" s="89"/>
      <c r="CY560" s="89"/>
      <c r="CZ560" s="89"/>
      <c r="DA560" s="89"/>
      <c r="DB560" s="89"/>
      <c r="DC560" s="89"/>
      <c r="DD560" s="89"/>
      <c r="DE560" s="89"/>
      <c r="DF560" s="89"/>
      <c r="DG560" s="89"/>
      <c r="DH560" s="89"/>
      <c r="DI560" s="89"/>
      <c r="DJ560" s="89"/>
      <c r="DK560" s="89"/>
      <c r="DL560" s="89"/>
      <c r="DM560" s="89"/>
      <c r="DN560" s="89"/>
      <c r="DO560" s="89"/>
      <c r="DP560" s="89"/>
      <c r="DQ560" s="89"/>
      <c r="DR560" s="89"/>
      <c r="DS560" s="89"/>
      <c r="DT560" s="89"/>
      <c r="DU560" s="89"/>
      <c r="DV560" s="89"/>
      <c r="DW560" s="89"/>
      <c r="DX560" s="89"/>
      <c r="DY560" s="89"/>
      <c r="DZ560" s="89"/>
      <c r="EA560" s="89"/>
      <c r="EB560" s="89"/>
      <c r="EC560" s="89"/>
      <c r="ED560" s="89"/>
      <c r="EE560" s="89"/>
      <c r="EF560" s="89"/>
      <c r="EG560" s="89"/>
      <c r="EH560" s="89"/>
      <c r="EI560" s="89"/>
      <c r="EJ560" s="89"/>
      <c r="EK560" s="89"/>
      <c r="EL560" s="89"/>
      <c r="EM560" s="89"/>
      <c r="EN560" s="89"/>
      <c r="EO560" s="89"/>
      <c r="EP560" s="89"/>
      <c r="EQ560" s="89"/>
      <c r="ER560" s="89"/>
      <c r="ES560" s="89"/>
      <c r="ET560" s="89"/>
      <c r="EU560" s="89"/>
      <c r="EV560" s="89"/>
      <c r="EW560" s="89"/>
      <c r="EX560" s="89"/>
      <c r="EY560" s="89"/>
      <c r="EZ560" s="89"/>
      <c r="FA560" s="89"/>
      <c r="FB560" s="89"/>
      <c r="FC560" s="89"/>
      <c r="FD560" s="89"/>
      <c r="FE560" s="89"/>
      <c r="FF560" s="89"/>
      <c r="FG560" s="89"/>
      <c r="FH560" s="89"/>
      <c r="FI560" s="89"/>
      <c r="FJ560" s="89"/>
      <c r="FK560" s="89"/>
      <c r="FL560" s="89"/>
      <c r="FM560" s="89"/>
      <c r="FN560" s="89"/>
      <c r="FO560" s="89"/>
      <c r="FP560" s="89"/>
      <c r="FQ560" s="89"/>
      <c r="FR560" s="89"/>
      <c r="FS560" s="89"/>
      <c r="FT560" s="89"/>
      <c r="FU560" s="89"/>
      <c r="FV560" s="89"/>
      <c r="FW560" s="89"/>
      <c r="FX560" s="89"/>
      <c r="FY560" s="89"/>
      <c r="FZ560" s="89"/>
      <c r="GA560" s="89"/>
      <c r="GB560" s="89"/>
      <c r="GC560" s="89"/>
      <c r="GD560" s="89"/>
      <c r="GE560" s="89"/>
      <c r="GF560" s="89"/>
      <c r="GG560" s="89"/>
      <c r="GH560" s="89"/>
      <c r="GI560" s="89"/>
      <c r="GJ560" s="89"/>
      <c r="GK560" s="89"/>
      <c r="GL560" s="89"/>
      <c r="GM560" s="89"/>
      <c r="GN560" s="89"/>
      <c r="GO560" s="89"/>
      <c r="GP560" s="89"/>
      <c r="GQ560" s="89"/>
      <c r="GR560" s="89"/>
      <c r="GS560" s="89"/>
      <c r="GT560" s="89"/>
      <c r="GU560" s="89"/>
      <c r="GV560" s="89"/>
      <c r="GW560" s="89"/>
      <c r="GX560" s="89"/>
      <c r="GY560" s="89"/>
      <c r="GZ560" s="89"/>
      <c r="HA560" s="89"/>
      <c r="HB560" s="89"/>
      <c r="HC560" s="89"/>
      <c r="HD560" s="89"/>
      <c r="HE560" s="89"/>
      <c r="HF560" s="89"/>
      <c r="HG560" s="89"/>
      <c r="HH560" s="89"/>
      <c r="HI560" s="89"/>
      <c r="HJ560" s="89"/>
      <c r="HK560" s="89"/>
      <c r="HL560" s="89"/>
      <c r="HM560" s="89"/>
      <c r="HN560" s="89"/>
      <c r="HO560" s="89"/>
      <c r="HP560" s="89"/>
      <c r="HQ560" s="89"/>
      <c r="HR560" s="89"/>
      <c r="HS560" s="89"/>
      <c r="HT560" s="89"/>
      <c r="HU560" s="89"/>
      <c r="HV560" s="89"/>
      <c r="HW560" s="89"/>
      <c r="HX560" s="89"/>
      <c r="HY560" s="89"/>
      <c r="HZ560" s="89"/>
      <c r="IA560" s="89"/>
    </row>
    <row r="561" spans="1:16" ht="11.25" customHeight="1">
      <c r="A561" s="20" t="s">
        <v>4</v>
      </c>
      <c r="B561" s="7"/>
      <c r="C561" s="7"/>
      <c r="D561" s="14"/>
      <c r="E561" s="14"/>
      <c r="F561" s="14"/>
      <c r="G561" s="14"/>
      <c r="H561" s="14"/>
      <c r="I561" s="14"/>
      <c r="J561" s="14"/>
      <c r="K561" s="14"/>
      <c r="L561" s="14"/>
      <c r="M561" s="14"/>
      <c r="N561" s="14"/>
      <c r="O561" s="14"/>
      <c r="P561" s="14"/>
    </row>
    <row r="562" spans="1:16" ht="14.25" customHeight="1">
      <c r="A562" s="21" t="s">
        <v>63</v>
      </c>
      <c r="B562" s="7"/>
      <c r="C562" s="7"/>
      <c r="D562" s="60">
        <f>D560</f>
        <v>127900</v>
      </c>
      <c r="E562" s="14"/>
      <c r="F562" s="14">
        <f>D562</f>
        <v>127900</v>
      </c>
      <c r="G562" s="14">
        <v>130000</v>
      </c>
      <c r="H562" s="14"/>
      <c r="I562" s="14"/>
      <c r="J562" s="14">
        <f>G562</f>
        <v>130000</v>
      </c>
      <c r="K562" s="14"/>
      <c r="L562" s="14"/>
      <c r="M562" s="14"/>
      <c r="N562" s="14"/>
      <c r="O562" s="14"/>
      <c r="P562" s="14"/>
    </row>
    <row r="563" spans="1:16" ht="10.5" customHeight="1">
      <c r="A563" s="20" t="s">
        <v>5</v>
      </c>
      <c r="B563" s="7"/>
      <c r="C563" s="7"/>
      <c r="D563" s="60"/>
      <c r="E563" s="14"/>
      <c r="F563" s="14"/>
      <c r="G563" s="14"/>
      <c r="H563" s="14"/>
      <c r="I563" s="14"/>
      <c r="J563" s="14"/>
      <c r="K563" s="14"/>
      <c r="L563" s="14"/>
      <c r="M563" s="14"/>
      <c r="N563" s="14"/>
      <c r="O563" s="14"/>
      <c r="P563" s="14"/>
    </row>
    <row r="564" spans="1:16" ht="24.75" customHeight="1">
      <c r="A564" s="21" t="s">
        <v>244</v>
      </c>
      <c r="B564" s="7"/>
      <c r="C564" s="7"/>
      <c r="D564" s="60">
        <v>4</v>
      </c>
      <c r="E564" s="14"/>
      <c r="F564" s="14">
        <f>D564</f>
        <v>4</v>
      </c>
      <c r="G564" s="14">
        <v>4</v>
      </c>
      <c r="H564" s="14"/>
      <c r="I564" s="14"/>
      <c r="J564" s="14">
        <v>4</v>
      </c>
      <c r="K564" s="14"/>
      <c r="L564" s="14"/>
      <c r="M564" s="14"/>
      <c r="N564" s="14"/>
      <c r="O564" s="14"/>
      <c r="P564" s="14"/>
    </row>
    <row r="565" spans="1:16" ht="11.25">
      <c r="A565" s="20" t="s">
        <v>7</v>
      </c>
      <c r="B565" s="7"/>
      <c r="C565" s="7"/>
      <c r="D565" s="60"/>
      <c r="E565" s="14"/>
      <c r="F565" s="14"/>
      <c r="G565" s="14"/>
      <c r="H565" s="14"/>
      <c r="I565" s="14"/>
      <c r="J565" s="14"/>
      <c r="K565" s="14"/>
      <c r="L565" s="14"/>
      <c r="M565" s="14"/>
      <c r="N565" s="14"/>
      <c r="O565" s="14"/>
      <c r="P565" s="14"/>
    </row>
    <row r="566" spans="1:16" ht="24.75" customHeight="1">
      <c r="A566" s="21" t="s">
        <v>243</v>
      </c>
      <c r="B566" s="7"/>
      <c r="C566" s="7"/>
      <c r="D566" s="60">
        <f>D560/D564</f>
        <v>31975</v>
      </c>
      <c r="E566" s="14"/>
      <c r="F566" s="14">
        <f>D566</f>
        <v>31975</v>
      </c>
      <c r="G566" s="14">
        <v>32500</v>
      </c>
      <c r="H566" s="14"/>
      <c r="I566" s="14"/>
      <c r="J566" s="14">
        <f>G566</f>
        <v>32500</v>
      </c>
      <c r="K566" s="14"/>
      <c r="L566" s="14"/>
      <c r="M566" s="14"/>
      <c r="N566" s="14"/>
      <c r="O566" s="14"/>
      <c r="P566" s="14"/>
    </row>
    <row r="567" spans="1:235" s="90" customFormat="1" ht="25.5" customHeight="1">
      <c r="A567" s="80" t="s">
        <v>396</v>
      </c>
      <c r="B567" s="86"/>
      <c r="C567" s="86"/>
      <c r="D567" s="87">
        <v>224200</v>
      </c>
      <c r="E567" s="87"/>
      <c r="F567" s="87">
        <f>D567</f>
        <v>224200</v>
      </c>
      <c r="G567" s="87"/>
      <c r="H567" s="87"/>
      <c r="I567" s="87"/>
      <c r="J567" s="87"/>
      <c r="K567" s="87"/>
      <c r="L567" s="87"/>
      <c r="M567" s="87"/>
      <c r="N567" s="87">
        <f>N569</f>
        <v>500000.00204999995</v>
      </c>
      <c r="O567" s="87"/>
      <c r="P567" s="87">
        <f>N567</f>
        <v>500000.00204999995</v>
      </c>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c r="CR567" s="89"/>
      <c r="CS567" s="89"/>
      <c r="CT567" s="89"/>
      <c r="CU567" s="89"/>
      <c r="CV567" s="89"/>
      <c r="CW567" s="89"/>
      <c r="CX567" s="89"/>
      <c r="CY567" s="89"/>
      <c r="CZ567" s="89"/>
      <c r="DA567" s="89"/>
      <c r="DB567" s="89"/>
      <c r="DC567" s="89"/>
      <c r="DD567" s="89"/>
      <c r="DE567" s="89"/>
      <c r="DF567" s="89"/>
      <c r="DG567" s="89"/>
      <c r="DH567" s="89"/>
      <c r="DI567" s="89"/>
      <c r="DJ567" s="89"/>
      <c r="DK567" s="89"/>
      <c r="DL567" s="89"/>
      <c r="DM567" s="89"/>
      <c r="DN567" s="89"/>
      <c r="DO567" s="89"/>
      <c r="DP567" s="89"/>
      <c r="DQ567" s="89"/>
      <c r="DR567" s="89"/>
      <c r="DS567" s="89"/>
      <c r="DT567" s="89"/>
      <c r="DU567" s="89"/>
      <c r="DV567" s="89"/>
      <c r="DW567" s="89"/>
      <c r="DX567" s="89"/>
      <c r="DY567" s="89"/>
      <c r="DZ567" s="89"/>
      <c r="EA567" s="89"/>
      <c r="EB567" s="89"/>
      <c r="EC567" s="89"/>
      <c r="ED567" s="89"/>
      <c r="EE567" s="89"/>
      <c r="EF567" s="89"/>
      <c r="EG567" s="89"/>
      <c r="EH567" s="89"/>
      <c r="EI567" s="89"/>
      <c r="EJ567" s="89"/>
      <c r="EK567" s="89"/>
      <c r="EL567" s="89"/>
      <c r="EM567" s="89"/>
      <c r="EN567" s="89"/>
      <c r="EO567" s="89"/>
      <c r="EP567" s="89"/>
      <c r="EQ567" s="89"/>
      <c r="ER567" s="89"/>
      <c r="ES567" s="89"/>
      <c r="ET567" s="89"/>
      <c r="EU567" s="89"/>
      <c r="EV567" s="89"/>
      <c r="EW567" s="89"/>
      <c r="EX567" s="89"/>
      <c r="EY567" s="89"/>
      <c r="EZ567" s="89"/>
      <c r="FA567" s="89"/>
      <c r="FB567" s="89"/>
      <c r="FC567" s="89"/>
      <c r="FD567" s="89"/>
      <c r="FE567" s="89"/>
      <c r="FF567" s="89"/>
      <c r="FG567" s="89"/>
      <c r="FH567" s="89"/>
      <c r="FI567" s="89"/>
      <c r="FJ567" s="89"/>
      <c r="FK567" s="89"/>
      <c r="FL567" s="89"/>
      <c r="FM567" s="89"/>
      <c r="FN567" s="89"/>
      <c r="FO567" s="89"/>
      <c r="FP567" s="89"/>
      <c r="FQ567" s="89"/>
      <c r="FR567" s="89"/>
      <c r="FS567" s="89"/>
      <c r="FT567" s="89"/>
      <c r="FU567" s="89"/>
      <c r="FV567" s="89"/>
      <c r="FW567" s="89"/>
      <c r="FX567" s="89"/>
      <c r="FY567" s="89"/>
      <c r="FZ567" s="89"/>
      <c r="GA567" s="89"/>
      <c r="GB567" s="89"/>
      <c r="GC567" s="89"/>
      <c r="GD567" s="89"/>
      <c r="GE567" s="89"/>
      <c r="GF567" s="89"/>
      <c r="GG567" s="89"/>
      <c r="GH567" s="89"/>
      <c r="GI567" s="89"/>
      <c r="GJ567" s="89"/>
      <c r="GK567" s="89"/>
      <c r="GL567" s="89"/>
      <c r="GM567" s="89"/>
      <c r="GN567" s="89"/>
      <c r="GO567" s="89"/>
      <c r="GP567" s="89"/>
      <c r="GQ567" s="89"/>
      <c r="GR567" s="89"/>
      <c r="GS567" s="89"/>
      <c r="GT567" s="89"/>
      <c r="GU567" s="89"/>
      <c r="GV567" s="89"/>
      <c r="GW567" s="89"/>
      <c r="GX567" s="89"/>
      <c r="GY567" s="89"/>
      <c r="GZ567" s="89"/>
      <c r="HA567" s="89"/>
      <c r="HB567" s="89"/>
      <c r="HC567" s="89"/>
      <c r="HD567" s="89"/>
      <c r="HE567" s="89"/>
      <c r="HF567" s="89"/>
      <c r="HG567" s="89"/>
      <c r="HH567" s="89"/>
      <c r="HI567" s="89"/>
      <c r="HJ567" s="89"/>
      <c r="HK567" s="89"/>
      <c r="HL567" s="89"/>
      <c r="HM567" s="89"/>
      <c r="HN567" s="89"/>
      <c r="HO567" s="89"/>
      <c r="HP567" s="89"/>
      <c r="HQ567" s="89"/>
      <c r="HR567" s="89"/>
      <c r="HS567" s="89"/>
      <c r="HT567" s="89"/>
      <c r="HU567" s="89"/>
      <c r="HV567" s="89"/>
      <c r="HW567" s="89"/>
      <c r="HX567" s="89"/>
      <c r="HY567" s="89"/>
      <c r="HZ567" s="89"/>
      <c r="IA567" s="89"/>
    </row>
    <row r="568" spans="1:16" ht="11.25" customHeight="1">
      <c r="A568" s="20" t="s">
        <v>4</v>
      </c>
      <c r="B568" s="7"/>
      <c r="C568" s="7"/>
      <c r="D568" s="14"/>
      <c r="E568" s="14"/>
      <c r="F568" s="14"/>
      <c r="G568" s="14"/>
      <c r="H568" s="14"/>
      <c r="I568" s="14"/>
      <c r="J568" s="14"/>
      <c r="K568" s="14"/>
      <c r="L568" s="14"/>
      <c r="M568" s="14"/>
      <c r="N568" s="14"/>
      <c r="O568" s="14"/>
      <c r="P568" s="177"/>
    </row>
    <row r="569" spans="1:16" ht="14.25" customHeight="1">
      <c r="A569" s="21" t="s">
        <v>63</v>
      </c>
      <c r="B569" s="7"/>
      <c r="C569" s="7"/>
      <c r="D569" s="60">
        <f>D567</f>
        <v>224200</v>
      </c>
      <c r="E569" s="14"/>
      <c r="F569" s="14">
        <v>224200</v>
      </c>
      <c r="G569" s="14"/>
      <c r="H569" s="14"/>
      <c r="I569" s="14"/>
      <c r="J569" s="14"/>
      <c r="K569" s="14"/>
      <c r="L569" s="14"/>
      <c r="M569" s="14"/>
      <c r="N569" s="14">
        <f>N571*N573</f>
        <v>500000.00204999995</v>
      </c>
      <c r="O569" s="14"/>
      <c r="P569" s="177">
        <f>N569</f>
        <v>500000.00204999995</v>
      </c>
    </row>
    <row r="570" spans="1:16" ht="10.5" customHeight="1">
      <c r="A570" s="20" t="s">
        <v>5</v>
      </c>
      <c r="B570" s="7"/>
      <c r="C570" s="7"/>
      <c r="D570" s="60"/>
      <c r="E570" s="14"/>
      <c r="F570" s="14"/>
      <c r="G570" s="14"/>
      <c r="H570" s="14"/>
      <c r="I570" s="14"/>
      <c r="J570" s="14"/>
      <c r="K570" s="14"/>
      <c r="L570" s="14"/>
      <c r="M570" s="14"/>
      <c r="N570" s="14"/>
      <c r="O570" s="14"/>
      <c r="P570" s="177"/>
    </row>
    <row r="571" spans="1:16" ht="24.75" customHeight="1">
      <c r="A571" s="21" t="s">
        <v>257</v>
      </c>
      <c r="B571" s="7"/>
      <c r="C571" s="7"/>
      <c r="D571" s="60">
        <v>398</v>
      </c>
      <c r="E571" s="14"/>
      <c r="F571" s="14">
        <f>D571</f>
        <v>398</v>
      </c>
      <c r="G571" s="14"/>
      <c r="H571" s="14"/>
      <c r="I571" s="14"/>
      <c r="J571" s="14"/>
      <c r="K571" s="14"/>
      <c r="L571" s="14"/>
      <c r="M571" s="14"/>
      <c r="N571" s="14">
        <v>213</v>
      </c>
      <c r="O571" s="14"/>
      <c r="P571" s="177">
        <f>N571</f>
        <v>213</v>
      </c>
    </row>
    <row r="572" spans="1:16" ht="11.25">
      <c r="A572" s="20" t="s">
        <v>7</v>
      </c>
      <c r="B572" s="7"/>
      <c r="C572" s="7"/>
      <c r="D572" s="60"/>
      <c r="E572" s="14"/>
      <c r="F572" s="14"/>
      <c r="G572" s="14"/>
      <c r="H572" s="14"/>
      <c r="I572" s="14"/>
      <c r="J572" s="14"/>
      <c r="K572" s="14"/>
      <c r="L572" s="14"/>
      <c r="M572" s="14"/>
      <c r="N572" s="14"/>
      <c r="O572" s="14"/>
      <c r="P572" s="177"/>
    </row>
    <row r="573" spans="1:16" ht="24.75" customHeight="1">
      <c r="A573" s="21" t="s">
        <v>258</v>
      </c>
      <c r="B573" s="7"/>
      <c r="C573" s="7"/>
      <c r="D573" s="60">
        <f>D567/D571</f>
        <v>563.3165829145729</v>
      </c>
      <c r="E573" s="14"/>
      <c r="F573" s="14">
        <f>D573</f>
        <v>563.3165829145729</v>
      </c>
      <c r="G573" s="14"/>
      <c r="H573" s="14"/>
      <c r="I573" s="14"/>
      <c r="J573" s="14"/>
      <c r="K573" s="14"/>
      <c r="L573" s="14"/>
      <c r="M573" s="14"/>
      <c r="N573" s="14">
        <v>2347.41785</v>
      </c>
      <c r="O573" s="14"/>
      <c r="P573" s="177">
        <f>N573</f>
        <v>2347.41785</v>
      </c>
    </row>
    <row r="574" spans="1:235" s="90" customFormat="1" ht="45.75" customHeight="1">
      <c r="A574" s="80" t="s">
        <v>397</v>
      </c>
      <c r="B574" s="86"/>
      <c r="C574" s="86"/>
      <c r="D574" s="87"/>
      <c r="E574" s="87"/>
      <c r="F574" s="87"/>
      <c r="G574" s="87">
        <f>G578*G580</f>
        <v>70100</v>
      </c>
      <c r="H574" s="87"/>
      <c r="I574" s="87"/>
      <c r="J574" s="87">
        <f>G574</f>
        <v>70100</v>
      </c>
      <c r="K574" s="87"/>
      <c r="L574" s="87"/>
      <c r="M574" s="87"/>
      <c r="N574" s="87"/>
      <c r="O574" s="87"/>
      <c r="P574" s="87"/>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c r="CR574" s="89"/>
      <c r="CS574" s="89"/>
      <c r="CT574" s="89"/>
      <c r="CU574" s="89"/>
      <c r="CV574" s="89"/>
      <c r="CW574" s="89"/>
      <c r="CX574" s="89"/>
      <c r="CY574" s="89"/>
      <c r="CZ574" s="89"/>
      <c r="DA574" s="89"/>
      <c r="DB574" s="89"/>
      <c r="DC574" s="89"/>
      <c r="DD574" s="89"/>
      <c r="DE574" s="89"/>
      <c r="DF574" s="89"/>
      <c r="DG574" s="89"/>
      <c r="DH574" s="89"/>
      <c r="DI574" s="89"/>
      <c r="DJ574" s="89"/>
      <c r="DK574" s="89"/>
      <c r="DL574" s="89"/>
      <c r="DM574" s="89"/>
      <c r="DN574" s="89"/>
      <c r="DO574" s="89"/>
      <c r="DP574" s="89"/>
      <c r="DQ574" s="89"/>
      <c r="DR574" s="89"/>
      <c r="DS574" s="89"/>
      <c r="DT574" s="89"/>
      <c r="DU574" s="89"/>
      <c r="DV574" s="89"/>
      <c r="DW574" s="89"/>
      <c r="DX574" s="89"/>
      <c r="DY574" s="89"/>
      <c r="DZ574" s="89"/>
      <c r="EA574" s="89"/>
      <c r="EB574" s="89"/>
      <c r="EC574" s="89"/>
      <c r="ED574" s="89"/>
      <c r="EE574" s="89"/>
      <c r="EF574" s="89"/>
      <c r="EG574" s="89"/>
      <c r="EH574" s="89"/>
      <c r="EI574" s="89"/>
      <c r="EJ574" s="89"/>
      <c r="EK574" s="89"/>
      <c r="EL574" s="89"/>
      <c r="EM574" s="89"/>
      <c r="EN574" s="89"/>
      <c r="EO574" s="89"/>
      <c r="EP574" s="89"/>
      <c r="EQ574" s="89"/>
      <c r="ER574" s="89"/>
      <c r="ES574" s="89"/>
      <c r="ET574" s="89"/>
      <c r="EU574" s="89"/>
      <c r="EV574" s="89"/>
      <c r="EW574" s="89"/>
      <c r="EX574" s="89"/>
      <c r="EY574" s="89"/>
      <c r="EZ574" s="89"/>
      <c r="FA574" s="89"/>
      <c r="FB574" s="89"/>
      <c r="FC574" s="89"/>
      <c r="FD574" s="89"/>
      <c r="FE574" s="89"/>
      <c r="FF574" s="89"/>
      <c r="FG574" s="89"/>
      <c r="FH574" s="89"/>
      <c r="FI574" s="89"/>
      <c r="FJ574" s="89"/>
      <c r="FK574" s="89"/>
      <c r="FL574" s="89"/>
      <c r="FM574" s="89"/>
      <c r="FN574" s="89"/>
      <c r="FO574" s="89"/>
      <c r="FP574" s="89"/>
      <c r="FQ574" s="89"/>
      <c r="FR574" s="89"/>
      <c r="FS574" s="89"/>
      <c r="FT574" s="89"/>
      <c r="FU574" s="89"/>
      <c r="FV574" s="89"/>
      <c r="FW574" s="89"/>
      <c r="FX574" s="89"/>
      <c r="FY574" s="89"/>
      <c r="FZ574" s="89"/>
      <c r="GA574" s="89"/>
      <c r="GB574" s="89"/>
      <c r="GC574" s="89"/>
      <c r="GD574" s="89"/>
      <c r="GE574" s="89"/>
      <c r="GF574" s="89"/>
      <c r="GG574" s="89"/>
      <c r="GH574" s="89"/>
      <c r="GI574" s="89"/>
      <c r="GJ574" s="89"/>
      <c r="GK574" s="89"/>
      <c r="GL574" s="89"/>
      <c r="GM574" s="89"/>
      <c r="GN574" s="89"/>
      <c r="GO574" s="89"/>
      <c r="GP574" s="89"/>
      <c r="GQ574" s="89"/>
      <c r="GR574" s="89"/>
      <c r="GS574" s="89"/>
      <c r="GT574" s="89"/>
      <c r="GU574" s="89"/>
      <c r="GV574" s="89"/>
      <c r="GW574" s="89"/>
      <c r="GX574" s="89"/>
      <c r="GY574" s="89"/>
      <c r="GZ574" s="89"/>
      <c r="HA574" s="89"/>
      <c r="HB574" s="89"/>
      <c r="HC574" s="89"/>
      <c r="HD574" s="89"/>
      <c r="HE574" s="89"/>
      <c r="HF574" s="89"/>
      <c r="HG574" s="89"/>
      <c r="HH574" s="89"/>
      <c r="HI574" s="89"/>
      <c r="HJ574" s="89"/>
      <c r="HK574" s="89"/>
      <c r="HL574" s="89"/>
      <c r="HM574" s="89"/>
      <c r="HN574" s="89"/>
      <c r="HO574" s="89"/>
      <c r="HP574" s="89"/>
      <c r="HQ574" s="89"/>
      <c r="HR574" s="89"/>
      <c r="HS574" s="89"/>
      <c r="HT574" s="89"/>
      <c r="HU574" s="89"/>
      <c r="HV574" s="89"/>
      <c r="HW574" s="89"/>
      <c r="HX574" s="89"/>
      <c r="HY574" s="89"/>
      <c r="HZ574" s="89"/>
      <c r="IA574" s="89"/>
    </row>
    <row r="575" spans="1:16" ht="12.75" customHeight="1">
      <c r="A575" s="20" t="s">
        <v>4</v>
      </c>
      <c r="B575" s="7"/>
      <c r="C575" s="7"/>
      <c r="D575" s="60"/>
      <c r="E575" s="14"/>
      <c r="F575" s="14"/>
      <c r="G575" s="14"/>
      <c r="H575" s="14"/>
      <c r="I575" s="14"/>
      <c r="J575" s="14"/>
      <c r="K575" s="14"/>
      <c r="L575" s="14"/>
      <c r="M575" s="14"/>
      <c r="N575" s="14"/>
      <c r="O575" s="14"/>
      <c r="P575" s="14"/>
    </row>
    <row r="576" spans="1:16" ht="11.25">
      <c r="A576" s="21" t="s">
        <v>63</v>
      </c>
      <c r="B576" s="7"/>
      <c r="C576" s="7"/>
      <c r="D576" s="60"/>
      <c r="E576" s="14"/>
      <c r="F576" s="14"/>
      <c r="G576" s="14">
        <v>70100</v>
      </c>
      <c r="H576" s="14"/>
      <c r="I576" s="14"/>
      <c r="J576" s="14">
        <f>G576</f>
        <v>70100</v>
      </c>
      <c r="K576" s="14"/>
      <c r="L576" s="14"/>
      <c r="M576" s="14"/>
      <c r="N576" s="14"/>
      <c r="O576" s="14"/>
      <c r="P576" s="14"/>
    </row>
    <row r="577" spans="1:16" ht="11.25">
      <c r="A577" s="20" t="s">
        <v>5</v>
      </c>
      <c r="B577" s="7"/>
      <c r="C577" s="7"/>
      <c r="D577" s="60"/>
      <c r="E577" s="14"/>
      <c r="F577" s="14"/>
      <c r="G577" s="14"/>
      <c r="H577" s="14"/>
      <c r="I577" s="14"/>
      <c r="J577" s="14"/>
      <c r="K577" s="14"/>
      <c r="L577" s="14"/>
      <c r="M577" s="14"/>
      <c r="N577" s="14"/>
      <c r="O577" s="14"/>
      <c r="P577" s="14"/>
    </row>
    <row r="578" spans="1:16" ht="15" customHeight="1">
      <c r="A578" s="21" t="s">
        <v>294</v>
      </c>
      <c r="B578" s="7"/>
      <c r="C578" s="7"/>
      <c r="D578" s="60"/>
      <c r="E578" s="14"/>
      <c r="F578" s="14"/>
      <c r="G578" s="14">
        <v>1</v>
      </c>
      <c r="H578" s="14"/>
      <c r="I578" s="14"/>
      <c r="J578" s="14">
        <v>1</v>
      </c>
      <c r="K578" s="14"/>
      <c r="L578" s="14"/>
      <c r="M578" s="14"/>
      <c r="N578" s="14"/>
      <c r="O578" s="14"/>
      <c r="P578" s="14"/>
    </row>
    <row r="579" spans="1:16" ht="11.25">
      <c r="A579" s="20" t="s">
        <v>7</v>
      </c>
      <c r="B579" s="7"/>
      <c r="C579" s="7"/>
      <c r="D579" s="60"/>
      <c r="E579" s="14"/>
      <c r="F579" s="14"/>
      <c r="G579" s="14"/>
      <c r="H579" s="14"/>
      <c r="I579" s="14"/>
      <c r="J579" s="14"/>
      <c r="K579" s="14"/>
      <c r="L579" s="14"/>
      <c r="M579" s="14"/>
      <c r="N579" s="14"/>
      <c r="O579" s="14"/>
      <c r="P579" s="14"/>
    </row>
    <row r="580" spans="1:16" ht="22.5">
      <c r="A580" s="21" t="s">
        <v>295</v>
      </c>
      <c r="B580" s="7"/>
      <c r="C580" s="7"/>
      <c r="D580" s="60"/>
      <c r="E580" s="14"/>
      <c r="F580" s="14"/>
      <c r="G580" s="14">
        <v>70100</v>
      </c>
      <c r="H580" s="14"/>
      <c r="I580" s="14"/>
      <c r="J580" s="14">
        <f>G580</f>
        <v>70100</v>
      </c>
      <c r="K580" s="14"/>
      <c r="L580" s="14"/>
      <c r="M580" s="14"/>
      <c r="N580" s="14"/>
      <c r="O580" s="14"/>
      <c r="P580" s="14"/>
    </row>
    <row r="581" spans="1:235" s="90" customFormat="1" ht="24.75" customHeight="1">
      <c r="A581" s="80" t="s">
        <v>398</v>
      </c>
      <c r="B581" s="86"/>
      <c r="C581" s="86"/>
      <c r="D581" s="87"/>
      <c r="E581" s="87"/>
      <c r="F581" s="87"/>
      <c r="G581" s="87">
        <f>G585*G587</f>
        <v>50100</v>
      </c>
      <c r="H581" s="87"/>
      <c r="I581" s="87"/>
      <c r="J581" s="87">
        <f>G581</f>
        <v>50100</v>
      </c>
      <c r="K581" s="87"/>
      <c r="L581" s="87"/>
      <c r="M581" s="87"/>
      <c r="N581" s="87"/>
      <c r="O581" s="87"/>
      <c r="P581" s="87"/>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c r="CR581" s="89"/>
      <c r="CS581" s="89"/>
      <c r="CT581" s="89"/>
      <c r="CU581" s="89"/>
      <c r="CV581" s="89"/>
      <c r="CW581" s="89"/>
      <c r="CX581" s="89"/>
      <c r="CY581" s="89"/>
      <c r="CZ581" s="89"/>
      <c r="DA581" s="89"/>
      <c r="DB581" s="89"/>
      <c r="DC581" s="89"/>
      <c r="DD581" s="89"/>
      <c r="DE581" s="89"/>
      <c r="DF581" s="89"/>
      <c r="DG581" s="89"/>
      <c r="DH581" s="89"/>
      <c r="DI581" s="89"/>
      <c r="DJ581" s="89"/>
      <c r="DK581" s="89"/>
      <c r="DL581" s="89"/>
      <c r="DM581" s="89"/>
      <c r="DN581" s="89"/>
      <c r="DO581" s="89"/>
      <c r="DP581" s="89"/>
      <c r="DQ581" s="89"/>
      <c r="DR581" s="89"/>
      <c r="DS581" s="89"/>
      <c r="DT581" s="89"/>
      <c r="DU581" s="89"/>
      <c r="DV581" s="89"/>
      <c r="DW581" s="89"/>
      <c r="DX581" s="89"/>
      <c r="DY581" s="89"/>
      <c r="DZ581" s="89"/>
      <c r="EA581" s="89"/>
      <c r="EB581" s="89"/>
      <c r="EC581" s="89"/>
      <c r="ED581" s="89"/>
      <c r="EE581" s="89"/>
      <c r="EF581" s="89"/>
      <c r="EG581" s="89"/>
      <c r="EH581" s="89"/>
      <c r="EI581" s="89"/>
      <c r="EJ581" s="89"/>
      <c r="EK581" s="89"/>
      <c r="EL581" s="89"/>
      <c r="EM581" s="89"/>
      <c r="EN581" s="89"/>
      <c r="EO581" s="89"/>
      <c r="EP581" s="89"/>
      <c r="EQ581" s="89"/>
      <c r="ER581" s="89"/>
      <c r="ES581" s="89"/>
      <c r="ET581" s="89"/>
      <c r="EU581" s="89"/>
      <c r="EV581" s="89"/>
      <c r="EW581" s="89"/>
      <c r="EX581" s="89"/>
      <c r="EY581" s="89"/>
      <c r="EZ581" s="89"/>
      <c r="FA581" s="89"/>
      <c r="FB581" s="89"/>
      <c r="FC581" s="89"/>
      <c r="FD581" s="89"/>
      <c r="FE581" s="89"/>
      <c r="FF581" s="89"/>
      <c r="FG581" s="89"/>
      <c r="FH581" s="89"/>
      <c r="FI581" s="89"/>
      <c r="FJ581" s="89"/>
      <c r="FK581" s="89"/>
      <c r="FL581" s="89"/>
      <c r="FM581" s="89"/>
      <c r="FN581" s="89"/>
      <c r="FO581" s="89"/>
      <c r="FP581" s="89"/>
      <c r="FQ581" s="89"/>
      <c r="FR581" s="89"/>
      <c r="FS581" s="89"/>
      <c r="FT581" s="89"/>
      <c r="FU581" s="89"/>
      <c r="FV581" s="89"/>
      <c r="FW581" s="89"/>
      <c r="FX581" s="89"/>
      <c r="FY581" s="89"/>
      <c r="FZ581" s="89"/>
      <c r="GA581" s="89"/>
      <c r="GB581" s="89"/>
      <c r="GC581" s="89"/>
      <c r="GD581" s="89"/>
      <c r="GE581" s="89"/>
      <c r="GF581" s="89"/>
      <c r="GG581" s="89"/>
      <c r="GH581" s="89"/>
      <c r="GI581" s="89"/>
      <c r="GJ581" s="89"/>
      <c r="GK581" s="89"/>
      <c r="GL581" s="89"/>
      <c r="GM581" s="89"/>
      <c r="GN581" s="89"/>
      <c r="GO581" s="89"/>
      <c r="GP581" s="89"/>
      <c r="GQ581" s="89"/>
      <c r="GR581" s="89"/>
      <c r="GS581" s="89"/>
      <c r="GT581" s="89"/>
      <c r="GU581" s="89"/>
      <c r="GV581" s="89"/>
      <c r="GW581" s="89"/>
      <c r="GX581" s="89"/>
      <c r="GY581" s="89"/>
      <c r="GZ581" s="89"/>
      <c r="HA581" s="89"/>
      <c r="HB581" s="89"/>
      <c r="HC581" s="89"/>
      <c r="HD581" s="89"/>
      <c r="HE581" s="89"/>
      <c r="HF581" s="89"/>
      <c r="HG581" s="89"/>
      <c r="HH581" s="89"/>
      <c r="HI581" s="89"/>
      <c r="HJ581" s="89"/>
      <c r="HK581" s="89"/>
      <c r="HL581" s="89"/>
      <c r="HM581" s="89"/>
      <c r="HN581" s="89"/>
      <c r="HO581" s="89"/>
      <c r="HP581" s="89"/>
      <c r="HQ581" s="89"/>
      <c r="HR581" s="89"/>
      <c r="HS581" s="89"/>
      <c r="HT581" s="89"/>
      <c r="HU581" s="89"/>
      <c r="HV581" s="89"/>
      <c r="HW581" s="89"/>
      <c r="HX581" s="89"/>
      <c r="HY581" s="89"/>
      <c r="HZ581" s="89"/>
      <c r="IA581" s="89"/>
    </row>
    <row r="582" spans="1:16" ht="11.25">
      <c r="A582" s="20" t="s">
        <v>4</v>
      </c>
      <c r="B582" s="7"/>
      <c r="C582" s="7"/>
      <c r="D582" s="60"/>
      <c r="E582" s="14"/>
      <c r="F582" s="14"/>
      <c r="G582" s="14"/>
      <c r="H582" s="14"/>
      <c r="I582" s="14"/>
      <c r="J582" s="14"/>
      <c r="K582" s="14"/>
      <c r="L582" s="14"/>
      <c r="M582" s="14"/>
      <c r="N582" s="14"/>
      <c r="O582" s="14"/>
      <c r="P582" s="14"/>
    </row>
    <row r="583" spans="1:16" ht="11.25">
      <c r="A583" s="21" t="s">
        <v>63</v>
      </c>
      <c r="B583" s="7"/>
      <c r="C583" s="7"/>
      <c r="D583" s="60"/>
      <c r="E583" s="14"/>
      <c r="F583" s="14"/>
      <c r="G583" s="14">
        <v>50100</v>
      </c>
      <c r="H583" s="14"/>
      <c r="I583" s="14"/>
      <c r="J583" s="14">
        <f>G583</f>
        <v>50100</v>
      </c>
      <c r="K583" s="14"/>
      <c r="L583" s="14"/>
      <c r="M583" s="14"/>
      <c r="N583" s="14"/>
      <c r="O583" s="14"/>
      <c r="P583" s="14"/>
    </row>
    <row r="584" spans="1:16" ht="11.25">
      <c r="A584" s="20" t="s">
        <v>5</v>
      </c>
      <c r="B584" s="7"/>
      <c r="C584" s="7"/>
      <c r="D584" s="60"/>
      <c r="E584" s="14"/>
      <c r="F584" s="14"/>
      <c r="G584" s="14"/>
      <c r="H584" s="14"/>
      <c r="I584" s="14"/>
      <c r="J584" s="14"/>
      <c r="K584" s="14"/>
      <c r="L584" s="14"/>
      <c r="M584" s="14"/>
      <c r="N584" s="14"/>
      <c r="O584" s="14"/>
      <c r="P584" s="14"/>
    </row>
    <row r="585" spans="1:16" ht="14.25" customHeight="1">
      <c r="A585" s="21" t="s">
        <v>381</v>
      </c>
      <c r="B585" s="7"/>
      <c r="C585" s="7"/>
      <c r="D585" s="60"/>
      <c r="E585" s="14"/>
      <c r="F585" s="14"/>
      <c r="G585" s="14">
        <v>1</v>
      </c>
      <c r="H585" s="14"/>
      <c r="I585" s="14"/>
      <c r="J585" s="14">
        <v>1</v>
      </c>
      <c r="K585" s="14"/>
      <c r="L585" s="14"/>
      <c r="M585" s="14"/>
      <c r="N585" s="14"/>
      <c r="O585" s="14"/>
      <c r="P585" s="14"/>
    </row>
    <row r="586" spans="1:16" ht="12" customHeight="1">
      <c r="A586" s="20" t="s">
        <v>7</v>
      </c>
      <c r="B586" s="7"/>
      <c r="C586" s="7"/>
      <c r="D586" s="60"/>
      <c r="E586" s="14"/>
      <c r="F586" s="14"/>
      <c r="G586" s="14"/>
      <c r="H586" s="14"/>
      <c r="I586" s="14"/>
      <c r="J586" s="14"/>
      <c r="K586" s="14"/>
      <c r="L586" s="14"/>
      <c r="M586" s="14"/>
      <c r="N586" s="14"/>
      <c r="O586" s="14"/>
      <c r="P586" s="14"/>
    </row>
    <row r="587" spans="1:16" ht="24.75" customHeight="1">
      <c r="A587" s="21" t="s">
        <v>295</v>
      </c>
      <c r="B587" s="7"/>
      <c r="C587" s="7"/>
      <c r="D587" s="60"/>
      <c r="E587" s="14"/>
      <c r="F587" s="14"/>
      <c r="G587" s="14">
        <v>50100</v>
      </c>
      <c r="H587" s="14"/>
      <c r="I587" s="14"/>
      <c r="J587" s="14">
        <f>G587</f>
        <v>50100</v>
      </c>
      <c r="K587" s="14"/>
      <c r="L587" s="14"/>
      <c r="M587" s="14"/>
      <c r="N587" s="14"/>
      <c r="O587" s="14"/>
      <c r="P587" s="14"/>
    </row>
    <row r="588" spans="1:235" s="90" customFormat="1" ht="24.75" customHeight="1">
      <c r="A588" s="80" t="s">
        <v>460</v>
      </c>
      <c r="B588" s="86"/>
      <c r="C588" s="86"/>
      <c r="D588" s="87"/>
      <c r="E588" s="87"/>
      <c r="F588" s="87"/>
      <c r="G588" s="87"/>
      <c r="H588" s="87">
        <f>H592*H594</f>
        <v>4700000</v>
      </c>
      <c r="I588" s="87"/>
      <c r="J588" s="87">
        <f>G588+H588</f>
        <v>4700000</v>
      </c>
      <c r="K588" s="87"/>
      <c r="L588" s="87"/>
      <c r="M588" s="87"/>
      <c r="N588" s="87">
        <f>N592*N594</f>
        <v>300000</v>
      </c>
      <c r="O588" s="87">
        <f>O592*O594</f>
        <v>0</v>
      </c>
      <c r="P588" s="87">
        <f>O588+N588</f>
        <v>300000</v>
      </c>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c r="CR588" s="89"/>
      <c r="CS588" s="89"/>
      <c r="CT588" s="89"/>
      <c r="CU588" s="89"/>
      <c r="CV588" s="89"/>
      <c r="CW588" s="89"/>
      <c r="CX588" s="89"/>
      <c r="CY588" s="89"/>
      <c r="CZ588" s="89"/>
      <c r="DA588" s="89"/>
      <c r="DB588" s="89"/>
      <c r="DC588" s="89"/>
      <c r="DD588" s="89"/>
      <c r="DE588" s="89"/>
      <c r="DF588" s="89"/>
      <c r="DG588" s="89"/>
      <c r="DH588" s="89"/>
      <c r="DI588" s="89"/>
      <c r="DJ588" s="89"/>
      <c r="DK588" s="89"/>
      <c r="DL588" s="89"/>
      <c r="DM588" s="89"/>
      <c r="DN588" s="89"/>
      <c r="DO588" s="89"/>
      <c r="DP588" s="89"/>
      <c r="DQ588" s="89"/>
      <c r="DR588" s="89"/>
      <c r="DS588" s="89"/>
      <c r="DT588" s="89"/>
      <c r="DU588" s="89"/>
      <c r="DV588" s="89"/>
      <c r="DW588" s="89"/>
      <c r="DX588" s="89"/>
      <c r="DY588" s="89"/>
      <c r="DZ588" s="89"/>
      <c r="EA588" s="89"/>
      <c r="EB588" s="89"/>
      <c r="EC588" s="89"/>
      <c r="ED588" s="89"/>
      <c r="EE588" s="89"/>
      <c r="EF588" s="89"/>
      <c r="EG588" s="89"/>
      <c r="EH588" s="89"/>
      <c r="EI588" s="89"/>
      <c r="EJ588" s="89"/>
      <c r="EK588" s="89"/>
      <c r="EL588" s="89"/>
      <c r="EM588" s="89"/>
      <c r="EN588" s="89"/>
      <c r="EO588" s="89"/>
      <c r="EP588" s="89"/>
      <c r="EQ588" s="89"/>
      <c r="ER588" s="89"/>
      <c r="ES588" s="89"/>
      <c r="ET588" s="89"/>
      <c r="EU588" s="89"/>
      <c r="EV588" s="89"/>
      <c r="EW588" s="89"/>
      <c r="EX588" s="89"/>
      <c r="EY588" s="89"/>
      <c r="EZ588" s="89"/>
      <c r="FA588" s="89"/>
      <c r="FB588" s="89"/>
      <c r="FC588" s="89"/>
      <c r="FD588" s="89"/>
      <c r="FE588" s="89"/>
      <c r="FF588" s="89"/>
      <c r="FG588" s="89"/>
      <c r="FH588" s="89"/>
      <c r="FI588" s="89"/>
      <c r="FJ588" s="89"/>
      <c r="FK588" s="89"/>
      <c r="FL588" s="89"/>
      <c r="FM588" s="89"/>
      <c r="FN588" s="89"/>
      <c r="FO588" s="89"/>
      <c r="FP588" s="89"/>
      <c r="FQ588" s="89"/>
      <c r="FR588" s="89"/>
      <c r="FS588" s="89"/>
      <c r="FT588" s="89"/>
      <c r="FU588" s="89"/>
      <c r="FV588" s="89"/>
      <c r="FW588" s="89"/>
      <c r="FX588" s="89"/>
      <c r="FY588" s="89"/>
      <c r="FZ588" s="89"/>
      <c r="GA588" s="89"/>
      <c r="GB588" s="89"/>
      <c r="GC588" s="89"/>
      <c r="GD588" s="89"/>
      <c r="GE588" s="89"/>
      <c r="GF588" s="89"/>
      <c r="GG588" s="89"/>
      <c r="GH588" s="89"/>
      <c r="GI588" s="89"/>
      <c r="GJ588" s="89"/>
      <c r="GK588" s="89"/>
      <c r="GL588" s="89"/>
      <c r="GM588" s="89"/>
      <c r="GN588" s="89"/>
      <c r="GO588" s="89"/>
      <c r="GP588" s="89"/>
      <c r="GQ588" s="89"/>
      <c r="GR588" s="89"/>
      <c r="GS588" s="89"/>
      <c r="GT588" s="89"/>
      <c r="GU588" s="89"/>
      <c r="GV588" s="89"/>
      <c r="GW588" s="89"/>
      <c r="GX588" s="89"/>
      <c r="GY588" s="89"/>
      <c r="GZ588" s="89"/>
      <c r="HA588" s="89"/>
      <c r="HB588" s="89"/>
      <c r="HC588" s="89"/>
      <c r="HD588" s="89"/>
      <c r="HE588" s="89"/>
      <c r="HF588" s="89"/>
      <c r="HG588" s="89"/>
      <c r="HH588" s="89"/>
      <c r="HI588" s="89"/>
      <c r="HJ588" s="89"/>
      <c r="HK588" s="89"/>
      <c r="HL588" s="89"/>
      <c r="HM588" s="89"/>
      <c r="HN588" s="89"/>
      <c r="HO588" s="89"/>
      <c r="HP588" s="89"/>
      <c r="HQ588" s="89"/>
      <c r="HR588" s="89"/>
      <c r="HS588" s="89"/>
      <c r="HT588" s="89"/>
      <c r="HU588" s="89"/>
      <c r="HV588" s="89"/>
      <c r="HW588" s="89"/>
      <c r="HX588" s="89"/>
      <c r="HY588" s="89"/>
      <c r="HZ588" s="89"/>
      <c r="IA588" s="89"/>
    </row>
    <row r="589" spans="1:16" ht="11.25">
      <c r="A589" s="20" t="s">
        <v>4</v>
      </c>
      <c r="B589" s="7"/>
      <c r="C589" s="7"/>
      <c r="D589" s="60"/>
      <c r="E589" s="14"/>
      <c r="F589" s="14"/>
      <c r="G589" s="14"/>
      <c r="H589" s="14"/>
      <c r="I589" s="14"/>
      <c r="J589" s="14"/>
      <c r="K589" s="14"/>
      <c r="L589" s="14"/>
      <c r="M589" s="14"/>
      <c r="N589" s="14"/>
      <c r="O589" s="14"/>
      <c r="P589" s="13"/>
    </row>
    <row r="590" spans="1:16" ht="11.25">
      <c r="A590" s="21" t="s">
        <v>63</v>
      </c>
      <c r="B590" s="7"/>
      <c r="C590" s="7"/>
      <c r="D590" s="60"/>
      <c r="E590" s="14"/>
      <c r="F590" s="14"/>
      <c r="G590" s="14"/>
      <c r="H590" s="14">
        <f>3129500+300702+664532+174600+200666</f>
        <v>4470000</v>
      </c>
      <c r="I590" s="14"/>
      <c r="J590" s="14">
        <f>G590+H590</f>
        <v>4470000</v>
      </c>
      <c r="K590" s="14"/>
      <c r="L590" s="14"/>
      <c r="M590" s="14"/>
      <c r="N590" s="14">
        <v>100000</v>
      </c>
      <c r="O590" s="14">
        <f>O592*O594</f>
        <v>0</v>
      </c>
      <c r="P590" s="14">
        <f>O590+N590</f>
        <v>100000</v>
      </c>
    </row>
    <row r="591" spans="1:16" ht="11.25">
      <c r="A591" s="20" t="s">
        <v>5</v>
      </c>
      <c r="B591" s="7"/>
      <c r="C591" s="7"/>
      <c r="D591" s="60"/>
      <c r="E591" s="14"/>
      <c r="F591" s="14"/>
      <c r="G591" s="14"/>
      <c r="H591" s="14"/>
      <c r="I591" s="14"/>
      <c r="J591" s="14"/>
      <c r="K591" s="14"/>
      <c r="L591" s="14"/>
      <c r="M591" s="14"/>
      <c r="N591" s="14"/>
      <c r="O591" s="14"/>
      <c r="P591" s="14"/>
    </row>
    <row r="592" spans="1:16" ht="22.5">
      <c r="A592" s="91" t="s">
        <v>315</v>
      </c>
      <c r="B592" s="7"/>
      <c r="C592" s="7"/>
      <c r="D592" s="60"/>
      <c r="E592" s="14"/>
      <c r="F592" s="14"/>
      <c r="G592" s="14"/>
      <c r="H592" s="14">
        <v>10</v>
      </c>
      <c r="I592" s="14"/>
      <c r="J592" s="14">
        <f>G592+H592</f>
        <v>10</v>
      </c>
      <c r="K592" s="14"/>
      <c r="L592" s="14"/>
      <c r="M592" s="14"/>
      <c r="N592" s="14">
        <v>15</v>
      </c>
      <c r="O592" s="14"/>
      <c r="P592" s="14">
        <f>O592+N592</f>
        <v>15</v>
      </c>
    </row>
    <row r="593" spans="1:16" ht="11.25">
      <c r="A593" s="20" t="s">
        <v>7</v>
      </c>
      <c r="B593" s="7"/>
      <c r="C593" s="7"/>
      <c r="D593" s="60"/>
      <c r="E593" s="14"/>
      <c r="F593" s="14"/>
      <c r="G593" s="14"/>
      <c r="H593" s="14"/>
      <c r="I593" s="14"/>
      <c r="J593" s="14"/>
      <c r="K593" s="14"/>
      <c r="L593" s="14"/>
      <c r="M593" s="14"/>
      <c r="N593" s="14"/>
      <c r="O593" s="14"/>
      <c r="P593" s="14"/>
    </row>
    <row r="594" spans="1:16" ht="33.75">
      <c r="A594" s="53" t="s">
        <v>477</v>
      </c>
      <c r="B594" s="7"/>
      <c r="C594" s="7"/>
      <c r="D594" s="60"/>
      <c r="E594" s="14"/>
      <c r="F594" s="14"/>
      <c r="G594" s="14"/>
      <c r="H594" s="14">
        <v>470000</v>
      </c>
      <c r="I594" s="14"/>
      <c r="J594" s="14">
        <f>G594+H594</f>
        <v>470000</v>
      </c>
      <c r="K594" s="14"/>
      <c r="L594" s="14"/>
      <c r="M594" s="14"/>
      <c r="N594" s="14">
        <v>20000</v>
      </c>
      <c r="O594" s="14"/>
      <c r="P594" s="14">
        <f>O594+N594</f>
        <v>20000</v>
      </c>
    </row>
    <row r="595" spans="1:235" s="90" customFormat="1" ht="24.75" customHeight="1">
      <c r="A595" s="80" t="s">
        <v>459</v>
      </c>
      <c r="B595" s="86"/>
      <c r="C595" s="86"/>
      <c r="D595" s="87"/>
      <c r="E595" s="87"/>
      <c r="F595" s="87"/>
      <c r="G595" s="87">
        <f>G599*G601</f>
        <v>0</v>
      </c>
      <c r="H595" s="87"/>
      <c r="I595" s="87"/>
      <c r="J595" s="87">
        <f>G595</f>
        <v>0</v>
      </c>
      <c r="K595" s="87"/>
      <c r="L595" s="87"/>
      <c r="M595" s="87"/>
      <c r="N595" s="87">
        <f>N601*N599</f>
        <v>180000</v>
      </c>
      <c r="O595" s="87">
        <f>O601*O599</f>
        <v>0</v>
      </c>
      <c r="P595" s="87">
        <f>P601*P599</f>
        <v>180000</v>
      </c>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c r="BW595" s="89"/>
      <c r="BX595" s="89"/>
      <c r="BY595" s="89"/>
      <c r="BZ595" s="89"/>
      <c r="CA595" s="89"/>
      <c r="CB595" s="89"/>
      <c r="CC595" s="89"/>
      <c r="CD595" s="89"/>
      <c r="CE595" s="89"/>
      <c r="CF595" s="89"/>
      <c r="CG595" s="89"/>
      <c r="CH595" s="89"/>
      <c r="CI595" s="89"/>
      <c r="CJ595" s="89"/>
      <c r="CK595" s="89"/>
      <c r="CL595" s="89"/>
      <c r="CM595" s="89"/>
      <c r="CN595" s="89"/>
      <c r="CO595" s="89"/>
      <c r="CP595" s="89"/>
      <c r="CQ595" s="89"/>
      <c r="CR595" s="89"/>
      <c r="CS595" s="89"/>
      <c r="CT595" s="89"/>
      <c r="CU595" s="89"/>
      <c r="CV595" s="89"/>
      <c r="CW595" s="89"/>
      <c r="CX595" s="89"/>
      <c r="CY595" s="89"/>
      <c r="CZ595" s="89"/>
      <c r="DA595" s="89"/>
      <c r="DB595" s="89"/>
      <c r="DC595" s="89"/>
      <c r="DD595" s="89"/>
      <c r="DE595" s="89"/>
      <c r="DF595" s="89"/>
      <c r="DG595" s="89"/>
      <c r="DH595" s="89"/>
      <c r="DI595" s="89"/>
      <c r="DJ595" s="89"/>
      <c r="DK595" s="89"/>
      <c r="DL595" s="89"/>
      <c r="DM595" s="89"/>
      <c r="DN595" s="89"/>
      <c r="DO595" s="89"/>
      <c r="DP595" s="89"/>
      <c r="DQ595" s="89"/>
      <c r="DR595" s="89"/>
      <c r="DS595" s="89"/>
      <c r="DT595" s="89"/>
      <c r="DU595" s="89"/>
      <c r="DV595" s="89"/>
      <c r="DW595" s="89"/>
      <c r="DX595" s="89"/>
      <c r="DY595" s="89"/>
      <c r="DZ595" s="89"/>
      <c r="EA595" s="89"/>
      <c r="EB595" s="89"/>
      <c r="EC595" s="89"/>
      <c r="ED595" s="89"/>
      <c r="EE595" s="89"/>
      <c r="EF595" s="89"/>
      <c r="EG595" s="89"/>
      <c r="EH595" s="89"/>
      <c r="EI595" s="89"/>
      <c r="EJ595" s="89"/>
      <c r="EK595" s="89"/>
      <c r="EL595" s="89"/>
      <c r="EM595" s="89"/>
      <c r="EN595" s="89"/>
      <c r="EO595" s="89"/>
      <c r="EP595" s="89"/>
      <c r="EQ595" s="89"/>
      <c r="ER595" s="89"/>
      <c r="ES595" s="89"/>
      <c r="ET595" s="89"/>
      <c r="EU595" s="89"/>
      <c r="EV595" s="89"/>
      <c r="EW595" s="89"/>
      <c r="EX595" s="89"/>
      <c r="EY595" s="89"/>
      <c r="EZ595" s="89"/>
      <c r="FA595" s="89"/>
      <c r="FB595" s="89"/>
      <c r="FC595" s="89"/>
      <c r="FD595" s="89"/>
      <c r="FE595" s="89"/>
      <c r="FF595" s="89"/>
      <c r="FG595" s="89"/>
      <c r="FH595" s="89"/>
      <c r="FI595" s="89"/>
      <c r="FJ595" s="89"/>
      <c r="FK595" s="89"/>
      <c r="FL595" s="89"/>
      <c r="FM595" s="89"/>
      <c r="FN595" s="89"/>
      <c r="FO595" s="89"/>
      <c r="FP595" s="89"/>
      <c r="FQ595" s="89"/>
      <c r="FR595" s="89"/>
      <c r="FS595" s="89"/>
      <c r="FT595" s="89"/>
      <c r="FU595" s="89"/>
      <c r="FV595" s="89"/>
      <c r="FW595" s="89"/>
      <c r="FX595" s="89"/>
      <c r="FY595" s="89"/>
      <c r="FZ595" s="89"/>
      <c r="GA595" s="89"/>
      <c r="GB595" s="89"/>
      <c r="GC595" s="89"/>
      <c r="GD595" s="89"/>
      <c r="GE595" s="89"/>
      <c r="GF595" s="89"/>
      <c r="GG595" s="89"/>
      <c r="GH595" s="89"/>
      <c r="GI595" s="89"/>
      <c r="GJ595" s="89"/>
      <c r="GK595" s="89"/>
      <c r="GL595" s="89"/>
      <c r="GM595" s="89"/>
      <c r="GN595" s="89"/>
      <c r="GO595" s="89"/>
      <c r="GP595" s="89"/>
      <c r="GQ595" s="89"/>
      <c r="GR595" s="89"/>
      <c r="GS595" s="89"/>
      <c r="GT595" s="89"/>
      <c r="GU595" s="89"/>
      <c r="GV595" s="89"/>
      <c r="GW595" s="89"/>
      <c r="GX595" s="89"/>
      <c r="GY595" s="89"/>
      <c r="GZ595" s="89"/>
      <c r="HA595" s="89"/>
      <c r="HB595" s="89"/>
      <c r="HC595" s="89"/>
      <c r="HD595" s="89"/>
      <c r="HE595" s="89"/>
      <c r="HF595" s="89"/>
      <c r="HG595" s="89"/>
      <c r="HH595" s="89"/>
      <c r="HI595" s="89"/>
      <c r="HJ595" s="89"/>
      <c r="HK595" s="89"/>
      <c r="HL595" s="89"/>
      <c r="HM595" s="89"/>
      <c r="HN595" s="89"/>
      <c r="HO595" s="89"/>
      <c r="HP595" s="89"/>
      <c r="HQ595" s="89"/>
      <c r="HR595" s="89"/>
      <c r="HS595" s="89"/>
      <c r="HT595" s="89"/>
      <c r="HU595" s="89"/>
      <c r="HV595" s="89"/>
      <c r="HW595" s="89"/>
      <c r="HX595" s="89"/>
      <c r="HY595" s="89"/>
      <c r="HZ595" s="89"/>
      <c r="IA595" s="89"/>
    </row>
    <row r="596" spans="1:16" ht="11.25">
      <c r="A596" s="20" t="s">
        <v>4</v>
      </c>
      <c r="B596" s="7"/>
      <c r="C596" s="7"/>
      <c r="D596" s="60"/>
      <c r="E596" s="14"/>
      <c r="F596" s="14"/>
      <c r="G596" s="14"/>
      <c r="H596" s="14"/>
      <c r="I596" s="14"/>
      <c r="J596" s="14"/>
      <c r="K596" s="14"/>
      <c r="L596" s="14"/>
      <c r="M596" s="14"/>
      <c r="N596" s="14"/>
      <c r="O596" s="14"/>
      <c r="P596" s="14"/>
    </row>
    <row r="597" spans="1:16" ht="11.25">
      <c r="A597" s="21" t="s">
        <v>63</v>
      </c>
      <c r="B597" s="7"/>
      <c r="C597" s="7"/>
      <c r="D597" s="60"/>
      <c r="E597" s="14"/>
      <c r="F597" s="14"/>
      <c r="G597" s="14"/>
      <c r="H597" s="14"/>
      <c r="I597" s="14"/>
      <c r="J597" s="14"/>
      <c r="K597" s="14"/>
      <c r="L597" s="14"/>
      <c r="M597" s="14"/>
      <c r="N597" s="14">
        <v>180000</v>
      </c>
      <c r="O597" s="14"/>
      <c r="P597" s="14">
        <f>N597+O597</f>
        <v>180000</v>
      </c>
    </row>
    <row r="598" spans="1:16" ht="11.25">
      <c r="A598" s="20" t="s">
        <v>5</v>
      </c>
      <c r="B598" s="7"/>
      <c r="C598" s="7"/>
      <c r="D598" s="60"/>
      <c r="E598" s="14"/>
      <c r="F598" s="14"/>
      <c r="G598" s="14"/>
      <c r="H598" s="14"/>
      <c r="I598" s="14"/>
      <c r="J598" s="14"/>
      <c r="K598" s="14"/>
      <c r="L598" s="14"/>
      <c r="M598" s="14"/>
      <c r="N598" s="14"/>
      <c r="O598" s="14"/>
      <c r="P598" s="14"/>
    </row>
    <row r="599" spans="1:16" ht="14.25" customHeight="1">
      <c r="A599" s="21" t="s">
        <v>381</v>
      </c>
      <c r="B599" s="7"/>
      <c r="C599" s="7"/>
      <c r="D599" s="60"/>
      <c r="E599" s="14"/>
      <c r="F599" s="14"/>
      <c r="G599" s="14"/>
      <c r="H599" s="14"/>
      <c r="I599" s="14"/>
      <c r="J599" s="14"/>
      <c r="K599" s="14"/>
      <c r="L599" s="14"/>
      <c r="M599" s="14"/>
      <c r="N599" s="14">
        <v>18</v>
      </c>
      <c r="O599" s="14"/>
      <c r="P599" s="14">
        <f>N599+O599</f>
        <v>18</v>
      </c>
    </row>
    <row r="600" spans="1:16" ht="12" customHeight="1">
      <c r="A600" s="20" t="s">
        <v>7</v>
      </c>
      <c r="B600" s="7"/>
      <c r="C600" s="7"/>
      <c r="D600" s="60"/>
      <c r="E600" s="14"/>
      <c r="F600" s="14"/>
      <c r="G600" s="14"/>
      <c r="H600" s="14"/>
      <c r="I600" s="14"/>
      <c r="J600" s="14"/>
      <c r="K600" s="14"/>
      <c r="L600" s="14"/>
      <c r="M600" s="14"/>
      <c r="N600" s="14"/>
      <c r="O600" s="14"/>
      <c r="P600" s="14"/>
    </row>
    <row r="601" spans="1:16" ht="24.75" customHeight="1">
      <c r="A601" s="21" t="s">
        <v>295</v>
      </c>
      <c r="B601" s="7"/>
      <c r="C601" s="7"/>
      <c r="D601" s="60"/>
      <c r="E601" s="14"/>
      <c r="F601" s="14"/>
      <c r="G601" s="14"/>
      <c r="H601" s="14"/>
      <c r="I601" s="14"/>
      <c r="J601" s="14"/>
      <c r="K601" s="14"/>
      <c r="L601" s="14"/>
      <c r="M601" s="14"/>
      <c r="N601" s="14">
        <f>N597/N599</f>
        <v>10000</v>
      </c>
      <c r="O601" s="14"/>
      <c r="P601" s="14">
        <f>N601+O601</f>
        <v>10000</v>
      </c>
    </row>
    <row r="602" spans="1:235" s="83" customFormat="1" ht="13.5" customHeight="1">
      <c r="A602" s="105" t="s">
        <v>422</v>
      </c>
      <c r="B602" s="75"/>
      <c r="C602" s="75"/>
      <c r="D602" s="87">
        <f>D605</f>
        <v>6000</v>
      </c>
      <c r="E602" s="87">
        <v>0</v>
      </c>
      <c r="F602" s="87">
        <f>D602</f>
        <v>6000</v>
      </c>
      <c r="G602" s="87">
        <f>G605</f>
        <v>495500</v>
      </c>
      <c r="H602" s="87">
        <f>H605</f>
        <v>0</v>
      </c>
      <c r="I602" s="87">
        <f>I605</f>
        <v>0</v>
      </c>
      <c r="J602" s="87">
        <f>J605</f>
        <v>495500</v>
      </c>
      <c r="K602" s="87"/>
      <c r="L602" s="87"/>
      <c r="M602" s="87"/>
      <c r="N602" s="87">
        <f>N605</f>
        <v>7905000</v>
      </c>
      <c r="O602" s="87">
        <f>O605</f>
        <v>0</v>
      </c>
      <c r="P602" s="87">
        <f>P605</f>
        <v>7905000</v>
      </c>
      <c r="Q602" s="87">
        <v>5500</v>
      </c>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c r="BJ602" s="118"/>
      <c r="BK602" s="118"/>
      <c r="BL602" s="118"/>
      <c r="BM602" s="118"/>
      <c r="BN602" s="118"/>
      <c r="BO602" s="118"/>
      <c r="BP602" s="118"/>
      <c r="BQ602" s="118"/>
      <c r="BR602" s="118"/>
      <c r="BS602" s="118"/>
      <c r="BT602" s="118"/>
      <c r="BU602" s="118"/>
      <c r="BV602" s="118"/>
      <c r="BW602" s="118"/>
      <c r="BX602" s="118"/>
      <c r="BY602" s="118"/>
      <c r="BZ602" s="118"/>
      <c r="CA602" s="118"/>
      <c r="CB602" s="118"/>
      <c r="CC602" s="118"/>
      <c r="CD602" s="118"/>
      <c r="CE602" s="118"/>
      <c r="CF602" s="118"/>
      <c r="CG602" s="118"/>
      <c r="CH602" s="118"/>
      <c r="CI602" s="118"/>
      <c r="CJ602" s="118"/>
      <c r="CK602" s="118"/>
      <c r="CL602" s="118"/>
      <c r="CM602" s="118"/>
      <c r="CN602" s="118"/>
      <c r="CO602" s="118"/>
      <c r="CP602" s="118"/>
      <c r="CQ602" s="118"/>
      <c r="CR602" s="118"/>
      <c r="CS602" s="118"/>
      <c r="CT602" s="118"/>
      <c r="CU602" s="118"/>
      <c r="CV602" s="118"/>
      <c r="CW602" s="118"/>
      <c r="CX602" s="118"/>
      <c r="CY602" s="118"/>
      <c r="CZ602" s="118"/>
      <c r="DA602" s="118"/>
      <c r="DB602" s="118"/>
      <c r="DC602" s="118"/>
      <c r="DD602" s="118"/>
      <c r="DE602" s="118"/>
      <c r="DF602" s="118"/>
      <c r="DG602" s="118"/>
      <c r="DH602" s="118"/>
      <c r="DI602" s="118"/>
      <c r="DJ602" s="118"/>
      <c r="DK602" s="118"/>
      <c r="DL602" s="118"/>
      <c r="DM602" s="118"/>
      <c r="DN602" s="118"/>
      <c r="DO602" s="118"/>
      <c r="DP602" s="118"/>
      <c r="DQ602" s="118"/>
      <c r="DR602" s="118"/>
      <c r="DS602" s="118"/>
      <c r="DT602" s="118"/>
      <c r="DU602" s="118"/>
      <c r="DV602" s="118"/>
      <c r="DW602" s="118"/>
      <c r="DX602" s="118"/>
      <c r="DY602" s="118"/>
      <c r="DZ602" s="118"/>
      <c r="EA602" s="118"/>
      <c r="EB602" s="118"/>
      <c r="EC602" s="118"/>
      <c r="ED602" s="118"/>
      <c r="EE602" s="118"/>
      <c r="EF602" s="118"/>
      <c r="EG602" s="118"/>
      <c r="EH602" s="118"/>
      <c r="EI602" s="118"/>
      <c r="EJ602" s="118"/>
      <c r="EK602" s="118"/>
      <c r="EL602" s="118"/>
      <c r="EM602" s="118"/>
      <c r="EN602" s="118"/>
      <c r="EO602" s="118"/>
      <c r="EP602" s="118"/>
      <c r="EQ602" s="118"/>
      <c r="ER602" s="118"/>
      <c r="ES602" s="118"/>
      <c r="ET602" s="118"/>
      <c r="EU602" s="118"/>
      <c r="EV602" s="118"/>
      <c r="EW602" s="118"/>
      <c r="EX602" s="118"/>
      <c r="EY602" s="118"/>
      <c r="EZ602" s="118"/>
      <c r="FA602" s="118"/>
      <c r="FB602" s="118"/>
      <c r="FC602" s="118"/>
      <c r="FD602" s="118"/>
      <c r="FE602" s="118"/>
      <c r="FF602" s="118"/>
      <c r="FG602" s="118"/>
      <c r="FH602" s="118"/>
      <c r="FI602" s="118"/>
      <c r="FJ602" s="118"/>
      <c r="FK602" s="118"/>
      <c r="FL602" s="118"/>
      <c r="FM602" s="118"/>
      <c r="FN602" s="118"/>
      <c r="FO602" s="118"/>
      <c r="FP602" s="118"/>
      <c r="FQ602" s="118"/>
      <c r="FR602" s="118"/>
      <c r="FS602" s="118"/>
      <c r="FT602" s="118"/>
      <c r="FU602" s="118"/>
      <c r="FV602" s="118"/>
      <c r="FW602" s="118"/>
      <c r="FX602" s="118"/>
      <c r="FY602" s="118"/>
      <c r="FZ602" s="118"/>
      <c r="GA602" s="118"/>
      <c r="GB602" s="118"/>
      <c r="GC602" s="118"/>
      <c r="GD602" s="118"/>
      <c r="GE602" s="118"/>
      <c r="GF602" s="118"/>
      <c r="GG602" s="118"/>
      <c r="GH602" s="118"/>
      <c r="GI602" s="118"/>
      <c r="GJ602" s="118"/>
      <c r="GK602" s="118"/>
      <c r="GL602" s="118"/>
      <c r="GM602" s="118"/>
      <c r="GN602" s="118"/>
      <c r="GO602" s="118"/>
      <c r="GP602" s="118"/>
      <c r="GQ602" s="118"/>
      <c r="GR602" s="118"/>
      <c r="GS602" s="118"/>
      <c r="GT602" s="118"/>
      <c r="GU602" s="118"/>
      <c r="GV602" s="118"/>
      <c r="GW602" s="118"/>
      <c r="GX602" s="118"/>
      <c r="GY602" s="118"/>
      <c r="GZ602" s="118"/>
      <c r="HA602" s="118"/>
      <c r="HB602" s="118"/>
      <c r="HC602" s="118"/>
      <c r="HD602" s="118"/>
      <c r="HE602" s="118"/>
      <c r="HF602" s="118"/>
      <c r="HG602" s="118"/>
      <c r="HH602" s="118"/>
      <c r="HI602" s="118"/>
      <c r="HJ602" s="118"/>
      <c r="HK602" s="118"/>
      <c r="HL602" s="118"/>
      <c r="HM602" s="118"/>
      <c r="HN602" s="118"/>
      <c r="HO602" s="118"/>
      <c r="HP602" s="118"/>
      <c r="HQ602" s="118"/>
      <c r="HR602" s="118"/>
      <c r="HS602" s="118"/>
      <c r="HT602" s="118"/>
      <c r="HU602" s="118"/>
      <c r="HV602" s="118"/>
      <c r="HW602" s="118"/>
      <c r="HX602" s="118"/>
      <c r="HY602" s="118"/>
      <c r="HZ602" s="118"/>
      <c r="IA602" s="118"/>
    </row>
    <row r="603" spans="1:17" ht="31.5" customHeight="1">
      <c r="A603" s="22" t="s">
        <v>245</v>
      </c>
      <c r="B603" s="7"/>
      <c r="C603" s="7"/>
      <c r="D603" s="14"/>
      <c r="E603" s="14"/>
      <c r="F603" s="14"/>
      <c r="G603" s="14"/>
      <c r="H603" s="14"/>
      <c r="I603" s="14"/>
      <c r="J603" s="14"/>
      <c r="K603" s="14"/>
      <c r="L603" s="14"/>
      <c r="M603" s="14"/>
      <c r="N603" s="14"/>
      <c r="O603" s="14"/>
      <c r="P603" s="14"/>
      <c r="Q603" s="6"/>
    </row>
    <row r="604" spans="1:17" ht="24.75" customHeight="1">
      <c r="A604" s="21" t="s">
        <v>242</v>
      </c>
      <c r="B604" s="7"/>
      <c r="C604" s="7"/>
      <c r="D604" s="60"/>
      <c r="E604" s="14"/>
      <c r="F604" s="14"/>
      <c r="G604" s="14"/>
      <c r="H604" s="14"/>
      <c r="I604" s="14"/>
      <c r="J604" s="14"/>
      <c r="K604" s="14"/>
      <c r="L604" s="14"/>
      <c r="M604" s="14"/>
      <c r="N604" s="14"/>
      <c r="O604" s="14"/>
      <c r="P604" s="14"/>
      <c r="Q604" s="6"/>
    </row>
    <row r="605" spans="1:235" s="90" customFormat="1" ht="15" customHeight="1">
      <c r="A605" s="80" t="s">
        <v>400</v>
      </c>
      <c r="B605" s="86"/>
      <c r="C605" s="86"/>
      <c r="D605" s="141">
        <f>D607</f>
        <v>6000</v>
      </c>
      <c r="E605" s="141"/>
      <c r="F605" s="141">
        <f>D605</f>
        <v>6000</v>
      </c>
      <c r="G605" s="87">
        <f>G607</f>
        <v>495500</v>
      </c>
      <c r="H605" s="87">
        <v>0</v>
      </c>
      <c r="I605" s="87">
        <f>I607</f>
        <v>0</v>
      </c>
      <c r="J605" s="87">
        <f>J607</f>
        <v>495500</v>
      </c>
      <c r="K605" s="87"/>
      <c r="L605" s="87"/>
      <c r="M605" s="87"/>
      <c r="N605" s="87">
        <f>N607</f>
        <v>7905000</v>
      </c>
      <c r="O605" s="87"/>
      <c r="P605" s="87">
        <f>N605</f>
        <v>7905000</v>
      </c>
      <c r="Q605" s="88">
        <v>5500</v>
      </c>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c r="BW605" s="89"/>
      <c r="BX605" s="89"/>
      <c r="BY605" s="89"/>
      <c r="BZ605" s="89"/>
      <c r="CA605" s="89"/>
      <c r="CB605" s="89"/>
      <c r="CC605" s="89"/>
      <c r="CD605" s="89"/>
      <c r="CE605" s="89"/>
      <c r="CF605" s="89"/>
      <c r="CG605" s="89"/>
      <c r="CH605" s="89"/>
      <c r="CI605" s="89"/>
      <c r="CJ605" s="89"/>
      <c r="CK605" s="89"/>
      <c r="CL605" s="89"/>
      <c r="CM605" s="89"/>
      <c r="CN605" s="89"/>
      <c r="CO605" s="89"/>
      <c r="CP605" s="89"/>
      <c r="CQ605" s="89"/>
      <c r="CR605" s="89"/>
      <c r="CS605" s="89"/>
      <c r="CT605" s="89"/>
      <c r="CU605" s="89"/>
      <c r="CV605" s="89"/>
      <c r="CW605" s="89"/>
      <c r="CX605" s="89"/>
      <c r="CY605" s="89"/>
      <c r="CZ605" s="89"/>
      <c r="DA605" s="89"/>
      <c r="DB605" s="89"/>
      <c r="DC605" s="89"/>
      <c r="DD605" s="89"/>
      <c r="DE605" s="89"/>
      <c r="DF605" s="89"/>
      <c r="DG605" s="89"/>
      <c r="DH605" s="89"/>
      <c r="DI605" s="89"/>
      <c r="DJ605" s="89"/>
      <c r="DK605" s="89"/>
      <c r="DL605" s="89"/>
      <c r="DM605" s="89"/>
      <c r="DN605" s="89"/>
      <c r="DO605" s="89"/>
      <c r="DP605" s="89"/>
      <c r="DQ605" s="89"/>
      <c r="DR605" s="89"/>
      <c r="DS605" s="89"/>
      <c r="DT605" s="89"/>
      <c r="DU605" s="89"/>
      <c r="DV605" s="89"/>
      <c r="DW605" s="89"/>
      <c r="DX605" s="89"/>
      <c r="DY605" s="89"/>
      <c r="DZ605" s="89"/>
      <c r="EA605" s="89"/>
      <c r="EB605" s="89"/>
      <c r="EC605" s="89"/>
      <c r="ED605" s="89"/>
      <c r="EE605" s="89"/>
      <c r="EF605" s="89"/>
      <c r="EG605" s="89"/>
      <c r="EH605" s="89"/>
      <c r="EI605" s="89"/>
      <c r="EJ605" s="89"/>
      <c r="EK605" s="89"/>
      <c r="EL605" s="89"/>
      <c r="EM605" s="89"/>
      <c r="EN605" s="89"/>
      <c r="EO605" s="89"/>
      <c r="EP605" s="89"/>
      <c r="EQ605" s="89"/>
      <c r="ER605" s="89"/>
      <c r="ES605" s="89"/>
      <c r="ET605" s="89"/>
      <c r="EU605" s="89"/>
      <c r="EV605" s="89"/>
      <c r="EW605" s="89"/>
      <c r="EX605" s="89"/>
      <c r="EY605" s="89"/>
      <c r="EZ605" s="89"/>
      <c r="FA605" s="89"/>
      <c r="FB605" s="89"/>
      <c r="FC605" s="89"/>
      <c r="FD605" s="89"/>
      <c r="FE605" s="89"/>
      <c r="FF605" s="89"/>
      <c r="FG605" s="89"/>
      <c r="FH605" s="89"/>
      <c r="FI605" s="89"/>
      <c r="FJ605" s="89"/>
      <c r="FK605" s="89"/>
      <c r="FL605" s="89"/>
      <c r="FM605" s="89"/>
      <c r="FN605" s="89"/>
      <c r="FO605" s="89"/>
      <c r="FP605" s="89"/>
      <c r="FQ605" s="89"/>
      <c r="FR605" s="89"/>
      <c r="FS605" s="89"/>
      <c r="FT605" s="89"/>
      <c r="FU605" s="89"/>
      <c r="FV605" s="89"/>
      <c r="FW605" s="89"/>
      <c r="FX605" s="89"/>
      <c r="FY605" s="89"/>
      <c r="FZ605" s="89"/>
      <c r="GA605" s="89"/>
      <c r="GB605" s="89"/>
      <c r="GC605" s="89"/>
      <c r="GD605" s="89"/>
      <c r="GE605" s="89"/>
      <c r="GF605" s="89"/>
      <c r="GG605" s="89"/>
      <c r="GH605" s="89"/>
      <c r="GI605" s="89"/>
      <c r="GJ605" s="89"/>
      <c r="GK605" s="89"/>
      <c r="GL605" s="89"/>
      <c r="GM605" s="89"/>
      <c r="GN605" s="89"/>
      <c r="GO605" s="89"/>
      <c r="GP605" s="89"/>
      <c r="GQ605" s="89"/>
      <c r="GR605" s="89"/>
      <c r="GS605" s="89"/>
      <c r="GT605" s="89"/>
      <c r="GU605" s="89"/>
      <c r="GV605" s="89"/>
      <c r="GW605" s="89"/>
      <c r="GX605" s="89"/>
      <c r="GY605" s="89"/>
      <c r="GZ605" s="89"/>
      <c r="HA605" s="89"/>
      <c r="HB605" s="89"/>
      <c r="HC605" s="89"/>
      <c r="HD605" s="89"/>
      <c r="HE605" s="89"/>
      <c r="HF605" s="89"/>
      <c r="HG605" s="89"/>
      <c r="HH605" s="89"/>
      <c r="HI605" s="89"/>
      <c r="HJ605" s="89"/>
      <c r="HK605" s="89"/>
      <c r="HL605" s="89"/>
      <c r="HM605" s="89"/>
      <c r="HN605" s="89"/>
      <c r="HO605" s="89"/>
      <c r="HP605" s="89"/>
      <c r="HQ605" s="89"/>
      <c r="HR605" s="89"/>
      <c r="HS605" s="89"/>
      <c r="HT605" s="89"/>
      <c r="HU605" s="89"/>
      <c r="HV605" s="89"/>
      <c r="HW605" s="89"/>
      <c r="HX605" s="89"/>
      <c r="HY605" s="89"/>
      <c r="HZ605" s="89"/>
      <c r="IA605" s="89"/>
    </row>
    <row r="606" spans="1:17" ht="12" customHeight="1">
      <c r="A606" s="20" t="s">
        <v>4</v>
      </c>
      <c r="B606" s="7"/>
      <c r="C606" s="7"/>
      <c r="D606" s="142"/>
      <c r="E606" s="143"/>
      <c r="F606" s="143"/>
      <c r="G606" s="14"/>
      <c r="H606" s="14"/>
      <c r="I606" s="14"/>
      <c r="J606" s="14"/>
      <c r="K606" s="14"/>
      <c r="L606" s="14"/>
      <c r="M606" s="14"/>
      <c r="N606" s="14"/>
      <c r="O606" s="14"/>
      <c r="P606" s="14"/>
      <c r="Q606" s="6"/>
    </row>
    <row r="607" spans="1:17" ht="12" customHeight="1">
      <c r="A607" s="21" t="s">
        <v>63</v>
      </c>
      <c r="B607" s="7"/>
      <c r="C607" s="7"/>
      <c r="D607" s="142">
        <f>(D609*D616)+(D610*D617)</f>
        <v>6000</v>
      </c>
      <c r="E607" s="143"/>
      <c r="F607" s="143">
        <f>D607</f>
        <v>6000</v>
      </c>
      <c r="G607" s="14">
        <v>495500</v>
      </c>
      <c r="H607" s="14"/>
      <c r="I607" s="14"/>
      <c r="J607" s="14">
        <f>J613*J618-1.6</f>
        <v>495500</v>
      </c>
      <c r="K607" s="14"/>
      <c r="L607" s="14"/>
      <c r="M607" s="14"/>
      <c r="N607" s="14">
        <f>N613*N618+65658+N611*N619+N612*N620</f>
        <v>7905000</v>
      </c>
      <c r="O607" s="14"/>
      <c r="P607" s="14">
        <f>N607</f>
        <v>7905000</v>
      </c>
      <c r="Q607" s="6">
        <v>5500</v>
      </c>
    </row>
    <row r="608" spans="1:17" ht="12.75" customHeight="1">
      <c r="A608" s="20" t="s">
        <v>5</v>
      </c>
      <c r="B608" s="7"/>
      <c r="C608" s="7"/>
      <c r="D608" s="142"/>
      <c r="E608" s="143"/>
      <c r="F608" s="143"/>
      <c r="G608" s="14"/>
      <c r="H608" s="14"/>
      <c r="I608" s="14"/>
      <c r="J608" s="14"/>
      <c r="K608" s="14"/>
      <c r="L608" s="14"/>
      <c r="M608" s="14"/>
      <c r="N608" s="14"/>
      <c r="O608" s="14"/>
      <c r="P608" s="14"/>
      <c r="Q608" s="6"/>
    </row>
    <row r="609" spans="1:17" ht="23.25" customHeight="1">
      <c r="A609" s="21" t="s">
        <v>247</v>
      </c>
      <c r="B609" s="7"/>
      <c r="C609" s="7"/>
      <c r="D609" s="142">
        <v>1</v>
      </c>
      <c r="E609" s="143"/>
      <c r="F609" s="143">
        <f>D609</f>
        <v>1</v>
      </c>
      <c r="G609" s="14"/>
      <c r="H609" s="14"/>
      <c r="I609" s="14"/>
      <c r="J609" s="14"/>
      <c r="K609" s="14"/>
      <c r="L609" s="14"/>
      <c r="M609" s="14"/>
      <c r="N609" s="14"/>
      <c r="O609" s="14"/>
      <c r="P609" s="14"/>
      <c r="Q609" s="9">
        <v>1</v>
      </c>
    </row>
    <row r="610" spans="1:17" ht="22.5">
      <c r="A610" s="21" t="s">
        <v>260</v>
      </c>
      <c r="B610" s="7"/>
      <c r="C610" s="7"/>
      <c r="D610" s="142">
        <v>1</v>
      </c>
      <c r="E610" s="143"/>
      <c r="F610" s="143">
        <v>1</v>
      </c>
      <c r="G610" s="14"/>
      <c r="H610" s="14"/>
      <c r="I610" s="14"/>
      <c r="J610" s="14"/>
      <c r="K610" s="14"/>
      <c r="L610" s="14"/>
      <c r="M610" s="14"/>
      <c r="N610" s="14"/>
      <c r="O610" s="14"/>
      <c r="P610" s="14"/>
      <c r="Q610" s="9"/>
    </row>
    <row r="611" spans="1:17" ht="22.5">
      <c r="A611" s="21" t="s">
        <v>452</v>
      </c>
      <c r="B611" s="7"/>
      <c r="C611" s="7"/>
      <c r="D611" s="142"/>
      <c r="E611" s="143"/>
      <c r="F611" s="143"/>
      <c r="G611" s="14"/>
      <c r="H611" s="14"/>
      <c r="I611" s="14"/>
      <c r="J611" s="14"/>
      <c r="K611" s="14"/>
      <c r="L611" s="14"/>
      <c r="M611" s="14"/>
      <c r="N611" s="14">
        <v>1</v>
      </c>
      <c r="O611" s="14"/>
      <c r="P611" s="14">
        <f>N611</f>
        <v>1</v>
      </c>
      <c r="Q611" s="9"/>
    </row>
    <row r="612" spans="1:17" ht="22.5">
      <c r="A612" s="21" t="s">
        <v>472</v>
      </c>
      <c r="B612" s="7"/>
      <c r="C612" s="7"/>
      <c r="D612" s="142"/>
      <c r="E612" s="143"/>
      <c r="F612" s="143"/>
      <c r="G612" s="14"/>
      <c r="H612" s="14"/>
      <c r="I612" s="14"/>
      <c r="J612" s="14"/>
      <c r="K612" s="14"/>
      <c r="L612" s="14"/>
      <c r="M612" s="14"/>
      <c r="N612" s="14">
        <v>1</v>
      </c>
      <c r="O612" s="14"/>
      <c r="P612" s="14">
        <f>N612</f>
        <v>1</v>
      </c>
      <c r="Q612" s="9"/>
    </row>
    <row r="613" spans="1:17" ht="22.5">
      <c r="A613" s="21" t="s">
        <v>292</v>
      </c>
      <c r="B613" s="7"/>
      <c r="C613" s="7"/>
      <c r="D613" s="142"/>
      <c r="E613" s="143"/>
      <c r="F613" s="143"/>
      <c r="G613" s="178">
        <v>165</v>
      </c>
      <c r="H613" s="14"/>
      <c r="I613" s="14"/>
      <c r="J613" s="14">
        <v>165</v>
      </c>
      <c r="K613" s="14"/>
      <c r="L613" s="14"/>
      <c r="M613" s="14"/>
      <c r="N613" s="14">
        <v>1155</v>
      </c>
      <c r="O613" s="14"/>
      <c r="P613" s="14">
        <f>N613</f>
        <v>1155</v>
      </c>
      <c r="Q613" s="9"/>
    </row>
    <row r="614" spans="1:17" ht="11.25">
      <c r="A614" s="21" t="s">
        <v>379</v>
      </c>
      <c r="B614" s="7"/>
      <c r="C614" s="7"/>
      <c r="D614" s="142"/>
      <c r="E614" s="143"/>
      <c r="F614" s="143"/>
      <c r="G614" s="178"/>
      <c r="H614" s="14"/>
      <c r="I614" s="14"/>
      <c r="J614" s="14"/>
      <c r="K614" s="14"/>
      <c r="L614" s="14"/>
      <c r="M614" s="14"/>
      <c r="N614" s="14"/>
      <c r="O614" s="14"/>
      <c r="P614" s="14"/>
      <c r="Q614" s="9"/>
    </row>
    <row r="615" spans="1:17" ht="12.75" customHeight="1">
      <c r="A615" s="20" t="s">
        <v>7</v>
      </c>
      <c r="B615" s="7"/>
      <c r="C615" s="7"/>
      <c r="D615" s="142"/>
      <c r="E615" s="143"/>
      <c r="F615" s="143"/>
      <c r="G615" s="14"/>
      <c r="H615" s="14"/>
      <c r="I615" s="14"/>
      <c r="J615" s="14"/>
      <c r="K615" s="14"/>
      <c r="L615" s="14"/>
      <c r="M615" s="14"/>
      <c r="N615" s="14"/>
      <c r="O615" s="14"/>
      <c r="P615" s="14"/>
      <c r="Q615" s="6"/>
    </row>
    <row r="616" spans="1:17" ht="24" customHeight="1">
      <c r="A616" s="21" t="s">
        <v>246</v>
      </c>
      <c r="B616" s="7"/>
      <c r="C616" s="7"/>
      <c r="D616" s="142">
        <v>3000</v>
      </c>
      <c r="E616" s="143"/>
      <c r="F616" s="143">
        <f>D616</f>
        <v>3000</v>
      </c>
      <c r="G616" s="14"/>
      <c r="H616" s="14"/>
      <c r="I616" s="14"/>
      <c r="J616" s="14"/>
      <c r="K616" s="14"/>
      <c r="L616" s="14"/>
      <c r="M616" s="14"/>
      <c r="N616" s="14"/>
      <c r="O616" s="14"/>
      <c r="P616" s="14"/>
      <c r="Q616" s="6"/>
    </row>
    <row r="617" spans="1:17" ht="26.25" customHeight="1">
      <c r="A617" s="21" t="s">
        <v>261</v>
      </c>
      <c r="B617" s="7"/>
      <c r="C617" s="7"/>
      <c r="D617" s="144">
        <v>3000</v>
      </c>
      <c r="E617" s="129"/>
      <c r="F617" s="129">
        <f>D617</f>
        <v>3000</v>
      </c>
      <c r="G617" s="14"/>
      <c r="H617" s="14"/>
      <c r="I617" s="14"/>
      <c r="J617" s="14"/>
      <c r="K617" s="14"/>
      <c r="L617" s="14"/>
      <c r="M617" s="14"/>
      <c r="N617" s="14"/>
      <c r="O617" s="14"/>
      <c r="P617" s="14"/>
      <c r="Q617" s="6">
        <v>5500</v>
      </c>
    </row>
    <row r="618" spans="1:17" ht="22.5">
      <c r="A618" s="21" t="s">
        <v>293</v>
      </c>
      <c r="B618" s="7"/>
      <c r="C618" s="7"/>
      <c r="D618" s="144"/>
      <c r="E618" s="129"/>
      <c r="F618" s="129"/>
      <c r="G618" s="14">
        <v>3003.03</v>
      </c>
      <c r="H618" s="14"/>
      <c r="I618" s="14"/>
      <c r="J618" s="14">
        <v>3003.04</v>
      </c>
      <c r="K618" s="14"/>
      <c r="L618" s="14"/>
      <c r="M618" s="14"/>
      <c r="N618" s="14">
        <v>6696.4</v>
      </c>
      <c r="O618" s="14"/>
      <c r="P618" s="14">
        <f>N618</f>
        <v>6696.4</v>
      </c>
      <c r="Q618" s="71"/>
    </row>
    <row r="619" spans="1:17" ht="33.75">
      <c r="A619" s="21" t="s">
        <v>471</v>
      </c>
      <c r="B619" s="7"/>
      <c r="C619" s="7"/>
      <c r="D619" s="144"/>
      <c r="E619" s="129"/>
      <c r="F619" s="129"/>
      <c r="G619" s="14"/>
      <c r="H619" s="14"/>
      <c r="I619" s="14"/>
      <c r="J619" s="14"/>
      <c r="K619" s="14"/>
      <c r="L619" s="14"/>
      <c r="M619" s="14"/>
      <c r="N619" s="14">
        <v>90000</v>
      </c>
      <c r="O619" s="14"/>
      <c r="P619" s="14">
        <f>N619</f>
        <v>90000</v>
      </c>
      <c r="Q619" s="71"/>
    </row>
    <row r="620" spans="1:17" ht="22.5">
      <c r="A620" s="21" t="s">
        <v>473</v>
      </c>
      <c r="B620" s="7"/>
      <c r="C620" s="7"/>
      <c r="D620" s="144"/>
      <c r="E620" s="129"/>
      <c r="F620" s="129"/>
      <c r="G620" s="14"/>
      <c r="H620" s="14"/>
      <c r="I620" s="14"/>
      <c r="J620" s="14"/>
      <c r="K620" s="14"/>
      <c r="L620" s="14"/>
      <c r="M620" s="14"/>
      <c r="N620" s="14">
        <v>15000</v>
      </c>
      <c r="O620" s="14"/>
      <c r="P620" s="14">
        <f>N620</f>
        <v>15000</v>
      </c>
      <c r="Q620" s="71"/>
    </row>
    <row r="621" spans="1:235" s="83" customFormat="1" ht="12">
      <c r="A621" s="105" t="s">
        <v>423</v>
      </c>
      <c r="B621" s="75"/>
      <c r="C621" s="75"/>
      <c r="D621" s="87">
        <f>D624</f>
        <v>1214000</v>
      </c>
      <c r="E621" s="87">
        <v>0</v>
      </c>
      <c r="F621" s="87">
        <f>D621</f>
        <v>1214000</v>
      </c>
      <c r="G621" s="87">
        <f>G624</f>
        <v>8080000</v>
      </c>
      <c r="H621" s="87"/>
      <c r="I621" s="87">
        <f>I624</f>
        <v>0</v>
      </c>
      <c r="J621" s="87">
        <f>J624</f>
        <v>8080000</v>
      </c>
      <c r="K621" s="87"/>
      <c r="L621" s="87"/>
      <c r="M621" s="87"/>
      <c r="N621" s="87">
        <f>N624</f>
        <v>12000000</v>
      </c>
      <c r="O621" s="87"/>
      <c r="P621" s="87">
        <f>N621</f>
        <v>12000000</v>
      </c>
      <c r="Q621" s="82"/>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c r="BJ621" s="118"/>
      <c r="BK621" s="118"/>
      <c r="BL621" s="118"/>
      <c r="BM621" s="118"/>
      <c r="BN621" s="118"/>
      <c r="BO621" s="118"/>
      <c r="BP621" s="118"/>
      <c r="BQ621" s="118"/>
      <c r="BR621" s="118"/>
      <c r="BS621" s="118"/>
      <c r="BT621" s="118"/>
      <c r="BU621" s="118"/>
      <c r="BV621" s="118"/>
      <c r="BW621" s="118"/>
      <c r="BX621" s="118"/>
      <c r="BY621" s="118"/>
      <c r="BZ621" s="118"/>
      <c r="CA621" s="118"/>
      <c r="CB621" s="118"/>
      <c r="CC621" s="118"/>
      <c r="CD621" s="118"/>
      <c r="CE621" s="118"/>
      <c r="CF621" s="118"/>
      <c r="CG621" s="118"/>
      <c r="CH621" s="118"/>
      <c r="CI621" s="118"/>
      <c r="CJ621" s="118"/>
      <c r="CK621" s="118"/>
      <c r="CL621" s="118"/>
      <c r="CM621" s="118"/>
      <c r="CN621" s="118"/>
      <c r="CO621" s="118"/>
      <c r="CP621" s="118"/>
      <c r="CQ621" s="118"/>
      <c r="CR621" s="118"/>
      <c r="CS621" s="118"/>
      <c r="CT621" s="118"/>
      <c r="CU621" s="118"/>
      <c r="CV621" s="118"/>
      <c r="CW621" s="118"/>
      <c r="CX621" s="118"/>
      <c r="CY621" s="118"/>
      <c r="CZ621" s="118"/>
      <c r="DA621" s="118"/>
      <c r="DB621" s="118"/>
      <c r="DC621" s="118"/>
      <c r="DD621" s="118"/>
      <c r="DE621" s="118"/>
      <c r="DF621" s="118"/>
      <c r="DG621" s="118"/>
      <c r="DH621" s="118"/>
      <c r="DI621" s="118"/>
      <c r="DJ621" s="118"/>
      <c r="DK621" s="118"/>
      <c r="DL621" s="118"/>
      <c r="DM621" s="118"/>
      <c r="DN621" s="118"/>
      <c r="DO621" s="118"/>
      <c r="DP621" s="118"/>
      <c r="DQ621" s="118"/>
      <c r="DR621" s="118"/>
      <c r="DS621" s="118"/>
      <c r="DT621" s="118"/>
      <c r="DU621" s="118"/>
      <c r="DV621" s="118"/>
      <c r="DW621" s="118"/>
      <c r="DX621" s="118"/>
      <c r="DY621" s="118"/>
      <c r="DZ621" s="118"/>
      <c r="EA621" s="118"/>
      <c r="EB621" s="118"/>
      <c r="EC621" s="118"/>
      <c r="ED621" s="118"/>
      <c r="EE621" s="118"/>
      <c r="EF621" s="118"/>
      <c r="EG621" s="118"/>
      <c r="EH621" s="118"/>
      <c r="EI621" s="118"/>
      <c r="EJ621" s="118"/>
      <c r="EK621" s="118"/>
      <c r="EL621" s="118"/>
      <c r="EM621" s="118"/>
      <c r="EN621" s="118"/>
      <c r="EO621" s="118"/>
      <c r="EP621" s="118"/>
      <c r="EQ621" s="118"/>
      <c r="ER621" s="118"/>
      <c r="ES621" s="118"/>
      <c r="ET621" s="118"/>
      <c r="EU621" s="118"/>
      <c r="EV621" s="118"/>
      <c r="EW621" s="118"/>
      <c r="EX621" s="118"/>
      <c r="EY621" s="118"/>
      <c r="EZ621" s="118"/>
      <c r="FA621" s="118"/>
      <c r="FB621" s="118"/>
      <c r="FC621" s="118"/>
      <c r="FD621" s="118"/>
      <c r="FE621" s="118"/>
      <c r="FF621" s="118"/>
      <c r="FG621" s="118"/>
      <c r="FH621" s="118"/>
      <c r="FI621" s="118"/>
      <c r="FJ621" s="118"/>
      <c r="FK621" s="118"/>
      <c r="FL621" s="118"/>
      <c r="FM621" s="118"/>
      <c r="FN621" s="118"/>
      <c r="FO621" s="118"/>
      <c r="FP621" s="118"/>
      <c r="FQ621" s="118"/>
      <c r="FR621" s="118"/>
      <c r="FS621" s="118"/>
      <c r="FT621" s="118"/>
      <c r="FU621" s="118"/>
      <c r="FV621" s="118"/>
      <c r="FW621" s="118"/>
      <c r="FX621" s="118"/>
      <c r="FY621" s="118"/>
      <c r="FZ621" s="118"/>
      <c r="GA621" s="118"/>
      <c r="GB621" s="118"/>
      <c r="GC621" s="118"/>
      <c r="GD621" s="118"/>
      <c r="GE621" s="118"/>
      <c r="GF621" s="118"/>
      <c r="GG621" s="118"/>
      <c r="GH621" s="118"/>
      <c r="GI621" s="118"/>
      <c r="GJ621" s="118"/>
      <c r="GK621" s="118"/>
      <c r="GL621" s="118"/>
      <c r="GM621" s="118"/>
      <c r="GN621" s="118"/>
      <c r="GO621" s="118"/>
      <c r="GP621" s="118"/>
      <c r="GQ621" s="118"/>
      <c r="GR621" s="118"/>
      <c r="GS621" s="118"/>
      <c r="GT621" s="118"/>
      <c r="GU621" s="118"/>
      <c r="GV621" s="118"/>
      <c r="GW621" s="118"/>
      <c r="GX621" s="118"/>
      <c r="GY621" s="118"/>
      <c r="GZ621" s="118"/>
      <c r="HA621" s="118"/>
      <c r="HB621" s="118"/>
      <c r="HC621" s="118"/>
      <c r="HD621" s="118"/>
      <c r="HE621" s="118"/>
      <c r="HF621" s="118"/>
      <c r="HG621" s="118"/>
      <c r="HH621" s="118"/>
      <c r="HI621" s="118"/>
      <c r="HJ621" s="118"/>
      <c r="HK621" s="118"/>
      <c r="HL621" s="118"/>
      <c r="HM621" s="118"/>
      <c r="HN621" s="118"/>
      <c r="HO621" s="118"/>
      <c r="HP621" s="118"/>
      <c r="HQ621" s="118"/>
      <c r="HR621" s="118"/>
      <c r="HS621" s="118"/>
      <c r="HT621" s="118"/>
      <c r="HU621" s="118"/>
      <c r="HV621" s="118"/>
      <c r="HW621" s="118"/>
      <c r="HX621" s="118"/>
      <c r="HY621" s="118"/>
      <c r="HZ621" s="118"/>
      <c r="IA621" s="118"/>
    </row>
    <row r="622" spans="1:17" ht="33.75">
      <c r="A622" s="22" t="s">
        <v>245</v>
      </c>
      <c r="B622" s="7"/>
      <c r="C622" s="7"/>
      <c r="D622" s="14"/>
      <c r="E622" s="14"/>
      <c r="F622" s="14"/>
      <c r="G622" s="14"/>
      <c r="H622" s="14"/>
      <c r="I622" s="14"/>
      <c r="J622" s="14"/>
      <c r="K622" s="14"/>
      <c r="L622" s="14"/>
      <c r="M622" s="14"/>
      <c r="N622" s="14"/>
      <c r="O622" s="14"/>
      <c r="P622" s="14"/>
      <c r="Q622" s="71"/>
    </row>
    <row r="623" spans="1:17" ht="67.5">
      <c r="A623" s="21" t="s">
        <v>316</v>
      </c>
      <c r="B623" s="7"/>
      <c r="C623" s="7"/>
      <c r="D623" s="60"/>
      <c r="E623" s="14"/>
      <c r="F623" s="14"/>
      <c r="G623" s="14"/>
      <c r="H623" s="14"/>
      <c r="I623" s="14"/>
      <c r="J623" s="14"/>
      <c r="K623" s="14"/>
      <c r="L623" s="14"/>
      <c r="M623" s="14"/>
      <c r="N623" s="14"/>
      <c r="O623" s="14"/>
      <c r="P623" s="14"/>
      <c r="Q623" s="71"/>
    </row>
    <row r="624" spans="1:17" ht="102.75" customHeight="1">
      <c r="A624" s="19" t="s">
        <v>401</v>
      </c>
      <c r="B624" s="26"/>
      <c r="C624" s="26"/>
      <c r="D624" s="128">
        <f>D626</f>
        <v>1214000</v>
      </c>
      <c r="E624" s="128"/>
      <c r="F624" s="128">
        <f>D624</f>
        <v>1214000</v>
      </c>
      <c r="G624" s="25">
        <f>G626</f>
        <v>8080000</v>
      </c>
      <c r="H624" s="25"/>
      <c r="I624" s="25"/>
      <c r="J624" s="25">
        <f>J626</f>
        <v>8080000</v>
      </c>
      <c r="K624" s="25"/>
      <c r="L624" s="25"/>
      <c r="M624" s="25"/>
      <c r="N624" s="25">
        <f>N626</f>
        <v>12000000</v>
      </c>
      <c r="O624" s="25"/>
      <c r="P624" s="25">
        <f>N624</f>
        <v>12000000</v>
      </c>
      <c r="Q624" s="71"/>
    </row>
    <row r="625" spans="1:17" ht="11.25">
      <c r="A625" s="20" t="s">
        <v>4</v>
      </c>
      <c r="B625" s="7"/>
      <c r="C625" s="7"/>
      <c r="D625" s="142"/>
      <c r="E625" s="143"/>
      <c r="F625" s="143"/>
      <c r="G625" s="14"/>
      <c r="H625" s="14"/>
      <c r="I625" s="14"/>
      <c r="J625" s="14"/>
      <c r="K625" s="14"/>
      <c r="L625" s="14"/>
      <c r="M625" s="14"/>
      <c r="N625" s="14"/>
      <c r="O625" s="14"/>
      <c r="P625" s="14"/>
      <c r="Q625" s="71"/>
    </row>
    <row r="626" spans="1:17" ht="11.25">
      <c r="A626" s="21" t="s">
        <v>63</v>
      </c>
      <c r="B626" s="7"/>
      <c r="C626" s="7"/>
      <c r="D626" s="142">
        <f>D631*D628</f>
        <v>1214000</v>
      </c>
      <c r="E626" s="143"/>
      <c r="F626" s="143">
        <f>D626</f>
        <v>1214000</v>
      </c>
      <c r="G626" s="14">
        <f>G631*G628</f>
        <v>8080000</v>
      </c>
      <c r="H626" s="14"/>
      <c r="I626" s="14"/>
      <c r="J626" s="14">
        <f>G626</f>
        <v>8080000</v>
      </c>
      <c r="K626" s="14"/>
      <c r="L626" s="14"/>
      <c r="M626" s="14"/>
      <c r="N626" s="14">
        <f>N628*N631</f>
        <v>12000000</v>
      </c>
      <c r="O626" s="14"/>
      <c r="P626" s="14">
        <f>N626</f>
        <v>12000000</v>
      </c>
      <c r="Q626" s="71"/>
    </row>
    <row r="627" spans="1:17" ht="11.25">
      <c r="A627" s="20" t="s">
        <v>5</v>
      </c>
      <c r="B627" s="7"/>
      <c r="C627" s="7"/>
      <c r="D627" s="142"/>
      <c r="E627" s="143"/>
      <c r="F627" s="143"/>
      <c r="G627" s="14"/>
      <c r="H627" s="14"/>
      <c r="I627" s="14"/>
      <c r="J627" s="14"/>
      <c r="K627" s="14"/>
      <c r="L627" s="14"/>
      <c r="M627" s="14"/>
      <c r="N627" s="14"/>
      <c r="O627" s="14"/>
      <c r="P627" s="14"/>
      <c r="Q627" s="71"/>
    </row>
    <row r="628" spans="1:17" ht="22.5">
      <c r="A628" s="21" t="s">
        <v>309</v>
      </c>
      <c r="B628" s="7"/>
      <c r="C628" s="7"/>
      <c r="D628" s="142">
        <v>2</v>
      </c>
      <c r="E628" s="143"/>
      <c r="F628" s="143">
        <v>2</v>
      </c>
      <c r="G628" s="14">
        <v>2</v>
      </c>
      <c r="H628" s="14"/>
      <c r="I628" s="14"/>
      <c r="J628" s="14">
        <f>G628</f>
        <v>2</v>
      </c>
      <c r="K628" s="14"/>
      <c r="L628" s="14"/>
      <c r="M628" s="14"/>
      <c r="N628" s="14">
        <v>1</v>
      </c>
      <c r="O628" s="14"/>
      <c r="P628" s="14">
        <v>1</v>
      </c>
      <c r="Q628" s="71"/>
    </row>
    <row r="629" spans="1:17" ht="22.5" hidden="1">
      <c r="A629" s="21" t="s">
        <v>260</v>
      </c>
      <c r="B629" s="7"/>
      <c r="C629" s="7"/>
      <c r="D629" s="142"/>
      <c r="E629" s="143"/>
      <c r="F629" s="143"/>
      <c r="G629" s="14"/>
      <c r="H629" s="14"/>
      <c r="I629" s="14"/>
      <c r="J629" s="14"/>
      <c r="K629" s="14"/>
      <c r="L629" s="14"/>
      <c r="M629" s="14"/>
      <c r="N629" s="14"/>
      <c r="O629" s="14"/>
      <c r="P629" s="14"/>
      <c r="Q629" s="71"/>
    </row>
    <row r="630" spans="1:17" ht="11.25">
      <c r="A630" s="20" t="s">
        <v>7</v>
      </c>
      <c r="B630" s="7"/>
      <c r="C630" s="7"/>
      <c r="D630" s="142"/>
      <c r="E630" s="143"/>
      <c r="F630" s="143"/>
      <c r="G630" s="14"/>
      <c r="H630" s="14"/>
      <c r="I630" s="14"/>
      <c r="J630" s="14"/>
      <c r="K630" s="14"/>
      <c r="L630" s="14"/>
      <c r="M630" s="14"/>
      <c r="N630" s="14"/>
      <c r="O630" s="14"/>
      <c r="P630" s="14"/>
      <c r="Q630" s="71"/>
    </row>
    <row r="631" spans="1:17" ht="22.5">
      <c r="A631" s="21" t="s">
        <v>310</v>
      </c>
      <c r="B631" s="7"/>
      <c r="C631" s="7"/>
      <c r="D631" s="142">
        <v>607000</v>
      </c>
      <c r="E631" s="143"/>
      <c r="F631" s="143">
        <f>D631</f>
        <v>607000</v>
      </c>
      <c r="G631" s="14">
        <v>4040000</v>
      </c>
      <c r="H631" s="14"/>
      <c r="I631" s="14"/>
      <c r="J631" s="14">
        <f>G631</f>
        <v>4040000</v>
      </c>
      <c r="K631" s="14"/>
      <c r="L631" s="14"/>
      <c r="M631" s="14"/>
      <c r="N631" s="14">
        <v>12000000</v>
      </c>
      <c r="O631" s="14"/>
      <c r="P631" s="14">
        <f>N631</f>
        <v>12000000</v>
      </c>
      <c r="Q631" s="71"/>
    </row>
    <row r="632" spans="1:235" ht="33.75" hidden="1">
      <c r="A632" s="21" t="s">
        <v>261</v>
      </c>
      <c r="B632" s="7"/>
      <c r="C632" s="7"/>
      <c r="D632" s="144"/>
      <c r="E632" s="129"/>
      <c r="F632" s="129"/>
      <c r="G632" s="14"/>
      <c r="H632" s="14"/>
      <c r="I632" s="14"/>
      <c r="J632" s="14"/>
      <c r="K632" s="14"/>
      <c r="L632" s="14"/>
      <c r="M632" s="14"/>
      <c r="N632" s="14"/>
      <c r="O632" s="14"/>
      <c r="P632" s="14"/>
      <c r="Q632" s="71"/>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row>
    <row r="633" spans="1:17" s="83" customFormat="1" ht="12">
      <c r="A633" s="105" t="s">
        <v>424</v>
      </c>
      <c r="B633" s="75"/>
      <c r="C633" s="75"/>
      <c r="D633" s="87">
        <f>D636</f>
        <v>0</v>
      </c>
      <c r="E633" s="87">
        <v>0</v>
      </c>
      <c r="F633" s="87">
        <f>D633</f>
        <v>0</v>
      </c>
      <c r="G633" s="87">
        <f>G636</f>
        <v>1200000</v>
      </c>
      <c r="H633" s="87"/>
      <c r="I633" s="87">
        <f>I636</f>
        <v>0</v>
      </c>
      <c r="J633" s="87">
        <f>J636</f>
        <v>1200000</v>
      </c>
      <c r="K633" s="87"/>
      <c r="L633" s="87"/>
      <c r="M633" s="87"/>
      <c r="N633" s="87">
        <f>N636</f>
        <v>1300000</v>
      </c>
      <c r="O633" s="87"/>
      <c r="P633" s="87">
        <f>P636</f>
        <v>1300000</v>
      </c>
      <c r="Q633" s="82"/>
    </row>
    <row r="634" spans="1:235" ht="33.75">
      <c r="A634" s="22" t="s">
        <v>245</v>
      </c>
      <c r="B634" s="7"/>
      <c r="C634" s="7"/>
      <c r="D634" s="14"/>
      <c r="E634" s="14"/>
      <c r="F634" s="14"/>
      <c r="G634" s="14"/>
      <c r="H634" s="14"/>
      <c r="I634" s="14"/>
      <c r="J634" s="14"/>
      <c r="K634" s="14"/>
      <c r="L634" s="14"/>
      <c r="M634" s="14"/>
      <c r="N634" s="14"/>
      <c r="O634" s="14"/>
      <c r="P634" s="14"/>
      <c r="Q634" s="71"/>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row>
    <row r="635" spans="1:235" ht="54.75" customHeight="1">
      <c r="A635" s="21" t="s">
        <v>264</v>
      </c>
      <c r="B635" s="7"/>
      <c r="C635" s="7"/>
      <c r="D635" s="60"/>
      <c r="E635" s="14"/>
      <c r="F635" s="14"/>
      <c r="G635" s="14"/>
      <c r="H635" s="14"/>
      <c r="I635" s="14"/>
      <c r="J635" s="14"/>
      <c r="K635" s="14"/>
      <c r="L635" s="14"/>
      <c r="M635" s="14"/>
      <c r="N635" s="14"/>
      <c r="O635" s="14"/>
      <c r="P635" s="14"/>
      <c r="Q635" s="71"/>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167" customFormat="1" ht="21">
      <c r="A636" s="168" t="s">
        <v>402</v>
      </c>
      <c r="B636" s="164"/>
      <c r="C636" s="164"/>
      <c r="D636" s="165">
        <f>200000-200000</f>
        <v>0</v>
      </c>
      <c r="E636" s="165"/>
      <c r="F636" s="165">
        <f>D636</f>
        <v>0</v>
      </c>
      <c r="G636" s="148">
        <f>G637+G644</f>
        <v>1200000</v>
      </c>
      <c r="H636" s="148"/>
      <c r="I636" s="148"/>
      <c r="J636" s="148">
        <f>G636</f>
        <v>1200000</v>
      </c>
      <c r="K636" s="148"/>
      <c r="L636" s="148"/>
      <c r="M636" s="148"/>
      <c r="N636" s="148">
        <f>N637+N644</f>
        <v>1300000</v>
      </c>
      <c r="O636" s="148"/>
      <c r="P636" s="148">
        <f>N636</f>
        <v>1300000</v>
      </c>
      <c r="Q636" s="166"/>
    </row>
    <row r="637" spans="1:17" s="197" customFormat="1" ht="45">
      <c r="A637" s="198" t="s">
        <v>433</v>
      </c>
      <c r="B637" s="164"/>
      <c r="C637" s="164"/>
      <c r="D637" s="165"/>
      <c r="E637" s="165"/>
      <c r="F637" s="165"/>
      <c r="G637" s="148">
        <f>G641*G643</f>
        <v>1000000</v>
      </c>
      <c r="H637" s="148">
        <f aca="true" t="shared" si="46" ref="H637:P637">H641*H643</f>
        <v>0</v>
      </c>
      <c r="I637" s="148">
        <f t="shared" si="46"/>
        <v>0</v>
      </c>
      <c r="J637" s="148">
        <f>G637</f>
        <v>1000000</v>
      </c>
      <c r="K637" s="148">
        <f t="shared" si="46"/>
        <v>0</v>
      </c>
      <c r="L637" s="148">
        <f t="shared" si="46"/>
        <v>0</v>
      </c>
      <c r="M637" s="148">
        <f t="shared" si="46"/>
        <v>0</v>
      </c>
      <c r="N637" s="148">
        <f>N641*N643</f>
        <v>1100000</v>
      </c>
      <c r="O637" s="148">
        <f t="shared" si="46"/>
        <v>0</v>
      </c>
      <c r="P637" s="148">
        <f t="shared" si="46"/>
        <v>1100000</v>
      </c>
      <c r="Q637" s="196"/>
    </row>
    <row r="638" spans="1:17" s="197" customFormat="1" ht="11.25">
      <c r="A638" s="20" t="s">
        <v>4</v>
      </c>
      <c r="B638" s="194"/>
      <c r="C638" s="194"/>
      <c r="D638" s="195"/>
      <c r="E638" s="195"/>
      <c r="F638" s="195"/>
      <c r="G638" s="163"/>
      <c r="H638" s="163"/>
      <c r="I638" s="163"/>
      <c r="J638" s="163"/>
      <c r="K638" s="163"/>
      <c r="L638" s="163"/>
      <c r="M638" s="163"/>
      <c r="N638" s="163"/>
      <c r="O638" s="163"/>
      <c r="P638" s="163"/>
      <c r="Q638" s="196"/>
    </row>
    <row r="639" spans="1:17" s="197" customFormat="1" ht="27.75" customHeight="1">
      <c r="A639" s="21" t="s">
        <v>271</v>
      </c>
      <c r="B639" s="194"/>
      <c r="C639" s="194"/>
      <c r="D639" s="195"/>
      <c r="E639" s="195"/>
      <c r="F639" s="195"/>
      <c r="G639" s="111">
        <v>100</v>
      </c>
      <c r="H639" s="163"/>
      <c r="I639" s="163"/>
      <c r="J639" s="111">
        <f>G639</f>
        <v>100</v>
      </c>
      <c r="K639" s="163"/>
      <c r="L639" s="163"/>
      <c r="M639" s="163"/>
      <c r="N639" s="111">
        <v>200</v>
      </c>
      <c r="O639" s="111"/>
      <c r="P639" s="111">
        <f>N639</f>
        <v>200</v>
      </c>
      <c r="Q639" s="196"/>
    </row>
    <row r="640" spans="1:17" s="197" customFormat="1" ht="11.25">
      <c r="A640" s="20" t="s">
        <v>5</v>
      </c>
      <c r="B640" s="194"/>
      <c r="C640" s="194"/>
      <c r="D640" s="195"/>
      <c r="E640" s="195"/>
      <c r="F640" s="195"/>
      <c r="G640" s="163"/>
      <c r="H640" s="163"/>
      <c r="I640" s="163"/>
      <c r="J640" s="163"/>
      <c r="K640" s="163"/>
      <c r="L640" s="163"/>
      <c r="M640" s="163"/>
      <c r="N640" s="163"/>
      <c r="O640" s="163"/>
      <c r="P640" s="163"/>
      <c r="Q640" s="196"/>
    </row>
    <row r="641" spans="1:17" s="197" customFormat="1" ht="22.5">
      <c r="A641" s="21" t="s">
        <v>272</v>
      </c>
      <c r="B641" s="194"/>
      <c r="C641" s="194"/>
      <c r="D641" s="195"/>
      <c r="E641" s="195"/>
      <c r="F641" s="195"/>
      <c r="G641" s="111">
        <f>G639</f>
        <v>100</v>
      </c>
      <c r="H641" s="111"/>
      <c r="I641" s="111"/>
      <c r="J641" s="111">
        <f>J639</f>
        <v>100</v>
      </c>
      <c r="K641" s="111">
        <f>K639</f>
        <v>0</v>
      </c>
      <c r="L641" s="111">
        <f>L639</f>
        <v>0</v>
      </c>
      <c r="M641" s="111">
        <f>M639</f>
        <v>0</v>
      </c>
      <c r="N641" s="111">
        <v>200</v>
      </c>
      <c r="O641" s="111">
        <f>O639</f>
        <v>0</v>
      </c>
      <c r="P641" s="111">
        <v>200</v>
      </c>
      <c r="Q641" s="196"/>
    </row>
    <row r="642" spans="1:17" s="197" customFormat="1" ht="11.25">
      <c r="A642" s="20" t="s">
        <v>7</v>
      </c>
      <c r="B642" s="194"/>
      <c r="C642" s="194"/>
      <c r="D642" s="195"/>
      <c r="E642" s="195"/>
      <c r="F642" s="195"/>
      <c r="G642" s="163"/>
      <c r="H642" s="163"/>
      <c r="I642" s="163"/>
      <c r="J642" s="163"/>
      <c r="K642" s="163"/>
      <c r="L642" s="163"/>
      <c r="M642" s="163"/>
      <c r="N642" s="163"/>
      <c r="O642" s="163"/>
      <c r="P642" s="163"/>
      <c r="Q642" s="196"/>
    </row>
    <row r="643" spans="1:17" s="197" customFormat="1" ht="17.25" customHeight="1">
      <c r="A643" s="21" t="s">
        <v>273</v>
      </c>
      <c r="B643" s="194"/>
      <c r="C643" s="194"/>
      <c r="D643" s="195"/>
      <c r="E643" s="195"/>
      <c r="F643" s="195"/>
      <c r="G643" s="111">
        <v>10000</v>
      </c>
      <c r="H643" s="163"/>
      <c r="I643" s="163"/>
      <c r="J643" s="163"/>
      <c r="K643" s="163"/>
      <c r="L643" s="163"/>
      <c r="M643" s="163"/>
      <c r="N643" s="111">
        <v>5500</v>
      </c>
      <c r="O643" s="111"/>
      <c r="P643" s="111">
        <v>5500</v>
      </c>
      <c r="Q643" s="196"/>
    </row>
    <row r="644" spans="1:17" s="197" customFormat="1" ht="65.25" customHeight="1">
      <c r="A644" s="198" t="s">
        <v>434</v>
      </c>
      <c r="B644" s="164"/>
      <c r="C644" s="164"/>
      <c r="D644" s="165"/>
      <c r="E644" s="165"/>
      <c r="F644" s="165"/>
      <c r="G644" s="148">
        <f>G648*G651</f>
        <v>200000</v>
      </c>
      <c r="H644" s="148">
        <f aca="true" t="shared" si="47" ref="H644:P644">H648*H651</f>
        <v>0</v>
      </c>
      <c r="I644" s="148">
        <f t="shared" si="47"/>
        <v>0</v>
      </c>
      <c r="J644" s="148">
        <f t="shared" si="47"/>
        <v>200000</v>
      </c>
      <c r="K644" s="148">
        <f t="shared" si="47"/>
        <v>0</v>
      </c>
      <c r="L644" s="148">
        <f t="shared" si="47"/>
        <v>0</v>
      </c>
      <c r="M644" s="148">
        <f t="shared" si="47"/>
        <v>0</v>
      </c>
      <c r="N644" s="148">
        <f t="shared" si="47"/>
        <v>200000</v>
      </c>
      <c r="O644" s="148">
        <f t="shared" si="47"/>
        <v>0</v>
      </c>
      <c r="P644" s="148">
        <f t="shared" si="47"/>
        <v>200000</v>
      </c>
      <c r="Q644" s="196"/>
    </row>
    <row r="645" spans="1:235" ht="11.25">
      <c r="A645" s="20" t="s">
        <v>4</v>
      </c>
      <c r="B645" s="7"/>
      <c r="C645" s="7"/>
      <c r="D645" s="142"/>
      <c r="E645" s="143"/>
      <c r="F645" s="143"/>
      <c r="G645" s="14"/>
      <c r="H645" s="14"/>
      <c r="I645" s="14"/>
      <c r="J645" s="14"/>
      <c r="K645" s="14"/>
      <c r="L645" s="14"/>
      <c r="M645" s="14"/>
      <c r="N645" s="14"/>
      <c r="O645" s="14"/>
      <c r="P645" s="14"/>
      <c r="Q645" s="71"/>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33.75">
      <c r="A646" s="21" t="s">
        <v>271</v>
      </c>
      <c r="B646" s="7"/>
      <c r="C646" s="7"/>
      <c r="D646" s="142">
        <v>120</v>
      </c>
      <c r="E646" s="143"/>
      <c r="F646" s="143">
        <f>D646</f>
        <v>120</v>
      </c>
      <c r="G646" s="143">
        <v>20</v>
      </c>
      <c r="H646" s="143"/>
      <c r="I646" s="143"/>
      <c r="J646" s="143">
        <f>G646</f>
        <v>20</v>
      </c>
      <c r="K646" s="143">
        <f>H646</f>
        <v>0</v>
      </c>
      <c r="L646" s="143">
        <f>J646</f>
        <v>20</v>
      </c>
      <c r="M646" s="143">
        <f>K646</f>
        <v>0</v>
      </c>
      <c r="N646" s="143">
        <v>20</v>
      </c>
      <c r="O646" s="143"/>
      <c r="P646" s="143">
        <f>N646</f>
        <v>20</v>
      </c>
      <c r="Q646" s="71"/>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c r="A647" s="20" t="s">
        <v>5</v>
      </c>
      <c r="B647" s="7"/>
      <c r="C647" s="7"/>
      <c r="D647" s="142"/>
      <c r="E647" s="143"/>
      <c r="F647" s="143"/>
      <c r="G647" s="14"/>
      <c r="H647" s="14"/>
      <c r="I647" s="14"/>
      <c r="J647" s="14"/>
      <c r="K647" s="14"/>
      <c r="L647" s="14"/>
      <c r="M647" s="14"/>
      <c r="N647" s="14"/>
      <c r="O647" s="14"/>
      <c r="P647" s="14"/>
      <c r="Q647" s="71"/>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32.25" customHeight="1">
      <c r="A648" s="21" t="s">
        <v>272</v>
      </c>
      <c r="B648" s="7"/>
      <c r="C648" s="7"/>
      <c r="D648" s="142">
        <v>120</v>
      </c>
      <c r="E648" s="143"/>
      <c r="F648" s="143">
        <v>120</v>
      </c>
      <c r="G648" s="14">
        <v>20</v>
      </c>
      <c r="H648" s="14"/>
      <c r="I648" s="14"/>
      <c r="J648" s="14">
        <f>G648</f>
        <v>20</v>
      </c>
      <c r="K648" s="14"/>
      <c r="L648" s="14"/>
      <c r="M648" s="14"/>
      <c r="N648" s="14">
        <v>20</v>
      </c>
      <c r="O648" s="14"/>
      <c r="P648" s="14">
        <f>N648</f>
        <v>20</v>
      </c>
      <c r="Q648" s="71"/>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22.5" hidden="1">
      <c r="A649" s="21" t="s">
        <v>260</v>
      </c>
      <c r="B649" s="7"/>
      <c r="C649" s="7"/>
      <c r="D649" s="142"/>
      <c r="E649" s="143"/>
      <c r="F649" s="143"/>
      <c r="G649" s="14"/>
      <c r="H649" s="14"/>
      <c r="I649" s="14"/>
      <c r="J649" s="14"/>
      <c r="K649" s="14"/>
      <c r="L649" s="14"/>
      <c r="M649" s="14"/>
      <c r="N649" s="14"/>
      <c r="O649" s="14"/>
      <c r="P649" s="14"/>
      <c r="Q649" s="71"/>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7</v>
      </c>
      <c r="B650" s="7"/>
      <c r="C650" s="7"/>
      <c r="D650" s="142"/>
      <c r="E650" s="143"/>
      <c r="F650" s="143"/>
      <c r="G650" s="14"/>
      <c r="H650" s="14"/>
      <c r="I650" s="14"/>
      <c r="J650" s="14"/>
      <c r="K650" s="14"/>
      <c r="L650" s="14"/>
      <c r="M650" s="14"/>
      <c r="N650" s="14"/>
      <c r="O650" s="14"/>
      <c r="P650" s="14"/>
      <c r="Q650" s="71"/>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22.5">
      <c r="A651" s="21" t="s">
        <v>273</v>
      </c>
      <c r="B651" s="7"/>
      <c r="C651" s="7"/>
      <c r="D651" s="142">
        <f>D636/D648</f>
        <v>0</v>
      </c>
      <c r="E651" s="143"/>
      <c r="F651" s="143">
        <f>D651</f>
        <v>0</v>
      </c>
      <c r="G651" s="14">
        <v>10000</v>
      </c>
      <c r="H651" s="14"/>
      <c r="I651" s="14"/>
      <c r="J651" s="14">
        <f>G651</f>
        <v>10000</v>
      </c>
      <c r="K651" s="14"/>
      <c r="L651" s="14"/>
      <c r="M651" s="14"/>
      <c r="N651" s="14">
        <v>10000</v>
      </c>
      <c r="O651" s="14"/>
      <c r="P651" s="14">
        <f>N651</f>
        <v>10000</v>
      </c>
      <c r="Q651" s="7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11.25" hidden="1">
      <c r="A652" s="69"/>
      <c r="B652" s="51"/>
      <c r="C652" s="51"/>
      <c r="D652" s="145"/>
      <c r="E652" s="146"/>
      <c r="F652" s="146"/>
      <c r="G652" s="70"/>
      <c r="H652" s="70"/>
      <c r="I652" s="70"/>
      <c r="J652" s="70"/>
      <c r="K652" s="70"/>
      <c r="L652" s="70"/>
      <c r="M652" s="70"/>
      <c r="N652" s="70"/>
      <c r="O652" s="70"/>
      <c r="P652" s="70"/>
      <c r="Q652" s="71"/>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hidden="1">
      <c r="A653" s="69"/>
      <c r="B653" s="51"/>
      <c r="C653" s="51"/>
      <c r="D653" s="145"/>
      <c r="E653" s="146"/>
      <c r="F653" s="146"/>
      <c r="G653" s="70"/>
      <c r="H653" s="70"/>
      <c r="I653" s="70"/>
      <c r="J653" s="70"/>
      <c r="K653" s="70"/>
      <c r="L653" s="70"/>
      <c r="M653" s="70"/>
      <c r="N653" s="70"/>
      <c r="O653" s="70"/>
      <c r="P653" s="70"/>
      <c r="Q653" s="71"/>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hidden="1">
      <c r="A654" s="69"/>
      <c r="B654" s="51"/>
      <c r="C654" s="51"/>
      <c r="D654" s="145"/>
      <c r="E654" s="146"/>
      <c r="F654" s="146"/>
      <c r="G654" s="70"/>
      <c r="H654" s="70"/>
      <c r="I654" s="70"/>
      <c r="J654" s="70"/>
      <c r="K654" s="70"/>
      <c r="L654" s="70"/>
      <c r="M654" s="70"/>
      <c r="N654" s="70"/>
      <c r="O654" s="70"/>
      <c r="P654" s="70"/>
      <c r="Q654" s="71"/>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69"/>
      <c r="B655" s="51"/>
      <c r="C655" s="51"/>
      <c r="D655" s="145"/>
      <c r="E655" s="146"/>
      <c r="F655" s="146"/>
      <c r="G655" s="70"/>
      <c r="H655" s="70"/>
      <c r="I655" s="70"/>
      <c r="J655" s="70"/>
      <c r="K655" s="70"/>
      <c r="L655" s="70"/>
      <c r="M655" s="70"/>
      <c r="N655" s="70"/>
      <c r="O655" s="70"/>
      <c r="P655" s="70"/>
      <c r="Q655" s="71"/>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17" s="83" customFormat="1" ht="12">
      <c r="A656" s="105" t="s">
        <v>425</v>
      </c>
      <c r="B656" s="75"/>
      <c r="C656" s="75"/>
      <c r="D656" s="87">
        <f>D659</f>
        <v>0</v>
      </c>
      <c r="E656" s="87">
        <f>E659</f>
        <v>1084420</v>
      </c>
      <c r="F656" s="87">
        <f>D656+E656</f>
        <v>1084420</v>
      </c>
      <c r="G656" s="87"/>
      <c r="H656" s="87">
        <f>H659</f>
        <v>3699999.9999893</v>
      </c>
      <c r="I656" s="87">
        <f>I659</f>
        <v>0</v>
      </c>
      <c r="J656" s="87">
        <f>J659</f>
        <v>3699999.9999893</v>
      </c>
      <c r="K656" s="87"/>
      <c r="L656" s="87"/>
      <c r="M656" s="87"/>
      <c r="N656" s="87"/>
      <c r="O656" s="87">
        <f>O659</f>
        <v>1000000</v>
      </c>
      <c r="P656" s="87">
        <f>O656</f>
        <v>1000000</v>
      </c>
      <c r="Q656" s="82"/>
    </row>
    <row r="657" spans="1:235" ht="33.75">
      <c r="A657" s="22" t="s">
        <v>245</v>
      </c>
      <c r="B657" s="7"/>
      <c r="C657" s="7"/>
      <c r="D657" s="14"/>
      <c r="E657" s="14"/>
      <c r="F657" s="14"/>
      <c r="G657" s="14"/>
      <c r="H657" s="14"/>
      <c r="I657" s="14"/>
      <c r="J657" s="14"/>
      <c r="K657" s="14"/>
      <c r="L657" s="14"/>
      <c r="M657" s="14"/>
      <c r="N657" s="14"/>
      <c r="O657" s="14"/>
      <c r="P657" s="14"/>
      <c r="Q657" s="71"/>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2.5">
      <c r="A658" s="21" t="s">
        <v>274</v>
      </c>
      <c r="B658" s="7"/>
      <c r="C658" s="7"/>
      <c r="D658" s="14"/>
      <c r="E658" s="14"/>
      <c r="F658" s="14"/>
      <c r="G658" s="14"/>
      <c r="H658" s="14"/>
      <c r="I658" s="14"/>
      <c r="J658" s="14"/>
      <c r="K658" s="14"/>
      <c r="L658" s="14"/>
      <c r="M658" s="14"/>
      <c r="N658" s="14"/>
      <c r="O658" s="14"/>
      <c r="P658" s="14"/>
      <c r="Q658" s="71"/>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90" customFormat="1" ht="22.5">
      <c r="A659" s="80" t="s">
        <v>403</v>
      </c>
      <c r="B659" s="86"/>
      <c r="C659" s="86"/>
      <c r="D659" s="87"/>
      <c r="E659" s="87">
        <v>1084420</v>
      </c>
      <c r="F659" s="87">
        <f>D659+E659</f>
        <v>1084420</v>
      </c>
      <c r="G659" s="87"/>
      <c r="H659" s="87">
        <f>H663*H666</f>
        <v>3699999.9999893</v>
      </c>
      <c r="I659" s="87"/>
      <c r="J659" s="87">
        <f>H659</f>
        <v>3699999.9999893</v>
      </c>
      <c r="K659" s="87"/>
      <c r="L659" s="87"/>
      <c r="M659" s="87"/>
      <c r="N659" s="87"/>
      <c r="O659" s="87">
        <f>O661</f>
        <v>1000000</v>
      </c>
      <c r="P659" s="87">
        <f>O659</f>
        <v>1000000</v>
      </c>
      <c r="Q659" s="103"/>
    </row>
    <row r="660" spans="1:235" ht="11.25">
      <c r="A660" s="20" t="s">
        <v>4</v>
      </c>
      <c r="B660" s="7"/>
      <c r="C660" s="7"/>
      <c r="D660" s="14"/>
      <c r="E660" s="14"/>
      <c r="F660" s="14"/>
      <c r="G660" s="14"/>
      <c r="H660" s="14"/>
      <c r="I660" s="14"/>
      <c r="J660" s="14"/>
      <c r="K660" s="14"/>
      <c r="L660" s="14"/>
      <c r="M660" s="14"/>
      <c r="N660" s="14"/>
      <c r="O660" s="14"/>
      <c r="P660" s="14"/>
      <c r="Q660" s="71"/>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11.25">
      <c r="A661" s="21" t="s">
        <v>63</v>
      </c>
      <c r="B661" s="7"/>
      <c r="C661" s="7"/>
      <c r="D661" s="14"/>
      <c r="E661" s="14">
        <f>E659</f>
        <v>1084420</v>
      </c>
      <c r="F661" s="14">
        <f>D661+E661</f>
        <v>1084420</v>
      </c>
      <c r="G661" s="14"/>
      <c r="H661" s="14">
        <f>H659</f>
        <v>3699999.9999893</v>
      </c>
      <c r="I661" s="14"/>
      <c r="J661" s="14">
        <f>H661</f>
        <v>3699999.9999893</v>
      </c>
      <c r="K661" s="14"/>
      <c r="L661" s="14"/>
      <c r="M661" s="14"/>
      <c r="O661" s="14">
        <v>1000000</v>
      </c>
      <c r="P661" s="14">
        <f>O661</f>
        <v>1000000</v>
      </c>
      <c r="Q661" s="7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11.25">
      <c r="A662" s="20" t="s">
        <v>5</v>
      </c>
      <c r="B662" s="7"/>
      <c r="C662" s="7"/>
      <c r="D662" s="14"/>
      <c r="E662" s="14"/>
      <c r="F662" s="14"/>
      <c r="G662" s="14"/>
      <c r="H662" s="14"/>
      <c r="I662" s="14"/>
      <c r="J662" s="14"/>
      <c r="K662" s="14"/>
      <c r="L662" s="14"/>
      <c r="M662" s="14"/>
      <c r="N662" s="14"/>
      <c r="O662" s="14"/>
      <c r="P662" s="14"/>
      <c r="Q662" s="71"/>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235" ht="26.25" customHeight="1">
      <c r="A663" s="21" t="s">
        <v>275</v>
      </c>
      <c r="B663" s="7"/>
      <c r="C663" s="7"/>
      <c r="D663" s="14"/>
      <c r="E663" s="14">
        <v>39</v>
      </c>
      <c r="F663" s="14">
        <f>D663+E663</f>
        <v>39</v>
      </c>
      <c r="G663" s="14"/>
      <c r="H663" s="14">
        <v>133</v>
      </c>
      <c r="I663" s="14"/>
      <c r="J663" s="14">
        <f>H663</f>
        <v>133</v>
      </c>
      <c r="K663" s="14"/>
      <c r="L663" s="14"/>
      <c r="M663" s="14"/>
      <c r="N663" s="14"/>
      <c r="O663" s="14">
        <v>28</v>
      </c>
      <c r="P663" s="14">
        <v>28</v>
      </c>
      <c r="Q663" s="71"/>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hidden="1">
      <c r="A664" s="21" t="s">
        <v>237</v>
      </c>
      <c r="B664" s="7"/>
      <c r="C664" s="7"/>
      <c r="D664" s="14">
        <v>145</v>
      </c>
      <c r="E664" s="14"/>
      <c r="F664" s="14">
        <f>D664</f>
        <v>145</v>
      </c>
      <c r="G664" s="14"/>
      <c r="H664" s="14"/>
      <c r="I664" s="14"/>
      <c r="J664" s="14"/>
      <c r="K664" s="14"/>
      <c r="L664" s="14"/>
      <c r="M664" s="14"/>
      <c r="N664" s="14"/>
      <c r="O664" s="14"/>
      <c r="P664" s="14"/>
      <c r="Q664" s="71"/>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7</v>
      </c>
      <c r="B665" s="7"/>
      <c r="C665" s="7"/>
      <c r="D665" s="14"/>
      <c r="E665" s="14"/>
      <c r="F665" s="14"/>
      <c r="G665" s="14"/>
      <c r="H665" s="14"/>
      <c r="I665" s="14"/>
      <c r="J665" s="14"/>
      <c r="K665" s="14"/>
      <c r="L665" s="14"/>
      <c r="M665" s="14"/>
      <c r="N665" s="14"/>
      <c r="O665" s="14"/>
      <c r="P665" s="14"/>
      <c r="Q665" s="71"/>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2.5">
      <c r="A666" s="21" t="s">
        <v>276</v>
      </c>
      <c r="B666" s="7"/>
      <c r="C666" s="7"/>
      <c r="D666" s="14"/>
      <c r="E666" s="14">
        <f>E661/E663</f>
        <v>27805.641025641027</v>
      </c>
      <c r="F666" s="14">
        <f>F661/F663</f>
        <v>27805.641025641027</v>
      </c>
      <c r="G666" s="14"/>
      <c r="H666" s="14">
        <v>27819.5488721</v>
      </c>
      <c r="I666" s="14"/>
      <c r="J666" s="14">
        <f>H666</f>
        <v>27819.5488721</v>
      </c>
      <c r="K666" s="14"/>
      <c r="L666" s="14"/>
      <c r="M666" s="14"/>
      <c r="N666" s="14"/>
      <c r="O666" s="14">
        <f>O661/O663</f>
        <v>35714.28571428572</v>
      </c>
      <c r="P666" s="14">
        <f>O666</f>
        <v>35714.28571428572</v>
      </c>
      <c r="Q666" s="71"/>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2.5" hidden="1">
      <c r="A667" s="21" t="s">
        <v>240</v>
      </c>
      <c r="B667" s="7"/>
      <c r="C667" s="7"/>
      <c r="D667" s="14">
        <v>270.34</v>
      </c>
      <c r="E667" s="14"/>
      <c r="F667" s="14">
        <f>D667</f>
        <v>270.34</v>
      </c>
      <c r="G667" s="14"/>
      <c r="H667" s="14"/>
      <c r="I667" s="14"/>
      <c r="J667" s="14"/>
      <c r="K667" s="14"/>
      <c r="L667" s="14"/>
      <c r="M667" s="14"/>
      <c r="N667" s="14"/>
      <c r="O667" s="14"/>
      <c r="P667" s="14"/>
      <c r="Q667" s="71"/>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17" s="83" customFormat="1" ht="12">
      <c r="A668" s="105" t="s">
        <v>426</v>
      </c>
      <c r="B668" s="75"/>
      <c r="C668" s="75"/>
      <c r="D668" s="87">
        <f>D671</f>
        <v>0</v>
      </c>
      <c r="E668" s="87">
        <v>0</v>
      </c>
      <c r="F668" s="87">
        <f>D668</f>
        <v>0</v>
      </c>
      <c r="G668" s="87">
        <f>G671+G686</f>
        <v>1198800</v>
      </c>
      <c r="H668" s="87"/>
      <c r="I668" s="87">
        <f>I671</f>
        <v>0</v>
      </c>
      <c r="J668" s="87">
        <f>J671+J686</f>
        <v>1198800</v>
      </c>
      <c r="K668" s="87"/>
      <c r="L668" s="87"/>
      <c r="M668" s="87"/>
      <c r="N668" s="87">
        <f>N671</f>
        <v>780000</v>
      </c>
      <c r="O668" s="87"/>
      <c r="P668" s="87">
        <f>P671</f>
        <v>780000</v>
      </c>
      <c r="Q668" s="82"/>
    </row>
    <row r="669" spans="1:235" ht="33.75">
      <c r="A669" s="22" t="s">
        <v>245</v>
      </c>
      <c r="B669" s="7"/>
      <c r="C669" s="7"/>
      <c r="D669" s="14"/>
      <c r="E669" s="14"/>
      <c r="F669" s="14"/>
      <c r="G669" s="14"/>
      <c r="H669" s="14"/>
      <c r="I669" s="14"/>
      <c r="J669" s="14"/>
      <c r="K669" s="14"/>
      <c r="L669" s="14"/>
      <c r="M669" s="14"/>
      <c r="N669" s="14"/>
      <c r="O669" s="14"/>
      <c r="P669" s="14"/>
      <c r="Q669" s="71"/>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1" t="s">
        <v>297</v>
      </c>
      <c r="B670" s="7"/>
      <c r="C670" s="7"/>
      <c r="D670" s="60"/>
      <c r="E670" s="14"/>
      <c r="F670" s="14"/>
      <c r="G670" s="14"/>
      <c r="H670" s="14"/>
      <c r="I670" s="14"/>
      <c r="J670" s="14"/>
      <c r="K670" s="14"/>
      <c r="L670" s="14"/>
      <c r="M670" s="14"/>
      <c r="N670" s="14"/>
      <c r="O670" s="14"/>
      <c r="P670" s="14"/>
      <c r="Q670" s="71"/>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90" customFormat="1" ht="22.5">
      <c r="A671" s="80" t="s">
        <v>404</v>
      </c>
      <c r="B671" s="86"/>
      <c r="C671" s="86"/>
      <c r="D671" s="141"/>
      <c r="E671" s="141"/>
      <c r="F671" s="141">
        <f>D671</f>
        <v>0</v>
      </c>
      <c r="G671" s="87">
        <f>G676*G679</f>
        <v>998800</v>
      </c>
      <c r="H671" s="87"/>
      <c r="I671" s="87"/>
      <c r="J671" s="87">
        <f>G671</f>
        <v>998800</v>
      </c>
      <c r="K671" s="87"/>
      <c r="L671" s="87"/>
      <c r="M671" s="87"/>
      <c r="N671" s="87">
        <f>N673</f>
        <v>780000</v>
      </c>
      <c r="O671" s="87"/>
      <c r="P671" s="87">
        <f>N671</f>
        <v>780000</v>
      </c>
      <c r="Q671" s="103"/>
    </row>
    <row r="672" spans="1:235" ht="11.25">
      <c r="A672" s="20" t="s">
        <v>4</v>
      </c>
      <c r="B672" s="7"/>
      <c r="C672" s="7"/>
      <c r="D672" s="142"/>
      <c r="E672" s="143"/>
      <c r="F672" s="143"/>
      <c r="G672" s="14"/>
      <c r="H672" s="14"/>
      <c r="I672" s="14"/>
      <c r="J672" s="14"/>
      <c r="K672" s="14"/>
      <c r="L672" s="14"/>
      <c r="M672" s="14"/>
      <c r="N672" s="14"/>
      <c r="O672" s="14"/>
      <c r="P672" s="14"/>
      <c r="Q672" s="71"/>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0.5" customHeight="1">
      <c r="A673" s="21" t="s">
        <v>63</v>
      </c>
      <c r="B673" s="7"/>
      <c r="C673" s="7"/>
      <c r="D673" s="142"/>
      <c r="E673" s="143"/>
      <c r="F673" s="143"/>
      <c r="G673" s="14">
        <f>G679</f>
        <v>499400</v>
      </c>
      <c r="H673" s="14"/>
      <c r="I673" s="14"/>
      <c r="J673" s="14">
        <f>G673</f>
        <v>499400</v>
      </c>
      <c r="K673" s="14"/>
      <c r="L673" s="14"/>
      <c r="M673" s="14"/>
      <c r="N673" s="14">
        <f>N676*N679</f>
        <v>780000</v>
      </c>
      <c r="O673" s="14"/>
      <c r="P673" s="14">
        <f>N673</f>
        <v>780000</v>
      </c>
      <c r="Q673" s="71"/>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hidden="1">
      <c r="A674" s="21" t="s">
        <v>63</v>
      </c>
      <c r="B674" s="7"/>
      <c r="C674" s="7"/>
      <c r="D674" s="142"/>
      <c r="E674" s="143"/>
      <c r="F674" s="143"/>
      <c r="G674" s="14"/>
      <c r="H674" s="14"/>
      <c r="I674" s="14"/>
      <c r="J674" s="14"/>
      <c r="K674" s="14"/>
      <c r="L674" s="14"/>
      <c r="M674" s="14"/>
      <c r="N674" s="14"/>
      <c r="O674" s="14"/>
      <c r="P674" s="14"/>
      <c r="Q674" s="71"/>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c r="A675" s="20" t="s">
        <v>5</v>
      </c>
      <c r="B675" s="7"/>
      <c r="C675" s="7"/>
      <c r="D675" s="142"/>
      <c r="E675" s="143"/>
      <c r="F675" s="143"/>
      <c r="G675" s="14"/>
      <c r="H675" s="14"/>
      <c r="I675" s="14"/>
      <c r="J675" s="14"/>
      <c r="K675" s="14"/>
      <c r="L675" s="14"/>
      <c r="M675" s="14"/>
      <c r="N675" s="14"/>
      <c r="O675" s="14"/>
      <c r="P675" s="14"/>
      <c r="Q675" s="71"/>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277</v>
      </c>
      <c r="B676" s="7"/>
      <c r="C676" s="7"/>
      <c r="D676" s="142"/>
      <c r="E676" s="143"/>
      <c r="F676" s="143">
        <f>D676</f>
        <v>0</v>
      </c>
      <c r="G676" s="143">
        <v>2</v>
      </c>
      <c r="H676" s="143"/>
      <c r="I676" s="143"/>
      <c r="J676" s="143">
        <v>2</v>
      </c>
      <c r="K676" s="143">
        <f>H676</f>
        <v>0</v>
      </c>
      <c r="L676" s="143">
        <f>J676</f>
        <v>2</v>
      </c>
      <c r="M676" s="143">
        <f>K676</f>
        <v>0</v>
      </c>
      <c r="N676" s="143">
        <v>2</v>
      </c>
      <c r="O676" s="143"/>
      <c r="P676" s="143">
        <v>1</v>
      </c>
      <c r="Q676" s="71"/>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290</v>
      </c>
      <c r="B677" s="7"/>
      <c r="C677" s="7"/>
      <c r="D677" s="142"/>
      <c r="E677" s="143"/>
      <c r="F677" s="143"/>
      <c r="G677" s="143">
        <v>1487</v>
      </c>
      <c r="H677" s="143"/>
      <c r="I677" s="143"/>
      <c r="J677" s="143">
        <f>G677</f>
        <v>1487</v>
      </c>
      <c r="K677" s="143"/>
      <c r="L677" s="143"/>
      <c r="M677" s="143"/>
      <c r="N677" s="143"/>
      <c r="O677" s="143"/>
      <c r="P677" s="143"/>
      <c r="Q677" s="71"/>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7</v>
      </c>
      <c r="B678" s="7"/>
      <c r="C678" s="7"/>
      <c r="D678" s="142"/>
      <c r="E678" s="143"/>
      <c r="F678" s="143"/>
      <c r="G678" s="14"/>
      <c r="H678" s="14"/>
      <c r="I678" s="14"/>
      <c r="J678" s="14"/>
      <c r="K678" s="14"/>
      <c r="L678" s="14"/>
      <c r="M678" s="14"/>
      <c r="N678" s="14"/>
      <c r="O678" s="14"/>
      <c r="P678" s="14"/>
      <c r="Q678" s="71"/>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1" t="s">
        <v>278</v>
      </c>
      <c r="B679" s="7"/>
      <c r="C679" s="7"/>
      <c r="D679" s="142"/>
      <c r="E679" s="143"/>
      <c r="F679" s="143"/>
      <c r="G679" s="14">
        <f>465000+34400</f>
        <v>499400</v>
      </c>
      <c r="H679" s="14"/>
      <c r="I679" s="14"/>
      <c r="J679" s="14">
        <f>G679</f>
        <v>499400</v>
      </c>
      <c r="K679" s="14"/>
      <c r="L679" s="14"/>
      <c r="M679" s="14"/>
      <c r="N679" s="14">
        <v>390000</v>
      </c>
      <c r="O679" s="14"/>
      <c r="P679" s="14">
        <f>N679</f>
        <v>390000</v>
      </c>
      <c r="Q679" s="71"/>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c r="B680" s="7"/>
      <c r="C680" s="7"/>
      <c r="D680" s="14"/>
      <c r="E680" s="14"/>
      <c r="F680" s="14"/>
      <c r="G680" s="14"/>
      <c r="H680" s="14"/>
      <c r="I680" s="14"/>
      <c r="J680" s="14"/>
      <c r="K680" s="14"/>
      <c r="L680" s="14"/>
      <c r="M680" s="14"/>
      <c r="N680" s="14"/>
      <c r="O680" s="14"/>
      <c r="P680" s="14"/>
      <c r="Q680" s="71"/>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c r="B681" s="7"/>
      <c r="C681" s="7"/>
      <c r="D681" s="14"/>
      <c r="E681" s="14"/>
      <c r="F681" s="14"/>
      <c r="G681" s="14"/>
      <c r="H681" s="14"/>
      <c r="I681" s="14"/>
      <c r="J681" s="14"/>
      <c r="K681" s="14"/>
      <c r="L681" s="14"/>
      <c r="M681" s="14"/>
      <c r="N681" s="14"/>
      <c r="O681" s="14"/>
      <c r="P681" s="14"/>
      <c r="Q681" s="7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hidden="1">
      <c r="A682" s="21"/>
      <c r="B682" s="7"/>
      <c r="C682" s="7"/>
      <c r="D682" s="14"/>
      <c r="E682" s="14"/>
      <c r="F682" s="14"/>
      <c r="G682" s="14"/>
      <c r="H682" s="14"/>
      <c r="I682" s="14"/>
      <c r="J682" s="14"/>
      <c r="K682" s="14"/>
      <c r="L682" s="14"/>
      <c r="M682" s="14"/>
      <c r="N682" s="14"/>
      <c r="O682" s="14"/>
      <c r="P682" s="14"/>
      <c r="Q682" s="71"/>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1"/>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1"/>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21" customHeight="1" hidden="1">
      <c r="A685" s="21" t="s">
        <v>291</v>
      </c>
      <c r="B685" s="7"/>
      <c r="C685" s="7"/>
      <c r="D685" s="14"/>
      <c r="E685" s="14"/>
      <c r="F685" s="14"/>
      <c r="G685" s="14">
        <v>3000</v>
      </c>
      <c r="H685" s="14"/>
      <c r="I685" s="14"/>
      <c r="J685" s="14">
        <f>G685</f>
        <v>3000</v>
      </c>
      <c r="K685" s="14"/>
      <c r="L685" s="14"/>
      <c r="M685" s="14"/>
      <c r="N685" s="14"/>
      <c r="O685" s="14"/>
      <c r="P685" s="14"/>
      <c r="Q685" s="71"/>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17" s="90" customFormat="1" ht="22.5">
      <c r="A686" s="80" t="s">
        <v>405</v>
      </c>
      <c r="B686" s="86"/>
      <c r="C686" s="86"/>
      <c r="D686" s="141"/>
      <c r="E686" s="141"/>
      <c r="F686" s="141">
        <f>D686</f>
        <v>0</v>
      </c>
      <c r="G686" s="87">
        <f>G691*G694</f>
        <v>200000</v>
      </c>
      <c r="H686" s="87"/>
      <c r="I686" s="87"/>
      <c r="J686" s="87">
        <f>G686</f>
        <v>200000</v>
      </c>
      <c r="K686" s="87"/>
      <c r="L686" s="87"/>
      <c r="M686" s="87"/>
      <c r="N686" s="87"/>
      <c r="O686" s="87"/>
      <c r="P686" s="87"/>
      <c r="Q686" s="103"/>
    </row>
    <row r="687" spans="1:235" ht="11.25">
      <c r="A687" s="20" t="s">
        <v>4</v>
      </c>
      <c r="B687" s="7"/>
      <c r="C687" s="7"/>
      <c r="D687" s="142"/>
      <c r="E687" s="143"/>
      <c r="F687" s="143"/>
      <c r="G687" s="14"/>
      <c r="H687" s="14"/>
      <c r="I687" s="14"/>
      <c r="J687" s="14"/>
      <c r="K687" s="14"/>
      <c r="L687" s="14"/>
      <c r="M687" s="14"/>
      <c r="N687" s="14"/>
      <c r="O687" s="14"/>
      <c r="P687" s="14"/>
      <c r="Q687" s="71"/>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0.5" customHeight="1">
      <c r="A688" s="21" t="s">
        <v>63</v>
      </c>
      <c r="B688" s="7"/>
      <c r="C688" s="7"/>
      <c r="D688" s="142"/>
      <c r="E688" s="143"/>
      <c r="F688" s="143"/>
      <c r="G688" s="14">
        <f>G691*G694</f>
        <v>200000</v>
      </c>
      <c r="H688" s="14"/>
      <c r="I688" s="14"/>
      <c r="J688" s="14">
        <f>G688</f>
        <v>200000</v>
      </c>
      <c r="K688" s="14"/>
      <c r="L688" s="14"/>
      <c r="M688" s="14"/>
      <c r="N688" s="14"/>
      <c r="O688" s="14"/>
      <c r="P688" s="14"/>
      <c r="Q688" s="71"/>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11.25" hidden="1">
      <c r="A689" s="21" t="s">
        <v>63</v>
      </c>
      <c r="B689" s="7"/>
      <c r="C689" s="7"/>
      <c r="D689" s="142"/>
      <c r="E689" s="143"/>
      <c r="F689" s="143"/>
      <c r="G689" s="14"/>
      <c r="H689" s="14"/>
      <c r="I689" s="14"/>
      <c r="J689" s="14"/>
      <c r="K689" s="14"/>
      <c r="L689" s="14"/>
      <c r="M689" s="14"/>
      <c r="N689" s="14"/>
      <c r="O689" s="14"/>
      <c r="P689" s="14"/>
      <c r="Q689" s="71"/>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235" ht="11.25">
      <c r="A690" s="20" t="s">
        <v>5</v>
      </c>
      <c r="B690" s="7"/>
      <c r="C690" s="7"/>
      <c r="D690" s="142"/>
      <c r="E690" s="143"/>
      <c r="F690" s="143"/>
      <c r="G690" s="14"/>
      <c r="H690" s="14"/>
      <c r="I690" s="14"/>
      <c r="J690" s="14"/>
      <c r="K690" s="14"/>
      <c r="L690" s="14"/>
      <c r="M690" s="14"/>
      <c r="N690" s="14"/>
      <c r="O690" s="14"/>
      <c r="P690" s="14"/>
      <c r="Q690" s="71"/>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324</v>
      </c>
      <c r="B691" s="7"/>
      <c r="C691" s="7"/>
      <c r="D691" s="142"/>
      <c r="E691" s="143"/>
      <c r="F691" s="143">
        <f>D691</f>
        <v>0</v>
      </c>
      <c r="G691" s="143">
        <v>1</v>
      </c>
      <c r="H691" s="143"/>
      <c r="I691" s="143"/>
      <c r="J691" s="143">
        <f>G691</f>
        <v>1</v>
      </c>
      <c r="K691" s="143">
        <f>H691</f>
        <v>0</v>
      </c>
      <c r="L691" s="143">
        <f>J691</f>
        <v>1</v>
      </c>
      <c r="M691" s="143">
        <f>K691</f>
        <v>0</v>
      </c>
      <c r="N691" s="143"/>
      <c r="O691" s="143"/>
      <c r="P691" s="143"/>
      <c r="Q691" s="7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290</v>
      </c>
      <c r="B692" s="7"/>
      <c r="C692" s="7"/>
      <c r="D692" s="142"/>
      <c r="E692" s="143"/>
      <c r="F692" s="143"/>
      <c r="G692" s="143">
        <v>1487</v>
      </c>
      <c r="H692" s="143"/>
      <c r="I692" s="143"/>
      <c r="J692" s="143">
        <f>G692</f>
        <v>1487</v>
      </c>
      <c r="K692" s="143"/>
      <c r="L692" s="143"/>
      <c r="M692" s="143"/>
      <c r="N692" s="143"/>
      <c r="O692" s="143"/>
      <c r="P692" s="143"/>
      <c r="Q692" s="71"/>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7</v>
      </c>
      <c r="B693" s="7"/>
      <c r="C693" s="7"/>
      <c r="D693" s="142"/>
      <c r="E693" s="143"/>
      <c r="F693" s="143"/>
      <c r="G693" s="14"/>
      <c r="H693" s="14"/>
      <c r="I693" s="14"/>
      <c r="J693" s="14"/>
      <c r="K693" s="14"/>
      <c r="L693" s="14"/>
      <c r="M693" s="14"/>
      <c r="N693" s="14"/>
      <c r="O693" s="14"/>
      <c r="P693" s="14"/>
      <c r="Q693" s="71"/>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22.5">
      <c r="A694" s="21" t="s">
        <v>325</v>
      </c>
      <c r="B694" s="7"/>
      <c r="C694" s="7"/>
      <c r="D694" s="142"/>
      <c r="E694" s="143"/>
      <c r="F694" s="143"/>
      <c r="G694" s="14">
        <v>200000</v>
      </c>
      <c r="H694" s="14"/>
      <c r="I694" s="14"/>
      <c r="J694" s="14">
        <f>G694</f>
        <v>200000</v>
      </c>
      <c r="K694" s="14"/>
      <c r="L694" s="14"/>
      <c r="M694" s="14"/>
      <c r="N694" s="14"/>
      <c r="O694" s="14"/>
      <c r="P694" s="14"/>
      <c r="Q694" s="71"/>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17" s="83" customFormat="1" ht="12">
      <c r="A695" s="105" t="s">
        <v>427</v>
      </c>
      <c r="B695" s="75"/>
      <c r="C695" s="75"/>
      <c r="D695" s="87">
        <f>D697+D711+D778+D787+D794</f>
        <v>0</v>
      </c>
      <c r="E695" s="87"/>
      <c r="F695" s="87">
        <f>D695</f>
        <v>0</v>
      </c>
      <c r="G695" s="87"/>
      <c r="H695" s="87">
        <f>H697</f>
        <v>79404991</v>
      </c>
      <c r="I695" s="87">
        <f>I697</f>
        <v>47000</v>
      </c>
      <c r="J695" s="87">
        <f>H695+I695</f>
        <v>79451991</v>
      </c>
      <c r="K695" s="87"/>
      <c r="L695" s="87"/>
      <c r="M695" s="87"/>
      <c r="N695" s="87"/>
      <c r="O695" s="87">
        <f>O697</f>
        <v>128210724</v>
      </c>
      <c r="P695" s="87">
        <f>P697</f>
        <v>128210724</v>
      </c>
      <c r="Q695" s="82"/>
    </row>
    <row r="696" spans="1:235" ht="22.5">
      <c r="A696" s="21" t="s">
        <v>279</v>
      </c>
      <c r="B696" s="7"/>
      <c r="C696" s="7"/>
      <c r="D696" s="14"/>
      <c r="E696" s="14"/>
      <c r="F696" s="14"/>
      <c r="G696" s="14"/>
      <c r="H696" s="14"/>
      <c r="I696" s="14"/>
      <c r="J696" s="14"/>
      <c r="K696" s="14"/>
      <c r="L696" s="14"/>
      <c r="M696" s="14"/>
      <c r="N696" s="14"/>
      <c r="O696" s="14"/>
      <c r="P696" s="14"/>
      <c r="Q696" s="71"/>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17" s="90" customFormat="1" ht="33.75">
      <c r="A697" s="80" t="s">
        <v>406</v>
      </c>
      <c r="B697" s="86"/>
      <c r="C697" s="86"/>
      <c r="D697" s="87"/>
      <c r="E697" s="87"/>
      <c r="F697" s="87">
        <f>D697</f>
        <v>0</v>
      </c>
      <c r="G697" s="87"/>
      <c r="H697" s="87">
        <f>H701*H703</f>
        <v>79404991</v>
      </c>
      <c r="I697" s="87">
        <f>I699</f>
        <v>47000</v>
      </c>
      <c r="J697" s="87">
        <f>H697+I697</f>
        <v>79451991</v>
      </c>
      <c r="K697" s="87"/>
      <c r="L697" s="87"/>
      <c r="M697" s="87"/>
      <c r="N697" s="87"/>
      <c r="O697" s="87">
        <f>O701*O703</f>
        <v>128210724</v>
      </c>
      <c r="P697" s="87">
        <f>O697</f>
        <v>128210724</v>
      </c>
      <c r="Q697" s="103"/>
    </row>
    <row r="698" spans="1:235" ht="11.25">
      <c r="A698" s="20" t="s">
        <v>4</v>
      </c>
      <c r="B698" s="7"/>
      <c r="C698" s="7"/>
      <c r="D698" s="14"/>
      <c r="E698" s="14"/>
      <c r="F698" s="14"/>
      <c r="G698" s="14"/>
      <c r="H698" s="14"/>
      <c r="I698" s="14"/>
      <c r="J698" s="14"/>
      <c r="K698" s="14"/>
      <c r="L698" s="14"/>
      <c r="M698" s="14"/>
      <c r="N698" s="14"/>
      <c r="O698" s="14"/>
      <c r="P698" s="14"/>
      <c r="Q698" s="71"/>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c r="A699" s="21" t="s">
        <v>63</v>
      </c>
      <c r="B699" s="7"/>
      <c r="C699" s="7"/>
      <c r="D699" s="14"/>
      <c r="E699" s="14"/>
      <c r="F699" s="14">
        <f>D699</f>
        <v>0</v>
      </c>
      <c r="G699" s="14"/>
      <c r="H699" s="14">
        <f>49855600+12000000+250000+1116250+339900+677700+277200+14159+17372+292000+50+5000+2725000+1800000+1470000+21000+72610+1134950+5798800+317600+470000+700000+49800</f>
        <v>79404991</v>
      </c>
      <c r="I699" s="14">
        <v>47000</v>
      </c>
      <c r="J699" s="14">
        <f>H699+I699</f>
        <v>79451991</v>
      </c>
      <c r="K699" s="14"/>
      <c r="L699" s="14"/>
      <c r="M699" s="14"/>
      <c r="N699" s="14"/>
      <c r="O699" s="14">
        <f>88015624+24068600+13700000+4000000+543000+370000+2200000+958500-5000000-2500000+400000+230000+525000+300000+400000</f>
        <v>128210724</v>
      </c>
      <c r="P699" s="14">
        <f>O699</f>
        <v>128210724</v>
      </c>
      <c r="Q699" s="71"/>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c r="A700" s="20" t="s">
        <v>5</v>
      </c>
      <c r="B700" s="7"/>
      <c r="C700" s="7"/>
      <c r="D700" s="14"/>
      <c r="E700" s="14"/>
      <c r="F700" s="14"/>
      <c r="G700" s="14"/>
      <c r="H700" s="14"/>
      <c r="I700" s="14"/>
      <c r="J700" s="14"/>
      <c r="K700" s="14"/>
      <c r="L700" s="14"/>
      <c r="M700" s="14"/>
      <c r="N700" s="14"/>
      <c r="O700" s="14"/>
      <c r="P700" s="14"/>
      <c r="Q700" s="71"/>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33.75">
      <c r="A701" s="21" t="s">
        <v>280</v>
      </c>
      <c r="B701" s="7"/>
      <c r="C701" s="7"/>
      <c r="D701" s="14"/>
      <c r="E701" s="14"/>
      <c r="F701" s="14"/>
      <c r="G701" s="14"/>
      <c r="H701" s="14">
        <v>8</v>
      </c>
      <c r="I701" s="14"/>
      <c r="J701" s="14">
        <v>8</v>
      </c>
      <c r="K701" s="14"/>
      <c r="L701" s="14"/>
      <c r="M701" s="14"/>
      <c r="N701" s="14"/>
      <c r="O701" s="14">
        <v>9</v>
      </c>
      <c r="P701" s="14">
        <f>O701</f>
        <v>9</v>
      </c>
      <c r="Q701" s="7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0" t="s">
        <v>7</v>
      </c>
      <c r="B702" s="7"/>
      <c r="C702" s="7"/>
      <c r="D702" s="14"/>
      <c r="E702" s="14"/>
      <c r="F702" s="14"/>
      <c r="G702" s="14"/>
      <c r="H702" s="14"/>
      <c r="I702" s="14"/>
      <c r="J702" s="14"/>
      <c r="K702" s="14"/>
      <c r="L702" s="14"/>
      <c r="M702" s="14"/>
      <c r="N702" s="14"/>
      <c r="O702" s="14"/>
      <c r="P702" s="14"/>
      <c r="Q702" s="71"/>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24.75" customHeight="1">
      <c r="A703" s="21" t="s">
        <v>281</v>
      </c>
      <c r="B703" s="7"/>
      <c r="C703" s="7"/>
      <c r="D703" s="14"/>
      <c r="E703" s="14"/>
      <c r="F703" s="14"/>
      <c r="G703" s="14"/>
      <c r="H703" s="14">
        <f>H699/H701</f>
        <v>9925623.875</v>
      </c>
      <c r="I703" s="14"/>
      <c r="J703" s="14">
        <f>J699/J701</f>
        <v>9931498.875</v>
      </c>
      <c r="K703" s="14"/>
      <c r="L703" s="14"/>
      <c r="M703" s="14"/>
      <c r="N703" s="14"/>
      <c r="O703" s="14">
        <f>O699/O701</f>
        <v>14245636</v>
      </c>
      <c r="P703" s="70">
        <f>O703</f>
        <v>14245636</v>
      </c>
      <c r="Q703" s="71"/>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0"/>
      <c r="Q704" s="71"/>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0"/>
      <c r="Q705" s="71"/>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hidden="1">
      <c r="A706" s="21"/>
      <c r="B706" s="7"/>
      <c r="C706" s="7"/>
      <c r="D706" s="14"/>
      <c r="E706" s="14"/>
      <c r="F706" s="14"/>
      <c r="G706" s="14"/>
      <c r="H706" s="14"/>
      <c r="I706" s="14"/>
      <c r="J706" s="14"/>
      <c r="K706" s="14"/>
      <c r="L706" s="14"/>
      <c r="M706" s="14"/>
      <c r="N706" s="14"/>
      <c r="O706" s="14"/>
      <c r="P706" s="70"/>
      <c r="Q706" s="71"/>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0"/>
      <c r="Q707" s="71"/>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0"/>
      <c r="Q708" s="71"/>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0"/>
      <c r="Q709" s="71"/>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0"/>
      <c r="Q710" s="71"/>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17" s="83" customFormat="1" ht="12">
      <c r="A711" s="105" t="s">
        <v>428</v>
      </c>
      <c r="B711" s="75"/>
      <c r="C711" s="75"/>
      <c r="D711" s="87">
        <f>D713+D787+D796+D821</f>
        <v>0</v>
      </c>
      <c r="E711" s="87"/>
      <c r="F711" s="87">
        <f>D711</f>
        <v>0</v>
      </c>
      <c r="G711" s="87">
        <f>G713</f>
        <v>679500</v>
      </c>
      <c r="H711" s="87">
        <f>H713</f>
        <v>750500</v>
      </c>
      <c r="I711" s="87">
        <f>I713</f>
        <v>0</v>
      </c>
      <c r="J711" s="87">
        <f>G711+H711</f>
        <v>1430000</v>
      </c>
      <c r="K711" s="87"/>
      <c r="L711" s="87"/>
      <c r="M711" s="87"/>
      <c r="N711" s="87">
        <f>N713</f>
        <v>758500</v>
      </c>
      <c r="O711" s="87">
        <f>O713</f>
        <v>2221500</v>
      </c>
      <c r="P711" s="87">
        <f>N711+O711</f>
        <v>2980000</v>
      </c>
      <c r="Q711" s="82"/>
    </row>
    <row r="712" spans="1:235" ht="56.25">
      <c r="A712" s="21" t="s">
        <v>304</v>
      </c>
      <c r="B712" s="7"/>
      <c r="C712" s="7"/>
      <c r="D712" s="14"/>
      <c r="E712" s="14"/>
      <c r="F712" s="14"/>
      <c r="G712" s="14"/>
      <c r="H712" s="14"/>
      <c r="I712" s="14"/>
      <c r="J712" s="14"/>
      <c r="K712" s="14"/>
      <c r="L712" s="14"/>
      <c r="M712" s="14"/>
      <c r="N712" s="14"/>
      <c r="O712" s="14"/>
      <c r="P712" s="14"/>
      <c r="Q712" s="71"/>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17" s="90" customFormat="1" ht="36" customHeight="1">
      <c r="A713" s="80" t="s">
        <v>407</v>
      </c>
      <c r="B713" s="86"/>
      <c r="C713" s="86"/>
      <c r="D713" s="87"/>
      <c r="E713" s="87"/>
      <c r="F713" s="87">
        <f>D713</f>
        <v>0</v>
      </c>
      <c r="G713" s="87">
        <f>G717*G719</f>
        <v>679500</v>
      </c>
      <c r="H713" s="87">
        <f>H715</f>
        <v>750500</v>
      </c>
      <c r="I713" s="87"/>
      <c r="J713" s="87">
        <f>G713+H713</f>
        <v>1430000</v>
      </c>
      <c r="K713" s="87"/>
      <c r="L713" s="87"/>
      <c r="M713" s="87"/>
      <c r="N713" s="87">
        <f>N717*N719</f>
        <v>758500</v>
      </c>
      <c r="O713" s="87">
        <f>O717*O719</f>
        <v>2221500</v>
      </c>
      <c r="P713" s="87">
        <f>N713+O713</f>
        <v>2980000</v>
      </c>
      <c r="Q713" s="103"/>
    </row>
    <row r="714" spans="1:235" ht="11.25">
      <c r="A714" s="20" t="s">
        <v>4</v>
      </c>
      <c r="B714" s="7"/>
      <c r="C714" s="7"/>
      <c r="D714" s="14"/>
      <c r="E714" s="14"/>
      <c r="F714" s="14"/>
      <c r="G714" s="14"/>
      <c r="H714" s="14"/>
      <c r="I714" s="14"/>
      <c r="J714" s="14"/>
      <c r="K714" s="14"/>
      <c r="L714" s="14"/>
      <c r="M714" s="14"/>
      <c r="N714" s="14"/>
      <c r="O714" s="14"/>
      <c r="P714" s="14"/>
      <c r="Q714" s="71"/>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235" ht="11.25">
      <c r="A715" s="21" t="s">
        <v>63</v>
      </c>
      <c r="B715" s="7"/>
      <c r="C715" s="7"/>
      <c r="D715" s="14"/>
      <c r="E715" s="14"/>
      <c r="F715" s="14">
        <f>D715</f>
        <v>0</v>
      </c>
      <c r="G715" s="14">
        <v>679500</v>
      </c>
      <c r="H715" s="14">
        <v>750500</v>
      </c>
      <c r="I715" s="14"/>
      <c r="J715" s="14">
        <f>G715+H715</f>
        <v>1430000</v>
      </c>
      <c r="K715" s="14"/>
      <c r="L715" s="14"/>
      <c r="M715" s="14"/>
      <c r="N715" s="14">
        <v>758500</v>
      </c>
      <c r="O715" s="14">
        <v>2221500</v>
      </c>
      <c r="P715" s="14">
        <f>N715+O715</f>
        <v>2980000</v>
      </c>
      <c r="Q715" s="71"/>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235" ht="11.25">
      <c r="A716" s="20" t="s">
        <v>5</v>
      </c>
      <c r="B716" s="7"/>
      <c r="C716" s="7"/>
      <c r="D716" s="14"/>
      <c r="E716" s="14"/>
      <c r="F716" s="14"/>
      <c r="G716" s="14"/>
      <c r="H716" s="14"/>
      <c r="I716" s="14"/>
      <c r="J716" s="14"/>
      <c r="K716" s="14"/>
      <c r="L716" s="14"/>
      <c r="M716" s="14"/>
      <c r="N716" s="14"/>
      <c r="O716" s="14"/>
      <c r="P716" s="14"/>
      <c r="Q716" s="71"/>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307</v>
      </c>
      <c r="B717" s="7"/>
      <c r="C717" s="7"/>
      <c r="D717" s="14"/>
      <c r="E717" s="14"/>
      <c r="F717" s="14"/>
      <c r="G717" s="14">
        <v>1</v>
      </c>
      <c r="H717" s="14">
        <v>1</v>
      </c>
      <c r="I717" s="14"/>
      <c r="J717" s="14">
        <v>1</v>
      </c>
      <c r="K717" s="14"/>
      <c r="L717" s="14"/>
      <c r="M717" s="14"/>
      <c r="N717" s="14">
        <v>1</v>
      </c>
      <c r="O717" s="14">
        <v>1</v>
      </c>
      <c r="P717" s="14">
        <v>1</v>
      </c>
      <c r="Q717" s="71"/>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0" t="s">
        <v>7</v>
      </c>
      <c r="B718" s="7"/>
      <c r="C718" s="7"/>
      <c r="D718" s="14"/>
      <c r="E718" s="14"/>
      <c r="F718" s="14"/>
      <c r="G718" s="14"/>
      <c r="H718" s="14"/>
      <c r="I718" s="14"/>
      <c r="J718" s="14"/>
      <c r="K718" s="14"/>
      <c r="L718" s="14"/>
      <c r="M718" s="14"/>
      <c r="N718" s="14"/>
      <c r="O718" s="14"/>
      <c r="P718" s="14"/>
      <c r="Q718" s="71"/>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22.5">
      <c r="A719" s="21" t="s">
        <v>308</v>
      </c>
      <c r="B719" s="7"/>
      <c r="C719" s="7"/>
      <c r="D719" s="14"/>
      <c r="E719" s="14"/>
      <c r="F719" s="14"/>
      <c r="G719" s="14">
        <v>679500</v>
      </c>
      <c r="H719" s="14">
        <f>H715/H717</f>
        <v>750500</v>
      </c>
      <c r="I719" s="147"/>
      <c r="J719" s="147">
        <f>J715/J717</f>
        <v>1430000</v>
      </c>
      <c r="K719" s="147"/>
      <c r="L719" s="147"/>
      <c r="M719" s="147"/>
      <c r="N719" s="147">
        <v>758500</v>
      </c>
      <c r="O719" s="147">
        <v>2221500</v>
      </c>
      <c r="P719" s="14">
        <f>N719+O719</f>
        <v>2980000</v>
      </c>
      <c r="Q719" s="71"/>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17" s="83" customFormat="1" ht="12">
      <c r="A720" s="105" t="s">
        <v>429</v>
      </c>
      <c r="B720" s="75"/>
      <c r="C720" s="75"/>
      <c r="D720" s="87">
        <f>D723</f>
        <v>0</v>
      </c>
      <c r="E720" s="87">
        <v>0</v>
      </c>
      <c r="F720" s="87">
        <f>D720</f>
        <v>0</v>
      </c>
      <c r="G720" s="87">
        <f>G723</f>
        <v>2000000</v>
      </c>
      <c r="H720" s="87"/>
      <c r="I720" s="87">
        <f>I723</f>
        <v>0</v>
      </c>
      <c r="J720" s="87">
        <f>J723</f>
        <v>2000000</v>
      </c>
      <c r="K720" s="87"/>
      <c r="L720" s="87"/>
      <c r="M720" s="87"/>
      <c r="N720" s="87">
        <f>N723</f>
        <v>3200000</v>
      </c>
      <c r="O720" s="87"/>
      <c r="P720" s="87">
        <f>P723</f>
        <v>3200000</v>
      </c>
      <c r="Q720" s="82"/>
    </row>
    <row r="721" spans="1:235" ht="33.75">
      <c r="A721" s="22" t="s">
        <v>245</v>
      </c>
      <c r="B721" s="7"/>
      <c r="C721" s="7"/>
      <c r="D721" s="14"/>
      <c r="E721" s="14"/>
      <c r="F721" s="14"/>
      <c r="G721" s="14"/>
      <c r="H721" s="14"/>
      <c r="I721" s="14"/>
      <c r="J721" s="14"/>
      <c r="K721" s="14"/>
      <c r="L721" s="14"/>
      <c r="M721" s="14"/>
      <c r="N721" s="14"/>
      <c r="O721" s="14"/>
      <c r="P721" s="14"/>
      <c r="Q721" s="7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296</v>
      </c>
      <c r="B722" s="7"/>
      <c r="C722" s="7"/>
      <c r="D722" s="60"/>
      <c r="E722" s="14"/>
      <c r="F722" s="14"/>
      <c r="G722" s="14"/>
      <c r="H722" s="14"/>
      <c r="I722" s="14"/>
      <c r="J722" s="14"/>
      <c r="K722" s="14"/>
      <c r="L722" s="14"/>
      <c r="M722" s="14"/>
      <c r="N722" s="14"/>
      <c r="O722" s="14"/>
      <c r="P722" s="14"/>
      <c r="Q722" s="71"/>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90" customFormat="1" ht="37.5" customHeight="1">
      <c r="A723" s="80" t="s">
        <v>408</v>
      </c>
      <c r="B723" s="86"/>
      <c r="C723" s="86"/>
      <c r="D723" s="141"/>
      <c r="E723" s="141"/>
      <c r="F723" s="141">
        <f>D723</f>
        <v>0</v>
      </c>
      <c r="G723" s="87">
        <f>G729*G738</f>
        <v>2000000</v>
      </c>
      <c r="H723" s="87"/>
      <c r="I723" s="87"/>
      <c r="J723" s="87">
        <f>J725</f>
        <v>2000000</v>
      </c>
      <c r="K723" s="87"/>
      <c r="L723" s="87"/>
      <c r="M723" s="87"/>
      <c r="N723" s="87">
        <f>N725</f>
        <v>3200000</v>
      </c>
      <c r="O723" s="87"/>
      <c r="P723" s="87">
        <f>N723</f>
        <v>3200000</v>
      </c>
      <c r="Q723" s="103"/>
    </row>
    <row r="724" spans="1:235" ht="11.25">
      <c r="A724" s="20" t="s">
        <v>4</v>
      </c>
      <c r="B724" s="7"/>
      <c r="C724" s="7"/>
      <c r="D724" s="142"/>
      <c r="E724" s="143"/>
      <c r="F724" s="143"/>
      <c r="G724" s="14"/>
      <c r="H724" s="14"/>
      <c r="I724" s="14"/>
      <c r="J724" s="14"/>
      <c r="K724" s="14"/>
      <c r="L724" s="14"/>
      <c r="M724" s="14"/>
      <c r="N724" s="14"/>
      <c r="O724" s="14"/>
      <c r="P724" s="14"/>
      <c r="Q724" s="71"/>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10.5" customHeight="1">
      <c r="A725" s="21" t="s">
        <v>63</v>
      </c>
      <c r="B725" s="7"/>
      <c r="C725" s="7"/>
      <c r="D725" s="142"/>
      <c r="E725" s="143"/>
      <c r="F725" s="143"/>
      <c r="G725" s="14">
        <v>2000000</v>
      </c>
      <c r="H725" s="14"/>
      <c r="I725" s="14"/>
      <c r="J725" s="14">
        <f>J729*J738</f>
        <v>2000000</v>
      </c>
      <c r="K725" s="14"/>
      <c r="L725" s="14"/>
      <c r="M725" s="14"/>
      <c r="N725" s="14">
        <v>3200000</v>
      </c>
      <c r="O725" s="14"/>
      <c r="P725" s="14">
        <f>N725</f>
        <v>3200000</v>
      </c>
      <c r="Q725" s="71"/>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1.25" hidden="1">
      <c r="A726" s="21" t="s">
        <v>63</v>
      </c>
      <c r="B726" s="7"/>
      <c r="C726" s="7"/>
      <c r="D726" s="142"/>
      <c r="E726" s="143"/>
      <c r="F726" s="143"/>
      <c r="G726" s="14"/>
      <c r="H726" s="14"/>
      <c r="I726" s="14"/>
      <c r="J726" s="14"/>
      <c r="K726" s="14"/>
      <c r="L726" s="14"/>
      <c r="M726" s="14"/>
      <c r="N726" s="14"/>
      <c r="O726" s="14"/>
      <c r="P726" s="14">
        <f aca="true" t="shared" si="48" ref="P726:P738">N726</f>
        <v>0</v>
      </c>
      <c r="Q726" s="71"/>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1.25">
      <c r="A727" s="20" t="s">
        <v>5</v>
      </c>
      <c r="B727" s="7"/>
      <c r="C727" s="7"/>
      <c r="D727" s="142"/>
      <c r="E727" s="143"/>
      <c r="F727" s="143"/>
      <c r="G727" s="14"/>
      <c r="H727" s="14"/>
      <c r="I727" s="14"/>
      <c r="J727" s="14"/>
      <c r="K727" s="14"/>
      <c r="L727" s="14"/>
      <c r="M727" s="14"/>
      <c r="N727" s="14"/>
      <c r="O727" s="14"/>
      <c r="P727" s="14"/>
      <c r="Q727" s="71"/>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0.75" customHeight="1" hidden="1">
      <c r="A728" s="21" t="s">
        <v>277</v>
      </c>
      <c r="B728" s="7"/>
      <c r="C728" s="7"/>
      <c r="D728" s="142"/>
      <c r="E728" s="143"/>
      <c r="F728" s="143">
        <f>D728</f>
        <v>0</v>
      </c>
      <c r="G728" s="143">
        <v>1</v>
      </c>
      <c r="H728" s="143"/>
      <c r="I728" s="143"/>
      <c r="J728" s="143">
        <f>G728</f>
        <v>1</v>
      </c>
      <c r="K728" s="14"/>
      <c r="L728" s="14"/>
      <c r="M728" s="14"/>
      <c r="N728" s="14"/>
      <c r="O728" s="14"/>
      <c r="P728" s="14">
        <f t="shared" si="48"/>
        <v>0</v>
      </c>
      <c r="Q728" s="71"/>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c r="A729" s="21" t="s">
        <v>290</v>
      </c>
      <c r="B729" s="7"/>
      <c r="C729" s="7"/>
      <c r="D729" s="142"/>
      <c r="E729" s="143"/>
      <c r="F729" s="143"/>
      <c r="G729" s="143">
        <v>500</v>
      </c>
      <c r="H729" s="143"/>
      <c r="I729" s="143"/>
      <c r="J729" s="143">
        <v>500</v>
      </c>
      <c r="K729" s="14"/>
      <c r="L729" s="14"/>
      <c r="M729" s="14"/>
      <c r="N729" s="14">
        <v>1244</v>
      </c>
      <c r="O729" s="14"/>
      <c r="P729" s="14">
        <f t="shared" si="48"/>
        <v>1244</v>
      </c>
      <c r="Q729" s="71"/>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22.5">
      <c r="A730" s="21" t="s">
        <v>380</v>
      </c>
      <c r="B730" s="7"/>
      <c r="C730" s="7"/>
      <c r="D730" s="142"/>
      <c r="E730" s="143"/>
      <c r="F730" s="143"/>
      <c r="G730" s="143">
        <f>G729*4000</f>
        <v>2000000</v>
      </c>
      <c r="H730" s="143"/>
      <c r="I730" s="143"/>
      <c r="J730" s="143">
        <f>G730</f>
        <v>2000000</v>
      </c>
      <c r="K730" s="14"/>
      <c r="L730" s="14"/>
      <c r="M730" s="14"/>
      <c r="N730" s="14">
        <f>N729*4000</f>
        <v>4976000</v>
      </c>
      <c r="O730" s="14"/>
      <c r="P730" s="14">
        <f>N730</f>
        <v>4976000</v>
      </c>
      <c r="Q730" s="71"/>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0.5" customHeight="1">
      <c r="A731" s="20" t="s">
        <v>7</v>
      </c>
      <c r="B731" s="7"/>
      <c r="C731" s="7"/>
      <c r="D731" s="142"/>
      <c r="E731" s="143"/>
      <c r="F731" s="143"/>
      <c r="G731" s="14"/>
      <c r="H731" s="14"/>
      <c r="I731" s="14"/>
      <c r="J731" s="14"/>
      <c r="K731" s="14"/>
      <c r="L731" s="14"/>
      <c r="M731" s="14"/>
      <c r="N731" s="14"/>
      <c r="O731" s="14"/>
      <c r="P731" s="14"/>
      <c r="Q731" s="7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5" customHeight="1" hidden="1">
      <c r="A732" s="21" t="s">
        <v>278</v>
      </c>
      <c r="B732" s="7"/>
      <c r="C732" s="7"/>
      <c r="D732" s="142"/>
      <c r="E732" s="143"/>
      <c r="F732" s="143"/>
      <c r="G732" s="14">
        <v>465000</v>
      </c>
      <c r="H732" s="14"/>
      <c r="I732" s="14"/>
      <c r="J732" s="14">
        <f>G732</f>
        <v>465000</v>
      </c>
      <c r="K732" s="14"/>
      <c r="L732" s="14"/>
      <c r="M732" s="14"/>
      <c r="N732" s="14"/>
      <c r="O732" s="14"/>
      <c r="P732" s="14">
        <f t="shared" si="48"/>
        <v>0</v>
      </c>
      <c r="Q732" s="71"/>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hidden="1">
      <c r="A733" s="21"/>
      <c r="B733" s="7"/>
      <c r="C733" s="7"/>
      <c r="D733" s="14"/>
      <c r="E733" s="14"/>
      <c r="F733" s="14"/>
      <c r="G733" s="14"/>
      <c r="H733" s="14"/>
      <c r="I733" s="14"/>
      <c r="J733" s="14"/>
      <c r="K733" s="14"/>
      <c r="L733" s="14"/>
      <c r="M733" s="14"/>
      <c r="N733" s="14"/>
      <c r="O733" s="14"/>
      <c r="P733" s="14">
        <f t="shared" si="48"/>
        <v>0</v>
      </c>
      <c r="Q733" s="71"/>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hidden="1">
      <c r="A734" s="21"/>
      <c r="B734" s="7"/>
      <c r="C734" s="7"/>
      <c r="D734" s="14"/>
      <c r="E734" s="14"/>
      <c r="F734" s="14"/>
      <c r="G734" s="14"/>
      <c r="H734" s="14"/>
      <c r="I734" s="14"/>
      <c r="J734" s="14"/>
      <c r="K734" s="14"/>
      <c r="L734" s="14"/>
      <c r="M734" s="14"/>
      <c r="N734" s="14"/>
      <c r="O734" s="14"/>
      <c r="P734" s="14">
        <f t="shared" si="48"/>
        <v>0</v>
      </c>
      <c r="Q734" s="71"/>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1.25" hidden="1">
      <c r="A735" s="21"/>
      <c r="B735" s="7"/>
      <c r="C735" s="7"/>
      <c r="D735" s="14"/>
      <c r="E735" s="14"/>
      <c r="F735" s="14"/>
      <c r="G735" s="14"/>
      <c r="H735" s="14"/>
      <c r="I735" s="14"/>
      <c r="J735" s="14"/>
      <c r="K735" s="14"/>
      <c r="L735" s="14"/>
      <c r="M735" s="14"/>
      <c r="N735" s="14"/>
      <c r="O735" s="14"/>
      <c r="P735" s="14">
        <f t="shared" si="48"/>
        <v>0</v>
      </c>
      <c r="Q735" s="71"/>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48"/>
        <v>0</v>
      </c>
      <c r="Q736" s="71"/>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48"/>
        <v>0</v>
      </c>
      <c r="Q737" s="71"/>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2.75" customHeight="1">
      <c r="A738" s="21" t="s">
        <v>291</v>
      </c>
      <c r="B738" s="7"/>
      <c r="C738" s="7"/>
      <c r="D738" s="14"/>
      <c r="E738" s="14"/>
      <c r="F738" s="14"/>
      <c r="G738" s="14">
        <v>4000</v>
      </c>
      <c r="H738" s="14"/>
      <c r="I738" s="14"/>
      <c r="J738" s="14">
        <v>4000</v>
      </c>
      <c r="K738" s="14"/>
      <c r="L738" s="14"/>
      <c r="M738" s="14"/>
      <c r="N738" s="14">
        <v>2572.339</v>
      </c>
      <c r="O738" s="14"/>
      <c r="P738" s="14">
        <f t="shared" si="48"/>
        <v>2572.339</v>
      </c>
      <c r="Q738" s="71"/>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1" t="s">
        <v>378</v>
      </c>
      <c r="B739" s="7"/>
      <c r="C739" s="7"/>
      <c r="D739" s="14"/>
      <c r="E739" s="14"/>
      <c r="F739" s="14"/>
      <c r="G739" s="14">
        <f>G725/G730</f>
        <v>1</v>
      </c>
      <c r="H739" s="14"/>
      <c r="I739" s="14"/>
      <c r="J739" s="14"/>
      <c r="K739" s="14"/>
      <c r="L739" s="14"/>
      <c r="M739" s="14"/>
      <c r="N739" s="14">
        <f>N725/N730</f>
        <v>0.6430868167202572</v>
      </c>
      <c r="O739" s="14"/>
      <c r="P739" s="14">
        <f>N739</f>
        <v>0.6430868167202572</v>
      </c>
      <c r="Q739" s="71"/>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17" s="83" customFormat="1" ht="12.75">
      <c r="A740" s="81" t="s">
        <v>430</v>
      </c>
      <c r="B740" s="75"/>
      <c r="C740" s="75"/>
      <c r="D740" s="76"/>
      <c r="E740" s="76"/>
      <c r="F740" s="76"/>
      <c r="G740" s="148">
        <f>G741</f>
        <v>349999.999992</v>
      </c>
      <c r="H740" s="148"/>
      <c r="I740" s="148">
        <f>I741</f>
        <v>0</v>
      </c>
      <c r="J740" s="148">
        <f>G740</f>
        <v>349999.999992</v>
      </c>
      <c r="K740" s="76"/>
      <c r="L740" s="76"/>
      <c r="M740" s="76"/>
      <c r="N740" s="148">
        <f>N741</f>
        <v>550000</v>
      </c>
      <c r="O740" s="148"/>
      <c r="P740" s="148">
        <f>N740</f>
        <v>550000</v>
      </c>
      <c r="Q740" s="82"/>
    </row>
    <row r="741" spans="1:17" s="90" customFormat="1" ht="22.5">
      <c r="A741" s="80" t="s">
        <v>409</v>
      </c>
      <c r="B741" s="86"/>
      <c r="C741" s="86"/>
      <c r="D741" s="87"/>
      <c r="E741" s="87"/>
      <c r="F741" s="87"/>
      <c r="G741" s="87">
        <f>G745*G747</f>
        <v>349999.999992</v>
      </c>
      <c r="H741" s="87"/>
      <c r="I741" s="87"/>
      <c r="J741" s="87">
        <f>G741</f>
        <v>349999.999992</v>
      </c>
      <c r="K741" s="87"/>
      <c r="L741" s="87"/>
      <c r="M741" s="87"/>
      <c r="N741" s="87">
        <f>N745*N747</f>
        <v>550000</v>
      </c>
      <c r="O741" s="87"/>
      <c r="P741" s="148">
        <f>N741</f>
        <v>550000</v>
      </c>
      <c r="Q741" s="103"/>
    </row>
    <row r="742" spans="1:235" ht="11.25">
      <c r="A742" s="20" t="s">
        <v>4</v>
      </c>
      <c r="B742" s="7"/>
      <c r="C742" s="7"/>
      <c r="D742" s="14"/>
      <c r="E742" s="14"/>
      <c r="F742" s="14"/>
      <c r="G742" s="14"/>
      <c r="H742" s="14"/>
      <c r="I742" s="14"/>
      <c r="J742" s="14"/>
      <c r="K742" s="14"/>
      <c r="L742" s="14"/>
      <c r="M742" s="14"/>
      <c r="N742" s="14"/>
      <c r="O742" s="14"/>
      <c r="P742" s="14"/>
      <c r="Q742" s="71"/>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22.5">
      <c r="A743" s="53" t="s">
        <v>78</v>
      </c>
      <c r="B743" s="7"/>
      <c r="C743" s="7"/>
      <c r="D743" s="14"/>
      <c r="E743" s="14"/>
      <c r="F743" s="14"/>
      <c r="G743" s="14">
        <f>G745*G747</f>
        <v>349999.999992</v>
      </c>
      <c r="H743" s="14"/>
      <c r="I743" s="14"/>
      <c r="J743" s="14">
        <f>G743</f>
        <v>349999.999992</v>
      </c>
      <c r="K743" s="14"/>
      <c r="L743" s="14"/>
      <c r="M743" s="14"/>
      <c r="N743" s="14">
        <f>N745*N747</f>
        <v>550000</v>
      </c>
      <c r="O743" s="14"/>
      <c r="P743" s="14">
        <f>N743</f>
        <v>550000</v>
      </c>
      <c r="Q743" s="71"/>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235" ht="11.25">
      <c r="A744" s="20" t="s">
        <v>5</v>
      </c>
      <c r="B744" s="7"/>
      <c r="C744" s="7"/>
      <c r="D744" s="14"/>
      <c r="E744" s="14"/>
      <c r="F744" s="14"/>
      <c r="G744" s="14"/>
      <c r="H744" s="14"/>
      <c r="I744" s="14"/>
      <c r="J744" s="14"/>
      <c r="K744" s="14"/>
      <c r="L744" s="14"/>
      <c r="M744" s="14"/>
      <c r="N744" s="14"/>
      <c r="O744" s="14"/>
      <c r="P744" s="14"/>
      <c r="Q744" s="71"/>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7.75" customHeight="1">
      <c r="A745" s="53" t="s">
        <v>77</v>
      </c>
      <c r="B745" s="7"/>
      <c r="C745" s="7"/>
      <c r="D745" s="14"/>
      <c r="E745" s="14"/>
      <c r="F745" s="14"/>
      <c r="G745" s="14">
        <v>12</v>
      </c>
      <c r="H745" s="14"/>
      <c r="I745" s="14"/>
      <c r="J745" s="14">
        <f>G745</f>
        <v>12</v>
      </c>
      <c r="K745" s="14"/>
      <c r="L745" s="14"/>
      <c r="M745" s="14"/>
      <c r="N745" s="14">
        <v>16</v>
      </c>
      <c r="O745" s="14"/>
      <c r="P745" s="14">
        <f>N745</f>
        <v>16</v>
      </c>
      <c r="Q745" s="71"/>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11.25">
      <c r="A746" s="20" t="s">
        <v>7</v>
      </c>
      <c r="B746" s="7"/>
      <c r="C746" s="7"/>
      <c r="D746" s="14"/>
      <c r="E746" s="14"/>
      <c r="F746" s="14"/>
      <c r="G746" s="14"/>
      <c r="H746" s="14"/>
      <c r="I746" s="14"/>
      <c r="J746" s="14"/>
      <c r="K746" s="14"/>
      <c r="L746" s="14"/>
      <c r="M746" s="14"/>
      <c r="N746" s="14"/>
      <c r="O746" s="14"/>
      <c r="P746" s="14"/>
      <c r="Q746" s="71"/>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33.75">
      <c r="A747" s="53" t="s">
        <v>81</v>
      </c>
      <c r="B747" s="7"/>
      <c r="C747" s="7"/>
      <c r="D747" s="14"/>
      <c r="E747" s="14"/>
      <c r="F747" s="14"/>
      <c r="G747" s="14">
        <v>29166.666666</v>
      </c>
      <c r="H747" s="14"/>
      <c r="I747" s="14"/>
      <c r="J747" s="14">
        <f>G747</f>
        <v>29166.666666</v>
      </c>
      <c r="K747" s="14"/>
      <c r="L747" s="14"/>
      <c r="M747" s="14"/>
      <c r="N747" s="14">
        <v>34375</v>
      </c>
      <c r="O747" s="14"/>
      <c r="P747" s="14">
        <f>N747</f>
        <v>34375</v>
      </c>
      <c r="Q747" s="71"/>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17" s="83" customFormat="1" ht="12">
      <c r="A748" s="105" t="s">
        <v>431</v>
      </c>
      <c r="B748" s="75"/>
      <c r="C748" s="75"/>
      <c r="D748" s="87">
        <f>D751</f>
        <v>0</v>
      </c>
      <c r="E748" s="87">
        <v>0</v>
      </c>
      <c r="F748" s="87">
        <f>D748</f>
        <v>0</v>
      </c>
      <c r="G748" s="87">
        <f>G751+G760</f>
        <v>0</v>
      </c>
      <c r="H748" s="87">
        <f aca="true" t="shared" si="49" ref="H748:P748">H751+H760</f>
        <v>2092800</v>
      </c>
      <c r="I748" s="87">
        <f t="shared" si="49"/>
        <v>0</v>
      </c>
      <c r="J748" s="87">
        <f t="shared" si="49"/>
        <v>2092800</v>
      </c>
      <c r="K748" s="87">
        <f t="shared" si="49"/>
        <v>0</v>
      </c>
      <c r="L748" s="87">
        <f t="shared" si="49"/>
        <v>0</v>
      </c>
      <c r="M748" s="87">
        <f t="shared" si="49"/>
        <v>0</v>
      </c>
      <c r="N748" s="87">
        <f t="shared" si="49"/>
        <v>0</v>
      </c>
      <c r="O748" s="87">
        <f t="shared" si="49"/>
        <v>61149000</v>
      </c>
      <c r="P748" s="87">
        <f t="shared" si="49"/>
        <v>61149000</v>
      </c>
      <c r="Q748" s="82"/>
    </row>
    <row r="749" spans="1:235" ht="24.75" customHeight="1">
      <c r="A749" s="22" t="s">
        <v>330</v>
      </c>
      <c r="B749" s="7"/>
      <c r="C749" s="7"/>
      <c r="D749" s="14"/>
      <c r="E749" s="14"/>
      <c r="F749" s="14"/>
      <c r="G749" s="14"/>
      <c r="H749" s="14"/>
      <c r="I749" s="14"/>
      <c r="J749" s="14"/>
      <c r="K749" s="14"/>
      <c r="L749" s="14"/>
      <c r="M749" s="14"/>
      <c r="N749" s="14"/>
      <c r="O749" s="14"/>
      <c r="P749" s="14"/>
      <c r="Q749" s="71"/>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22.5">
      <c r="A750" s="21" t="s">
        <v>447</v>
      </c>
      <c r="B750" s="7"/>
      <c r="C750" s="7"/>
      <c r="D750" s="60"/>
      <c r="E750" s="14"/>
      <c r="F750" s="14"/>
      <c r="G750" s="14"/>
      <c r="H750" s="14"/>
      <c r="I750" s="14"/>
      <c r="J750" s="14"/>
      <c r="K750" s="14"/>
      <c r="L750" s="14"/>
      <c r="M750" s="14"/>
      <c r="N750" s="14"/>
      <c r="O750" s="14"/>
      <c r="P750" s="14"/>
      <c r="Q750" s="71"/>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90" customFormat="1" ht="33.75">
      <c r="A751" s="80" t="s">
        <v>469</v>
      </c>
      <c r="B751" s="86"/>
      <c r="C751" s="86"/>
      <c r="D751" s="141"/>
      <c r="E751" s="141"/>
      <c r="F751" s="141">
        <f>D751</f>
        <v>0</v>
      </c>
      <c r="G751" s="87">
        <f>G756*G759</f>
        <v>0</v>
      </c>
      <c r="H751" s="87">
        <f>H753</f>
        <v>0</v>
      </c>
      <c r="I751" s="87">
        <f>I756*I759</f>
        <v>0</v>
      </c>
      <c r="J751" s="87">
        <f>J753</f>
        <v>0</v>
      </c>
      <c r="K751" s="87"/>
      <c r="L751" s="87"/>
      <c r="M751" s="87"/>
      <c r="N751" s="87"/>
      <c r="O751" s="87">
        <f>O753</f>
        <v>4815000</v>
      </c>
      <c r="P751" s="87">
        <f>P753</f>
        <v>4815000</v>
      </c>
      <c r="Q751" s="103"/>
    </row>
    <row r="752" spans="1:235" ht="11.25">
      <c r="A752" s="20" t="s">
        <v>4</v>
      </c>
      <c r="B752" s="7"/>
      <c r="C752" s="7"/>
      <c r="D752" s="142"/>
      <c r="E752" s="143"/>
      <c r="F752" s="143"/>
      <c r="G752" s="14"/>
      <c r="H752" s="14"/>
      <c r="I752" s="14"/>
      <c r="J752" s="14"/>
      <c r="K752" s="14"/>
      <c r="L752" s="14"/>
      <c r="M752" s="14"/>
      <c r="N752" s="14"/>
      <c r="O752" s="14"/>
      <c r="P752" s="14"/>
      <c r="Q752" s="71"/>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0.5" customHeight="1">
      <c r="A753" s="21" t="s">
        <v>63</v>
      </c>
      <c r="B753" s="7"/>
      <c r="C753" s="7"/>
      <c r="D753" s="142"/>
      <c r="E753" s="143"/>
      <c r="F753" s="143"/>
      <c r="G753" s="14"/>
      <c r="H753" s="14"/>
      <c r="I753" s="14"/>
      <c r="J753" s="14">
        <f>H753</f>
        <v>0</v>
      </c>
      <c r="K753" s="14"/>
      <c r="L753" s="14"/>
      <c r="M753" s="14"/>
      <c r="N753" s="14"/>
      <c r="O753" s="14">
        <f>4200000+220000+300000+95000</f>
        <v>4815000</v>
      </c>
      <c r="P753" s="14">
        <f>O753</f>
        <v>4815000</v>
      </c>
      <c r="Q753" s="71"/>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11.25" hidden="1">
      <c r="A754" s="21" t="s">
        <v>63</v>
      </c>
      <c r="B754" s="7"/>
      <c r="C754" s="7"/>
      <c r="D754" s="142"/>
      <c r="E754" s="143"/>
      <c r="F754" s="143"/>
      <c r="G754" s="14"/>
      <c r="H754" s="14"/>
      <c r="I754" s="14"/>
      <c r="J754" s="14"/>
      <c r="K754" s="14"/>
      <c r="L754" s="14"/>
      <c r="M754" s="14"/>
      <c r="N754" s="14"/>
      <c r="O754" s="14"/>
      <c r="P754" s="14"/>
      <c r="Q754" s="71"/>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235" ht="11.25">
      <c r="A755" s="20" t="s">
        <v>5</v>
      </c>
      <c r="B755" s="7"/>
      <c r="C755" s="7"/>
      <c r="D755" s="142"/>
      <c r="E755" s="143"/>
      <c r="F755" s="143"/>
      <c r="G755" s="14"/>
      <c r="H755" s="14"/>
      <c r="I755" s="14"/>
      <c r="J755" s="14"/>
      <c r="K755" s="14"/>
      <c r="L755" s="14"/>
      <c r="M755" s="14"/>
      <c r="N755" s="14"/>
      <c r="O755" s="14"/>
      <c r="P755" s="14"/>
      <c r="Q755" s="71"/>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326</v>
      </c>
      <c r="B756" s="7"/>
      <c r="C756" s="7"/>
      <c r="D756" s="142"/>
      <c r="E756" s="143"/>
      <c r="F756" s="143">
        <f>D756</f>
        <v>0</v>
      </c>
      <c r="G756" s="143"/>
      <c r="H756" s="143"/>
      <c r="I756" s="143"/>
      <c r="J756" s="143"/>
      <c r="K756" s="143">
        <f>H756</f>
        <v>0</v>
      </c>
      <c r="L756" s="143">
        <f>J756</f>
        <v>0</v>
      </c>
      <c r="M756" s="143">
        <f>K756</f>
        <v>0</v>
      </c>
      <c r="N756" s="143"/>
      <c r="O756" s="143">
        <v>2</v>
      </c>
      <c r="P756" s="143">
        <v>2</v>
      </c>
      <c r="Q756" s="71"/>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290</v>
      </c>
      <c r="B757" s="7"/>
      <c r="C757" s="7"/>
      <c r="D757" s="142"/>
      <c r="E757" s="143"/>
      <c r="F757" s="143"/>
      <c r="G757" s="143">
        <v>1487</v>
      </c>
      <c r="H757" s="143"/>
      <c r="I757" s="143"/>
      <c r="J757" s="143">
        <f>G757</f>
        <v>1487</v>
      </c>
      <c r="K757" s="143"/>
      <c r="L757" s="143"/>
      <c r="M757" s="143"/>
      <c r="N757" s="143"/>
      <c r="O757" s="143"/>
      <c r="P757" s="143"/>
      <c r="Q757" s="71"/>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7</v>
      </c>
      <c r="B758" s="7"/>
      <c r="C758" s="7"/>
      <c r="D758" s="142"/>
      <c r="E758" s="143"/>
      <c r="F758" s="143"/>
      <c r="G758" s="14"/>
      <c r="H758" s="14"/>
      <c r="I758" s="14"/>
      <c r="J758" s="14"/>
      <c r="K758" s="14"/>
      <c r="L758" s="14"/>
      <c r="M758" s="14"/>
      <c r="N758" s="14"/>
      <c r="O758" s="14"/>
      <c r="P758" s="14"/>
      <c r="Q758" s="71"/>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33.75">
      <c r="A759" s="21" t="s">
        <v>470</v>
      </c>
      <c r="B759" s="7"/>
      <c r="C759" s="7"/>
      <c r="D759" s="142"/>
      <c r="E759" s="143"/>
      <c r="F759" s="143"/>
      <c r="G759" s="14"/>
      <c r="H759" s="14"/>
      <c r="I759" s="14"/>
      <c r="J759" s="14"/>
      <c r="K759" s="14"/>
      <c r="L759" s="14"/>
      <c r="M759" s="14"/>
      <c r="N759" s="14"/>
      <c r="O759" s="14">
        <f>O753/O756</f>
        <v>2407500</v>
      </c>
      <c r="P759" s="14">
        <f>P753/P756</f>
        <v>2407500</v>
      </c>
      <c r="Q759" s="14" t="e">
        <f>Q753/Q756</f>
        <v>#DIV/0!</v>
      </c>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17" s="90" customFormat="1" ht="56.25">
      <c r="A760" s="80" t="s">
        <v>446</v>
      </c>
      <c r="B760" s="86"/>
      <c r="C760" s="86"/>
      <c r="D760" s="141"/>
      <c r="E760" s="141"/>
      <c r="F760" s="141">
        <f>D760</f>
        <v>0</v>
      </c>
      <c r="G760" s="87">
        <f>G762</f>
        <v>0</v>
      </c>
      <c r="H760" s="87">
        <f>H765*H768</f>
        <v>2092800</v>
      </c>
      <c r="I760" s="87"/>
      <c r="J760" s="87">
        <f>G760+H760+I760</f>
        <v>2092800</v>
      </c>
      <c r="K760" s="87"/>
      <c r="L760" s="87"/>
      <c r="M760" s="87"/>
      <c r="N760" s="87"/>
      <c r="O760" s="87">
        <f>O762</f>
        <v>56334000</v>
      </c>
      <c r="P760" s="87">
        <f>N760+O760</f>
        <v>56334000</v>
      </c>
      <c r="Q760" s="103"/>
    </row>
    <row r="761" spans="1:235" ht="11.25">
      <c r="A761" s="20" t="s">
        <v>4</v>
      </c>
      <c r="B761" s="7"/>
      <c r="C761" s="7"/>
      <c r="D761" s="142"/>
      <c r="E761" s="143"/>
      <c r="F761" s="143"/>
      <c r="G761" s="14"/>
      <c r="H761" s="14"/>
      <c r="I761" s="14"/>
      <c r="J761" s="14"/>
      <c r="K761" s="14"/>
      <c r="L761" s="14"/>
      <c r="M761" s="14"/>
      <c r="N761" s="14"/>
      <c r="O761" s="14"/>
      <c r="P761" s="14"/>
      <c r="Q761" s="7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0.5" customHeight="1">
      <c r="A762" s="21" t="s">
        <v>63</v>
      </c>
      <c r="B762" s="7"/>
      <c r="C762" s="7"/>
      <c r="D762" s="142"/>
      <c r="E762" s="143"/>
      <c r="F762" s="143"/>
      <c r="G762" s="14"/>
      <c r="H762" s="14">
        <f>1473000+619800</f>
        <v>2092800</v>
      </c>
      <c r="I762" s="14"/>
      <c r="J762" s="14">
        <f>H762</f>
        <v>2092800</v>
      </c>
      <c r="K762" s="14"/>
      <c r="L762" s="14"/>
      <c r="M762" s="14"/>
      <c r="N762" s="14"/>
      <c r="O762" s="14">
        <f>5200000+1575000+6000000+750000+341000+2750200+30000000+8250000+42800+1425000</f>
        <v>56334000</v>
      </c>
      <c r="P762" s="14">
        <f>O762</f>
        <v>56334000</v>
      </c>
      <c r="Q762" s="71"/>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11.25" hidden="1">
      <c r="A763" s="21" t="s">
        <v>63</v>
      </c>
      <c r="B763" s="7"/>
      <c r="C763" s="7"/>
      <c r="D763" s="142"/>
      <c r="E763" s="143"/>
      <c r="F763" s="143"/>
      <c r="G763" s="14"/>
      <c r="H763" s="14"/>
      <c r="I763" s="14"/>
      <c r="J763" s="14">
        <f aca="true" t="shared" si="50" ref="J763:J768">H763</f>
        <v>0</v>
      </c>
      <c r="K763" s="14"/>
      <c r="L763" s="14"/>
      <c r="M763" s="14"/>
      <c r="N763" s="14"/>
      <c r="O763" s="14"/>
      <c r="P763" s="14"/>
      <c r="Q763" s="71"/>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1.25">
      <c r="A764" s="20" t="s">
        <v>5</v>
      </c>
      <c r="B764" s="7"/>
      <c r="C764" s="7"/>
      <c r="D764" s="142"/>
      <c r="E764" s="143"/>
      <c r="F764" s="143"/>
      <c r="G764" s="14"/>
      <c r="H764" s="14"/>
      <c r="I764" s="14"/>
      <c r="J764" s="14"/>
      <c r="K764" s="14"/>
      <c r="L764" s="14"/>
      <c r="M764" s="14"/>
      <c r="N764" s="14"/>
      <c r="O764" s="14"/>
      <c r="P764" s="14"/>
      <c r="Q764" s="71"/>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326</v>
      </c>
      <c r="B765" s="7"/>
      <c r="C765" s="7"/>
      <c r="D765" s="142"/>
      <c r="E765" s="143"/>
      <c r="F765" s="143">
        <f>D765</f>
        <v>0</v>
      </c>
      <c r="G765" s="143"/>
      <c r="H765" s="143">
        <v>5</v>
      </c>
      <c r="I765" s="143"/>
      <c r="J765" s="14">
        <f t="shared" si="50"/>
        <v>5</v>
      </c>
      <c r="K765" s="143">
        <f>H765</f>
        <v>5</v>
      </c>
      <c r="L765" s="143">
        <f>J765</f>
        <v>5</v>
      </c>
      <c r="M765" s="143">
        <f>K765</f>
        <v>5</v>
      </c>
      <c r="N765" s="143"/>
      <c r="O765" s="143">
        <v>8</v>
      </c>
      <c r="P765" s="143">
        <f>O765</f>
        <v>8</v>
      </c>
      <c r="Q765" s="71"/>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290</v>
      </c>
      <c r="B766" s="7"/>
      <c r="C766" s="7"/>
      <c r="D766" s="142"/>
      <c r="E766" s="143"/>
      <c r="F766" s="143"/>
      <c r="G766" s="143">
        <v>1487</v>
      </c>
      <c r="H766" s="143"/>
      <c r="I766" s="143"/>
      <c r="J766" s="14">
        <f t="shared" si="50"/>
        <v>0</v>
      </c>
      <c r="K766" s="143"/>
      <c r="L766" s="143"/>
      <c r="M766" s="143"/>
      <c r="N766" s="143"/>
      <c r="O766" s="143"/>
      <c r="P766" s="143"/>
      <c r="Q766" s="71"/>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7</v>
      </c>
      <c r="B767" s="7"/>
      <c r="C767" s="7"/>
      <c r="D767" s="142"/>
      <c r="E767" s="143"/>
      <c r="F767" s="143"/>
      <c r="G767" s="14"/>
      <c r="H767" s="14"/>
      <c r="I767" s="14"/>
      <c r="J767" s="14"/>
      <c r="K767" s="14"/>
      <c r="L767" s="14"/>
      <c r="M767" s="14"/>
      <c r="N767" s="14"/>
      <c r="O767" s="14"/>
      <c r="P767" s="14"/>
      <c r="Q767" s="71"/>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329</v>
      </c>
      <c r="B768" s="7"/>
      <c r="C768" s="7"/>
      <c r="D768" s="142"/>
      <c r="E768" s="143"/>
      <c r="F768" s="143"/>
      <c r="G768" s="14"/>
      <c r="H768" s="14">
        <f>H762/H765</f>
        <v>418560</v>
      </c>
      <c r="I768" s="14"/>
      <c r="J768" s="14">
        <f t="shared" si="50"/>
        <v>418560</v>
      </c>
      <c r="K768" s="14"/>
      <c r="L768" s="14"/>
      <c r="M768" s="14"/>
      <c r="N768" s="14"/>
      <c r="O768" s="14">
        <f>O762/O765</f>
        <v>7041750</v>
      </c>
      <c r="P768" s="14">
        <f>O768</f>
        <v>7041750</v>
      </c>
      <c r="Q768" s="71"/>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2">
      <c r="A769" s="105" t="s">
        <v>432</v>
      </c>
      <c r="B769" s="75"/>
      <c r="C769" s="75"/>
      <c r="D769" s="183"/>
      <c r="E769" s="183"/>
      <c r="F769" s="183"/>
      <c r="G769" s="76"/>
      <c r="H769" s="87">
        <f>H771</f>
        <v>-2804000</v>
      </c>
      <c r="I769" s="87"/>
      <c r="J769" s="87">
        <f>H769</f>
        <v>-2804000</v>
      </c>
      <c r="K769" s="87"/>
      <c r="L769" s="87"/>
      <c r="M769" s="87"/>
      <c r="N769" s="87"/>
      <c r="O769" s="87">
        <f>O771</f>
        <v>-2104092</v>
      </c>
      <c r="P769" s="87">
        <f>O769</f>
        <v>-2104092</v>
      </c>
      <c r="Q769" s="71"/>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7.25" customHeight="1">
      <c r="A770" s="21" t="s">
        <v>410</v>
      </c>
      <c r="B770" s="7"/>
      <c r="C770" s="7"/>
      <c r="D770" s="142"/>
      <c r="E770" s="143"/>
      <c r="F770" s="143"/>
      <c r="G770" s="14"/>
      <c r="H770" s="14"/>
      <c r="I770" s="14"/>
      <c r="J770" s="14"/>
      <c r="K770" s="14"/>
      <c r="L770" s="14"/>
      <c r="M770" s="14"/>
      <c r="N770" s="14"/>
      <c r="O770" s="14"/>
      <c r="P770" s="14"/>
      <c r="Q770" s="71"/>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80" t="s">
        <v>411</v>
      </c>
      <c r="B771" s="75"/>
      <c r="C771" s="75"/>
      <c r="D771" s="183"/>
      <c r="E771" s="183"/>
      <c r="F771" s="183"/>
      <c r="G771" s="76"/>
      <c r="H771" s="87">
        <f>H773</f>
        <v>-2804000</v>
      </c>
      <c r="I771" s="87"/>
      <c r="J771" s="87">
        <f>H771</f>
        <v>-2804000</v>
      </c>
      <c r="K771" s="87"/>
      <c r="L771" s="87"/>
      <c r="M771" s="87"/>
      <c r="N771" s="87"/>
      <c r="O771" s="87">
        <f>O773</f>
        <v>-2104092</v>
      </c>
      <c r="P771" s="87">
        <f>O771</f>
        <v>-2104092</v>
      </c>
      <c r="Q771" s="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1.25">
      <c r="A772" s="20" t="s">
        <v>4</v>
      </c>
      <c r="B772" s="7"/>
      <c r="C772" s="7"/>
      <c r="D772" s="142"/>
      <c r="E772" s="143"/>
      <c r="F772" s="143"/>
      <c r="G772" s="14"/>
      <c r="H772" s="14"/>
      <c r="I772" s="14"/>
      <c r="J772" s="14"/>
      <c r="K772" s="14"/>
      <c r="L772" s="14"/>
      <c r="M772" s="14"/>
      <c r="N772" s="14"/>
      <c r="O772" s="14"/>
      <c r="P772" s="14"/>
      <c r="Q772" s="71"/>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22.5">
      <c r="A773" s="21" t="s">
        <v>414</v>
      </c>
      <c r="B773" s="7"/>
      <c r="C773" s="7"/>
      <c r="D773" s="142"/>
      <c r="E773" s="143"/>
      <c r="F773" s="143"/>
      <c r="G773" s="14"/>
      <c r="H773" s="14">
        <v>-2804000</v>
      </c>
      <c r="I773" s="14"/>
      <c r="J773" s="14">
        <f>H773</f>
        <v>-2804000</v>
      </c>
      <c r="K773" s="14"/>
      <c r="L773" s="14"/>
      <c r="M773" s="14"/>
      <c r="N773" s="14"/>
      <c r="O773" s="14">
        <v>-2104092</v>
      </c>
      <c r="P773" s="14">
        <f>O773</f>
        <v>-2104092</v>
      </c>
      <c r="Q773" s="71"/>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c r="A774" s="20" t="s">
        <v>5</v>
      </c>
      <c r="B774" s="7"/>
      <c r="C774" s="7"/>
      <c r="D774" s="142"/>
      <c r="E774" s="143"/>
      <c r="F774" s="143"/>
      <c r="G774" s="14"/>
      <c r="H774" s="14"/>
      <c r="I774" s="14"/>
      <c r="J774" s="14"/>
      <c r="K774" s="14"/>
      <c r="L774" s="14"/>
      <c r="M774" s="14"/>
      <c r="N774" s="14"/>
      <c r="O774" s="14"/>
      <c r="P774" s="14"/>
      <c r="Q774" s="71"/>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21" t="s">
        <v>412</v>
      </c>
      <c r="B775" s="7"/>
      <c r="C775" s="7"/>
      <c r="D775" s="142"/>
      <c r="E775" s="143"/>
      <c r="F775" s="143"/>
      <c r="G775" s="14"/>
      <c r="H775" s="178">
        <v>3</v>
      </c>
      <c r="I775" s="14"/>
      <c r="J775" s="178">
        <f>H775</f>
        <v>3</v>
      </c>
      <c r="K775" s="14"/>
      <c r="L775" s="14"/>
      <c r="M775" s="14"/>
      <c r="N775" s="14"/>
      <c r="O775" s="178">
        <v>2</v>
      </c>
      <c r="P775" s="178">
        <v>2</v>
      </c>
      <c r="Q775" s="71"/>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7</v>
      </c>
      <c r="B776" s="7"/>
      <c r="C776" s="7"/>
      <c r="D776" s="142"/>
      <c r="E776" s="143"/>
      <c r="F776" s="143"/>
      <c r="G776" s="14"/>
      <c r="H776" s="14"/>
      <c r="I776" s="14"/>
      <c r="J776" s="14"/>
      <c r="K776" s="14"/>
      <c r="L776" s="14"/>
      <c r="M776" s="14"/>
      <c r="N776" s="14"/>
      <c r="O776" s="14"/>
      <c r="P776" s="14"/>
      <c r="Q776" s="71"/>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hidden="1">
      <c r="A777" s="182" t="s">
        <v>329</v>
      </c>
      <c r="B777" s="51"/>
      <c r="C777" s="51"/>
      <c r="D777" s="70"/>
      <c r="E777" s="70"/>
      <c r="F777" s="70"/>
      <c r="G777" s="70"/>
      <c r="H777" s="70"/>
      <c r="I777" s="70"/>
      <c r="J777" s="70"/>
      <c r="K777" s="70"/>
      <c r="L777" s="70"/>
      <c r="M777" s="70"/>
      <c r="N777" s="70"/>
      <c r="O777" s="70"/>
      <c r="P777" s="70"/>
      <c r="Q777" s="71"/>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69"/>
      <c r="B778" s="51"/>
      <c r="C778" s="51"/>
      <c r="D778" s="70"/>
      <c r="E778" s="70"/>
      <c r="F778" s="70"/>
      <c r="G778" s="70"/>
      <c r="H778" s="70"/>
      <c r="I778" s="70"/>
      <c r="J778" s="70"/>
      <c r="K778" s="70"/>
      <c r="L778" s="70"/>
      <c r="M778" s="70"/>
      <c r="N778" s="70"/>
      <c r="O778" s="70"/>
      <c r="P778" s="70"/>
      <c r="Q778" s="71"/>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69"/>
      <c r="B779" s="51"/>
      <c r="C779" s="51"/>
      <c r="D779" s="70"/>
      <c r="E779" s="70"/>
      <c r="F779" s="70"/>
      <c r="G779" s="70"/>
      <c r="H779" s="70"/>
      <c r="I779" s="70"/>
      <c r="J779" s="70"/>
      <c r="K779" s="70"/>
      <c r="L779" s="70"/>
      <c r="M779" s="70"/>
      <c r="N779" s="70"/>
      <c r="O779" s="70"/>
      <c r="P779" s="70"/>
      <c r="Q779" s="71"/>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69"/>
      <c r="B780" s="51"/>
      <c r="C780" s="51"/>
      <c r="D780" s="70"/>
      <c r="E780" s="70"/>
      <c r="F780" s="70"/>
      <c r="G780" s="70"/>
      <c r="H780" s="70"/>
      <c r="I780" s="70"/>
      <c r="J780" s="70"/>
      <c r="K780" s="70"/>
      <c r="L780" s="70"/>
      <c r="M780" s="70"/>
      <c r="N780" s="70"/>
      <c r="O780" s="70"/>
      <c r="P780" s="70"/>
      <c r="Q780" s="71"/>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69"/>
      <c r="B781" s="51"/>
      <c r="C781" s="51"/>
      <c r="D781" s="70"/>
      <c r="E781" s="70"/>
      <c r="F781" s="70"/>
      <c r="G781" s="70"/>
      <c r="H781" s="70"/>
      <c r="I781" s="70"/>
      <c r="J781" s="70"/>
      <c r="K781" s="70"/>
      <c r="L781" s="70"/>
      <c r="M781" s="70"/>
      <c r="N781" s="70"/>
      <c r="O781" s="70"/>
      <c r="P781" s="70"/>
      <c r="Q781" s="7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69"/>
      <c r="B782" s="51"/>
      <c r="C782" s="51"/>
      <c r="D782" s="70"/>
      <c r="E782" s="70"/>
      <c r="F782" s="70"/>
      <c r="G782" s="70"/>
      <c r="H782" s="70"/>
      <c r="I782" s="70"/>
      <c r="J782" s="70"/>
      <c r="K782" s="70"/>
      <c r="L782" s="70"/>
      <c r="M782" s="70"/>
      <c r="N782" s="70"/>
      <c r="O782" s="70"/>
      <c r="P782" s="70"/>
      <c r="Q782" s="71"/>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69"/>
      <c r="B783" s="51"/>
      <c r="C783" s="51"/>
      <c r="D783" s="70"/>
      <c r="E783" s="70"/>
      <c r="F783" s="70"/>
      <c r="G783" s="70"/>
      <c r="H783" s="70"/>
      <c r="I783" s="70"/>
      <c r="J783" s="70"/>
      <c r="K783" s="70"/>
      <c r="L783" s="70"/>
      <c r="M783" s="70"/>
      <c r="N783" s="70"/>
      <c r="O783" s="70"/>
      <c r="P783" s="70"/>
      <c r="Q783" s="71"/>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69"/>
      <c r="B784" s="51"/>
      <c r="C784" s="51"/>
      <c r="D784" s="70"/>
      <c r="E784" s="70"/>
      <c r="F784" s="70"/>
      <c r="G784" s="70"/>
      <c r="H784" s="70"/>
      <c r="I784" s="70"/>
      <c r="J784" s="70"/>
      <c r="K784" s="70"/>
      <c r="L784" s="70"/>
      <c r="M784" s="70"/>
      <c r="N784" s="70"/>
      <c r="O784" s="70"/>
      <c r="P784" s="70"/>
      <c r="Q784" s="71"/>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69"/>
      <c r="B785" s="51"/>
      <c r="C785" s="51"/>
      <c r="D785" s="70"/>
      <c r="E785" s="70"/>
      <c r="F785" s="70"/>
      <c r="G785" s="70"/>
      <c r="H785" s="70"/>
      <c r="I785" s="70"/>
      <c r="J785" s="70"/>
      <c r="K785" s="70"/>
      <c r="L785" s="70"/>
      <c r="M785" s="70"/>
      <c r="N785" s="70"/>
      <c r="O785" s="70"/>
      <c r="P785" s="70"/>
      <c r="Q785" s="71"/>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0.5" customHeight="1" hidden="1">
      <c r="A786" s="69"/>
      <c r="B786" s="51"/>
      <c r="C786" s="51"/>
      <c r="D786" s="145"/>
      <c r="E786" s="146"/>
      <c r="F786" s="146"/>
      <c r="G786" s="70"/>
      <c r="H786" s="70"/>
      <c r="I786" s="70"/>
      <c r="J786" s="70"/>
      <c r="K786" s="70"/>
      <c r="L786" s="70"/>
      <c r="M786" s="70"/>
      <c r="N786" s="70"/>
      <c r="O786" s="70"/>
      <c r="P786" s="70"/>
      <c r="Q786" s="71"/>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69"/>
      <c r="B787" s="51"/>
      <c r="C787" s="51"/>
      <c r="D787" s="145"/>
      <c r="E787" s="146"/>
      <c r="F787" s="146"/>
      <c r="G787" s="70"/>
      <c r="H787" s="70"/>
      <c r="I787" s="70"/>
      <c r="J787" s="70"/>
      <c r="K787" s="70"/>
      <c r="L787" s="70"/>
      <c r="M787" s="70"/>
      <c r="N787" s="70"/>
      <c r="O787" s="70"/>
      <c r="P787" s="70"/>
      <c r="Q787" s="71"/>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69"/>
      <c r="B788" s="51"/>
      <c r="C788" s="51"/>
      <c r="D788" s="145"/>
      <c r="E788" s="146"/>
      <c r="F788" s="146"/>
      <c r="G788" s="70"/>
      <c r="H788" s="70"/>
      <c r="I788" s="70"/>
      <c r="J788" s="70"/>
      <c r="K788" s="70"/>
      <c r="L788" s="70"/>
      <c r="M788" s="70"/>
      <c r="N788" s="70"/>
      <c r="O788" s="70"/>
      <c r="P788" s="70"/>
      <c r="Q788" s="71"/>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69"/>
      <c r="B789" s="51"/>
      <c r="C789" s="51"/>
      <c r="D789" s="145"/>
      <c r="E789" s="146"/>
      <c r="F789" s="146"/>
      <c r="G789" s="70"/>
      <c r="H789" s="70"/>
      <c r="I789" s="70"/>
      <c r="J789" s="70"/>
      <c r="K789" s="70"/>
      <c r="L789" s="70"/>
      <c r="M789" s="70"/>
      <c r="N789" s="70"/>
      <c r="O789" s="70"/>
      <c r="P789" s="70"/>
      <c r="Q789" s="71"/>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69"/>
      <c r="B790" s="51"/>
      <c r="C790" s="51"/>
      <c r="D790" s="145"/>
      <c r="E790" s="146"/>
      <c r="F790" s="146"/>
      <c r="G790" s="70"/>
      <c r="H790" s="70"/>
      <c r="I790" s="70"/>
      <c r="J790" s="70"/>
      <c r="K790" s="70"/>
      <c r="L790" s="70"/>
      <c r="M790" s="70"/>
      <c r="N790" s="70"/>
      <c r="O790" s="70"/>
      <c r="P790" s="70"/>
      <c r="Q790" s="71"/>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69"/>
      <c r="B791" s="51"/>
      <c r="C791" s="51"/>
      <c r="D791" s="145"/>
      <c r="E791" s="146"/>
      <c r="F791" s="146"/>
      <c r="G791" s="70"/>
      <c r="H791" s="70"/>
      <c r="I791" s="70"/>
      <c r="J791" s="70"/>
      <c r="K791" s="70"/>
      <c r="L791" s="70"/>
      <c r="M791" s="70"/>
      <c r="N791" s="70"/>
      <c r="O791" s="70"/>
      <c r="P791" s="70"/>
      <c r="Q791" s="7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69"/>
      <c r="B792" s="51"/>
      <c r="C792" s="51"/>
      <c r="D792" s="145"/>
      <c r="E792" s="146"/>
      <c r="F792" s="146"/>
      <c r="G792" s="70"/>
      <c r="H792" s="70"/>
      <c r="I792" s="70"/>
      <c r="J792" s="70"/>
      <c r="K792" s="70"/>
      <c r="L792" s="70"/>
      <c r="M792" s="70"/>
      <c r="N792" s="70"/>
      <c r="O792" s="70"/>
      <c r="P792" s="70"/>
      <c r="Q792" s="71"/>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69"/>
      <c r="B793" s="51"/>
      <c r="C793" s="51"/>
      <c r="D793" s="145"/>
      <c r="E793" s="146"/>
      <c r="F793" s="146"/>
      <c r="G793" s="70"/>
      <c r="H793" s="70"/>
      <c r="I793" s="70"/>
      <c r="J793" s="70"/>
      <c r="K793" s="70"/>
      <c r="L793" s="70"/>
      <c r="M793" s="70"/>
      <c r="N793" s="70"/>
      <c r="O793" s="70"/>
      <c r="P793" s="70"/>
      <c r="Q793" s="71"/>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69"/>
      <c r="B794" s="51"/>
      <c r="C794" s="51"/>
      <c r="D794" s="145"/>
      <c r="E794" s="146"/>
      <c r="F794" s="146"/>
      <c r="G794" s="70"/>
      <c r="H794" s="70"/>
      <c r="I794" s="70"/>
      <c r="J794" s="70"/>
      <c r="K794" s="70"/>
      <c r="L794" s="70"/>
      <c r="M794" s="70"/>
      <c r="N794" s="70"/>
      <c r="O794" s="70"/>
      <c r="P794" s="70"/>
      <c r="Q794" s="71"/>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2" customHeight="1" hidden="1">
      <c r="A795" s="69"/>
      <c r="B795" s="51"/>
      <c r="C795" s="51"/>
      <c r="D795" s="145"/>
      <c r="E795" s="146"/>
      <c r="F795" s="146"/>
      <c r="G795" s="70"/>
      <c r="H795" s="70"/>
      <c r="I795" s="70"/>
      <c r="J795" s="70"/>
      <c r="K795" s="70"/>
      <c r="L795" s="70"/>
      <c r="M795" s="70"/>
      <c r="N795" s="70"/>
      <c r="O795" s="70"/>
      <c r="P795" s="70"/>
      <c r="Q795" s="71"/>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69"/>
      <c r="B796" s="51"/>
      <c r="C796" s="51"/>
      <c r="D796" s="145"/>
      <c r="E796" s="146"/>
      <c r="F796" s="146"/>
      <c r="G796" s="70"/>
      <c r="H796" s="70"/>
      <c r="I796" s="70"/>
      <c r="J796" s="70"/>
      <c r="K796" s="70"/>
      <c r="L796" s="70"/>
      <c r="M796" s="70"/>
      <c r="N796" s="70"/>
      <c r="O796" s="70"/>
      <c r="P796" s="70"/>
      <c r="Q796" s="71"/>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9.25" customHeight="1" hidden="1">
      <c r="A797" s="64"/>
      <c r="B797" s="64"/>
      <c r="C797" s="64"/>
      <c r="D797" s="149"/>
      <c r="E797" s="150"/>
      <c r="F797" s="150"/>
      <c r="G797" s="150"/>
      <c r="H797" s="150"/>
      <c r="I797" s="150"/>
      <c r="J797" s="151"/>
      <c r="K797" s="151"/>
      <c r="L797" s="151"/>
      <c r="M797" s="151"/>
      <c r="N797" s="151"/>
      <c r="O797" s="151"/>
      <c r="P797" s="151"/>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9.25" customHeight="1">
      <c r="A798" s="21" t="s">
        <v>413</v>
      </c>
      <c r="B798" s="184"/>
      <c r="C798" s="184"/>
      <c r="D798" s="185"/>
      <c r="E798" s="186"/>
      <c r="F798" s="186"/>
      <c r="G798" s="186"/>
      <c r="H798" s="14">
        <f>H773/H775</f>
        <v>-934666.6666666666</v>
      </c>
      <c r="I798" s="186"/>
      <c r="J798" s="17">
        <f>H798</f>
        <v>-934666.6666666666</v>
      </c>
      <c r="K798" s="187"/>
      <c r="L798" s="187"/>
      <c r="M798" s="187"/>
      <c r="N798" s="187"/>
      <c r="O798" s="17">
        <f>O773/O775</f>
        <v>-1052046</v>
      </c>
      <c r="P798" s="17">
        <f>P773/P775</f>
        <v>-1052046</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1" customHeight="1">
      <c r="A799" s="105" t="s">
        <v>442</v>
      </c>
      <c r="B799" s="184"/>
      <c r="C799" s="184"/>
      <c r="D799" s="202"/>
      <c r="E799" s="203"/>
      <c r="F799" s="203"/>
      <c r="G799" s="203"/>
      <c r="H799" s="87"/>
      <c r="I799" s="203"/>
      <c r="J799" s="87"/>
      <c r="K799" s="204"/>
      <c r="L799" s="204"/>
      <c r="M799" s="204"/>
      <c r="N799" s="204"/>
      <c r="O799" s="87">
        <f>O801</f>
        <v>3000000</v>
      </c>
      <c r="P799" s="87">
        <f>P801</f>
        <v>3000000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7" customHeight="1">
      <c r="A800" s="23" t="s">
        <v>441</v>
      </c>
      <c r="B800" s="184"/>
      <c r="C800" s="184"/>
      <c r="D800" s="185"/>
      <c r="E800" s="186"/>
      <c r="F800" s="186"/>
      <c r="G800" s="186"/>
      <c r="H800" s="14"/>
      <c r="I800" s="186"/>
      <c r="J800" s="17"/>
      <c r="K800" s="187"/>
      <c r="L800" s="187"/>
      <c r="M800" s="187"/>
      <c r="N800" s="187"/>
      <c r="O800" s="17"/>
      <c r="P800" s="17"/>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80" t="s">
        <v>436</v>
      </c>
      <c r="B801" s="201"/>
      <c r="C801" s="201"/>
      <c r="D801" s="202"/>
      <c r="E801" s="203"/>
      <c r="F801" s="203"/>
      <c r="G801" s="203"/>
      <c r="H801" s="87"/>
      <c r="I801" s="203"/>
      <c r="J801" s="87"/>
      <c r="K801" s="204"/>
      <c r="L801" s="204"/>
      <c r="M801" s="204"/>
      <c r="N801" s="204"/>
      <c r="O801" s="87">
        <f>O805*O807</f>
        <v>3000000</v>
      </c>
      <c r="P801" s="87">
        <f>O801</f>
        <v>3000000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15" customHeight="1">
      <c r="A802" s="52" t="s">
        <v>4</v>
      </c>
      <c r="B802" s="184"/>
      <c r="C802" s="184"/>
      <c r="D802" s="185"/>
      <c r="E802" s="186"/>
      <c r="F802" s="186"/>
      <c r="G802" s="186"/>
      <c r="H802" s="14"/>
      <c r="I802" s="186"/>
      <c r="J802" s="17"/>
      <c r="K802" s="187"/>
      <c r="L802" s="187"/>
      <c r="M802" s="187"/>
      <c r="N802" s="187"/>
      <c r="O802" s="17"/>
      <c r="P802" s="17">
        <f>O802</f>
        <v>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4" customHeight="1">
      <c r="A803" s="106" t="s">
        <v>437</v>
      </c>
      <c r="B803" s="184"/>
      <c r="C803" s="184"/>
      <c r="D803" s="185"/>
      <c r="E803" s="186"/>
      <c r="F803" s="186"/>
      <c r="G803" s="186"/>
      <c r="H803" s="14"/>
      <c r="I803" s="186"/>
      <c r="J803" s="17"/>
      <c r="K803" s="187"/>
      <c r="L803" s="187"/>
      <c r="M803" s="187"/>
      <c r="N803" s="187"/>
      <c r="O803" s="17">
        <v>2</v>
      </c>
      <c r="P803" s="17">
        <f>O803</f>
        <v>2</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6.5" customHeight="1">
      <c r="A804" s="176" t="s">
        <v>5</v>
      </c>
      <c r="B804" s="184"/>
      <c r="C804" s="184"/>
      <c r="D804" s="185"/>
      <c r="E804" s="186"/>
      <c r="F804" s="186"/>
      <c r="G804" s="186"/>
      <c r="H804" s="14"/>
      <c r="I804" s="186"/>
      <c r="J804" s="17"/>
      <c r="K804" s="187"/>
      <c r="L804" s="187"/>
      <c r="M804" s="187"/>
      <c r="N804" s="187"/>
      <c r="O804" s="17"/>
      <c r="P804" s="17">
        <f aca="true" t="shared" si="51" ref="P804:P809">O804</f>
        <v>0</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5.5" customHeight="1">
      <c r="A805" s="106" t="s">
        <v>438</v>
      </c>
      <c r="B805" s="184"/>
      <c r="C805" s="184"/>
      <c r="D805" s="185"/>
      <c r="E805" s="186"/>
      <c r="F805" s="186"/>
      <c r="G805" s="186"/>
      <c r="H805" s="14"/>
      <c r="I805" s="186"/>
      <c r="J805" s="17"/>
      <c r="K805" s="187"/>
      <c r="L805" s="187"/>
      <c r="M805" s="187"/>
      <c r="N805" s="187"/>
      <c r="O805" s="17">
        <v>2</v>
      </c>
      <c r="P805" s="17">
        <f t="shared" si="51"/>
        <v>2</v>
      </c>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5" customHeight="1">
      <c r="A806" s="176" t="s">
        <v>7</v>
      </c>
      <c r="B806" s="184"/>
      <c r="C806" s="184"/>
      <c r="D806" s="185"/>
      <c r="E806" s="186"/>
      <c r="F806" s="186"/>
      <c r="G806" s="186"/>
      <c r="H806" s="14"/>
      <c r="I806" s="186"/>
      <c r="J806" s="17"/>
      <c r="K806" s="187"/>
      <c r="L806" s="187"/>
      <c r="M806" s="187"/>
      <c r="N806" s="187"/>
      <c r="O806" s="17"/>
      <c r="P806" s="17">
        <f t="shared" si="51"/>
        <v>0</v>
      </c>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1.75" customHeight="1">
      <c r="A807" s="106" t="s">
        <v>439</v>
      </c>
      <c r="B807" s="184"/>
      <c r="C807" s="184"/>
      <c r="D807" s="185"/>
      <c r="E807" s="186"/>
      <c r="F807" s="186"/>
      <c r="G807" s="186"/>
      <c r="H807" s="14"/>
      <c r="I807" s="186"/>
      <c r="J807" s="17"/>
      <c r="K807" s="187"/>
      <c r="L807" s="187"/>
      <c r="M807" s="187"/>
      <c r="N807" s="187"/>
      <c r="O807" s="17">
        <v>1500000</v>
      </c>
      <c r="P807" s="17">
        <f t="shared" si="51"/>
        <v>1500000</v>
      </c>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7.25" customHeight="1">
      <c r="A808" s="176" t="s">
        <v>6</v>
      </c>
      <c r="B808" s="184"/>
      <c r="C808" s="184"/>
      <c r="D808" s="185"/>
      <c r="E808" s="186"/>
      <c r="F808" s="186"/>
      <c r="G808" s="186"/>
      <c r="H808" s="14"/>
      <c r="I808" s="186"/>
      <c r="J808" s="17"/>
      <c r="K808" s="187"/>
      <c r="L808" s="187"/>
      <c r="M808" s="187"/>
      <c r="N808" s="187"/>
      <c r="O808" s="17"/>
      <c r="P808" s="17">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06" t="s">
        <v>440</v>
      </c>
      <c r="B809" s="184"/>
      <c r="C809" s="184"/>
      <c r="D809" s="185"/>
      <c r="E809" s="186"/>
      <c r="F809" s="186"/>
      <c r="G809" s="186"/>
      <c r="H809" s="186"/>
      <c r="I809" s="186"/>
      <c r="J809" s="187"/>
      <c r="K809" s="187"/>
      <c r="L809" s="187"/>
      <c r="M809" s="187"/>
      <c r="N809" s="187"/>
      <c r="O809" s="17">
        <f>O805/O803</f>
        <v>1</v>
      </c>
      <c r="P809" s="17">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200"/>
      <c r="B810" s="64"/>
      <c r="C810" s="64"/>
      <c r="D810" s="149"/>
      <c r="E810" s="188"/>
      <c r="F810" s="188"/>
      <c r="G810" s="188"/>
      <c r="H810" s="188"/>
      <c r="I810" s="188"/>
      <c r="J810" s="151"/>
      <c r="K810" s="151"/>
      <c r="L810" s="151"/>
      <c r="M810" s="151"/>
      <c r="N810" s="151"/>
      <c r="O810" s="151"/>
      <c r="P810" s="151"/>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200"/>
      <c r="B811" s="64"/>
      <c r="C811" s="64"/>
      <c r="D811" s="149"/>
      <c r="E811" s="188"/>
      <c r="F811" s="188"/>
      <c r="G811" s="188"/>
      <c r="H811" s="188"/>
      <c r="I811" s="188"/>
      <c r="J811" s="151"/>
      <c r="K811" s="151"/>
      <c r="L811" s="151"/>
      <c r="M811" s="151"/>
      <c r="N811" s="151"/>
      <c r="O811" s="151"/>
      <c r="P811" s="15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64"/>
      <c r="B812" s="64"/>
      <c r="C812" s="64"/>
      <c r="D812" s="149"/>
      <c r="E812" s="150"/>
      <c r="F812" s="150"/>
      <c r="G812" s="150"/>
      <c r="H812" s="150"/>
      <c r="I812" s="150"/>
      <c r="J812" s="151"/>
      <c r="K812" s="151"/>
      <c r="L812" s="151"/>
      <c r="M812" s="151"/>
      <c r="N812" s="151"/>
      <c r="O812" s="151"/>
      <c r="P812" s="151"/>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64"/>
      <c r="B813" s="64"/>
      <c r="C813" s="64"/>
      <c r="D813" s="149"/>
      <c r="E813" s="150"/>
      <c r="F813" s="150"/>
      <c r="G813" s="150"/>
      <c r="H813" s="150"/>
      <c r="I813" s="150"/>
      <c r="J813" s="151"/>
      <c r="K813" s="151"/>
      <c r="L813" s="151"/>
      <c r="M813" s="151"/>
      <c r="N813" s="151"/>
      <c r="O813" s="151"/>
      <c r="P813" s="151"/>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231" t="s">
        <v>382</v>
      </c>
      <c r="B814" s="231"/>
      <c r="C814" s="231"/>
      <c r="D814" s="152"/>
      <c r="E814" s="152"/>
      <c r="F814" s="232"/>
      <c r="G814" s="153"/>
      <c r="H814" s="153"/>
      <c r="I814" s="153"/>
      <c r="J814" s="233"/>
      <c r="K814" s="233"/>
      <c r="L814" s="233"/>
      <c r="M814" s="233"/>
      <c r="N814" s="153"/>
      <c r="O814" s="234" t="s">
        <v>231</v>
      </c>
      <c r="P814" s="23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235"/>
      <c r="B815" s="235"/>
      <c r="C815" s="235"/>
      <c r="D815" s="152"/>
      <c r="E815" s="152"/>
      <c r="F815" s="232"/>
      <c r="G815" s="153"/>
      <c r="H815" s="153"/>
      <c r="I815" s="153"/>
      <c r="J815" s="233"/>
      <c r="K815" s="233"/>
      <c r="L815" s="233"/>
      <c r="M815" s="233"/>
      <c r="N815" s="153"/>
      <c r="O815" s="236"/>
      <c r="P815" s="236"/>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235"/>
      <c r="B816" s="235"/>
      <c r="C816" s="235"/>
      <c r="D816" s="152"/>
      <c r="E816" s="152"/>
      <c r="F816" s="232"/>
      <c r="G816" s="153"/>
      <c r="H816" s="153"/>
      <c r="I816" s="153"/>
      <c r="J816" s="233"/>
      <c r="K816" s="233"/>
      <c r="L816" s="233"/>
      <c r="M816" s="233"/>
      <c r="N816" s="153"/>
      <c r="O816" s="236"/>
      <c r="P816" s="23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237" t="s">
        <v>259</v>
      </c>
      <c r="B817" s="237"/>
      <c r="C817" s="65"/>
      <c r="D817" s="154"/>
      <c r="E817" s="152"/>
      <c r="F817" s="153"/>
      <c r="G817" s="152"/>
      <c r="H817" s="152"/>
      <c r="I817" s="152"/>
      <c r="J817" s="155"/>
      <c r="K817" s="155"/>
      <c r="L817" s="155"/>
      <c r="M817" s="155"/>
      <c r="N817" s="155"/>
      <c r="O817" s="155"/>
      <c r="P817" s="155"/>
      <c r="Q817" s="66"/>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27" t="s">
        <v>232</v>
      </c>
      <c r="B818" s="27"/>
      <c r="C818" s="238"/>
      <c r="D818" s="153"/>
      <c r="E818" s="153"/>
      <c r="F818" s="153"/>
      <c r="G818" s="153"/>
      <c r="H818" s="153"/>
      <c r="I818" s="153"/>
      <c r="J818" s="153"/>
      <c r="K818" s="153"/>
      <c r="L818" s="153"/>
      <c r="M818" s="153"/>
      <c r="N818" s="153"/>
      <c r="O818" s="153"/>
      <c r="P818" s="153"/>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28"/>
      <c r="B819" s="29"/>
      <c r="C819" s="24"/>
      <c r="D819" s="157"/>
      <c r="E819" s="157"/>
      <c r="F819" s="156"/>
      <c r="G819" s="156"/>
      <c r="H819" s="156"/>
      <c r="I819" s="156"/>
      <c r="J819" s="156"/>
      <c r="K819" s="156"/>
      <c r="L819" s="156"/>
      <c r="M819" s="156"/>
      <c r="N819" s="156"/>
      <c r="O819" s="156"/>
      <c r="P819" s="156"/>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158"/>
      <c r="E820" s="158"/>
      <c r="F820" s="158"/>
      <c r="G820" s="158"/>
      <c r="H820" s="158"/>
      <c r="I820" s="158"/>
      <c r="J820" s="158"/>
      <c r="K820" s="159"/>
      <c r="L820" s="159"/>
      <c r="M820" s="159"/>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158"/>
      <c r="E821" s="158"/>
      <c r="F821" s="158"/>
      <c r="G821" s="158"/>
      <c r="H821" s="158"/>
      <c r="I821" s="158"/>
      <c r="J821" s="158"/>
      <c r="K821" s="159"/>
      <c r="L821" s="159"/>
      <c r="M821" s="159"/>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158"/>
      <c r="E822" s="158"/>
      <c r="F822" s="158"/>
      <c r="G822" s="158"/>
      <c r="H822" s="158"/>
      <c r="I822" s="158"/>
      <c r="J822" s="158"/>
      <c r="K822" s="159"/>
      <c r="L822" s="159"/>
      <c r="M822" s="159"/>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158"/>
      <c r="E823" s="158"/>
      <c r="F823" s="158"/>
      <c r="G823" s="158"/>
      <c r="H823" s="158"/>
      <c r="I823" s="158"/>
      <c r="J823" s="158"/>
      <c r="K823" s="159"/>
      <c r="L823" s="159"/>
      <c r="M823" s="159"/>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59"/>
      <c r="E824" s="159"/>
      <c r="F824" s="159"/>
      <c r="G824" s="159"/>
      <c r="H824" s="159"/>
      <c r="I824" s="159"/>
      <c r="J824" s="159"/>
      <c r="K824" s="159"/>
      <c r="L824" s="159"/>
      <c r="M824" s="159"/>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59"/>
      <c r="E825" s="159"/>
      <c r="F825" s="159"/>
      <c r="G825" s="159"/>
      <c r="H825" s="159"/>
      <c r="I825" s="159"/>
      <c r="J825" s="159"/>
      <c r="K825" s="159"/>
      <c r="L825" s="159"/>
      <c r="M825" s="159"/>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59"/>
      <c r="E826" s="159"/>
      <c r="F826" s="159"/>
      <c r="G826" s="159"/>
      <c r="H826" s="159"/>
      <c r="I826" s="159"/>
      <c r="J826" s="159"/>
      <c r="K826" s="159"/>
      <c r="L826" s="159"/>
      <c r="M826" s="159"/>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59"/>
      <c r="E827" s="159"/>
      <c r="F827" s="159"/>
      <c r="G827" s="159"/>
      <c r="H827" s="159"/>
      <c r="I827" s="159"/>
      <c r="J827" s="159"/>
      <c r="K827" s="159"/>
      <c r="L827" s="159"/>
      <c r="M827" s="159"/>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59"/>
      <c r="E828" s="159"/>
      <c r="F828" s="159"/>
      <c r="G828" s="159"/>
      <c r="H828" s="159"/>
      <c r="I828" s="159"/>
      <c r="J828" s="159"/>
      <c r="K828" s="159"/>
      <c r="L828" s="159"/>
      <c r="M828" s="159"/>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59"/>
      <c r="E829" s="159"/>
      <c r="F829" s="159"/>
      <c r="G829" s="159"/>
      <c r="H829" s="159"/>
      <c r="I829" s="159"/>
      <c r="J829" s="159"/>
      <c r="K829" s="159"/>
      <c r="L829" s="159"/>
      <c r="M829" s="15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59"/>
      <c r="E830" s="159"/>
      <c r="F830" s="159"/>
      <c r="G830" s="159"/>
      <c r="H830" s="159"/>
      <c r="I830" s="159"/>
      <c r="J830" s="159"/>
      <c r="K830" s="159"/>
      <c r="L830" s="159"/>
      <c r="M830" s="159"/>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59"/>
      <c r="E831" s="159"/>
      <c r="F831" s="159"/>
      <c r="G831" s="159"/>
      <c r="H831" s="159"/>
      <c r="I831" s="159"/>
      <c r="J831" s="159"/>
      <c r="K831" s="159"/>
      <c r="L831" s="159"/>
      <c r="M831" s="159"/>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59"/>
      <c r="E832" s="159"/>
      <c r="F832" s="159"/>
      <c r="G832" s="159"/>
      <c r="H832" s="159"/>
      <c r="I832" s="159"/>
      <c r="J832" s="159"/>
      <c r="K832" s="159"/>
      <c r="L832" s="159"/>
      <c r="M832" s="159"/>
      <c r="N832" s="156"/>
      <c r="O832" s="156"/>
      <c r="P832" s="156"/>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59"/>
      <c r="E833" s="159"/>
      <c r="F833" s="159"/>
      <c r="G833" s="159"/>
      <c r="H833" s="159"/>
      <c r="I833" s="159"/>
      <c r="J833" s="159"/>
      <c r="K833" s="159"/>
      <c r="L833" s="159"/>
      <c r="M833" s="159"/>
      <c r="N833" s="156"/>
      <c r="O833" s="156"/>
      <c r="P833" s="156"/>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59"/>
      <c r="E834" s="159"/>
      <c r="F834" s="159"/>
      <c r="G834" s="159"/>
      <c r="H834" s="159"/>
      <c r="I834" s="159"/>
      <c r="J834" s="159"/>
      <c r="K834" s="159"/>
      <c r="L834" s="159"/>
      <c r="M834" s="159"/>
      <c r="N834" s="156"/>
      <c r="O834" s="156"/>
      <c r="P834" s="156"/>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59"/>
      <c r="E835" s="159"/>
      <c r="F835" s="159"/>
      <c r="G835" s="159"/>
      <c r="H835" s="159"/>
      <c r="I835" s="159"/>
      <c r="J835" s="159"/>
      <c r="K835" s="159"/>
      <c r="L835" s="159"/>
      <c r="M835" s="159"/>
      <c r="N835" s="156"/>
      <c r="O835" s="156"/>
      <c r="P835" s="156"/>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59"/>
      <c r="E836" s="159"/>
      <c r="F836" s="159"/>
      <c r="G836" s="159"/>
      <c r="H836" s="159"/>
      <c r="I836" s="159"/>
      <c r="J836" s="159"/>
      <c r="K836" s="159"/>
      <c r="L836" s="159"/>
      <c r="M836" s="159"/>
      <c r="N836" s="156"/>
      <c r="O836" s="156"/>
      <c r="P836" s="15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59"/>
      <c r="E837" s="159"/>
      <c r="F837" s="159"/>
      <c r="G837" s="159"/>
      <c r="H837" s="159"/>
      <c r="I837" s="159"/>
      <c r="J837" s="159"/>
      <c r="K837" s="159"/>
      <c r="L837" s="159"/>
      <c r="M837" s="159"/>
      <c r="N837" s="156"/>
      <c r="O837" s="156"/>
      <c r="P837" s="156"/>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59"/>
      <c r="E838" s="159"/>
      <c r="F838" s="159"/>
      <c r="G838" s="159"/>
      <c r="H838" s="159"/>
      <c r="I838" s="159"/>
      <c r="J838" s="159"/>
      <c r="K838" s="159"/>
      <c r="L838" s="159"/>
      <c r="M838" s="159"/>
      <c r="N838" s="156"/>
      <c r="O838" s="156"/>
      <c r="P838" s="156"/>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59"/>
      <c r="E839" s="159"/>
      <c r="F839" s="159"/>
      <c r="G839" s="159"/>
      <c r="H839" s="159"/>
      <c r="I839" s="159"/>
      <c r="J839" s="159"/>
      <c r="K839" s="159"/>
      <c r="L839" s="159"/>
      <c r="M839" s="159"/>
      <c r="N839" s="156"/>
      <c r="O839" s="156"/>
      <c r="P839" s="156"/>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59"/>
      <c r="E840" s="159"/>
      <c r="F840" s="159"/>
      <c r="G840" s="159"/>
      <c r="H840" s="159"/>
      <c r="I840" s="159"/>
      <c r="J840" s="159"/>
      <c r="K840" s="159"/>
      <c r="L840" s="159"/>
      <c r="M840" s="159"/>
      <c r="N840" s="156"/>
      <c r="O840" s="156"/>
      <c r="P840" s="156"/>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59"/>
      <c r="E841" s="159"/>
      <c r="F841" s="159"/>
      <c r="G841" s="159"/>
      <c r="H841" s="159"/>
      <c r="I841" s="159"/>
      <c r="J841" s="159"/>
      <c r="K841" s="159"/>
      <c r="L841" s="159"/>
      <c r="M841" s="159"/>
      <c r="N841" s="156"/>
      <c r="O841" s="156"/>
      <c r="P841" s="156"/>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59"/>
      <c r="E842" s="159"/>
      <c r="F842" s="159"/>
      <c r="G842" s="159"/>
      <c r="H842" s="159"/>
      <c r="I842" s="159"/>
      <c r="J842" s="159"/>
      <c r="K842" s="159"/>
      <c r="L842" s="159"/>
      <c r="M842" s="159"/>
      <c r="N842" s="156"/>
      <c r="O842" s="156"/>
      <c r="P842" s="156"/>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59"/>
      <c r="E843" s="159"/>
      <c r="F843" s="159"/>
      <c r="G843" s="159"/>
      <c r="H843" s="159"/>
      <c r="I843" s="159"/>
      <c r="J843" s="159"/>
      <c r="K843" s="159"/>
      <c r="L843" s="159"/>
      <c r="M843" s="159"/>
      <c r="N843" s="156"/>
      <c r="O843" s="156"/>
      <c r="P843" s="156"/>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59"/>
      <c r="E844" s="159"/>
      <c r="F844" s="159"/>
      <c r="G844" s="159"/>
      <c r="H844" s="159"/>
      <c r="I844" s="159"/>
      <c r="J844" s="159"/>
      <c r="K844" s="159"/>
      <c r="L844" s="159"/>
      <c r="M844" s="159"/>
      <c r="N844" s="156"/>
      <c r="O844" s="156"/>
      <c r="P844" s="156"/>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59"/>
      <c r="E845" s="159"/>
      <c r="F845" s="159"/>
      <c r="G845" s="159"/>
      <c r="H845" s="159"/>
      <c r="I845" s="159"/>
      <c r="J845" s="159"/>
      <c r="K845" s="159"/>
      <c r="L845" s="159"/>
      <c r="M845" s="159"/>
      <c r="N845" s="156"/>
      <c r="O845" s="156"/>
      <c r="P845" s="156"/>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59"/>
      <c r="E846" s="159"/>
      <c r="F846" s="159"/>
      <c r="G846" s="159"/>
      <c r="H846" s="159"/>
      <c r="I846" s="159"/>
      <c r="J846" s="159"/>
      <c r="K846" s="159"/>
      <c r="L846" s="159"/>
      <c r="M846" s="159"/>
      <c r="N846" s="156"/>
      <c r="O846" s="156"/>
      <c r="P846" s="15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59"/>
      <c r="E847" s="159"/>
      <c r="F847" s="159"/>
      <c r="G847" s="159"/>
      <c r="H847" s="159"/>
      <c r="I847" s="159"/>
      <c r="J847" s="159"/>
      <c r="K847" s="159"/>
      <c r="L847" s="159"/>
      <c r="M847" s="159"/>
      <c r="N847" s="156"/>
      <c r="O847" s="156"/>
      <c r="P847" s="156"/>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59"/>
      <c r="E848" s="159"/>
      <c r="F848" s="159"/>
      <c r="G848" s="159"/>
      <c r="H848" s="159"/>
      <c r="I848" s="159"/>
      <c r="J848" s="159"/>
      <c r="K848" s="159"/>
      <c r="L848" s="159"/>
      <c r="M848" s="159"/>
      <c r="N848" s="156"/>
      <c r="O848" s="156"/>
      <c r="P848" s="156"/>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59"/>
      <c r="E849" s="159"/>
      <c r="F849" s="159"/>
      <c r="G849" s="159"/>
      <c r="H849" s="159"/>
      <c r="I849" s="159"/>
      <c r="J849" s="159"/>
      <c r="K849" s="159"/>
      <c r="L849" s="159"/>
      <c r="M849" s="159"/>
      <c r="N849" s="156"/>
      <c r="O849" s="156"/>
      <c r="P849" s="156"/>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59"/>
      <c r="E850" s="159"/>
      <c r="F850" s="159"/>
      <c r="G850" s="159"/>
      <c r="H850" s="159"/>
      <c r="I850" s="159"/>
      <c r="J850" s="159"/>
      <c r="K850" s="159"/>
      <c r="L850" s="159"/>
      <c r="M850" s="159"/>
      <c r="N850" s="156"/>
      <c r="O850" s="156"/>
      <c r="P850" s="156"/>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59"/>
      <c r="E851" s="159"/>
      <c r="F851" s="159"/>
      <c r="G851" s="159"/>
      <c r="H851" s="159"/>
      <c r="I851" s="159"/>
      <c r="J851" s="159"/>
      <c r="K851" s="159"/>
      <c r="L851" s="159"/>
      <c r="M851" s="159"/>
      <c r="N851" s="156"/>
      <c r="O851" s="156"/>
      <c r="P851" s="156"/>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59"/>
      <c r="E852" s="159"/>
      <c r="F852" s="159"/>
      <c r="G852" s="159"/>
      <c r="H852" s="159"/>
      <c r="I852" s="159"/>
      <c r="J852" s="159"/>
      <c r="K852" s="159"/>
      <c r="L852" s="159"/>
      <c r="M852" s="159"/>
      <c r="N852" s="156"/>
      <c r="O852" s="156"/>
      <c r="P852" s="156"/>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59"/>
      <c r="E853" s="159"/>
      <c r="F853" s="159"/>
      <c r="G853" s="159"/>
      <c r="H853" s="159"/>
      <c r="I853" s="159"/>
      <c r="J853" s="159"/>
      <c r="K853" s="159"/>
      <c r="L853" s="159"/>
      <c r="M853" s="159"/>
      <c r="N853" s="156"/>
      <c r="O853" s="156"/>
      <c r="P853" s="156"/>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59"/>
      <c r="E854" s="159"/>
      <c r="F854" s="159"/>
      <c r="G854" s="159"/>
      <c r="H854" s="159"/>
      <c r="I854" s="159"/>
      <c r="J854" s="159"/>
      <c r="K854" s="159"/>
      <c r="L854" s="159"/>
      <c r="M854" s="159"/>
      <c r="N854" s="156"/>
      <c r="O854" s="156"/>
      <c r="P854" s="156"/>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59"/>
      <c r="E855" s="159"/>
      <c r="F855" s="159"/>
      <c r="G855" s="159"/>
      <c r="H855" s="159"/>
      <c r="I855" s="159"/>
      <c r="J855" s="159"/>
      <c r="K855" s="159"/>
      <c r="L855" s="159"/>
      <c r="M855" s="159"/>
      <c r="N855" s="156"/>
      <c r="O855" s="156"/>
      <c r="P855" s="156"/>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59"/>
      <c r="E856" s="159"/>
      <c r="F856" s="159"/>
      <c r="G856" s="159"/>
      <c r="H856" s="159"/>
      <c r="I856" s="159"/>
      <c r="J856" s="159"/>
      <c r="K856" s="159"/>
      <c r="L856" s="159"/>
      <c r="M856" s="159"/>
      <c r="N856" s="156"/>
      <c r="O856" s="156"/>
      <c r="P856" s="1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59"/>
      <c r="E857" s="159"/>
      <c r="F857" s="159"/>
      <c r="G857" s="159"/>
      <c r="H857" s="159"/>
      <c r="I857" s="159"/>
      <c r="J857" s="159"/>
      <c r="K857" s="159"/>
      <c r="L857" s="159"/>
      <c r="M857" s="159"/>
      <c r="N857" s="156"/>
      <c r="O857" s="156"/>
      <c r="P857" s="156"/>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59"/>
      <c r="E858" s="159"/>
      <c r="F858" s="159"/>
      <c r="G858" s="159"/>
      <c r="H858" s="159"/>
      <c r="I858" s="159"/>
      <c r="J858" s="159"/>
      <c r="K858" s="159"/>
      <c r="L858" s="159"/>
      <c r="M858" s="159"/>
      <c r="N858" s="156"/>
      <c r="O858" s="156"/>
      <c r="P858" s="156"/>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59"/>
      <c r="E859" s="159"/>
      <c r="F859" s="159"/>
      <c r="G859" s="159"/>
      <c r="H859" s="159"/>
      <c r="I859" s="159"/>
      <c r="J859" s="159"/>
      <c r="K859" s="159"/>
      <c r="L859" s="159"/>
      <c r="M859" s="159"/>
      <c r="N859" s="156"/>
      <c r="O859" s="156"/>
      <c r="P859" s="156"/>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59"/>
      <c r="E860" s="159"/>
      <c r="F860" s="159"/>
      <c r="G860" s="159"/>
      <c r="H860" s="159"/>
      <c r="I860" s="159"/>
      <c r="J860" s="159"/>
      <c r="K860" s="159"/>
      <c r="L860" s="159"/>
      <c r="M860" s="159"/>
      <c r="N860" s="156"/>
      <c r="O860" s="156"/>
      <c r="P860" s="156"/>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59"/>
      <c r="E861" s="159"/>
      <c r="F861" s="159"/>
      <c r="G861" s="159"/>
      <c r="H861" s="159"/>
      <c r="I861" s="159"/>
      <c r="J861" s="159"/>
      <c r="K861" s="159"/>
      <c r="L861" s="159"/>
      <c r="M861" s="159"/>
      <c r="N861" s="156"/>
      <c r="O861" s="156"/>
      <c r="P861" s="156"/>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59"/>
      <c r="E862" s="159"/>
      <c r="F862" s="159"/>
      <c r="G862" s="159"/>
      <c r="H862" s="159"/>
      <c r="I862" s="159"/>
      <c r="J862" s="159"/>
      <c r="K862" s="159"/>
      <c r="L862" s="159"/>
      <c r="M862" s="159"/>
      <c r="N862" s="156"/>
      <c r="O862" s="156"/>
      <c r="P862" s="156"/>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59"/>
      <c r="E863" s="159"/>
      <c r="F863" s="159"/>
      <c r="G863" s="159"/>
      <c r="H863" s="159"/>
      <c r="I863" s="159"/>
      <c r="J863" s="159"/>
      <c r="K863" s="159"/>
      <c r="L863" s="159"/>
      <c r="M863" s="159"/>
      <c r="N863" s="156"/>
      <c r="O863" s="156"/>
      <c r="P863" s="156"/>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59"/>
      <c r="E864" s="159"/>
      <c r="F864" s="159"/>
      <c r="G864" s="159"/>
      <c r="H864" s="159"/>
      <c r="I864" s="159"/>
      <c r="J864" s="159"/>
      <c r="K864" s="159"/>
      <c r="L864" s="159"/>
      <c r="M864" s="159"/>
      <c r="N864" s="156"/>
      <c r="O864" s="156"/>
      <c r="P864" s="156"/>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59"/>
      <c r="E865" s="159"/>
      <c r="F865" s="159"/>
      <c r="G865" s="159"/>
      <c r="H865" s="159"/>
      <c r="I865" s="159"/>
      <c r="J865" s="159"/>
      <c r="K865" s="159"/>
      <c r="L865" s="159"/>
      <c r="M865" s="159"/>
      <c r="N865" s="156"/>
      <c r="O865" s="156"/>
      <c r="P865" s="156"/>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59"/>
      <c r="E866" s="159"/>
      <c r="F866" s="159"/>
      <c r="G866" s="159"/>
      <c r="H866" s="159"/>
      <c r="I866" s="159"/>
      <c r="J866" s="159"/>
      <c r="K866" s="159"/>
      <c r="L866" s="159"/>
      <c r="M866" s="159"/>
      <c r="N866" s="156"/>
      <c r="O866" s="156"/>
      <c r="P866" s="15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59"/>
      <c r="E867" s="159"/>
      <c r="F867" s="159"/>
      <c r="G867" s="159"/>
      <c r="H867" s="159"/>
      <c r="I867" s="159"/>
      <c r="J867" s="159"/>
      <c r="K867" s="159"/>
      <c r="L867" s="159"/>
      <c r="M867" s="159"/>
      <c r="N867" s="156"/>
      <c r="O867" s="156"/>
      <c r="P867" s="156"/>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59"/>
      <c r="E868" s="159"/>
      <c r="F868" s="159"/>
      <c r="G868" s="159"/>
      <c r="H868" s="159"/>
      <c r="I868" s="159"/>
      <c r="J868" s="159"/>
      <c r="K868" s="159"/>
      <c r="L868" s="159"/>
      <c r="M868" s="159"/>
      <c r="N868" s="156"/>
      <c r="O868" s="156"/>
      <c r="P868" s="156"/>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59"/>
      <c r="E869" s="159"/>
      <c r="F869" s="159"/>
      <c r="G869" s="159"/>
      <c r="H869" s="159"/>
      <c r="I869" s="159"/>
      <c r="J869" s="159"/>
      <c r="K869" s="159"/>
      <c r="L869" s="159"/>
      <c r="M869" s="159"/>
      <c r="N869" s="156"/>
      <c r="O869" s="156"/>
      <c r="P869" s="156"/>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59"/>
      <c r="E870" s="159"/>
      <c r="F870" s="159"/>
      <c r="G870" s="159"/>
      <c r="H870" s="159"/>
      <c r="I870" s="159"/>
      <c r="J870" s="159"/>
      <c r="K870" s="159"/>
      <c r="L870" s="159"/>
      <c r="M870" s="159"/>
      <c r="N870" s="156"/>
      <c r="O870" s="156"/>
      <c r="P870" s="156"/>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59"/>
      <c r="E871" s="159"/>
      <c r="F871" s="159"/>
      <c r="G871" s="159"/>
      <c r="H871" s="159"/>
      <c r="I871" s="159"/>
      <c r="J871" s="159"/>
      <c r="K871" s="159"/>
      <c r="L871" s="159"/>
      <c r="M871" s="159"/>
      <c r="N871" s="156"/>
      <c r="O871" s="156"/>
      <c r="P871" s="156"/>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59"/>
      <c r="E872" s="159"/>
      <c r="F872" s="159"/>
      <c r="G872" s="159"/>
      <c r="H872" s="159"/>
      <c r="I872" s="159"/>
      <c r="J872" s="159"/>
      <c r="K872" s="159"/>
      <c r="L872" s="159"/>
      <c r="M872" s="159"/>
      <c r="N872" s="156"/>
      <c r="O872" s="156"/>
      <c r="P872" s="156"/>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59"/>
      <c r="E873" s="159"/>
      <c r="F873" s="159"/>
      <c r="G873" s="159"/>
      <c r="H873" s="159"/>
      <c r="I873" s="159"/>
      <c r="J873" s="159"/>
      <c r="K873" s="159"/>
      <c r="L873" s="159"/>
      <c r="M873" s="159"/>
      <c r="N873" s="156"/>
      <c r="O873" s="156"/>
      <c r="P873" s="156"/>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59"/>
      <c r="E874" s="159"/>
      <c r="F874" s="159"/>
      <c r="G874" s="159"/>
      <c r="H874" s="159"/>
      <c r="I874" s="159"/>
      <c r="J874" s="159"/>
      <c r="K874" s="159"/>
      <c r="L874" s="159"/>
      <c r="M874" s="159"/>
      <c r="N874" s="156"/>
      <c r="O874" s="156"/>
      <c r="P874" s="156"/>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59"/>
      <c r="E875" s="159"/>
      <c r="F875" s="159"/>
      <c r="G875" s="159"/>
      <c r="H875" s="159"/>
      <c r="I875" s="159"/>
      <c r="J875" s="159"/>
      <c r="K875" s="159"/>
      <c r="L875" s="159"/>
      <c r="M875" s="159"/>
      <c r="N875" s="156"/>
      <c r="O875" s="156"/>
      <c r="P875" s="156"/>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59"/>
      <c r="E876" s="159"/>
      <c r="F876" s="159"/>
      <c r="G876" s="159"/>
      <c r="H876" s="159"/>
      <c r="I876" s="159"/>
      <c r="J876" s="159"/>
      <c r="K876" s="159"/>
      <c r="L876" s="159"/>
      <c r="M876" s="159"/>
      <c r="N876" s="156"/>
      <c r="O876" s="156"/>
      <c r="P876" s="15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59"/>
      <c r="E877" s="159"/>
      <c r="F877" s="159"/>
      <c r="G877" s="159"/>
      <c r="H877" s="159"/>
      <c r="I877" s="159"/>
      <c r="J877" s="159"/>
      <c r="K877" s="159"/>
      <c r="L877" s="159"/>
      <c r="M877" s="159"/>
      <c r="N877" s="156"/>
      <c r="O877" s="156"/>
      <c r="P877" s="156"/>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59"/>
      <c r="E878" s="159"/>
      <c r="F878" s="159"/>
      <c r="G878" s="159"/>
      <c r="H878" s="159"/>
      <c r="I878" s="159"/>
      <c r="J878" s="159"/>
      <c r="K878" s="159"/>
      <c r="L878" s="159"/>
      <c r="M878" s="159"/>
      <c r="N878" s="156"/>
      <c r="O878" s="156"/>
      <c r="P878" s="156"/>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59"/>
      <c r="E879" s="159"/>
      <c r="F879" s="159"/>
      <c r="G879" s="159"/>
      <c r="H879" s="159"/>
      <c r="I879" s="159"/>
      <c r="J879" s="159"/>
      <c r="K879" s="159"/>
      <c r="L879" s="159"/>
      <c r="M879" s="159"/>
      <c r="N879" s="156"/>
      <c r="O879" s="156"/>
      <c r="P879" s="156"/>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59"/>
      <c r="E880" s="159"/>
      <c r="F880" s="159"/>
      <c r="G880" s="159"/>
      <c r="H880" s="159"/>
      <c r="I880" s="159"/>
      <c r="J880" s="159"/>
      <c r="K880" s="159"/>
      <c r="L880" s="159"/>
      <c r="M880" s="159"/>
      <c r="N880" s="156"/>
      <c r="O880" s="156"/>
      <c r="P880" s="156"/>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59"/>
      <c r="E881" s="159"/>
      <c r="F881" s="159"/>
      <c r="G881" s="159"/>
      <c r="H881" s="159"/>
      <c r="I881" s="159"/>
      <c r="J881" s="159"/>
      <c r="K881" s="159"/>
      <c r="L881" s="159"/>
      <c r="M881" s="159"/>
      <c r="N881" s="156"/>
      <c r="O881" s="156"/>
      <c r="P881" s="156"/>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59"/>
      <c r="E882" s="159"/>
      <c r="F882" s="159"/>
      <c r="G882" s="159"/>
      <c r="H882" s="159"/>
      <c r="I882" s="159"/>
      <c r="J882" s="159"/>
      <c r="K882" s="159"/>
      <c r="L882" s="159"/>
      <c r="M882" s="159"/>
      <c r="N882" s="156"/>
      <c r="O882" s="156"/>
      <c r="P882" s="156"/>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59"/>
      <c r="E883" s="159"/>
      <c r="F883" s="159"/>
      <c r="G883" s="159"/>
      <c r="H883" s="159"/>
      <c r="I883" s="159"/>
      <c r="J883" s="159"/>
      <c r="K883" s="159"/>
      <c r="L883" s="159"/>
      <c r="M883" s="159"/>
      <c r="N883" s="156"/>
      <c r="O883" s="156"/>
      <c r="P883" s="156"/>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59"/>
      <c r="E884" s="159"/>
      <c r="F884" s="159"/>
      <c r="G884" s="159"/>
      <c r="H884" s="159"/>
      <c r="I884" s="159"/>
      <c r="J884" s="159"/>
      <c r="K884" s="159"/>
      <c r="L884" s="159"/>
      <c r="M884" s="159"/>
      <c r="N884" s="156"/>
      <c r="O884" s="156"/>
      <c r="P884" s="156"/>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59"/>
      <c r="E885" s="159"/>
      <c r="F885" s="159"/>
      <c r="G885" s="159"/>
      <c r="H885" s="159"/>
      <c r="I885" s="159"/>
      <c r="J885" s="159"/>
      <c r="K885" s="159"/>
      <c r="L885" s="159"/>
      <c r="M885" s="159"/>
      <c r="N885" s="156"/>
      <c r="O885" s="156"/>
      <c r="P885" s="156"/>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59"/>
      <c r="E886" s="159"/>
      <c r="F886" s="159"/>
      <c r="G886" s="159"/>
      <c r="H886" s="159"/>
      <c r="I886" s="159"/>
      <c r="J886" s="159"/>
      <c r="K886" s="159"/>
      <c r="L886" s="159"/>
      <c r="M886" s="159"/>
      <c r="N886" s="156"/>
      <c r="O886" s="156"/>
      <c r="P886" s="15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59"/>
      <c r="E887" s="159"/>
      <c r="F887" s="159"/>
      <c r="G887" s="159"/>
      <c r="H887" s="159"/>
      <c r="I887" s="159"/>
      <c r="J887" s="159"/>
      <c r="K887" s="159"/>
      <c r="L887" s="159"/>
      <c r="M887" s="159"/>
      <c r="N887" s="156"/>
      <c r="O887" s="156"/>
      <c r="P887" s="156"/>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59"/>
      <c r="E888" s="159"/>
      <c r="F888" s="159"/>
      <c r="G888" s="159"/>
      <c r="H888" s="159"/>
      <c r="I888" s="159"/>
      <c r="J888" s="159"/>
      <c r="K888" s="159"/>
      <c r="L888" s="159"/>
      <c r="M888" s="159"/>
      <c r="N888" s="156"/>
      <c r="O888" s="156"/>
      <c r="P888" s="156"/>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59"/>
      <c r="E889" s="159"/>
      <c r="F889" s="159"/>
      <c r="G889" s="159"/>
      <c r="H889" s="159"/>
      <c r="I889" s="159"/>
      <c r="J889" s="159"/>
      <c r="K889" s="159"/>
      <c r="L889" s="159"/>
      <c r="M889" s="159"/>
      <c r="N889" s="156"/>
      <c r="O889" s="156"/>
      <c r="P889" s="156"/>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59"/>
      <c r="E890" s="159"/>
      <c r="F890" s="159"/>
      <c r="G890" s="159"/>
      <c r="H890" s="159"/>
      <c r="I890" s="159"/>
      <c r="J890" s="159"/>
      <c r="K890" s="159"/>
      <c r="L890" s="159"/>
      <c r="M890" s="159"/>
      <c r="N890" s="156"/>
      <c r="O890" s="156"/>
      <c r="P890" s="156"/>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59"/>
      <c r="E891" s="159"/>
      <c r="F891" s="159"/>
      <c r="G891" s="159"/>
      <c r="H891" s="159"/>
      <c r="I891" s="159"/>
      <c r="J891" s="159"/>
      <c r="K891" s="159"/>
      <c r="L891" s="159"/>
      <c r="M891" s="159"/>
      <c r="N891" s="156"/>
      <c r="O891" s="156"/>
      <c r="P891" s="156"/>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59"/>
      <c r="E892" s="159"/>
      <c r="F892" s="159"/>
      <c r="G892" s="159"/>
      <c r="H892" s="159"/>
      <c r="I892" s="159"/>
      <c r="J892" s="159"/>
      <c r="K892" s="159"/>
      <c r="L892" s="159"/>
      <c r="M892" s="159"/>
      <c r="N892" s="156"/>
      <c r="O892" s="156"/>
      <c r="P892" s="156"/>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59"/>
      <c r="E893" s="159"/>
      <c r="F893" s="159"/>
      <c r="G893" s="159"/>
      <c r="H893" s="159"/>
      <c r="I893" s="159"/>
      <c r="J893" s="159"/>
      <c r="K893" s="159"/>
      <c r="L893" s="159"/>
      <c r="M893" s="159"/>
      <c r="N893" s="156"/>
      <c r="O893" s="156"/>
      <c r="P893" s="156"/>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59"/>
      <c r="E894" s="159"/>
      <c r="F894" s="159"/>
      <c r="G894" s="159"/>
      <c r="H894" s="159"/>
      <c r="I894" s="159"/>
      <c r="J894" s="159"/>
      <c r="K894" s="159"/>
      <c r="L894" s="159"/>
      <c r="M894" s="159"/>
      <c r="N894" s="156"/>
      <c r="O894" s="156"/>
      <c r="P894" s="156"/>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59"/>
      <c r="E895" s="159"/>
      <c r="F895" s="159"/>
      <c r="G895" s="159"/>
      <c r="H895" s="159"/>
      <c r="I895" s="159"/>
      <c r="J895" s="159"/>
      <c r="K895" s="159"/>
      <c r="L895" s="159"/>
      <c r="M895" s="159"/>
      <c r="N895" s="156"/>
      <c r="O895" s="156"/>
      <c r="P895" s="156"/>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59"/>
      <c r="E896" s="159"/>
      <c r="F896" s="159"/>
      <c r="G896" s="159"/>
      <c r="H896" s="159"/>
      <c r="I896" s="159"/>
      <c r="J896" s="159"/>
      <c r="K896" s="159"/>
      <c r="L896" s="159"/>
      <c r="M896" s="159"/>
      <c r="N896" s="156"/>
      <c r="O896" s="156"/>
      <c r="P896" s="15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59"/>
      <c r="E897" s="159"/>
      <c r="F897" s="159"/>
      <c r="G897" s="159"/>
      <c r="H897" s="159"/>
      <c r="I897" s="159"/>
      <c r="J897" s="159"/>
      <c r="K897" s="159"/>
      <c r="L897" s="159"/>
      <c r="M897" s="159"/>
      <c r="N897" s="156"/>
      <c r="O897" s="156"/>
      <c r="P897" s="156"/>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59"/>
      <c r="E898" s="159"/>
      <c r="F898" s="159"/>
      <c r="G898" s="159"/>
      <c r="H898" s="159"/>
      <c r="I898" s="159"/>
      <c r="J898" s="159"/>
      <c r="K898" s="159"/>
      <c r="L898" s="159"/>
      <c r="M898" s="159"/>
      <c r="N898" s="156"/>
      <c r="O898" s="156"/>
      <c r="P898" s="156"/>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59"/>
      <c r="E899" s="159"/>
      <c r="F899" s="159"/>
      <c r="G899" s="159"/>
      <c r="H899" s="159"/>
      <c r="I899" s="159"/>
      <c r="J899" s="159"/>
      <c r="K899" s="159"/>
      <c r="L899" s="159"/>
      <c r="M899" s="159"/>
      <c r="N899" s="156"/>
      <c r="O899" s="156"/>
      <c r="P899" s="156"/>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59"/>
      <c r="E900" s="159"/>
      <c r="F900" s="159"/>
      <c r="G900" s="159"/>
      <c r="H900" s="159"/>
      <c r="I900" s="159"/>
      <c r="J900" s="159"/>
      <c r="K900" s="159"/>
      <c r="L900" s="159"/>
      <c r="M900" s="159"/>
      <c r="N900" s="156"/>
      <c r="O900" s="156"/>
      <c r="P900" s="156"/>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59"/>
      <c r="E901" s="159"/>
      <c r="F901" s="159"/>
      <c r="G901" s="159"/>
      <c r="H901" s="159"/>
      <c r="I901" s="159"/>
      <c r="J901" s="159"/>
      <c r="K901" s="159"/>
      <c r="L901" s="159"/>
      <c r="M901" s="159"/>
      <c r="N901" s="156"/>
      <c r="O901" s="156"/>
      <c r="P901" s="156"/>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59"/>
      <c r="E902" s="159"/>
      <c r="F902" s="159"/>
      <c r="G902" s="159"/>
      <c r="H902" s="159"/>
      <c r="I902" s="159"/>
      <c r="J902" s="159"/>
      <c r="K902" s="159"/>
      <c r="L902" s="159"/>
      <c r="M902" s="159"/>
      <c r="N902" s="156"/>
      <c r="O902" s="156"/>
      <c r="P902" s="156"/>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59"/>
      <c r="E903" s="159"/>
      <c r="F903" s="159"/>
      <c r="G903" s="159"/>
      <c r="H903" s="159"/>
      <c r="I903" s="159"/>
      <c r="J903" s="159"/>
      <c r="K903" s="159"/>
      <c r="L903" s="159"/>
      <c r="M903" s="159"/>
      <c r="N903" s="156"/>
      <c r="O903" s="156"/>
      <c r="P903" s="156"/>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59"/>
      <c r="E904" s="159"/>
      <c r="F904" s="159"/>
      <c r="G904" s="159"/>
      <c r="H904" s="159"/>
      <c r="I904" s="159"/>
      <c r="J904" s="159"/>
      <c r="K904" s="159"/>
      <c r="L904" s="159"/>
      <c r="M904" s="159"/>
      <c r="N904" s="156"/>
      <c r="O904" s="156"/>
      <c r="P904" s="156"/>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59"/>
      <c r="E905" s="159"/>
      <c r="F905" s="159"/>
      <c r="G905" s="159"/>
      <c r="H905" s="159"/>
      <c r="I905" s="159"/>
      <c r="J905" s="159"/>
      <c r="K905" s="159"/>
      <c r="L905" s="159"/>
      <c r="M905" s="159"/>
      <c r="N905" s="156"/>
      <c r="O905" s="156"/>
      <c r="P905" s="156"/>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59"/>
      <c r="E906" s="159"/>
      <c r="F906" s="159"/>
      <c r="G906" s="159"/>
      <c r="H906" s="159"/>
      <c r="I906" s="159"/>
      <c r="J906" s="159"/>
      <c r="K906" s="159"/>
      <c r="L906" s="159"/>
      <c r="M906" s="159"/>
      <c r="N906" s="156"/>
      <c r="O906" s="156"/>
      <c r="P906" s="15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59"/>
      <c r="E907" s="159"/>
      <c r="F907" s="159"/>
      <c r="G907" s="159"/>
      <c r="H907" s="159"/>
      <c r="I907" s="159"/>
      <c r="J907" s="159"/>
      <c r="K907" s="159"/>
      <c r="L907" s="159"/>
      <c r="M907" s="159"/>
      <c r="N907" s="156"/>
      <c r="O907" s="156"/>
      <c r="P907" s="156"/>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59"/>
      <c r="E908" s="159"/>
      <c r="F908" s="159"/>
      <c r="G908" s="159"/>
      <c r="H908" s="159"/>
      <c r="I908" s="159"/>
      <c r="J908" s="159"/>
      <c r="K908" s="159"/>
      <c r="L908" s="159"/>
      <c r="M908" s="159"/>
      <c r="N908" s="156"/>
      <c r="O908" s="156"/>
      <c r="P908" s="156"/>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59"/>
      <c r="E909" s="159"/>
      <c r="F909" s="159"/>
      <c r="G909" s="159"/>
      <c r="H909" s="159"/>
      <c r="I909" s="159"/>
      <c r="J909" s="159"/>
      <c r="K909" s="159"/>
      <c r="L909" s="159"/>
      <c r="M909" s="159"/>
      <c r="N909" s="156"/>
      <c r="O909" s="156"/>
      <c r="P909" s="156"/>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59"/>
      <c r="E910" s="159"/>
      <c r="F910" s="159"/>
      <c r="G910" s="159"/>
      <c r="H910" s="159"/>
      <c r="I910" s="159"/>
      <c r="J910" s="159"/>
      <c r="K910" s="159"/>
      <c r="L910" s="159"/>
      <c r="M910" s="159"/>
      <c r="N910" s="156"/>
      <c r="O910" s="156"/>
      <c r="P910" s="156"/>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159"/>
      <c r="E911" s="159"/>
      <c r="F911" s="159"/>
      <c r="G911" s="159"/>
      <c r="H911" s="159"/>
      <c r="I911" s="159"/>
      <c r="J911" s="159"/>
      <c r="K911" s="159"/>
      <c r="L911" s="159"/>
      <c r="M911" s="159"/>
      <c r="N911" s="156"/>
      <c r="O911" s="156"/>
      <c r="P911" s="156"/>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159"/>
      <c r="E912" s="159"/>
      <c r="F912" s="159"/>
      <c r="G912" s="159"/>
      <c r="H912" s="159"/>
      <c r="I912" s="159"/>
      <c r="J912" s="159"/>
      <c r="K912" s="159"/>
      <c r="L912" s="159"/>
      <c r="M912" s="159"/>
      <c r="N912" s="156"/>
      <c r="O912" s="156"/>
      <c r="P912" s="156"/>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159"/>
      <c r="E913" s="159"/>
      <c r="F913" s="159"/>
      <c r="G913" s="159"/>
      <c r="H913" s="159"/>
      <c r="I913" s="159"/>
      <c r="J913" s="159"/>
      <c r="K913" s="159"/>
      <c r="L913" s="159"/>
      <c r="M913" s="159"/>
      <c r="N913" s="156"/>
      <c r="O913" s="156"/>
      <c r="P913" s="156"/>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159"/>
      <c r="E914" s="159"/>
      <c r="F914" s="159"/>
      <c r="G914" s="159"/>
      <c r="H914" s="159"/>
      <c r="I914" s="159"/>
      <c r="J914" s="159"/>
      <c r="K914" s="159"/>
      <c r="L914" s="159"/>
      <c r="M914" s="159"/>
      <c r="N914" s="156"/>
      <c r="O914" s="156"/>
      <c r="P914" s="156"/>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159"/>
      <c r="E915" s="159"/>
      <c r="F915" s="159"/>
      <c r="G915" s="159"/>
      <c r="H915" s="159"/>
      <c r="I915" s="159"/>
      <c r="J915" s="159"/>
      <c r="K915" s="159"/>
      <c r="L915" s="159"/>
      <c r="M915" s="159"/>
      <c r="N915" s="156"/>
      <c r="O915" s="156"/>
      <c r="P915" s="156"/>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N5:P5"/>
    <mergeCell ref="N6:P6"/>
    <mergeCell ref="N1:P1"/>
    <mergeCell ref="N2:P2"/>
    <mergeCell ref="N3:P3"/>
    <mergeCell ref="N4:P4"/>
    <mergeCell ref="A10:P10"/>
    <mergeCell ref="O814:P814"/>
    <mergeCell ref="N7:P7"/>
    <mergeCell ref="N12:P12"/>
    <mergeCell ref="N13:O13"/>
    <mergeCell ref="P13:P14"/>
    <mergeCell ref="J13:J14"/>
    <mergeCell ref="K13:M13"/>
    <mergeCell ref="A12:A14"/>
    <mergeCell ref="B12:B14"/>
    <mergeCell ref="C12:C14"/>
    <mergeCell ref="D13:E13"/>
    <mergeCell ref="G12:J12"/>
    <mergeCell ref="A817:B817"/>
    <mergeCell ref="A814:C814"/>
    <mergeCell ref="F13:F14"/>
    <mergeCell ref="D12:F12"/>
    <mergeCell ref="G13:I13"/>
  </mergeCells>
  <printOptions horizontalCentered="1"/>
  <pageMargins left="0.7874015748031497" right="0.3937007874015748" top="0.984251968503937" bottom="0.3937007874015748" header="0" footer="0"/>
  <pageSetup fitToHeight="24" fitToWidth="1" horizontalDpi="600" verticalDpi="600" orientation="landscape" paperSize="9" scale="79"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2017-07-31T06:49:08Z</cp:lastPrinted>
  <dcterms:created xsi:type="dcterms:W3CDTF">2014-04-22T08:24:49Z</dcterms:created>
  <dcterms:modified xsi:type="dcterms:W3CDTF">2017-07-31T06:49:31Z</dcterms:modified>
  <cp:category/>
  <cp:version/>
  <cp:contentType/>
  <cp:contentStatus/>
</cp:coreProperties>
</file>