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0" windowWidth="19200" windowHeight="11490"/>
  </bookViews>
  <sheets>
    <sheet name="дод 6 (с)" sheetId="4" r:id="rId1"/>
  </sheets>
  <definedNames>
    <definedName name="_xlnm.Print_Titles" localSheetId="0">'дод 6 (с)'!$15:$15</definedName>
    <definedName name="_xlnm.Print_Area" localSheetId="0">'дод 6 (с)'!$D$1:$N$253</definedName>
  </definedNames>
  <calcPr calcId="144525"/>
</workbook>
</file>

<file path=xl/calcChain.xml><?xml version="1.0" encoding="utf-8"?>
<calcChain xmlns="http://schemas.openxmlformats.org/spreadsheetml/2006/main">
  <c r="N84" i="4" l="1"/>
  <c r="N162" i="4"/>
  <c r="N228" i="4"/>
  <c r="N227" i="4" s="1"/>
  <c r="N149" i="4"/>
  <c r="N242" i="4"/>
  <c r="M236" i="4"/>
  <c r="M235" i="4" s="1"/>
  <c r="M234" i="4"/>
  <c r="M233" i="4" s="1"/>
  <c r="M225" i="4"/>
  <c r="M226" i="4"/>
  <c r="N226" i="4" s="1"/>
  <c r="M230" i="4"/>
  <c r="M231" i="4"/>
  <c r="N231" i="4" s="1"/>
  <c r="M222" i="4"/>
  <c r="M221" i="4" s="1"/>
  <c r="M107" i="4"/>
  <c r="N107" i="4" s="1"/>
  <c r="M108" i="4"/>
  <c r="N108" i="4" s="1"/>
  <c r="M110" i="4"/>
  <c r="N110" i="4" s="1"/>
  <c r="N109" i="4" s="1"/>
  <c r="M112" i="4"/>
  <c r="N112" i="4" s="1"/>
  <c r="M116" i="4"/>
  <c r="N116" i="4" s="1"/>
  <c r="M118" i="4"/>
  <c r="N118" i="4" s="1"/>
  <c r="M119" i="4"/>
  <c r="N119" i="4" s="1"/>
  <c r="M121" i="4"/>
  <c r="N121" i="4" s="1"/>
  <c r="M122" i="4"/>
  <c r="N122" i="4" s="1"/>
  <c r="M123" i="4"/>
  <c r="N123" i="4" s="1"/>
  <c r="M125" i="4"/>
  <c r="N125" i="4" s="1"/>
  <c r="M127" i="4"/>
  <c r="N127" i="4" s="1"/>
  <c r="M128" i="4"/>
  <c r="N128" i="4" s="1"/>
  <c r="M129" i="4"/>
  <c r="N129" i="4" s="1"/>
  <c r="M146" i="4"/>
  <c r="N146" i="4" s="1"/>
  <c r="M147" i="4"/>
  <c r="N147" i="4" s="1"/>
  <c r="M148" i="4"/>
  <c r="N148" i="4" s="1"/>
  <c r="M150" i="4"/>
  <c r="N150" i="4" s="1"/>
  <c r="M151" i="4"/>
  <c r="N151" i="4" s="1"/>
  <c r="M152" i="4"/>
  <c r="N152" i="4" s="1"/>
  <c r="M153" i="4"/>
  <c r="M154" i="4"/>
  <c r="N154" i="4" s="1"/>
  <c r="M155" i="4"/>
  <c r="N155" i="4" s="1"/>
  <c r="M156" i="4"/>
  <c r="N156" i="4" s="1"/>
  <c r="M157" i="4"/>
  <c r="N157" i="4" s="1"/>
  <c r="M158" i="4"/>
  <c r="N158" i="4" s="1"/>
  <c r="M159" i="4"/>
  <c r="N159" i="4" s="1"/>
  <c r="M163" i="4"/>
  <c r="N163" i="4" s="1"/>
  <c r="M164" i="4"/>
  <c r="N164" i="4" s="1"/>
  <c r="M167" i="4"/>
  <c r="N167" i="4" s="1"/>
  <c r="M168" i="4"/>
  <c r="N168" i="4" s="1"/>
  <c r="M169" i="4"/>
  <c r="N169" i="4" s="1"/>
  <c r="M170" i="4"/>
  <c r="N170" i="4" s="1"/>
  <c r="M171" i="4"/>
  <c r="N171" i="4" s="1"/>
  <c r="M173" i="4"/>
  <c r="N173" i="4" s="1"/>
  <c r="M174" i="4"/>
  <c r="N174" i="4" s="1"/>
  <c r="M175" i="4"/>
  <c r="N175" i="4" s="1"/>
  <c r="M176" i="4"/>
  <c r="N176" i="4" s="1"/>
  <c r="M179" i="4"/>
  <c r="N179" i="4" s="1"/>
  <c r="M181" i="4"/>
  <c r="N181" i="4" s="1"/>
  <c r="M182" i="4"/>
  <c r="N182" i="4" s="1"/>
  <c r="M183" i="4"/>
  <c r="N183" i="4" s="1"/>
  <c r="M184" i="4"/>
  <c r="N184" i="4" s="1"/>
  <c r="M185" i="4"/>
  <c r="N185" i="4" s="1"/>
  <c r="M186" i="4"/>
  <c r="M189" i="4"/>
  <c r="N189" i="4"/>
  <c r="M190" i="4"/>
  <c r="N190" i="4"/>
  <c r="M191" i="4"/>
  <c r="N191" i="4"/>
  <c r="M192" i="4"/>
  <c r="N192" i="4"/>
  <c r="M193" i="4"/>
  <c r="N193" i="4"/>
  <c r="M194" i="4"/>
  <c r="N194" i="4"/>
  <c r="M195" i="4"/>
  <c r="N195" i="4"/>
  <c r="M196" i="4"/>
  <c r="N196" i="4"/>
  <c r="M197" i="4"/>
  <c r="N197" i="4"/>
  <c r="M198" i="4"/>
  <c r="N198" i="4"/>
  <c r="M199" i="4"/>
  <c r="N199" i="4"/>
  <c r="M200" i="4"/>
  <c r="N200" i="4"/>
  <c r="M201" i="4"/>
  <c r="N201" i="4"/>
  <c r="M203" i="4"/>
  <c r="N203" i="4"/>
  <c r="M208" i="4"/>
  <c r="N208" i="4"/>
  <c r="M214" i="4"/>
  <c r="N214" i="4"/>
  <c r="M215" i="4"/>
  <c r="N215" i="4"/>
  <c r="M216" i="4"/>
  <c r="N216" i="4"/>
  <c r="M217" i="4"/>
  <c r="N217" i="4"/>
  <c r="M219" i="4"/>
  <c r="N219" i="4"/>
  <c r="M220" i="4"/>
  <c r="N220" i="4"/>
  <c r="M31" i="4"/>
  <c r="N31" i="4"/>
  <c r="M32" i="4"/>
  <c r="N32" i="4"/>
  <c r="M35" i="4"/>
  <c r="N35" i="4"/>
  <c r="M36" i="4"/>
  <c r="N36" i="4"/>
  <c r="M39" i="4"/>
  <c r="N39" i="4"/>
  <c r="M42" i="4"/>
  <c r="N42" i="4"/>
  <c r="M43" i="4"/>
  <c r="N43" i="4"/>
  <c r="M44" i="4"/>
  <c r="N44" i="4"/>
  <c r="M45" i="4"/>
  <c r="N45" i="4"/>
  <c r="M46" i="4"/>
  <c r="N46" i="4"/>
  <c r="M47" i="4"/>
  <c r="N47" i="4"/>
  <c r="M49" i="4"/>
  <c r="N49" i="4"/>
  <c r="M51" i="4"/>
  <c r="N51" i="4"/>
  <c r="M52" i="4"/>
  <c r="N52" i="4"/>
  <c r="M54" i="4"/>
  <c r="M56" i="4"/>
  <c r="N56" i="4" s="1"/>
  <c r="M58" i="4"/>
  <c r="M57" i="4" s="1"/>
  <c r="M60" i="4"/>
  <c r="M59" i="4" s="1"/>
  <c r="M62" i="4"/>
  <c r="N62" i="4" s="1"/>
  <c r="M63" i="4"/>
  <c r="M64" i="4"/>
  <c r="N64" i="4"/>
  <c r="M66" i="4"/>
  <c r="M65" i="4"/>
  <c r="M68" i="4"/>
  <c r="N68" i="4"/>
  <c r="M72" i="4"/>
  <c r="M71" i="4"/>
  <c r="N71" i="4" s="1"/>
  <c r="M75" i="4"/>
  <c r="N75" i="4" s="1"/>
  <c r="M80" i="4"/>
  <c r="N80" i="4" s="1"/>
  <c r="M83" i="4"/>
  <c r="M87" i="4"/>
  <c r="M88" i="4"/>
  <c r="N88" i="4" s="1"/>
  <c r="M89" i="4"/>
  <c r="N89" i="4" s="1"/>
  <c r="M90" i="4"/>
  <c r="N90" i="4" s="1"/>
  <c r="M93" i="4"/>
  <c r="N93" i="4" s="1"/>
  <c r="M94" i="4"/>
  <c r="N94" i="4" s="1"/>
  <c r="M97" i="4"/>
  <c r="N97" i="4" s="1"/>
  <c r="M98" i="4"/>
  <c r="N98" i="4" s="1"/>
  <c r="M99" i="4"/>
  <c r="N99" i="4" s="1"/>
  <c r="M101" i="4"/>
  <c r="M102" i="4"/>
  <c r="N102" i="4" s="1"/>
  <c r="N96" i="4" s="1"/>
  <c r="M19" i="4"/>
  <c r="M18" i="4" s="1"/>
  <c r="M21" i="4"/>
  <c r="N21" i="4" s="1"/>
  <c r="M22" i="4"/>
  <c r="M24" i="4"/>
  <c r="N24" i="4" s="1"/>
  <c r="N23" i="4" s="1"/>
  <c r="M26" i="4"/>
  <c r="M25" i="4" s="1"/>
  <c r="M27" i="4"/>
  <c r="N27" i="4" s="1"/>
  <c r="M28" i="4"/>
  <c r="N28" i="4" s="1"/>
  <c r="J17" i="4"/>
  <c r="J18" i="4"/>
  <c r="J19" i="4"/>
  <c r="J20" i="4"/>
  <c r="J21" i="4"/>
  <c r="J22" i="4"/>
  <c r="J23" i="4"/>
  <c r="J24" i="4"/>
  <c r="J25" i="4"/>
  <c r="J26" i="4"/>
  <c r="J27" i="4"/>
  <c r="J28" i="4"/>
  <c r="J29" i="4"/>
  <c r="J30" i="4"/>
  <c r="J31" i="4"/>
  <c r="J32" i="4"/>
  <c r="J34" i="4"/>
  <c r="J35" i="4"/>
  <c r="J36"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6" i="4"/>
  <c r="J87" i="4"/>
  <c r="J88" i="4"/>
  <c r="J89" i="4"/>
  <c r="J90" i="4"/>
  <c r="J91" i="4"/>
  <c r="J92" i="4"/>
  <c r="J93" i="4"/>
  <c r="J94" i="4"/>
  <c r="J96" i="4"/>
  <c r="J97" i="4"/>
  <c r="J98" i="4"/>
  <c r="J99" i="4"/>
  <c r="J100" i="4"/>
  <c r="J101" i="4"/>
  <c r="J102" i="4"/>
  <c r="J104" i="4"/>
  <c r="J105" i="4"/>
  <c r="J106" i="4"/>
  <c r="J107" i="4"/>
  <c r="J108" i="4"/>
  <c r="J109" i="4"/>
  <c r="J110" i="4"/>
  <c r="J111" i="4"/>
  <c r="J112" i="4"/>
  <c r="J113" i="4"/>
  <c r="J114" i="4"/>
  <c r="J115" i="4"/>
  <c r="J116" i="4"/>
  <c r="J117" i="4"/>
  <c r="J118" i="4"/>
  <c r="J119" i="4"/>
  <c r="J120" i="4"/>
  <c r="J121" i="4"/>
  <c r="J122" i="4"/>
  <c r="J123" i="4"/>
  <c r="J124" i="4"/>
  <c r="J125" i="4"/>
  <c r="J127" i="4"/>
  <c r="J128" i="4"/>
  <c r="J129" i="4"/>
  <c r="J146" i="4"/>
  <c r="J147" i="4"/>
  <c r="J148" i="4"/>
  <c r="J150" i="4"/>
  <c r="J151" i="4"/>
  <c r="J152" i="4"/>
  <c r="J153" i="4"/>
  <c r="J154" i="4"/>
  <c r="J155" i="4"/>
  <c r="J156" i="4"/>
  <c r="J157" i="4"/>
  <c r="J158" i="4"/>
  <c r="J159" i="4"/>
  <c r="J163" i="4"/>
  <c r="J164" i="4"/>
  <c r="J166" i="4"/>
  <c r="J167" i="4"/>
  <c r="J168" i="4"/>
  <c r="J169" i="4"/>
  <c r="J170" i="4"/>
  <c r="J171" i="4"/>
  <c r="J172" i="4"/>
  <c r="J173" i="4"/>
  <c r="J174" i="4"/>
  <c r="J175" i="4"/>
  <c r="J176" i="4"/>
  <c r="J178" i="4"/>
  <c r="J179" i="4"/>
  <c r="J180" i="4"/>
  <c r="J181" i="4"/>
  <c r="J182" i="4"/>
  <c r="J183" i="4"/>
  <c r="J184" i="4"/>
  <c r="J185" i="4"/>
  <c r="J186" i="4"/>
  <c r="J187" i="4"/>
  <c r="J189" i="4"/>
  <c r="J190" i="4"/>
  <c r="J191" i="4"/>
  <c r="J192" i="4"/>
  <c r="J193" i="4"/>
  <c r="J194" i="4"/>
  <c r="J195" i="4"/>
  <c r="J196" i="4"/>
  <c r="J197" i="4"/>
  <c r="J198" i="4"/>
  <c r="J199" i="4"/>
  <c r="J200" i="4"/>
  <c r="J201" i="4"/>
  <c r="J202" i="4"/>
  <c r="J203" i="4"/>
  <c r="J205" i="4"/>
  <c r="J206" i="4"/>
  <c r="J207" i="4"/>
  <c r="J208" i="4"/>
  <c r="J214" i="4"/>
  <c r="J215" i="4"/>
  <c r="J216" i="4"/>
  <c r="J217" i="4"/>
  <c r="J219" i="4"/>
  <c r="J220" i="4"/>
  <c r="J221" i="4"/>
  <c r="J222" i="4"/>
  <c r="J223" i="4"/>
  <c r="J224" i="4"/>
  <c r="J225" i="4"/>
  <c r="J226" i="4"/>
  <c r="J227" i="4"/>
  <c r="J228" i="4"/>
  <c r="J229" i="4"/>
  <c r="J230" i="4"/>
  <c r="J231" i="4"/>
  <c r="J232" i="4"/>
  <c r="J233" i="4"/>
  <c r="J234" i="4"/>
  <c r="J235" i="4"/>
  <c r="J236" i="4"/>
  <c r="J237" i="4"/>
  <c r="J238" i="4"/>
  <c r="J239" i="4"/>
  <c r="J240" i="4"/>
  <c r="J241" i="4"/>
  <c r="J16" i="4"/>
  <c r="G17" i="4"/>
  <c r="G18" i="4"/>
  <c r="G19" i="4"/>
  <c r="G20" i="4"/>
  <c r="G21" i="4"/>
  <c r="G22" i="4"/>
  <c r="G23" i="4"/>
  <c r="G24" i="4"/>
  <c r="G25" i="4"/>
  <c r="G26" i="4"/>
  <c r="G27" i="4"/>
  <c r="G28" i="4"/>
  <c r="G29" i="4"/>
  <c r="G30" i="4"/>
  <c r="G31" i="4"/>
  <c r="G32" i="4"/>
  <c r="G34" i="4"/>
  <c r="G35" i="4"/>
  <c r="G36"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6" i="4"/>
  <c r="G87" i="4"/>
  <c r="G88" i="4"/>
  <c r="G89" i="4"/>
  <c r="G90" i="4"/>
  <c r="G91" i="4"/>
  <c r="G92" i="4"/>
  <c r="G93" i="4"/>
  <c r="G94" i="4"/>
  <c r="G96" i="4"/>
  <c r="G97" i="4"/>
  <c r="G98" i="4"/>
  <c r="G99" i="4"/>
  <c r="G100" i="4"/>
  <c r="G101" i="4"/>
  <c r="G102" i="4"/>
  <c r="G104" i="4"/>
  <c r="G105" i="4"/>
  <c r="G106" i="4"/>
  <c r="G107" i="4"/>
  <c r="G108" i="4"/>
  <c r="G109" i="4"/>
  <c r="G110" i="4"/>
  <c r="G111" i="4"/>
  <c r="G112" i="4"/>
  <c r="G113" i="4"/>
  <c r="G114" i="4"/>
  <c r="G115" i="4"/>
  <c r="G116" i="4"/>
  <c r="G117" i="4"/>
  <c r="G118" i="4"/>
  <c r="G119" i="4"/>
  <c r="G120" i="4"/>
  <c r="G121" i="4"/>
  <c r="G122" i="4"/>
  <c r="G123" i="4"/>
  <c r="G124" i="4"/>
  <c r="G125" i="4"/>
  <c r="G127" i="4"/>
  <c r="G128" i="4"/>
  <c r="G129" i="4"/>
  <c r="G146" i="4"/>
  <c r="G147" i="4"/>
  <c r="G148" i="4"/>
  <c r="G150" i="4"/>
  <c r="G151" i="4"/>
  <c r="G152" i="4"/>
  <c r="G153" i="4"/>
  <c r="G154" i="4"/>
  <c r="G155" i="4"/>
  <c r="G156" i="4"/>
  <c r="G157" i="4"/>
  <c r="G158" i="4"/>
  <c r="G159" i="4"/>
  <c r="G163" i="4"/>
  <c r="G164" i="4"/>
  <c r="G166" i="4"/>
  <c r="G167" i="4"/>
  <c r="G168" i="4"/>
  <c r="G169" i="4"/>
  <c r="G170" i="4"/>
  <c r="G171" i="4"/>
  <c r="G172" i="4"/>
  <c r="G173" i="4"/>
  <c r="G174" i="4"/>
  <c r="G175" i="4"/>
  <c r="G176" i="4"/>
  <c r="G178" i="4"/>
  <c r="G179" i="4"/>
  <c r="G180" i="4"/>
  <c r="G181" i="4"/>
  <c r="G182" i="4"/>
  <c r="G183" i="4"/>
  <c r="G184" i="4"/>
  <c r="G185" i="4"/>
  <c r="G186" i="4"/>
  <c r="G187" i="4"/>
  <c r="G189" i="4"/>
  <c r="G190" i="4"/>
  <c r="G191" i="4"/>
  <c r="G192" i="4"/>
  <c r="G193" i="4"/>
  <c r="G194" i="4"/>
  <c r="G195" i="4"/>
  <c r="G196" i="4"/>
  <c r="G197" i="4"/>
  <c r="G198" i="4"/>
  <c r="G199" i="4"/>
  <c r="G200" i="4"/>
  <c r="G201" i="4"/>
  <c r="G202" i="4"/>
  <c r="G203" i="4"/>
  <c r="G205" i="4"/>
  <c r="G206" i="4"/>
  <c r="G207" i="4"/>
  <c r="G208" i="4"/>
  <c r="G214" i="4"/>
  <c r="G215" i="4"/>
  <c r="G216" i="4"/>
  <c r="G217" i="4"/>
  <c r="G219" i="4"/>
  <c r="G220" i="4"/>
  <c r="G221" i="4"/>
  <c r="G222" i="4"/>
  <c r="G223" i="4"/>
  <c r="G224" i="4"/>
  <c r="G225" i="4"/>
  <c r="G226" i="4"/>
  <c r="G227" i="4"/>
  <c r="G228" i="4"/>
  <c r="G229" i="4"/>
  <c r="G230" i="4"/>
  <c r="G231" i="4"/>
  <c r="G232" i="4"/>
  <c r="G233" i="4"/>
  <c r="G234" i="4"/>
  <c r="G235" i="4"/>
  <c r="G236" i="4"/>
  <c r="G237" i="4"/>
  <c r="G238" i="4"/>
  <c r="G239" i="4"/>
  <c r="G240" i="4"/>
  <c r="G241" i="4"/>
  <c r="G16" i="4"/>
  <c r="K82" i="4"/>
  <c r="L115" i="4"/>
  <c r="L70" i="4"/>
  <c r="L69" i="4"/>
  <c r="L79" i="4"/>
  <c r="L77" i="4"/>
  <c r="L76" i="4" s="1"/>
  <c r="L238" i="4"/>
  <c r="L237" i="4" s="1"/>
  <c r="L113" i="4"/>
  <c r="L229" i="4"/>
  <c r="K229" i="4"/>
  <c r="L178" i="4"/>
  <c r="L172" i="4"/>
  <c r="K92" i="4"/>
  <c r="K91" i="4"/>
  <c r="L92" i="4"/>
  <c r="L91" i="4"/>
  <c r="K69" i="4"/>
  <c r="M69" i="4"/>
  <c r="N69" i="4" s="1"/>
  <c r="L235" i="4"/>
  <c r="L233" i="4"/>
  <c r="L224" i="4"/>
  <c r="L223" i="4" s="1"/>
  <c r="L221" i="4"/>
  <c r="L166" i="4"/>
  <c r="L109" i="4"/>
  <c r="L106" i="4"/>
  <c r="L104" i="4"/>
  <c r="L96" i="4"/>
  <c r="L86" i="4"/>
  <c r="L82" i="4"/>
  <c r="L71" i="4"/>
  <c r="L65" i="4"/>
  <c r="L61" i="4"/>
  <c r="L59" i="4"/>
  <c r="L57" i="4"/>
  <c r="L48" i="4"/>
  <c r="L38" i="4"/>
  <c r="L34" i="4"/>
  <c r="L29" i="4"/>
  <c r="L25" i="4"/>
  <c r="L23" i="4"/>
  <c r="L20" i="4"/>
  <c r="L18" i="4"/>
  <c r="K105" i="4"/>
  <c r="K104" i="4"/>
  <c r="K34" i="4"/>
  <c r="K17" i="4"/>
  <c r="M17" i="4" s="1"/>
  <c r="N17" i="4" s="1"/>
  <c r="K30" i="4"/>
  <c r="K29" i="4"/>
  <c r="K100" i="4"/>
  <c r="M100" i="4"/>
  <c r="N100" i="4" s="1"/>
  <c r="K224" i="4"/>
  <c r="K223" i="4" s="1"/>
  <c r="K227" i="4"/>
  <c r="M227" i="4" s="1"/>
  <c r="K79" i="4"/>
  <c r="K78" i="4"/>
  <c r="M78" i="4" s="1"/>
  <c r="K77" i="4"/>
  <c r="K70" i="4"/>
  <c r="M70" i="4"/>
  <c r="N70" i="4" s="1"/>
  <c r="K53" i="4"/>
  <c r="M53" i="4" s="1"/>
  <c r="N53" i="4" s="1"/>
  <c r="K50" i="4"/>
  <c r="M50" i="4" s="1"/>
  <c r="K41" i="4"/>
  <c r="M41" i="4" s="1"/>
  <c r="N41" i="4" s="1"/>
  <c r="K40" i="4"/>
  <c r="M40" i="4"/>
  <c r="N40" i="4" s="1"/>
  <c r="K86" i="4"/>
  <c r="K25" i="4"/>
  <c r="K239" i="4"/>
  <c r="M239" i="4" s="1"/>
  <c r="N239" i="4" s="1"/>
  <c r="N238" i="4" s="1"/>
  <c r="K235" i="4"/>
  <c r="K233" i="4"/>
  <c r="K221" i="4"/>
  <c r="K207" i="4"/>
  <c r="M207" i="4"/>
  <c r="N207" i="4" s="1"/>
  <c r="K206" i="4"/>
  <c r="M206" i="4" s="1"/>
  <c r="N206" i="4" s="1"/>
  <c r="K205" i="4"/>
  <c r="M205" i="4" s="1"/>
  <c r="K202" i="4"/>
  <c r="M202" i="4" s="1"/>
  <c r="N202" i="4" s="1"/>
  <c r="K187" i="4"/>
  <c r="M187" i="4"/>
  <c r="N187" i="4" s="1"/>
  <c r="K180" i="4"/>
  <c r="M180" i="4" s="1"/>
  <c r="N180" i="4" s="1"/>
  <c r="K166" i="4"/>
  <c r="K124" i="4"/>
  <c r="M124" i="4" s="1"/>
  <c r="N124" i="4" s="1"/>
  <c r="K120" i="4"/>
  <c r="M120" i="4" s="1"/>
  <c r="K117" i="4"/>
  <c r="M117" i="4" s="1"/>
  <c r="N117" i="4" s="1"/>
  <c r="K113" i="4"/>
  <c r="M113" i="4"/>
  <c r="N113" i="4" s="1"/>
  <c r="K109" i="4"/>
  <c r="K106" i="4"/>
  <c r="K73" i="4"/>
  <c r="M73" i="4" s="1"/>
  <c r="K71" i="4"/>
  <c r="K65" i="4"/>
  <c r="K61" i="4"/>
  <c r="K59" i="4"/>
  <c r="K57" i="4"/>
  <c r="K23" i="4"/>
  <c r="K20" i="4"/>
  <c r="K18" i="4"/>
  <c r="M92" i="4"/>
  <c r="N92" i="4" s="1"/>
  <c r="N91" i="4" s="1"/>
  <c r="N232" i="4"/>
  <c r="N225" i="4"/>
  <c r="N224" i="4"/>
  <c r="N223" i="4" s="1"/>
  <c r="N186" i="4"/>
  <c r="N153" i="4"/>
  <c r="N101" i="4"/>
  <c r="N54" i="4"/>
  <c r="N236" i="4"/>
  <c r="N235" i="4"/>
  <c r="N66" i="4"/>
  <c r="N65" i="4"/>
  <c r="N87" i="4"/>
  <c r="M109" i="4"/>
  <c r="K238" i="4"/>
  <c r="K237" i="4"/>
  <c r="N19" i="4"/>
  <c r="N18" i="4"/>
  <c r="M61" i="4"/>
  <c r="N34" i="4"/>
  <c r="M229" i="4"/>
  <c r="N234" i="4"/>
  <c r="N233" i="4" s="1"/>
  <c r="M105" i="4"/>
  <c r="N105" i="4" s="1"/>
  <c r="N104" i="4"/>
  <c r="L114" i="4"/>
  <c r="L111" i="4" s="1"/>
  <c r="K115" i="4"/>
  <c r="N230" i="4"/>
  <c r="N229" i="4"/>
  <c r="M178" i="4"/>
  <c r="N178" i="4"/>
  <c r="N60" i="4"/>
  <c r="N59" i="4" s="1"/>
  <c r="K76" i="4"/>
  <c r="L81" i="4"/>
  <c r="M82" i="4"/>
  <c r="N83" i="4"/>
  <c r="N82" i="4"/>
  <c r="M86" i="4"/>
  <c r="K96" i="4"/>
  <c r="N63" i="4"/>
  <c r="N222" i="4"/>
  <c r="N221" i="4"/>
  <c r="M166" i="4"/>
  <c r="K48" i="4"/>
  <c r="K81" i="4"/>
  <c r="M79" i="4"/>
  <c r="N79" i="4" s="1"/>
  <c r="L55" i="4"/>
  <c r="M106" i="4"/>
  <c r="M224" i="4"/>
  <c r="M223" i="4" s="1"/>
  <c r="N106" i="4"/>
  <c r="K55" i="4"/>
  <c r="K172" i="4"/>
  <c r="K38" i="4"/>
  <c r="M96" i="4"/>
  <c r="L67" i="4"/>
  <c r="M20" i="4"/>
  <c r="N166" i="4"/>
  <c r="M38" i="4"/>
  <c r="K16" i="4"/>
  <c r="M34" i="4"/>
  <c r="N38" i="4"/>
  <c r="N58" i="4"/>
  <c r="N57" i="4" s="1"/>
  <c r="N22" i="4"/>
  <c r="N26" i="4"/>
  <c r="N25" i="4" s="1"/>
  <c r="N72" i="4"/>
  <c r="M30" i="4"/>
  <c r="N30" i="4" s="1"/>
  <c r="N29" i="4" s="1"/>
  <c r="L16" i="4"/>
  <c r="K67" i="4"/>
  <c r="M77" i="4"/>
  <c r="N77" i="4" s="1"/>
  <c r="M23" i="4"/>
  <c r="M238" i="4"/>
  <c r="M237" i="4" s="1"/>
  <c r="N237" i="4"/>
  <c r="K114" i="4"/>
  <c r="K111" i="4" s="1"/>
  <c r="K240" i="4" s="1"/>
  <c r="M104" i="4"/>
  <c r="K74" i="4"/>
  <c r="M81" i="4"/>
  <c r="M29" i="4"/>
  <c r="N205" i="4" l="1"/>
  <c r="M172" i="4"/>
  <c r="N78" i="4"/>
  <c r="M76" i="4"/>
  <c r="N76" i="4"/>
  <c r="N120" i="4"/>
  <c r="M115" i="4"/>
  <c r="M114" i="4" s="1"/>
  <c r="M111" i="4" s="1"/>
  <c r="N50" i="4"/>
  <c r="N48" i="4" s="1"/>
  <c r="M48" i="4"/>
  <c r="N115" i="4"/>
  <c r="M55" i="4"/>
  <c r="M16" i="4"/>
  <c r="N20" i="4"/>
  <c r="N16" i="4" s="1"/>
  <c r="M91" i="4"/>
  <c r="L74" i="4"/>
  <c r="L240" i="4" s="1"/>
  <c r="N86" i="4"/>
  <c r="N81" i="4" s="1"/>
  <c r="N74" i="4" s="1"/>
  <c r="N61" i="4"/>
  <c r="N55" i="4" s="1"/>
  <c r="N73" i="4"/>
  <c r="N67" i="4" s="1"/>
  <c r="M67" i="4"/>
  <c r="N172" i="4"/>
  <c r="N114" i="4" s="1"/>
  <c r="N111" i="4" s="1"/>
  <c r="M74" i="4" l="1"/>
  <c r="M240" i="4" s="1"/>
  <c r="N240" i="4"/>
</calcChain>
</file>

<file path=xl/sharedStrings.xml><?xml version="1.0" encoding="utf-8"?>
<sst xmlns="http://schemas.openxmlformats.org/spreadsheetml/2006/main" count="564" uniqueCount="369">
  <si>
    <t xml:space="preserve">Благоустрій міст, сіл, селищ </t>
  </si>
  <si>
    <t>Інші заходи у сфері електротранспорту</t>
  </si>
  <si>
    <t>0310000</t>
  </si>
  <si>
    <t>Керівництво і управління у відповідній сфері у містах республіканського Автономної Республіки Крим та обласного значення</t>
  </si>
  <si>
    <t>0310180</t>
  </si>
  <si>
    <t>0313500</t>
  </si>
  <si>
    <t>0314200</t>
  </si>
  <si>
    <t>Утримання та навчально-тренувальна робота комунальних дитячо-юнацьких спортивних шкіл</t>
  </si>
  <si>
    <t>0315060</t>
  </si>
  <si>
    <t>Благоустрій міст, сіл, селищ</t>
  </si>
  <si>
    <t>0316640</t>
  </si>
  <si>
    <t>Сприяння розвитку малого та середнього підприємництва</t>
  </si>
  <si>
    <t>0317450</t>
  </si>
  <si>
    <t>0317470</t>
  </si>
  <si>
    <t>Заходи у сфері захисту населення і територій від надзвичайних ситуацій техногенного та природного характеру</t>
  </si>
  <si>
    <t>0317820</t>
  </si>
  <si>
    <t>0318600</t>
  </si>
  <si>
    <t>Управління  освіти і науки Сумської міської ради</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</si>
  <si>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</si>
  <si>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</si>
  <si>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</si>
  <si>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</si>
  <si>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Методичне забезпечення діяльності навчальних закладів та інші заходи в галузі освіти</t>
  </si>
  <si>
    <t>Централізоване ведення бухгалтерського обліку</t>
  </si>
  <si>
    <t>Утримання інших закладів освіти</t>
  </si>
  <si>
    <t>1010180</t>
  </si>
  <si>
    <t>1011010</t>
  </si>
  <si>
    <t>1011020</t>
  </si>
  <si>
    <t>1011070</t>
  </si>
  <si>
    <t>1011090</t>
  </si>
  <si>
    <t>1011170</t>
  </si>
  <si>
    <t>1011190</t>
  </si>
  <si>
    <t>1011210</t>
  </si>
  <si>
    <t xml:space="preserve">Відділ охорони здоров’я Сумської міської ради  </t>
  </si>
  <si>
    <t>1410180</t>
  </si>
  <si>
    <t>Багатопрофільна стаціонарна медична допомога населенню</t>
  </si>
  <si>
    <t>1412010</t>
  </si>
  <si>
    <t>Лікарсько-акушерська допомога  вагітним, породіллям та новонародженим</t>
  </si>
  <si>
    <t>1412050</t>
  </si>
  <si>
    <t>Надання стоматологічної допомоги населенню</t>
  </si>
  <si>
    <t>1412140</t>
  </si>
  <si>
    <t>Первинна медична допомога населенню</t>
  </si>
  <si>
    <t>1412180</t>
  </si>
  <si>
    <t>1510000</t>
  </si>
  <si>
    <t>1510180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</si>
  <si>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</si>
  <si>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2010000</t>
  </si>
  <si>
    <t>Служба у справах дітей Сумської міської ради</t>
  </si>
  <si>
    <t>2010180</t>
  </si>
  <si>
    <t>Відділ культури та туризму Сумської міської ради</t>
  </si>
  <si>
    <t>2410000</t>
  </si>
  <si>
    <t>2410180</t>
  </si>
  <si>
    <t>Бiблiотеки</t>
  </si>
  <si>
    <t>2414060</t>
  </si>
  <si>
    <t>Школи естетичного виховання дiтей</t>
  </si>
  <si>
    <t>2414100</t>
  </si>
  <si>
    <t>2414200</t>
  </si>
  <si>
    <t>Централізований   бухгалтерський та фінансовий облік закладів культури та туризму</t>
  </si>
  <si>
    <t>Департамент інфраструктури міста Сумської міської ради</t>
  </si>
  <si>
    <t>4110000</t>
  </si>
  <si>
    <t>4110180</t>
  </si>
  <si>
    <t>4116020</t>
  </si>
  <si>
    <t>Капітальний ремонт житлового фонду</t>
  </si>
  <si>
    <t>4116021</t>
  </si>
  <si>
    <t>Капітальний ремонт житлового фонду об'єднань співвласників багатоквартирних будинків</t>
  </si>
  <si>
    <t>4116022</t>
  </si>
  <si>
    <t>4116060</t>
  </si>
  <si>
    <t>Заходи з енергозбереження</t>
  </si>
  <si>
    <t>4117470</t>
  </si>
  <si>
    <t>4510180</t>
  </si>
  <si>
    <t>4510000</t>
  </si>
  <si>
    <t>Реалізація заходів щодо інвестиційного розвитку території</t>
  </si>
  <si>
    <t>4517310</t>
  </si>
  <si>
    <t>Управління капітального будівництва та дорожнього господарства Сумської міської ради</t>
  </si>
  <si>
    <t>4710000</t>
  </si>
  <si>
    <t>4716060</t>
  </si>
  <si>
    <t>4716310</t>
  </si>
  <si>
    <t>4810180</t>
  </si>
  <si>
    <t>Управління «Інспекція з благоустрою міста Суми» Сумської міської ради</t>
  </si>
  <si>
    <t>5010180</t>
  </si>
  <si>
    <t>7510000</t>
  </si>
  <si>
    <t>7510180</t>
  </si>
  <si>
    <t xml:space="preserve">Інші субвенції сільському бюджету с. Піщане </t>
  </si>
  <si>
    <t>Виконавчий комітет Сумської міської ради</t>
  </si>
  <si>
    <t xml:space="preserve">Виконання міської програми «Відкритий інформаційний простір м. Суми» на 2016-2018 роки </t>
  </si>
  <si>
    <t>Надання соціальних послуг «Центром реінтеграції бездомних осіб»</t>
  </si>
  <si>
    <t>4717470</t>
  </si>
  <si>
    <t>Впровадження засобів обліку витрат та регулювання споживання води та теплової енергії</t>
  </si>
  <si>
    <t xml:space="preserve">Департамент соціального захисту населення Сумської міської ради </t>
  </si>
  <si>
    <t>Департамент забезпечення ресурсних платежів Сумської міської ради</t>
  </si>
  <si>
    <t>Управління архітектури та містобудування Сумської міської ради</t>
  </si>
  <si>
    <t>Департамент фінансів, економіки та інвестицій Сумської міської ради</t>
  </si>
  <si>
    <t>Департамент фінансів, економіки та інвестицій Сумської міської ради (в частині міжбюджетних трансфертів, резервного фонду)</t>
  </si>
  <si>
    <t>4716420</t>
  </si>
  <si>
    <t>Збереження пам’яток історії та культури</t>
  </si>
  <si>
    <t>4716421</t>
  </si>
  <si>
    <t>4610180</t>
  </si>
  <si>
    <t>Управління державного архітектурно-будівельного контролю Сумської міської ради</t>
  </si>
  <si>
    <t>4716324</t>
  </si>
  <si>
    <t>Будівництво та придбання житла для окремих категорій населення</t>
  </si>
  <si>
    <t>0180</t>
  </si>
  <si>
    <t>0111</t>
  </si>
  <si>
    <t>Код функціональної класифікації видатків та кредитування бюджету</t>
  </si>
  <si>
    <t>1010</t>
  </si>
  <si>
    <t>0910</t>
  </si>
  <si>
    <t>1020</t>
  </si>
  <si>
    <t>0921</t>
  </si>
  <si>
    <t>1060</t>
  </si>
  <si>
    <t>1070</t>
  </si>
  <si>
    <t>0922</t>
  </si>
  <si>
    <t>1090</t>
  </si>
  <si>
    <t>0960</t>
  </si>
  <si>
    <t>1170</t>
  </si>
  <si>
    <t>0990</t>
  </si>
  <si>
    <t>1190</t>
  </si>
  <si>
    <t>1210</t>
  </si>
  <si>
    <t>2010</t>
  </si>
  <si>
    <t>0731</t>
  </si>
  <si>
    <t>2050</t>
  </si>
  <si>
    <t>0733</t>
  </si>
  <si>
    <t>2140</t>
  </si>
  <si>
    <t>0722</t>
  </si>
  <si>
    <t>2180</t>
  </si>
  <si>
    <t>0726</t>
  </si>
  <si>
    <t>0610</t>
  </si>
  <si>
    <t>6020</t>
  </si>
  <si>
    <t>6021</t>
  </si>
  <si>
    <t>6022</t>
  </si>
  <si>
    <t>0620</t>
  </si>
  <si>
    <t>6060</t>
  </si>
  <si>
    <t>6100</t>
  </si>
  <si>
    <t>4060</t>
  </si>
  <si>
    <t>0824</t>
  </si>
  <si>
    <t>4100</t>
  </si>
  <si>
    <t>4200</t>
  </si>
  <si>
    <t>0829</t>
  </si>
  <si>
    <t>0810</t>
  </si>
  <si>
    <t>5060</t>
  </si>
  <si>
    <t>6310</t>
  </si>
  <si>
    <t>0490</t>
  </si>
  <si>
    <t>6420</t>
  </si>
  <si>
    <t>6421</t>
  </si>
  <si>
    <t>0421</t>
  </si>
  <si>
    <t>6640</t>
  </si>
  <si>
    <t>0455</t>
  </si>
  <si>
    <t>7410</t>
  </si>
  <si>
    <t>0470</t>
  </si>
  <si>
    <t>7450</t>
  </si>
  <si>
    <t>0411</t>
  </si>
  <si>
    <t>7470</t>
  </si>
  <si>
    <t>7820</t>
  </si>
  <si>
    <t>0220</t>
  </si>
  <si>
    <t>0133</t>
  </si>
  <si>
    <t>8600</t>
  </si>
  <si>
    <t>2417410</t>
  </si>
  <si>
    <t>6324</t>
  </si>
  <si>
    <t>1517410</t>
  </si>
  <si>
    <t>1417410</t>
  </si>
  <si>
    <t>1017410</t>
  </si>
  <si>
    <t>1040</t>
  </si>
  <si>
    <t>3500</t>
  </si>
  <si>
    <t>6320</t>
  </si>
  <si>
    <t>4716320</t>
  </si>
  <si>
    <t>7310</t>
  </si>
  <si>
    <t>Код програмної класифікації видатків та кредитування місцевих бюджетів</t>
  </si>
  <si>
    <t>4116100</t>
  </si>
  <si>
    <t xml:space="preserve">Загальний обсяг фінансування будівництва </t>
  </si>
  <si>
    <t>Відсоток завершеності будівництва об’єктів на майбутні роки</t>
  </si>
  <si>
    <t>Всього видатків на завершення будівництва об’єктів на майбутні роки</t>
  </si>
  <si>
    <t>Разом видатків на поточний рік</t>
  </si>
  <si>
    <t>1010000</t>
  </si>
  <si>
    <t>КП Сумської міської ради «Електроавтотранс»</t>
  </si>
  <si>
    <t>1410000</t>
  </si>
  <si>
    <t>КП  «Зеленого будівництва» Сумської міської ради</t>
  </si>
  <si>
    <t>КП  «Спеціалізований комбінат» Сумської міської ради</t>
  </si>
  <si>
    <t>КП ЕЗО «Міськсвітло» Сумської міської ради</t>
  </si>
  <si>
    <t>КП «Міськводоканал» Сумської міської ради</t>
  </si>
  <si>
    <t>КП «Сумикомунінвест»  Сумської міської ради</t>
  </si>
  <si>
    <t>КП «Сумижилкомсервіс» Сумської міської ради</t>
  </si>
  <si>
    <t>КП «Шляхрембуд» Сумської міської ради</t>
  </si>
  <si>
    <t>Назва об’єктів відповідно  до проектно- кошторисної документації тощо</t>
  </si>
  <si>
    <t>4712010</t>
  </si>
  <si>
    <t>1. Будівництво</t>
  </si>
  <si>
    <t>Будівництво кладовища в районі 40-ї підстанції</t>
  </si>
  <si>
    <t>Полігон для складування твердих побутових відходів на території В. Бобрицької сільської ради Краснопільського району (3 черга)</t>
  </si>
  <si>
    <t xml:space="preserve">Добудова шляхопроводу по вул. 20 років Перемоги з реконструкцією дороги від вул. Прокоф'єва до                      вул. Роменської </t>
  </si>
  <si>
    <t>Будівництво глибоководної свердловини на Пришибському водозаборі</t>
  </si>
  <si>
    <t>Будівництво інженерних мереж селища Ганнівка (2 черга)</t>
  </si>
  <si>
    <t>Будівництво зливної каналізації по вул. Прокоф'єва</t>
  </si>
  <si>
    <t>Будівництво каналізацї по вул. Молодіжній</t>
  </si>
  <si>
    <t>Будівництво доріг та ліній освітлення 12 МР</t>
  </si>
  <si>
    <t>Будівництво дитячого садка у 12 МР</t>
  </si>
  <si>
    <t>Будівництво дитячих та спортивних майданчиків</t>
  </si>
  <si>
    <t>Будівництво дитячого майданчика в районі житлового будинку № 21 по вул. Гамалія</t>
  </si>
  <si>
    <t>Будівництво дитячого майданчика за адресою: м. Суми, вул. Кутова</t>
  </si>
  <si>
    <t>Будівництво дитячого майданчика за адресою: м. Суми, вул. Родини Линтварьових, 70</t>
  </si>
  <si>
    <t>Будівництво спортивного майданчика за адресою: м. Суми, вул. Зарічна</t>
  </si>
  <si>
    <t>Будівництво спортивного майданчика між центральним корпусом Сумського національного аграрного університету та житловими будинками №154, 154/1</t>
  </si>
  <si>
    <t>Здорова нація - сильна громада - багата Україна</t>
  </si>
  <si>
    <t>Будівництво скверу біля будинку № 81 Б по вул. Ковпака в м. Суми</t>
  </si>
  <si>
    <t>Оновлення шкільного стадіону, будівництво дитячого майданчику на території ЗОШ №5 для забезпечення активного відпочинку й дозвілля, занять спортом мешканців Баранівки та Луки</t>
  </si>
  <si>
    <t>Тато, мама, спорт і я - щаслива, сучасна, українська сім'я</t>
  </si>
  <si>
    <t>3. Реконструкція інших об'єктів</t>
  </si>
  <si>
    <t>2. Реконструкція об'єктів житлового фонду</t>
  </si>
  <si>
    <t>Будівля Реального училища (школа № 4), м.Суми - реконструкція</t>
  </si>
  <si>
    <t>Реконструкція будівлі під дитячий садок в районі Хіммістечка</t>
  </si>
  <si>
    <t>Реконструкція будівлі ССШ № 29 по вул. Заливній, 25</t>
  </si>
  <si>
    <t>Реконструкція будівлі КУ СЗОШ І-ІІІ ступенів № 22 по вул.Ковпака, 57</t>
  </si>
  <si>
    <t>Реконструкція інженерних мереж КУ Піщанська ЗОШ І-ІІ ступенів</t>
  </si>
  <si>
    <t>Реконструкція грального поля по вул. Якіра</t>
  </si>
  <si>
    <t>Реконструкція стадіону «Авангард»</t>
  </si>
  <si>
    <t>Реконструкція водопроводу Д500 мм від Тополянського водозабору до пр. Курський</t>
  </si>
  <si>
    <t>Реконструкція водоводу від Тополянського водозабору до пожежного депо в м. Суми</t>
  </si>
  <si>
    <t>Реконструкція водоводу по пр. Курському від вул. Машинобудівників до вул. Ковпака в м. Суми</t>
  </si>
  <si>
    <t>Реконструкція водоводу по пр. Курському від вул. Ковпака до пр. Курський, 147/4  в м. Суми</t>
  </si>
  <si>
    <t>Реконструкція каналізаційного напірного колектора від діючої камери № 19 по  вул. Д. Коротченко до камери № 31 по вул. Криничній</t>
  </si>
  <si>
    <t>Реконструкція каналізаційного напірного колектора від діючої камери № 31 по  вул. Криничній до міських очисних споруд</t>
  </si>
  <si>
    <t>Реконструкція пішохідної доріжки біля оз. Чеха з влаштуванням лінії освітлення</t>
  </si>
  <si>
    <t>Реконструкція приміщення по вул. Г.Кондратьєва, 165/71 під розміщення КУ «Центр надання соціально - медичних, психологічних послуг учасникам антитерористичної операції та членам іх сімей»</t>
  </si>
  <si>
    <t>Реконструкція водолікувального комплексу по вул. Троїцька, 28</t>
  </si>
  <si>
    <t>Реконструкція дороги по вул. Ковпака</t>
  </si>
  <si>
    <t>Реконструкція дороги від Пришибської площі до  вул. Прокоф'єва</t>
  </si>
  <si>
    <t>Реконструкція Театральної площі</t>
  </si>
  <si>
    <t>Реконструкція контактної мережі по м. Суми</t>
  </si>
  <si>
    <t>Реконструкція будівлі молодіжного центру «Романтика»</t>
  </si>
  <si>
    <t>Реконструкція житлового будинку з влаштуванням пандусу по вул. Харківська, 25</t>
  </si>
  <si>
    <t>Реконструкція житлового будинку з влаштуванням пандусу по вул. Івана Сірка, 31</t>
  </si>
  <si>
    <t>Реконструкція житлового будинку з влаштуванням пандусу по вул. Інтернаціоналістів, 25</t>
  </si>
  <si>
    <t>Реконструкція житлового будинку з влаштуванням пандусу по вул. Прокоф"єва, 24Б</t>
  </si>
  <si>
    <t>Інші субвенції Краснопільському районному бюджету (на виконання умов угод про соціально - економічне співробітництво, укладених між Сумською міською радою та Великобобрицькою сільською радою)</t>
  </si>
  <si>
    <t>Спортивний майданчик для дітей та дорослих «Зоряний»</t>
  </si>
  <si>
    <t>Спортивні майданчики для міні-футболу, бадмінтону для дітей та молоді в ДП «Казка»</t>
  </si>
  <si>
    <t>Реконструкція фонтану в дитячому парку «Казка»</t>
  </si>
  <si>
    <t>Реконструкція теплиць КП «Зелене будівництво» Сумської міської ради по вул. Пролетарська,77</t>
  </si>
  <si>
    <t>Реконструкція КУ «Міський центр військово-патріотичного виховання» по вул. Петропавлівська,96</t>
  </si>
  <si>
    <t>Код типової програмної класифікації видатків та кредитування місцевих бюджетів</t>
  </si>
  <si>
    <t>Виконавець: Липова С.А.</t>
  </si>
  <si>
    <t>Реставрація будівлі по вул. Петропавлівська, 91</t>
  </si>
  <si>
    <t>5030</t>
  </si>
  <si>
    <t>0315030</t>
  </si>
  <si>
    <t>5031</t>
  </si>
  <si>
    <t>0315031</t>
  </si>
  <si>
    <t>0315061</t>
  </si>
  <si>
    <t>5061</t>
  </si>
  <si>
    <t xml:space="preserve">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 </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</si>
  <si>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</si>
  <si>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Проведення заходів із землеустрою</t>
  </si>
  <si>
    <t>Реконструкція житлового будинку з влаштуванням пандусу по вул. Івана Сірка, 45</t>
  </si>
  <si>
    <t>4116310</t>
  </si>
  <si>
    <t>Реконструкція каналізаційного залізобетонного самотічного колектора  Д-600 мм по вул. Сєчєнова від залізничної дороги (вул. Київська) до перехрестя вул. Слобідської та вул. Вигонопоселенської</t>
  </si>
  <si>
    <t>Реконструкція каналізаційного залізобетонного самотічного колектора Д-1000 мм , який проходить по яру між пров. Степана Тимошенка (пров.Урицького) та вул. Панфілова</t>
  </si>
  <si>
    <t>Реконструкція каналізаційного залізобетонного самотічного колектора Д-600-1000 мм , який проходить по вул. Пушкіна, Садова, Засумська та Пролетарська до КНС-2 від вул. Баумана  до вул. Лугової</t>
  </si>
  <si>
    <t>Реконструкція І та ІІ черги полігону для складування твердих побутових відходів на території В.Бобрицької сільської ради Краснопільського району</t>
  </si>
  <si>
    <t>2. Реконструкція інших об'єктів</t>
  </si>
  <si>
    <t>Будівництво скейт-парку у парку ім. І.М. Кожедуба</t>
  </si>
  <si>
    <t>Будівництво амбулаторії по вул. Добровільна</t>
  </si>
  <si>
    <t>Я люблю Чешку</t>
  </si>
  <si>
    <t>Реконструкція басейну КУ «ССШ №7 І-ІІІ ступенів імені Максима Савченка»</t>
  </si>
  <si>
    <t>Реконструкція операційного блоку КУ «СМКЛ № 5»</t>
  </si>
  <si>
    <t>Реконструкція приміщень КП «Муніципальний спортивний клуб з хокею на траві «Сумчанка»</t>
  </si>
  <si>
    <t xml:space="preserve">Реконструкція приміщення по вул. Шишкіна, 12 </t>
  </si>
  <si>
    <t>Надання послуг КУ «Центр надання соціальних, медичних та психологічних послуг учасникам бойових дій, учасникам антитерористичної операції та членам їх сімей» Сумської міської ради</t>
  </si>
  <si>
    <t>КП "Інфосервіс" Сумської міської ради</t>
  </si>
  <si>
    <t xml:space="preserve">0133 </t>
  </si>
  <si>
    <t>Виконання міської програми «Автоматизація муніципальних телекомунікаційних систем на 2017-2019 роки в м. Суми»</t>
  </si>
  <si>
    <t>4717410</t>
  </si>
  <si>
    <t>Внесено змін +, -</t>
  </si>
  <si>
    <t>Всього видатків з урахуванням змін</t>
  </si>
  <si>
    <t>Керівництво і управління у відповідній сфері у містах, селищах, селах</t>
  </si>
  <si>
    <t>4116420</t>
  </si>
  <si>
    <t>4116421</t>
  </si>
  <si>
    <t>Будівництво дороги по вул. Р.Корсокова                                           (від вул. Серпневої до меж житлового масиву)</t>
  </si>
  <si>
    <t>Будівництво ліній освітлення ХІІ МР</t>
  </si>
  <si>
    <t>Реконструкція ДНЗ №22 "Джерельце"</t>
  </si>
  <si>
    <t>Реконструкція нежитлових приміщень по вул. Металургів, 17</t>
  </si>
  <si>
    <t>Реконструкція будівлі комунальної установи  «Сумський дошкільний навчальний заклад № 27 «Світанок» по вул. Червонопрапорна, 23 (ДНЗ № 27) (заміна віконних блоків на енергозберігаючі, дообладнання газової котельні котлом, що працює на поновлюваних джерелах енергії (біомаса))</t>
  </si>
  <si>
    <t>Реконструкція системи опалення з установленням модульної котельні, що працює на поновлюваних джерелах енергії (біомаса) в комунальній установі «Сумська загальноосвітня школа І-ІІІ ступеня № 11 по вул. Шишкіна, 12»</t>
  </si>
  <si>
    <t>Реконструкція басейну ДНЗ № 14 по вул. Прокоф'єва, 15</t>
  </si>
  <si>
    <t>Реконструкція інфекційного відділення КУ  «Сумська міська клінічна лікарня № 4»</t>
  </si>
  <si>
    <t>Реконструкція фонтану  «Міст - побратимів»</t>
  </si>
  <si>
    <t>4817470</t>
  </si>
  <si>
    <t>КП «Архітектура. Будівництво. Контроль» Сумської міської ради</t>
  </si>
  <si>
    <t>Будівництво дитячого майданчика в районі житлового будинку №4/1 по вул. Лесі Українки</t>
  </si>
  <si>
    <t>Будівництво дитячого майданчика в районі житлового будинку №109 по просп. Курському</t>
  </si>
  <si>
    <t>Реставрація фасаду житлового будинку по вул.Соборна, 32 в м. Суми</t>
  </si>
  <si>
    <t>Реставравція спорудт «Альтанка»</t>
  </si>
  <si>
    <t>Будівництво скверу за адресою: м.Суми, вул. Декабристів, 80 на території ЗОШ № 25</t>
  </si>
  <si>
    <t>ДНЗ №22</t>
  </si>
  <si>
    <t>Реконструкція спортивного майданчика з влаштуванням штучного покриття на території КУ ССШ І-ІІІ ступенів № 9 по вул. Даргомижського, 3</t>
  </si>
  <si>
    <t>Реконструкція спортивного майданчика з влаштуванням штучного покриття на території КУ СЗОШ І-ІІІ ступенів          № 22 по вул. Ковпака, 57</t>
  </si>
  <si>
    <t>ДНЗ №3</t>
  </si>
  <si>
    <t>тис.грн.</t>
  </si>
  <si>
    <t>Перелік об'єктів, видатки на які у 2017 році</t>
  </si>
  <si>
    <t>будуть проводитися за рахунок коштів бюджету розвитку та інших коштів міського бюджету</t>
  </si>
  <si>
    <t>Внески до статутного капіталу суб’єктів господарювання, в т.ч.:</t>
  </si>
  <si>
    <t>Будівництво дороги по вул. Р.Корсокова  (від вул. Серпневої до меж житлового масиву)</t>
  </si>
  <si>
    <t>Реконструкція спортивного майданчика з влаштуванням штучного покриття на території КУ СЗОШ І-ІІІ ступенів  № 22 по вул. Ковпака, 57</t>
  </si>
  <si>
    <t>Інші видатки, в т.ч.:</t>
  </si>
  <si>
    <t>Розвиток дитячо-юнацького та резервного спорту, в т.ч.:</t>
  </si>
  <si>
    <t>Iншi культурно-освiтнi заклади та заходи, в т.ч.:</t>
  </si>
  <si>
    <t>Інші заходи з розвитку фізичної культури та спорту, в т.ч.:</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</si>
  <si>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 в т.ч.:</t>
  </si>
  <si>
    <t>Надання соціальних та реабілітаційних послуг громадянам похилого віку, інвалідам, дітям-інвалідам в установах соціального обслуговування, в т.ч.:</t>
  </si>
  <si>
    <t>Інші установи та заклади, в т.ч.:</t>
  </si>
  <si>
    <t>Капітальний ремонт об’єктів житлового господарства, в т.ч.:</t>
  </si>
  <si>
    <t>Збереження, розвиток, реконструкція та реставрація пам’яток історії та культури, в т.ч.:</t>
  </si>
  <si>
    <t>Інші субвенції, в т.ч.:</t>
  </si>
  <si>
    <t>Надання допомоги у вирішенні житлових питань, в т.ч.:</t>
  </si>
  <si>
    <t>Всього за рахунок коштів бюджету розвитку міського бюджету:</t>
  </si>
  <si>
    <t>Видатки передбачені на проведення природоохоронних заходів:</t>
  </si>
  <si>
    <t>Найменування головного розпорядника, відповідального виконавця, бюджетної програми або напряму видатків згідно з типовою відомчою/ТПКВКМБ /ТКВКБМС</t>
  </si>
  <si>
    <t xml:space="preserve">Утримання та проведення заходів КУ "Сумський міський центр дозвілля молоді" </t>
  </si>
  <si>
    <t xml:space="preserve">Утримання та проведення заходів КУ «Агенція промоції «Суми» </t>
  </si>
  <si>
    <t>Реконструкція спортивного майданчика з влаштуванням штучного покриття на території ДНЗ № 22  «Джерельце» по вул. Ковпака, 25</t>
  </si>
  <si>
    <t>Реконструкція спортивного майданчика з влаштуванням штучного покриття на території ДНЗ № 3  «Калинка» по вул. Герасима Кондратьєва, 124</t>
  </si>
  <si>
    <t>Реконструкція спортивного майданчика з влаштуванням штучного покриття на території КУ СЗОШ І-ІІІ ступенів № 6 по вул. СКД, 7</t>
  </si>
  <si>
    <t>Видатки на запобігання та ліквідацію надзвичайних ситуацій та наслідків стихійного лиха</t>
  </si>
  <si>
    <t>Субвенція з місцевого бюджету державному бюджету на виконання програм соціально-економічного та культурного розвитку регіонів</t>
  </si>
  <si>
    <t>Будівництво тролейбусної лінії по вул. Набережна р. Сумки</t>
  </si>
  <si>
    <t>Реконструкція будівлі по вул. Герасима Кондратьєва,159</t>
  </si>
  <si>
    <t>Реконструкція каналізаційних мереж з перемиканням КНС №3 на самоплинний колектор по                                                                   вул. Миргородській до вул. Черкаської</t>
  </si>
  <si>
    <t>Утримання та розвиток інфраструктури доріг  (головний розпорядник бюджетних коштів - управління капітального будівництва та дорожнього господарства Сумської міської ради), в т.ч.:</t>
  </si>
  <si>
    <t>Реконструкція системи електрозабезпечення 48-квартирного будинку по вул. Холодногірська,30/1</t>
  </si>
  <si>
    <t>Будівництво дитячого майданчика за адресою: м.Суми, вул. Заливна 1/2</t>
  </si>
  <si>
    <t>Реконструкція будівлі ДНЗ №2 по вул. Інтернаціоналістів,39</t>
  </si>
  <si>
    <t>Реконструкція лінії освітлення по вул. Виноградна</t>
  </si>
  <si>
    <t>Реконструкція лінії освітлення по вул. Осіння</t>
  </si>
  <si>
    <t>Реконструкція лінії освітлення по вул. Сонячна</t>
  </si>
  <si>
    <t>Реконструкція лінії освітлення віл житлового будинку №81 А по вул. Ковпака до КУ СЗОШ І-ІІІ ступенів №22 по вул. Ковпака, 57</t>
  </si>
  <si>
    <t>Розробка схем та проектних рішень масового застосування</t>
  </si>
  <si>
    <t xml:space="preserve">Виконання міської Програми «Соціальні служби готові прийти на допомогу на 2016-2018 роки» </t>
  </si>
  <si>
    <t xml:space="preserve">Виконання міської комплексної програми «Правопорядок» на період 2016-2018 роки </t>
  </si>
  <si>
    <t>Будівництво скейт-парку в міському парку ім. І.М. Кожедуба</t>
  </si>
  <si>
    <t>Будівництво дитячого майданчика в районі житлового будинку № 37 по вул.  Холодногірська</t>
  </si>
  <si>
    <t>Будівництво дитячого майданчика в районі житлового будинку № 7 по вул.  Кутузова</t>
  </si>
  <si>
    <t>Будівництво дитячого майданчика в районі житлового будинку № 10 по вул. К. Зеленко</t>
  </si>
  <si>
    <t>Будівництво дитячого майданчика в районі житлового будинку № 26 по вул.  Івана Харитоненка</t>
  </si>
  <si>
    <t>Будівництво дитячого майданчика в районі житлового будинку № 41 по вул. Ковпака</t>
  </si>
  <si>
    <t>Будівництво дитячого майданчика в районі житлового будинку № 133 по просп. Курському</t>
  </si>
  <si>
    <t>Будівництво дитячого майданчика в районі житлового будинку № 2 по вул. Івана Сірка</t>
  </si>
  <si>
    <t>Будівництво дитячого майданчика в районі житлового будинку № 10 по вул. Івана Сірка</t>
  </si>
  <si>
    <t>Будівництво дитячого майданчика в районі житлового будинку № 17 по вул. Металургів</t>
  </si>
  <si>
    <t>Будівництво дитячого майданчика в районі житлових будинків № 13, 15, 17 по вул. Лермонтова</t>
  </si>
  <si>
    <t>Будівництво дитячого майданчика в районі житлового будинку № 38 по вул. Набережна р. Стрілки</t>
  </si>
  <si>
    <t>Будівництво дитячого майданчика в районі житлового будинку № 20 по вул. Люблінська</t>
  </si>
  <si>
    <t>Будівництво дитячого майданчика в районі житлового будинку № 13 по вул. М. Вовчка</t>
  </si>
  <si>
    <t>Будівництво дитячого майданчика в районі житлового будинку № 19 по вул. М. Вовчка</t>
  </si>
  <si>
    <t>Будівництво дитячого майданчика в районі житлового будинку № 11 по вул. Липнянській</t>
  </si>
  <si>
    <t>Будівництво дитячого майданчика в районі житлового будинку № 20 по вул. СКД</t>
  </si>
  <si>
    <t>Будівництво дитячого майданчика в районі житлових будинків № 25, 25а, 27, 27/1 по вул. Прокоф'єва</t>
  </si>
  <si>
    <t>Будівництво спортивного майданчика в районі житлового будинку № 12 по вул. Шишкіна в м. Суми</t>
  </si>
  <si>
    <t>Будівництво спортивного майданчику біля будинку № 81Б по вул. Ковпака</t>
  </si>
  <si>
    <t>Реставрація покрівлі та фасаду житлового будинку по вул.Соборна, 32 в м. Суми</t>
  </si>
  <si>
    <t>до рішення Сумської міської ради «Про внесення змін до</t>
  </si>
  <si>
    <t>рішення Сумської міської  ради  від  21 грудня 2016 року</t>
  </si>
  <si>
    <t xml:space="preserve">№ 1538-МР «Про  Програму   економічного і  соціального  </t>
  </si>
  <si>
    <t xml:space="preserve">розвитку  м.Суми  на  2017 рік» </t>
  </si>
  <si>
    <t>Сумський міський голова</t>
  </si>
  <si>
    <t>О.М. Лисенко</t>
  </si>
  <si>
    <t xml:space="preserve"> ____________  </t>
  </si>
  <si>
    <t>С.А. Липова</t>
  </si>
  <si>
    <t>_______________</t>
  </si>
  <si>
    <t>від  29  березня 2017  року   № 1857 - МР</t>
  </si>
  <si>
    <t xml:space="preserve">                                    Додаток 3</t>
  </si>
  <si>
    <t xml:space="preserve">Добудова шляхопроводу по вул. 20 років Перемоги з реконструкцією дороги від вул. Прокоф'єва до вул. Роменської </t>
  </si>
  <si>
    <t>Реконструкція Сумської дитячої художньої школи ім. М.Г. Лисенка з добудовою класів скульптури по вул. Псільська, 7 в м. Суми</t>
  </si>
  <si>
    <t>Реконструкція будівлі міжшкільного навчально-виробничого комбінату з влаштуванням туалету по вул. М.Раскової, 72</t>
  </si>
  <si>
    <t>Реставрація споруди «Альтанка»</t>
  </si>
  <si>
    <t>Будівництво дитячого майданчика в районі житлового будинку № 24 по вул. Гулака Артемовського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</si>
</sst>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Times New Roman"/>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sz val="10"/>
      <color indexed="8"/>
      <name val="Arial"/>
      <family val="2"/>
      <charset val="204"/>
    </font>
    <font>
      <sz val="14"/>
      <name val="Times New Roman"/>
      <family val="1"/>
      <charset val="204"/>
    </font>
    <font>
      <b/>
      <sz val="12"/>
      <name val="Times New Roman"/>
      <family val="1"/>
      <charset val="204"/>
    </font>
    <font>
      <b/>
      <sz val="18"/>
      <name val="Times New Roman"/>
      <family val="1"/>
      <charset val="204"/>
    </font>
    <font>
      <sz val="18"/>
      <name val="Times New Roman"/>
      <family val="1"/>
      <charset val="204"/>
    </font>
    <font>
      <sz val="22"/>
      <name val="Times New Roman"/>
      <family val="1"/>
      <charset val="204"/>
    </font>
    <font>
      <sz val="20"/>
      <name val="Times New Roman"/>
      <family val="1"/>
      <charset val="204"/>
    </font>
    <font>
      <sz val="8"/>
      <name val="Times New Roman"/>
      <family val="1"/>
      <charset val="204"/>
    </font>
    <font>
      <b/>
      <sz val="22"/>
      <name val="Times New Roman"/>
      <family val="1"/>
      <charset val="204"/>
    </font>
    <font>
      <sz val="16"/>
      <name val="Times New Roman"/>
      <family val="1"/>
      <charset val="204"/>
    </font>
    <font>
      <b/>
      <sz val="16"/>
      <name val="Times New Roman"/>
      <family val="1"/>
      <charset val="204"/>
    </font>
    <font>
      <b/>
      <i/>
      <sz val="16"/>
      <name val="Times New Roman"/>
      <family val="1"/>
      <charset val="204"/>
    </font>
    <font>
      <i/>
      <sz val="16"/>
      <name val="Times New Roman"/>
      <family val="1"/>
      <charset val="204"/>
    </font>
    <font>
      <sz val="16"/>
      <color indexed="10"/>
      <name val="Times New Roman"/>
      <family val="1"/>
      <charset val="204"/>
    </font>
    <font>
      <sz val="16"/>
      <color indexed="8"/>
      <name val="Times New Roman"/>
      <family val="1"/>
      <charset val="204"/>
    </font>
    <font>
      <sz val="16"/>
      <color indexed="8"/>
      <name val="Times New Roman"/>
      <family val="1"/>
      <charset val="204"/>
    </font>
    <font>
      <b/>
      <sz val="16"/>
      <color indexed="8"/>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7" fillId="0" borderId="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12" fillId="20" borderId="1"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20" fillId="0" borderId="0">
      <alignment vertical="top"/>
    </xf>
    <xf numFmtId="0" fontId="9" fillId="0" borderId="3" applyNumberFormat="0" applyFill="0" applyAlignment="0" applyProtection="0"/>
    <xf numFmtId="0" fontId="7" fillId="21" borderId="4"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0"/>
    <xf numFmtId="0" fontId="3" fillId="3" borderId="0" applyNumberFormat="0" applyBorder="0" applyAlignment="0" applyProtection="0"/>
    <xf numFmtId="0" fontId="8" fillId="0" borderId="0" applyNumberFormat="0" applyFill="0" applyBorder="0" applyAlignment="0" applyProtection="0"/>
    <xf numFmtId="0" fontId="11" fillId="23" borderId="5" applyNumberFormat="0" applyFont="0" applyAlignment="0" applyProtection="0"/>
    <xf numFmtId="0" fontId="15" fillId="0" borderId="6" applyNumberFormat="0" applyFill="0" applyAlignment="0" applyProtection="0"/>
    <xf numFmtId="0" fontId="16" fillId="0" borderId="0"/>
    <xf numFmtId="0" fontId="6" fillId="0" borderId="0" applyNumberFormat="0" applyFill="0" applyBorder="0" applyAlignment="0" applyProtection="0"/>
    <xf numFmtId="0" fontId="2" fillId="4" borderId="0" applyNumberFormat="0" applyBorder="0" applyAlignment="0" applyProtection="0"/>
  </cellStyleXfs>
  <cellXfs count="159">
    <xf numFmtId="0" fontId="0" fillId="0" borderId="0" xfId="0"/>
    <xf numFmtId="0" fontId="19" fillId="24" borderId="0" xfId="0" applyNumberFormat="1" applyFont="1" applyFill="1" applyAlignment="1" applyProtection="1">
      <alignment horizontal="center"/>
    </xf>
    <xf numFmtId="0" fontId="19" fillId="24" borderId="0" xfId="0" applyNumberFormat="1" applyFont="1" applyFill="1" applyAlignment="1" applyProtection="1"/>
    <xf numFmtId="0" fontId="19" fillId="24" borderId="0" xfId="0" applyFont="1" applyFill="1"/>
    <xf numFmtId="0" fontId="19" fillId="24" borderId="0" xfId="0" applyFont="1" applyFill="1" applyBorder="1" applyAlignment="1">
      <alignment vertical="center"/>
    </xf>
    <xf numFmtId="4" fontId="19" fillId="24" borderId="0" xfId="0" applyNumberFormat="1" applyFont="1" applyFill="1" applyAlignment="1" applyProtection="1"/>
    <xf numFmtId="0" fontId="24" fillId="24" borderId="0" xfId="0" applyFont="1" applyFill="1"/>
    <xf numFmtId="0" fontId="26" fillId="24" borderId="0" xfId="0" applyFont="1" applyFill="1" applyAlignment="1">
      <alignment vertical="top"/>
    </xf>
    <xf numFmtId="0" fontId="24" fillId="24" borderId="0" xfId="0" applyFont="1" applyFill="1" applyBorder="1" applyAlignment="1">
      <alignment vertical="center" textRotation="180"/>
    </xf>
    <xf numFmtId="0" fontId="25" fillId="24" borderId="0" xfId="0" applyFont="1" applyFill="1" applyAlignment="1">
      <alignment horizontal="center"/>
    </xf>
    <xf numFmtId="0" fontId="25" fillId="24" borderId="0" xfId="0" applyFont="1" applyFill="1"/>
    <xf numFmtId="2" fontId="25" fillId="24" borderId="0" xfId="0" applyNumberFormat="1" applyFont="1" applyFill="1" applyBorder="1" applyAlignment="1">
      <alignment horizontal="center" vertical="center"/>
    </xf>
    <xf numFmtId="0" fontId="19" fillId="24" borderId="0" xfId="0" applyFont="1" applyFill="1" applyBorder="1"/>
    <xf numFmtId="0" fontId="19" fillId="24" borderId="0" xfId="0" applyFont="1" applyFill="1" applyBorder="1" applyAlignment="1">
      <alignment wrapText="1"/>
    </xf>
    <xf numFmtId="0" fontId="19" fillId="24" borderId="0" xfId="0" applyFont="1" applyFill="1" applyBorder="1" applyAlignment="1">
      <alignment horizontal="center" vertical="center"/>
    </xf>
    <xf numFmtId="0" fontId="19" fillId="24" borderId="0" xfId="0" applyNumberFormat="1" applyFont="1" applyFill="1" applyBorder="1" applyAlignment="1" applyProtection="1">
      <alignment horizontal="center"/>
    </xf>
    <xf numFmtId="0" fontId="19" fillId="24" borderId="0" xfId="0" applyNumberFormat="1" applyFont="1" applyFill="1" applyBorder="1" applyAlignment="1" applyProtection="1"/>
    <xf numFmtId="0" fontId="19" fillId="24" borderId="0" xfId="0" applyFont="1" applyFill="1" applyAlignment="1"/>
    <xf numFmtId="0" fontId="24" fillId="24" borderId="0" xfId="0" applyFont="1" applyFill="1" applyAlignment="1"/>
    <xf numFmtId="0" fontId="25" fillId="24" borderId="0" xfId="0" applyFont="1" applyFill="1" applyAlignment="1"/>
    <xf numFmtId="0" fontId="19" fillId="24" borderId="0" xfId="0" applyFont="1" applyFill="1" applyBorder="1" applyAlignment="1"/>
    <xf numFmtId="0" fontId="23" fillId="24" borderId="0" xfId="0" applyNumberFormat="1" applyFont="1" applyFill="1" applyBorder="1" applyAlignment="1" applyProtection="1">
      <alignment horizontal="center" vertical="top" wrapText="1"/>
    </xf>
    <xf numFmtId="0" fontId="1" fillId="24" borderId="0" xfId="0" applyNumberFormat="1" applyFont="1" applyFill="1" applyBorder="1" applyAlignment="1" applyProtection="1">
      <alignment horizontal="center" vertical="top" wrapText="1"/>
    </xf>
    <xf numFmtId="0" fontId="25" fillId="24" borderId="0" xfId="0" applyFont="1" applyFill="1" applyBorder="1"/>
    <xf numFmtId="0" fontId="25" fillId="24" borderId="0" xfId="0" applyFont="1" applyFill="1" applyBorder="1" applyAlignment="1">
      <alignment vertical="center"/>
    </xf>
    <xf numFmtId="49" fontId="30" fillId="24" borderId="7" xfId="0" applyNumberFormat="1" applyFont="1" applyFill="1" applyBorder="1" applyAlignment="1" applyProtection="1">
      <alignment horizontal="center" vertical="center"/>
    </xf>
    <xf numFmtId="49" fontId="29" fillId="24" borderId="7" xfId="0" applyNumberFormat="1" applyFont="1" applyFill="1" applyBorder="1" applyAlignment="1" applyProtection="1">
      <alignment horizontal="center" vertical="center"/>
    </xf>
    <xf numFmtId="0" fontId="29" fillId="24" borderId="0" xfId="0" applyFont="1" applyFill="1" applyAlignment="1">
      <alignment vertical="center"/>
    </xf>
    <xf numFmtId="49" fontId="31" fillId="24" borderId="7" xfId="0" applyNumberFormat="1" applyFont="1" applyFill="1" applyBorder="1" applyAlignment="1" applyProtection="1">
      <alignment horizontal="center" vertical="center"/>
    </xf>
    <xf numFmtId="49" fontId="32" fillId="24" borderId="7" xfId="0" applyNumberFormat="1" applyFont="1" applyFill="1" applyBorder="1" applyAlignment="1" applyProtection="1">
      <alignment horizontal="center" vertical="center"/>
    </xf>
    <xf numFmtId="0" fontId="32" fillId="24" borderId="0" xfId="0" applyFont="1" applyFill="1" applyAlignment="1">
      <alignment vertical="center"/>
    </xf>
    <xf numFmtId="0" fontId="29" fillId="24" borderId="7" xfId="0" applyFont="1" applyFill="1" applyBorder="1" applyAlignment="1">
      <alignment vertical="center"/>
    </xf>
    <xf numFmtId="49" fontId="32" fillId="24" borderId="7" xfId="0" applyNumberFormat="1" applyFont="1" applyFill="1" applyBorder="1" applyAlignment="1">
      <alignment horizontal="center" vertical="center"/>
    </xf>
    <xf numFmtId="49" fontId="29" fillId="24" borderId="7" xfId="0" applyNumberFormat="1" applyFont="1" applyFill="1" applyBorder="1" applyAlignment="1">
      <alignment horizontal="center" vertical="center"/>
    </xf>
    <xf numFmtId="49" fontId="30" fillId="24" borderId="7" xfId="0" applyNumberFormat="1" applyFont="1" applyFill="1" applyBorder="1" applyAlignment="1">
      <alignment horizontal="center" vertical="center"/>
    </xf>
    <xf numFmtId="0" fontId="29" fillId="24" borderId="7" xfId="0" applyNumberFormat="1" applyFont="1" applyFill="1" applyBorder="1" applyAlignment="1" applyProtection="1">
      <alignment horizontal="center" vertical="center"/>
    </xf>
    <xf numFmtId="0" fontId="32" fillId="24" borderId="7" xfId="0" applyNumberFormat="1" applyFont="1" applyFill="1" applyBorder="1" applyAlignment="1" applyProtection="1">
      <alignment horizontal="center" vertical="center"/>
    </xf>
    <xf numFmtId="0" fontId="29" fillId="24" borderId="0" xfId="0" applyFont="1" applyFill="1" applyBorder="1" applyAlignment="1">
      <alignment vertical="center"/>
    </xf>
    <xf numFmtId="0" fontId="30" fillId="24" borderId="0" xfId="0" applyFont="1" applyFill="1" applyAlignment="1">
      <alignment vertical="center"/>
    </xf>
    <xf numFmtId="0" fontId="30" fillId="24" borderId="7" xfId="0" applyNumberFormat="1" applyFont="1" applyFill="1" applyBorder="1" applyAlignment="1" applyProtection="1">
      <alignment horizontal="center" vertical="center"/>
    </xf>
    <xf numFmtId="49" fontId="29" fillId="24" borderId="7" xfId="0" applyNumberFormat="1" applyFont="1" applyFill="1" applyBorder="1" applyAlignment="1" applyProtection="1">
      <alignment horizontal="center" vertical="center"/>
    </xf>
    <xf numFmtId="0" fontId="29" fillId="24" borderId="0" xfId="0" applyFont="1" applyFill="1" applyAlignment="1">
      <alignment vertical="center"/>
    </xf>
    <xf numFmtId="0" fontId="19" fillId="24" borderId="0" xfId="0" applyFont="1" applyFill="1" applyBorder="1" applyAlignment="1">
      <alignment horizontal="left" vertical="center"/>
    </xf>
    <xf numFmtId="0" fontId="19" fillId="24" borderId="0" xfId="0" applyFont="1" applyFill="1" applyBorder="1" applyAlignment="1">
      <alignment horizontal="left" vertical="center" wrapText="1"/>
    </xf>
    <xf numFmtId="0" fontId="25" fillId="24" borderId="0" xfId="0" applyFont="1" applyFill="1" applyBorder="1" applyAlignment="1">
      <alignment horizontal="left" vertical="center"/>
    </xf>
    <xf numFmtId="0" fontId="32" fillId="24" borderId="0" xfId="0" applyFont="1" applyFill="1" applyBorder="1" applyAlignment="1">
      <alignment vertical="center"/>
    </xf>
    <xf numFmtId="0" fontId="30" fillId="24" borderId="0" xfId="0" applyFont="1" applyFill="1" applyBorder="1" applyAlignment="1">
      <alignment vertical="center"/>
    </xf>
    <xf numFmtId="0" fontId="29" fillId="24" borderId="0" xfId="0" applyFont="1" applyFill="1" applyBorder="1" applyAlignment="1">
      <alignment vertical="center"/>
    </xf>
    <xf numFmtId="0" fontId="24" fillId="24" borderId="0" xfId="0" applyFont="1" applyFill="1" applyBorder="1"/>
    <xf numFmtId="0" fontId="32" fillId="0" borderId="7" xfId="0" applyFont="1" applyFill="1" applyBorder="1" applyAlignment="1">
      <alignment horizontal="left" vertical="center" wrapText="1"/>
    </xf>
    <xf numFmtId="0" fontId="29" fillId="24" borderId="0" xfId="0" applyFont="1" applyFill="1" applyBorder="1" applyAlignment="1">
      <alignment horizontal="center" vertical="center"/>
    </xf>
    <xf numFmtId="0" fontId="29" fillId="24" borderId="0" xfId="0" applyFont="1" applyFill="1" applyAlignment="1">
      <alignment horizontal="center" vertical="center"/>
    </xf>
    <xf numFmtId="0" fontId="28" fillId="24" borderId="0" xfId="0" applyFont="1" applyFill="1" applyBorder="1" applyAlignment="1">
      <alignment vertical="center"/>
    </xf>
    <xf numFmtId="3" fontId="30" fillId="0" borderId="7" xfId="0" applyNumberFormat="1" applyFont="1" applyFill="1" applyBorder="1" applyAlignment="1">
      <alignment horizontal="right" vertical="center" wrapText="1"/>
    </xf>
    <xf numFmtId="0" fontId="30" fillId="24" borderId="0" xfId="0" applyFont="1" applyFill="1" applyBorder="1"/>
    <xf numFmtId="0" fontId="30" fillId="24" borderId="0" xfId="0" applyFont="1" applyFill="1"/>
    <xf numFmtId="3" fontId="29" fillId="0" borderId="7" xfId="0" applyNumberFormat="1" applyFont="1" applyFill="1" applyBorder="1" applyAlignment="1">
      <alignment horizontal="right" vertical="center" wrapText="1"/>
    </xf>
    <xf numFmtId="0" fontId="30" fillId="24" borderId="0" xfId="0" applyFont="1" applyFill="1" applyBorder="1" applyAlignment="1">
      <alignment horizontal="right"/>
    </xf>
    <xf numFmtId="0" fontId="30" fillId="0" borderId="7" xfId="0" applyFont="1" applyFill="1" applyBorder="1" applyAlignment="1">
      <alignment horizontal="left" vertical="center" wrapText="1"/>
    </xf>
    <xf numFmtId="164" fontId="30" fillId="0" borderId="7" xfId="48" applyNumberFormat="1" applyFont="1" applyFill="1" applyBorder="1" applyAlignment="1">
      <alignment vertical="center"/>
    </xf>
    <xf numFmtId="0" fontId="29" fillId="0" borderId="7" xfId="0" applyFont="1" applyFill="1" applyBorder="1" applyAlignment="1">
      <alignment horizontal="justify" vertical="center" wrapText="1"/>
    </xf>
    <xf numFmtId="0" fontId="28" fillId="24" borderId="0" xfId="0" applyFont="1" applyFill="1" applyBorder="1"/>
    <xf numFmtId="0" fontId="21" fillId="24" borderId="7" xfId="0" applyNumberFormat="1" applyFont="1" applyFill="1" applyBorder="1" applyAlignment="1" applyProtection="1">
      <alignment horizontal="center" vertical="center" wrapText="1"/>
    </xf>
    <xf numFmtId="0" fontId="21" fillId="24" borderId="7" xfId="0" applyFont="1" applyFill="1" applyBorder="1" applyAlignment="1">
      <alignment horizontal="center"/>
    </xf>
    <xf numFmtId="0" fontId="21" fillId="24" borderId="0" xfId="0" applyFont="1" applyFill="1" applyBorder="1" applyAlignment="1">
      <alignment horizontal="center"/>
    </xf>
    <xf numFmtId="0" fontId="21" fillId="24" borderId="0" xfId="0" applyFont="1" applyFill="1" applyAlignment="1">
      <alignment horizontal="center"/>
    </xf>
    <xf numFmtId="0" fontId="32" fillId="0" borderId="7" xfId="0" applyFont="1" applyFill="1" applyBorder="1" applyAlignment="1">
      <alignment vertical="center" wrapText="1"/>
    </xf>
    <xf numFmtId="0" fontId="29" fillId="0" borderId="7" xfId="0" applyFont="1" applyFill="1" applyBorder="1" applyAlignment="1">
      <alignment horizontal="left" vertical="center" wrapText="1"/>
    </xf>
    <xf numFmtId="0" fontId="32" fillId="0" borderId="7" xfId="0" applyFont="1" applyFill="1" applyBorder="1" applyAlignment="1">
      <alignment horizontal="justify" vertical="center" wrapText="1"/>
    </xf>
    <xf numFmtId="0" fontId="21" fillId="24" borderId="7" xfId="0" applyFont="1" applyFill="1" applyBorder="1" applyAlignment="1">
      <alignment horizontal="center" vertical="center" wrapText="1"/>
    </xf>
    <xf numFmtId="164" fontId="29" fillId="0" borderId="7" xfId="0" applyNumberFormat="1" applyFont="1" applyFill="1" applyBorder="1" applyAlignment="1">
      <alignment vertical="center"/>
    </xf>
    <xf numFmtId="0" fontId="29" fillId="24" borderId="0" xfId="0" applyFont="1" applyFill="1" applyBorder="1"/>
    <xf numFmtId="164" fontId="25" fillId="24" borderId="0" xfId="0" applyNumberFormat="1" applyFont="1" applyFill="1" applyBorder="1"/>
    <xf numFmtId="164" fontId="29" fillId="24" borderId="0" xfId="0" applyNumberFormat="1" applyFont="1" applyFill="1" applyBorder="1" applyAlignment="1">
      <alignment vertical="center"/>
    </xf>
    <xf numFmtId="164" fontId="32" fillId="0" borderId="7" xfId="0" applyNumberFormat="1" applyFont="1" applyFill="1" applyBorder="1" applyAlignment="1">
      <alignment vertical="center"/>
    </xf>
    <xf numFmtId="49" fontId="29" fillId="0" borderId="7" xfId="0" applyNumberFormat="1" applyFont="1" applyFill="1" applyBorder="1" applyAlignment="1">
      <alignment horizontal="center" vertical="center"/>
    </xf>
    <xf numFmtId="0" fontId="30" fillId="0" borderId="7" xfId="0" applyFont="1" applyFill="1" applyBorder="1" applyAlignment="1">
      <alignment vertical="center" wrapText="1"/>
    </xf>
    <xf numFmtId="164" fontId="29" fillId="0" borderId="7" xfId="0" applyNumberFormat="1" applyFont="1" applyFill="1" applyBorder="1" applyAlignment="1">
      <alignment vertical="center" wrapText="1"/>
    </xf>
    <xf numFmtId="4" fontId="29" fillId="0" borderId="7" xfId="48" applyNumberFormat="1" applyFont="1" applyFill="1" applyBorder="1" applyAlignment="1">
      <alignment vertical="center"/>
    </xf>
    <xf numFmtId="0" fontId="29" fillId="0" borderId="7"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Alignment="1">
      <alignment vertical="center"/>
    </xf>
    <xf numFmtId="164" fontId="29" fillId="0" borderId="7" xfId="48" applyNumberFormat="1" applyFont="1" applyFill="1" applyBorder="1" applyAlignment="1">
      <alignment vertical="center"/>
    </xf>
    <xf numFmtId="49" fontId="32" fillId="0" borderId="7" xfId="0" applyNumberFormat="1" applyFont="1" applyFill="1" applyBorder="1" applyAlignment="1">
      <alignment horizontal="center" vertical="center"/>
    </xf>
    <xf numFmtId="49" fontId="32" fillId="0" borderId="7" xfId="0" applyNumberFormat="1" applyFont="1" applyFill="1" applyBorder="1" applyAlignment="1">
      <alignment horizontal="left" vertical="center" wrapText="1"/>
    </xf>
    <xf numFmtId="4" fontId="32" fillId="0" borderId="7" xfId="48" applyNumberFormat="1" applyFont="1" applyFill="1" applyBorder="1" applyAlignment="1">
      <alignment vertical="center"/>
    </xf>
    <xf numFmtId="0" fontId="32" fillId="0" borderId="7"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49" fontId="30" fillId="0" borderId="7" xfId="0" applyNumberFormat="1" applyFont="1" applyFill="1" applyBorder="1" applyAlignment="1">
      <alignment horizontal="center" vertical="center"/>
    </xf>
    <xf numFmtId="4" fontId="30" fillId="0" borderId="7" xfId="48" applyNumberFormat="1" applyFont="1" applyFill="1" applyBorder="1" applyAlignment="1">
      <alignment vertical="center"/>
    </xf>
    <xf numFmtId="49" fontId="29" fillId="0" borderId="7" xfId="0" applyNumberFormat="1" applyFont="1" applyFill="1" applyBorder="1" applyAlignment="1" applyProtection="1">
      <alignment horizontal="center" vertical="center"/>
    </xf>
    <xf numFmtId="4" fontId="29" fillId="0" borderId="7" xfId="0" applyNumberFormat="1" applyFont="1" applyFill="1" applyBorder="1" applyAlignment="1">
      <alignment vertical="center"/>
    </xf>
    <xf numFmtId="49" fontId="32" fillId="0" borderId="7" xfId="0" applyNumberFormat="1" applyFont="1" applyFill="1" applyBorder="1" applyAlignment="1" applyProtection="1">
      <alignment horizontal="center" vertical="center"/>
    </xf>
    <xf numFmtId="0" fontId="29" fillId="0" borderId="7" xfId="0" applyFont="1" applyFill="1" applyBorder="1" applyAlignment="1">
      <alignment horizontal="left" wrapText="1"/>
    </xf>
    <xf numFmtId="49" fontId="30" fillId="0" borderId="7" xfId="0" applyNumberFormat="1" applyFont="1" applyFill="1" applyBorder="1" applyAlignment="1" applyProtection="1">
      <alignment horizontal="center" vertical="center"/>
    </xf>
    <xf numFmtId="0" fontId="30" fillId="0" borderId="0" xfId="0" applyFont="1" applyFill="1" applyBorder="1" applyAlignment="1">
      <alignment vertical="center"/>
    </xf>
    <xf numFmtId="0" fontId="30" fillId="0" borderId="0" xfId="0" applyFont="1" applyFill="1" applyAlignment="1">
      <alignment vertical="center"/>
    </xf>
    <xf numFmtId="0" fontId="32" fillId="0" borderId="7" xfId="0" applyFont="1" applyFill="1" applyBorder="1" applyAlignment="1">
      <alignment horizontal="center" vertical="center"/>
    </xf>
    <xf numFmtId="3" fontId="29" fillId="0" borderId="7" xfId="48" applyNumberFormat="1" applyFont="1" applyFill="1" applyBorder="1" applyAlignment="1">
      <alignment vertical="center"/>
    </xf>
    <xf numFmtId="0" fontId="34" fillId="0" borderId="7" xfId="0" applyFont="1" applyFill="1" applyBorder="1" applyAlignment="1">
      <alignment horizontal="left" vertical="center" wrapText="1"/>
    </xf>
    <xf numFmtId="0" fontId="21" fillId="0" borderId="0" xfId="0" applyNumberFormat="1" applyFont="1" applyFill="1" applyBorder="1" applyAlignment="1" applyProtection="1">
      <alignment horizontal="center" vertical="center"/>
    </xf>
    <xf numFmtId="0" fontId="1" fillId="0" borderId="7" xfId="0" applyFont="1" applyFill="1" applyBorder="1" applyAlignment="1">
      <alignment horizontal="left" vertical="center" wrapText="1"/>
    </xf>
    <xf numFmtId="4" fontId="1" fillId="0" borderId="7" xfId="48" applyNumberFormat="1" applyFont="1" applyFill="1" applyBorder="1" applyAlignment="1">
      <alignment vertical="center"/>
    </xf>
    <xf numFmtId="0" fontId="19" fillId="0" borderId="7" xfId="0" applyFont="1" applyFill="1" applyBorder="1" applyAlignment="1">
      <alignment vertical="center"/>
    </xf>
    <xf numFmtId="0" fontId="21" fillId="0" borderId="7" xfId="0" applyFont="1" applyFill="1" applyBorder="1" applyAlignment="1">
      <alignment vertical="center"/>
    </xf>
    <xf numFmtId="0" fontId="30" fillId="0" borderId="7"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19" fillId="0" borderId="0" xfId="0" applyNumberFormat="1" applyFont="1" applyFill="1" applyBorder="1" applyAlignment="1" applyProtection="1">
      <alignment horizontal="center" vertical="center"/>
    </xf>
    <xf numFmtId="0" fontId="22" fillId="0" borderId="7" xfId="0" applyFont="1" applyFill="1" applyBorder="1" applyAlignment="1">
      <alignment horizontal="left" vertical="center" wrapText="1"/>
    </xf>
    <xf numFmtId="4" fontId="22" fillId="0" borderId="7" xfId="48"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164" fontId="30" fillId="0" borderId="7" xfId="0" applyNumberFormat="1" applyFont="1" applyFill="1" applyBorder="1" applyAlignment="1">
      <alignment vertical="center" wrapText="1"/>
    </xf>
    <xf numFmtId="164" fontId="30" fillId="0" borderId="7" xfId="0" applyNumberFormat="1" applyFont="1" applyFill="1" applyBorder="1" applyAlignment="1">
      <alignment vertical="center"/>
    </xf>
    <xf numFmtId="0" fontId="31" fillId="0" borderId="7" xfId="0" applyFont="1" applyFill="1" applyBorder="1" applyAlignment="1">
      <alignment vertical="center" wrapText="1"/>
    </xf>
    <xf numFmtId="49" fontId="31" fillId="0" borderId="7" xfId="0" applyNumberFormat="1" applyFont="1" applyFill="1" applyBorder="1" applyAlignment="1" applyProtection="1">
      <alignment horizontal="center" vertical="center"/>
    </xf>
    <xf numFmtId="0" fontId="31" fillId="0" borderId="7" xfId="0" applyFont="1" applyFill="1" applyBorder="1" applyAlignment="1">
      <alignment horizontal="left" vertical="center" wrapText="1"/>
    </xf>
    <xf numFmtId="4" fontId="31" fillId="0" borderId="7" xfId="48" applyNumberFormat="1" applyFont="1" applyFill="1" applyBorder="1" applyAlignment="1">
      <alignment vertical="center"/>
    </xf>
    <xf numFmtId="0" fontId="31" fillId="0" borderId="0" xfId="0" applyFont="1" applyFill="1" applyBorder="1" applyAlignment="1">
      <alignment vertical="center"/>
    </xf>
    <xf numFmtId="0" fontId="31" fillId="0" borderId="0" xfId="0" applyFont="1" applyFill="1" applyAlignment="1">
      <alignment vertical="center"/>
    </xf>
    <xf numFmtId="0" fontId="25" fillId="24" borderId="0" xfId="0" applyNumberFormat="1" applyFont="1" applyFill="1" applyAlignment="1" applyProtection="1">
      <alignment horizontal="left"/>
    </xf>
    <xf numFmtId="0" fontId="29" fillId="25" borderId="0" xfId="0" applyFont="1" applyFill="1" applyBorder="1" applyAlignment="1">
      <alignment vertical="center"/>
    </xf>
    <xf numFmtId="0" fontId="29" fillId="25" borderId="0" xfId="0" applyFont="1" applyFill="1" applyAlignment="1">
      <alignment vertical="center"/>
    </xf>
    <xf numFmtId="49" fontId="32" fillId="26" borderId="7" xfId="0" applyNumberFormat="1" applyFont="1" applyFill="1" applyBorder="1" applyAlignment="1">
      <alignment horizontal="center" vertical="center"/>
    </xf>
    <xf numFmtId="0" fontId="29" fillId="26" borderId="0" xfId="0" applyFont="1" applyFill="1" applyBorder="1" applyAlignment="1">
      <alignment vertical="center"/>
    </xf>
    <xf numFmtId="0" fontId="29" fillId="26" borderId="0" xfId="0" applyFont="1" applyFill="1" applyAlignment="1">
      <alignment vertical="center"/>
    </xf>
    <xf numFmtId="49" fontId="29" fillId="26" borderId="7" xfId="0" applyNumberFormat="1" applyFont="1" applyFill="1" applyBorder="1" applyAlignment="1" applyProtection="1">
      <alignment horizontal="center" vertical="center"/>
    </xf>
    <xf numFmtId="49" fontId="29" fillId="25" borderId="7" xfId="0" applyNumberFormat="1" applyFont="1" applyFill="1" applyBorder="1" applyAlignment="1" applyProtection="1">
      <alignment horizontal="center" vertical="center"/>
    </xf>
    <xf numFmtId="0" fontId="29" fillId="0" borderId="7" xfId="0" applyFont="1" applyFill="1" applyBorder="1"/>
    <xf numFmtId="164" fontId="32" fillId="0" borderId="7" xfId="48" applyNumberFormat="1" applyFont="1" applyFill="1" applyBorder="1" applyAlignment="1">
      <alignment vertical="center"/>
    </xf>
    <xf numFmtId="4" fontId="32" fillId="0" borderId="7" xfId="0" applyNumberFormat="1" applyFont="1" applyFill="1" applyBorder="1" applyAlignment="1">
      <alignment vertical="center"/>
    </xf>
    <xf numFmtId="0" fontId="36" fillId="0" borderId="7" xfId="0" applyFont="1" applyFill="1" applyBorder="1" applyAlignment="1">
      <alignment horizontal="left" vertical="center" wrapText="1"/>
    </xf>
    <xf numFmtId="0" fontId="29" fillId="0" borderId="7" xfId="0" applyFont="1" applyFill="1" applyBorder="1" applyAlignment="1">
      <alignment vertical="center" wrapText="1"/>
    </xf>
    <xf numFmtId="4" fontId="32" fillId="0" borderId="7" xfId="0" applyNumberFormat="1" applyFont="1" applyFill="1" applyBorder="1" applyAlignment="1">
      <alignment vertical="center" wrapText="1"/>
    </xf>
    <xf numFmtId="4" fontId="30" fillId="0" borderId="7" xfId="0" applyNumberFormat="1" applyFont="1" applyFill="1" applyBorder="1" applyAlignment="1">
      <alignment horizontal="right" vertical="center" wrapText="1"/>
    </xf>
    <xf numFmtId="164" fontId="30" fillId="0" borderId="7" xfId="0" applyNumberFormat="1" applyFont="1" applyFill="1" applyBorder="1" applyAlignment="1">
      <alignment horizontal="right" vertical="center" wrapText="1"/>
    </xf>
    <xf numFmtId="0" fontId="35" fillId="0" borderId="7" xfId="0" applyFont="1" applyFill="1" applyBorder="1" applyAlignment="1">
      <alignment horizontal="justify" vertical="center" wrapText="1"/>
    </xf>
    <xf numFmtId="3" fontId="30" fillId="0" borderId="7" xfId="48" applyNumberFormat="1" applyFont="1" applyFill="1" applyBorder="1" applyAlignment="1">
      <alignment vertical="center"/>
    </xf>
    <xf numFmtId="0" fontId="33" fillId="0" borderId="7" xfId="0" applyFont="1" applyFill="1" applyBorder="1" applyAlignment="1">
      <alignment horizontal="left" vertical="center" wrapText="1"/>
    </xf>
    <xf numFmtId="0" fontId="35" fillId="0" borderId="7" xfId="0" applyFont="1" applyFill="1" applyBorder="1" applyAlignment="1">
      <alignment horizontal="left" wrapText="1"/>
    </xf>
    <xf numFmtId="0" fontId="28" fillId="24" borderId="0" xfId="0" applyNumberFormat="1" applyFont="1" applyFill="1" applyBorder="1" applyAlignment="1" applyProtection="1">
      <alignment horizontal="center" vertical="top" wrapText="1"/>
    </xf>
    <xf numFmtId="0" fontId="25" fillId="24" borderId="0" xfId="0" applyFont="1" applyFill="1" applyAlignment="1">
      <alignment vertical="center"/>
    </xf>
    <xf numFmtId="0" fontId="19" fillId="0" borderId="0" xfId="0" applyNumberFormat="1" applyFont="1" applyFill="1" applyAlignment="1" applyProtection="1"/>
    <xf numFmtId="0" fontId="1" fillId="0" borderId="0"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center" wrapText="1"/>
    </xf>
    <xf numFmtId="0" fontId="25" fillId="0" borderId="0" xfId="0" applyNumberFormat="1" applyFont="1" applyFill="1" applyAlignment="1" applyProtection="1">
      <alignment horizontal="left"/>
    </xf>
    <xf numFmtId="1" fontId="28" fillId="0" borderId="0" xfId="0" applyNumberFormat="1" applyFont="1" applyFill="1" applyBorder="1" applyAlignment="1">
      <alignment horizontal="left" vertical="center"/>
    </xf>
    <xf numFmtId="0" fontId="29" fillId="0" borderId="0" xfId="0" applyFont="1" applyFill="1" applyAlignment="1">
      <alignment horizontal="left"/>
    </xf>
    <xf numFmtId="0" fontId="19" fillId="0" borderId="0" xfId="0" applyFont="1" applyFill="1" applyBorder="1" applyAlignment="1">
      <alignment wrapText="1"/>
    </xf>
    <xf numFmtId="0" fontId="19" fillId="0" borderId="0" xfId="0" applyNumberFormat="1" applyFont="1" applyFill="1" applyBorder="1" applyAlignment="1" applyProtection="1"/>
    <xf numFmtId="0" fontId="26" fillId="24" borderId="0" xfId="0" applyNumberFormat="1" applyFont="1" applyFill="1" applyAlignment="1" applyProtection="1">
      <alignment horizontal="left"/>
    </xf>
    <xf numFmtId="0" fontId="30" fillId="24" borderId="7" xfId="0" applyFont="1" applyFill="1" applyBorder="1" applyAlignment="1">
      <alignment horizontal="center" vertical="center" wrapText="1"/>
    </xf>
    <xf numFmtId="0" fontId="28" fillId="24" borderId="0" xfId="0" applyNumberFormat="1" applyFont="1" applyFill="1" applyBorder="1" applyAlignment="1" applyProtection="1">
      <alignment horizontal="center" vertical="top" wrapText="1"/>
    </xf>
    <xf numFmtId="0" fontId="30" fillId="24" borderId="7" xfId="0" applyNumberFormat="1" applyFont="1" applyFill="1" applyBorder="1" applyAlignment="1" applyProtection="1">
      <alignment horizontal="center" vertical="center" wrapText="1"/>
    </xf>
    <xf numFmtId="14" fontId="26" fillId="24" borderId="0" xfId="0" applyNumberFormat="1" applyFont="1" applyFill="1" applyBorder="1" applyAlignment="1">
      <alignment horizontal="left"/>
    </xf>
    <xf numFmtId="0" fontId="25" fillId="24" borderId="0" xfId="0" applyFont="1" applyFill="1" applyBorder="1" applyAlignment="1">
      <alignment horizontal="left" vertical="distributed" wrapText="1"/>
    </xf>
    <xf numFmtId="0" fontId="30" fillId="0" borderId="7" xfId="0" applyNumberFormat="1" applyFont="1" applyFill="1" applyBorder="1" applyAlignment="1" applyProtection="1">
      <alignment horizontal="center" vertical="center" wrapText="1"/>
    </xf>
  </cellXfs>
  <cellStyles count="6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Плохой" xfId="54"/>
    <cellStyle name="Пояснение" xfId="55"/>
    <cellStyle name="Примечание" xfId="56"/>
    <cellStyle name="Связанная ячейка" xfId="57"/>
    <cellStyle name="Стиль 1" xfId="58"/>
    <cellStyle name="Текст предупреждения" xfId="59"/>
    <cellStyle name="Хороший"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56"/>
  <sheetViews>
    <sheetView showGridLines="0" showZeros="0" tabSelected="1" view="pageBreakPreview" topLeftCell="D1" zoomScale="60" zoomScaleNormal="70" workbookViewId="0">
      <selection activeCell="G1" sqref="G1:N1"/>
    </sheetView>
  </sheetViews>
  <sheetFormatPr defaultColWidth="9.1640625" defaultRowHeight="15.75" x14ac:dyDescent="0.25"/>
  <cols>
    <col min="1" max="1" width="17.1640625" style="1" hidden="1" customWidth="1"/>
    <col min="2" max="2" width="18" style="1" hidden="1" customWidth="1"/>
    <col min="3" max="3" width="19.6640625" style="1" hidden="1" customWidth="1"/>
    <col min="4" max="4" width="172.1640625" style="144" customWidth="1"/>
    <col min="5" max="5" width="59" style="2" hidden="1" customWidth="1"/>
    <col min="6" max="6" width="28.83203125" style="2" hidden="1" customWidth="1"/>
    <col min="7" max="7" width="28.83203125" style="2" customWidth="1"/>
    <col min="8" max="8" width="26" style="2" customWidth="1"/>
    <col min="9" max="9" width="28.6640625" style="2" hidden="1" customWidth="1"/>
    <col min="10" max="10" width="28.6640625" style="2" customWidth="1"/>
    <col min="11" max="11" width="28.33203125" style="2" hidden="1" customWidth="1"/>
    <col min="12" max="12" width="28.33203125" style="14" hidden="1" customWidth="1"/>
    <col min="13" max="13" width="28.33203125" style="17" hidden="1" customWidth="1"/>
    <col min="14" max="14" width="38.1640625" style="12" customWidth="1"/>
    <col min="15" max="15" width="18.5" style="12" bestFit="1" customWidth="1"/>
    <col min="16" max="16" width="11.1640625" style="12" bestFit="1" customWidth="1"/>
    <col min="17" max="86" width="9.1640625" style="12"/>
    <col min="87" max="16384" width="9.1640625" style="3"/>
  </cols>
  <sheetData>
    <row r="1" spans="1:87" ht="26.25" x14ac:dyDescent="0.4">
      <c r="G1" s="152" t="s">
        <v>363</v>
      </c>
      <c r="H1" s="152"/>
      <c r="I1" s="152"/>
      <c r="J1" s="152"/>
      <c r="K1" s="152"/>
      <c r="L1" s="152"/>
      <c r="M1" s="152"/>
      <c r="N1" s="152"/>
    </row>
    <row r="2" spans="1:87" ht="26.25" customHeight="1" x14ac:dyDescent="0.4">
      <c r="G2" s="152" t="s">
        <v>353</v>
      </c>
      <c r="H2" s="152"/>
      <c r="I2" s="152"/>
      <c r="J2" s="152"/>
      <c r="K2" s="152"/>
      <c r="L2" s="152"/>
      <c r="M2" s="152"/>
      <c r="N2" s="152"/>
      <c r="CI2" s="12"/>
    </row>
    <row r="3" spans="1:87" ht="26.25" customHeight="1" x14ac:dyDescent="0.4">
      <c r="G3" s="152" t="s">
        <v>354</v>
      </c>
      <c r="H3" s="152"/>
      <c r="I3" s="152"/>
      <c r="J3" s="152"/>
      <c r="K3" s="152"/>
      <c r="L3" s="152"/>
      <c r="M3" s="152"/>
      <c r="N3" s="152"/>
      <c r="O3" s="42"/>
      <c r="P3" s="42"/>
      <c r="Q3" s="42"/>
      <c r="R3" s="42"/>
      <c r="CI3" s="12"/>
    </row>
    <row r="4" spans="1:87" ht="26.25" customHeight="1" x14ac:dyDescent="0.4">
      <c r="G4" s="152" t="s">
        <v>355</v>
      </c>
      <c r="H4" s="152"/>
      <c r="I4" s="152"/>
      <c r="J4" s="152"/>
      <c r="K4" s="152"/>
      <c r="L4" s="152"/>
      <c r="M4" s="152"/>
      <c r="N4" s="152"/>
      <c r="O4" s="42"/>
      <c r="P4" s="42"/>
      <c r="Q4" s="42"/>
      <c r="R4" s="42"/>
      <c r="CI4" s="12"/>
    </row>
    <row r="5" spans="1:87" ht="26.25" customHeight="1" x14ac:dyDescent="0.4">
      <c r="G5" s="152" t="s">
        <v>356</v>
      </c>
      <c r="H5" s="152"/>
      <c r="I5" s="152"/>
      <c r="J5" s="152"/>
      <c r="K5" s="152"/>
      <c r="L5" s="152"/>
      <c r="M5" s="152"/>
      <c r="N5" s="152"/>
      <c r="O5" s="42"/>
      <c r="P5" s="42"/>
      <c r="Q5" s="42"/>
      <c r="R5" s="42"/>
      <c r="CI5" s="12"/>
    </row>
    <row r="6" spans="1:87" ht="26.25" customHeight="1" x14ac:dyDescent="0.4">
      <c r="G6" s="152" t="s">
        <v>362</v>
      </c>
      <c r="H6" s="152"/>
      <c r="I6" s="152"/>
      <c r="J6" s="152"/>
      <c r="K6" s="152"/>
      <c r="L6" s="152"/>
      <c r="M6" s="152"/>
      <c r="N6" s="152"/>
      <c r="O6" s="42"/>
      <c r="P6" s="42"/>
      <c r="Q6" s="42"/>
      <c r="R6" s="42"/>
      <c r="CI6" s="12"/>
    </row>
    <row r="7" spans="1:87" x14ac:dyDescent="0.25">
      <c r="L7" s="4"/>
      <c r="N7" s="43"/>
      <c r="O7" s="43"/>
      <c r="P7" s="43"/>
      <c r="Q7" s="43"/>
    </row>
    <row r="8" spans="1:87" s="10" customFormat="1" ht="36" customHeight="1" x14ac:dyDescent="0.4">
      <c r="A8" s="154"/>
      <c r="B8" s="154"/>
      <c r="C8" s="154"/>
      <c r="D8" s="154"/>
      <c r="E8" s="154"/>
      <c r="F8" s="154"/>
      <c r="G8" s="154"/>
      <c r="H8" s="154"/>
      <c r="I8" s="154"/>
      <c r="J8" s="154"/>
      <c r="K8" s="154"/>
      <c r="L8" s="154"/>
      <c r="M8" s="154"/>
      <c r="N8" s="154"/>
      <c r="O8" s="24"/>
      <c r="P8" s="24"/>
      <c r="Q8" s="24"/>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s="10" customFormat="1" ht="31.5" customHeight="1" x14ac:dyDescent="0.4">
      <c r="A9" s="154"/>
      <c r="B9" s="154"/>
      <c r="C9" s="154"/>
      <c r="D9" s="154"/>
      <c r="E9" s="154"/>
      <c r="F9" s="154"/>
      <c r="G9" s="154"/>
      <c r="H9" s="154"/>
      <c r="I9" s="154"/>
      <c r="J9" s="154"/>
      <c r="K9" s="154"/>
      <c r="L9" s="154"/>
      <c r="M9" s="154"/>
      <c r="N9" s="154"/>
      <c r="O9" s="44"/>
      <c r="P9" s="44"/>
      <c r="Q9" s="44"/>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row>
    <row r="10" spans="1:87" s="10" customFormat="1" ht="31.5" customHeight="1" x14ac:dyDescent="0.4">
      <c r="A10" s="142"/>
      <c r="B10" s="142"/>
      <c r="C10" s="142"/>
      <c r="D10" s="154" t="s">
        <v>292</v>
      </c>
      <c r="E10" s="154"/>
      <c r="F10" s="154"/>
      <c r="G10" s="154"/>
      <c r="H10" s="154"/>
      <c r="I10" s="154"/>
      <c r="J10" s="154"/>
      <c r="K10" s="154"/>
      <c r="L10" s="154"/>
      <c r="M10" s="154"/>
      <c r="N10" s="154"/>
      <c r="O10" s="44"/>
      <c r="P10" s="44"/>
      <c r="Q10" s="44"/>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row>
    <row r="11" spans="1:87" s="10" customFormat="1" ht="31.5" customHeight="1" x14ac:dyDescent="0.4">
      <c r="A11" s="142"/>
      <c r="B11" s="142"/>
      <c r="C11" s="142"/>
      <c r="D11" s="154" t="s">
        <v>293</v>
      </c>
      <c r="E11" s="154"/>
      <c r="F11" s="154"/>
      <c r="G11" s="154"/>
      <c r="H11" s="154"/>
      <c r="I11" s="154"/>
      <c r="J11" s="154"/>
      <c r="K11" s="154"/>
      <c r="L11" s="154"/>
      <c r="M11" s="154"/>
      <c r="N11" s="154"/>
      <c r="O11" s="44"/>
      <c r="P11" s="44"/>
      <c r="Q11" s="44"/>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row>
    <row r="12" spans="1:87" ht="46.5" customHeight="1" x14ac:dyDescent="0.3">
      <c r="A12" s="21"/>
      <c r="B12" s="22"/>
      <c r="C12" s="22"/>
      <c r="D12" s="145"/>
      <c r="E12" s="22"/>
      <c r="F12" s="22"/>
      <c r="G12" s="22"/>
      <c r="H12" s="22"/>
      <c r="I12" s="22"/>
      <c r="J12" s="22"/>
      <c r="K12" s="22"/>
      <c r="L12" s="4"/>
      <c r="N12" s="57" t="s">
        <v>291</v>
      </c>
      <c r="O12" s="42"/>
      <c r="P12" s="42"/>
      <c r="Q12" s="42"/>
    </row>
    <row r="13" spans="1:87" s="55" customFormat="1" ht="45.6" customHeight="1" x14ac:dyDescent="0.3">
      <c r="A13" s="155" t="s">
        <v>164</v>
      </c>
      <c r="B13" s="155" t="s">
        <v>235</v>
      </c>
      <c r="C13" s="155" t="s">
        <v>102</v>
      </c>
      <c r="D13" s="158" t="s">
        <v>310</v>
      </c>
      <c r="E13" s="153" t="s">
        <v>180</v>
      </c>
      <c r="F13" s="155" t="s">
        <v>166</v>
      </c>
      <c r="G13" s="155" t="s">
        <v>166</v>
      </c>
      <c r="H13" s="155" t="s">
        <v>167</v>
      </c>
      <c r="I13" s="155" t="s">
        <v>168</v>
      </c>
      <c r="J13" s="155" t="s">
        <v>168</v>
      </c>
      <c r="K13" s="155" t="s">
        <v>169</v>
      </c>
      <c r="L13" s="153" t="s">
        <v>266</v>
      </c>
      <c r="M13" s="153" t="s">
        <v>267</v>
      </c>
      <c r="N13" s="153" t="s">
        <v>169</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row>
    <row r="14" spans="1:87" s="55" customFormat="1" ht="89.25" customHeight="1" x14ac:dyDescent="0.3">
      <c r="A14" s="155"/>
      <c r="B14" s="155"/>
      <c r="C14" s="155"/>
      <c r="D14" s="158"/>
      <c r="E14" s="153"/>
      <c r="F14" s="155"/>
      <c r="G14" s="155"/>
      <c r="H14" s="155"/>
      <c r="I14" s="155"/>
      <c r="J14" s="155"/>
      <c r="K14" s="155"/>
      <c r="L14" s="153"/>
      <c r="M14" s="153"/>
      <c r="N14" s="153"/>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row>
    <row r="15" spans="1:87" s="65" customFormat="1" ht="18.75" x14ac:dyDescent="0.3">
      <c r="A15" s="62"/>
      <c r="B15" s="62"/>
      <c r="C15" s="62"/>
      <c r="D15" s="146">
        <v>1</v>
      </c>
      <c r="E15" s="69"/>
      <c r="F15" s="62"/>
      <c r="G15" s="62">
        <v>2</v>
      </c>
      <c r="H15" s="62">
        <v>3</v>
      </c>
      <c r="I15" s="62"/>
      <c r="J15" s="62">
        <v>4</v>
      </c>
      <c r="K15" s="62"/>
      <c r="L15" s="62"/>
      <c r="M15" s="62"/>
      <c r="N15" s="63">
        <v>5</v>
      </c>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row>
    <row r="16" spans="1:87" s="38" customFormat="1" ht="31.5" customHeight="1" x14ac:dyDescent="0.2">
      <c r="A16" s="25" t="s">
        <v>2</v>
      </c>
      <c r="B16" s="25"/>
      <c r="C16" s="25"/>
      <c r="D16" s="76" t="s">
        <v>83</v>
      </c>
      <c r="E16" s="76"/>
      <c r="F16" s="76"/>
      <c r="G16" s="76">
        <f>ROUND(F16/1000,1)</f>
        <v>0</v>
      </c>
      <c r="H16" s="76"/>
      <c r="I16" s="76"/>
      <c r="J16" s="77">
        <f>ROUND(I16/1000,1)</f>
        <v>0</v>
      </c>
      <c r="K16" s="90">
        <f>K17+K20+K23+K25+K27+K29+K32+K34+K18+K28</f>
        <v>37467700</v>
      </c>
      <c r="L16" s="90">
        <f>L17+L20+L23+L25+L27+L29+L32+L34+L18+L28</f>
        <v>13704000</v>
      </c>
      <c r="M16" s="90">
        <f>M17+M20+M23+M25+M27+M29+M32+M34+M18+M28</f>
        <v>51171700</v>
      </c>
      <c r="N16" s="59">
        <f>N17+N20+N23+N25+N27+N29+N32+N34+N18+N28+N33</f>
        <v>59568.399999999994</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row>
    <row r="17" spans="1:86" s="27" customFormat="1" ht="27.75" customHeight="1" x14ac:dyDescent="0.2">
      <c r="A17" s="26" t="s">
        <v>4</v>
      </c>
      <c r="B17" s="26" t="s">
        <v>100</v>
      </c>
      <c r="C17" s="26" t="s">
        <v>101</v>
      </c>
      <c r="D17" s="67" t="s">
        <v>268</v>
      </c>
      <c r="E17" s="67"/>
      <c r="F17" s="67"/>
      <c r="G17" s="76">
        <f t="shared" ref="G17:G82" si="0">ROUND(F17/1000,1)</f>
        <v>0</v>
      </c>
      <c r="H17" s="67"/>
      <c r="I17" s="67"/>
      <c r="J17" s="77">
        <f t="shared" ref="J17:J82" si="1">ROUND(I17/1000,1)</f>
        <v>0</v>
      </c>
      <c r="K17" s="78">
        <f>2000000+2500000-635300+500000</f>
        <v>4364700</v>
      </c>
      <c r="L17" s="79"/>
      <c r="M17" s="78">
        <f>K17+L17</f>
        <v>4364700</v>
      </c>
      <c r="N17" s="70">
        <f>ROUND(M17/1000,1)+280+120</f>
        <v>4764.7</v>
      </c>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row>
    <row r="18" spans="1:86" s="27" customFormat="1" ht="27.75" customHeight="1" x14ac:dyDescent="0.3">
      <c r="A18" s="26" t="s">
        <v>5</v>
      </c>
      <c r="B18" s="26" t="s">
        <v>160</v>
      </c>
      <c r="C18" s="26" t="s">
        <v>159</v>
      </c>
      <c r="D18" s="130" t="s">
        <v>297</v>
      </c>
      <c r="E18" s="130"/>
      <c r="F18" s="67"/>
      <c r="G18" s="76">
        <f t="shared" si="0"/>
        <v>0</v>
      </c>
      <c r="H18" s="67"/>
      <c r="I18" s="67"/>
      <c r="J18" s="77">
        <f t="shared" si="1"/>
        <v>0</v>
      </c>
      <c r="K18" s="78">
        <f>K19</f>
        <v>10000</v>
      </c>
      <c r="L18" s="78">
        <f>L19</f>
        <v>0</v>
      </c>
      <c r="M18" s="78">
        <f>M19</f>
        <v>10000</v>
      </c>
      <c r="N18" s="82">
        <f>N19</f>
        <v>10</v>
      </c>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row>
    <row r="19" spans="1:86" s="30" customFormat="1" ht="27.75" customHeight="1" x14ac:dyDescent="0.2">
      <c r="A19" s="29" t="s">
        <v>5</v>
      </c>
      <c r="B19" s="29" t="s">
        <v>160</v>
      </c>
      <c r="C19" s="29" t="s">
        <v>159</v>
      </c>
      <c r="D19" s="49" t="s">
        <v>330</v>
      </c>
      <c r="E19" s="49"/>
      <c r="F19" s="49"/>
      <c r="G19" s="76">
        <f t="shared" si="0"/>
        <v>0</v>
      </c>
      <c r="H19" s="49"/>
      <c r="I19" s="49"/>
      <c r="J19" s="77">
        <f t="shared" si="1"/>
        <v>0</v>
      </c>
      <c r="K19" s="85">
        <v>10000</v>
      </c>
      <c r="L19" s="98"/>
      <c r="M19" s="85">
        <f t="shared" ref="M19:M77" si="2">K19+L19</f>
        <v>10000</v>
      </c>
      <c r="N19" s="74">
        <f t="shared" ref="N19:N80" si="3">ROUND(M19/1000,1)</f>
        <v>10</v>
      </c>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row>
    <row r="20" spans="1:86" s="27" customFormat="1" ht="27.75" customHeight="1" x14ac:dyDescent="0.2">
      <c r="A20" s="26" t="s">
        <v>6</v>
      </c>
      <c r="B20" s="26" t="s">
        <v>134</v>
      </c>
      <c r="C20" s="26" t="s">
        <v>135</v>
      </c>
      <c r="D20" s="67" t="s">
        <v>299</v>
      </c>
      <c r="E20" s="67"/>
      <c r="F20" s="67"/>
      <c r="G20" s="76">
        <f t="shared" si="0"/>
        <v>0</v>
      </c>
      <c r="H20" s="67"/>
      <c r="I20" s="67"/>
      <c r="J20" s="77">
        <f t="shared" si="1"/>
        <v>0</v>
      </c>
      <c r="K20" s="78">
        <f>K21+K22</f>
        <v>100000</v>
      </c>
      <c r="L20" s="78">
        <f>L21+L22</f>
        <v>0</v>
      </c>
      <c r="M20" s="78">
        <f>M21+M22</f>
        <v>100000</v>
      </c>
      <c r="N20" s="78">
        <f>N21+N22</f>
        <v>122</v>
      </c>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row>
    <row r="21" spans="1:86" s="27" customFormat="1" ht="42.75" customHeight="1" x14ac:dyDescent="0.2">
      <c r="A21" s="29" t="s">
        <v>6</v>
      </c>
      <c r="B21" s="29" t="s">
        <v>134</v>
      </c>
      <c r="C21" s="32" t="s">
        <v>135</v>
      </c>
      <c r="D21" s="66" t="s">
        <v>311</v>
      </c>
      <c r="E21" s="66"/>
      <c r="F21" s="66"/>
      <c r="G21" s="76">
        <f t="shared" si="0"/>
        <v>0</v>
      </c>
      <c r="H21" s="66"/>
      <c r="I21" s="66"/>
      <c r="J21" s="77">
        <f t="shared" si="1"/>
        <v>0</v>
      </c>
      <c r="K21" s="131">
        <v>80000</v>
      </c>
      <c r="L21" s="86"/>
      <c r="M21" s="85">
        <f t="shared" si="2"/>
        <v>80000</v>
      </c>
      <c r="N21" s="74">
        <f>ROUND(M21/1000,1)+22</f>
        <v>102</v>
      </c>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row>
    <row r="22" spans="1:86" s="27" customFormat="1" ht="27.75" customHeight="1" x14ac:dyDescent="0.2">
      <c r="A22" s="29" t="s">
        <v>6</v>
      </c>
      <c r="B22" s="29" t="s">
        <v>134</v>
      </c>
      <c r="C22" s="32" t="s">
        <v>135</v>
      </c>
      <c r="D22" s="66" t="s">
        <v>312</v>
      </c>
      <c r="E22" s="66"/>
      <c r="F22" s="66"/>
      <c r="G22" s="76">
        <f t="shared" si="0"/>
        <v>0</v>
      </c>
      <c r="H22" s="66"/>
      <c r="I22" s="66"/>
      <c r="J22" s="77">
        <f t="shared" si="1"/>
        <v>0</v>
      </c>
      <c r="K22" s="131">
        <v>20000</v>
      </c>
      <c r="L22" s="86"/>
      <c r="M22" s="85">
        <f t="shared" si="2"/>
        <v>20000</v>
      </c>
      <c r="N22" s="74">
        <f t="shared" si="3"/>
        <v>20</v>
      </c>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row>
    <row r="23" spans="1:86" s="27" customFormat="1" ht="27.75" customHeight="1" x14ac:dyDescent="0.2">
      <c r="A23" s="33" t="s">
        <v>239</v>
      </c>
      <c r="B23" s="33" t="s">
        <v>238</v>
      </c>
      <c r="C23" s="33"/>
      <c r="D23" s="67" t="s">
        <v>298</v>
      </c>
      <c r="E23" s="67"/>
      <c r="F23" s="67"/>
      <c r="G23" s="76">
        <f t="shared" si="0"/>
        <v>0</v>
      </c>
      <c r="H23" s="67"/>
      <c r="I23" s="67"/>
      <c r="J23" s="77">
        <f t="shared" si="1"/>
        <v>0</v>
      </c>
      <c r="K23" s="78">
        <f>K24</f>
        <v>239000</v>
      </c>
      <c r="L23" s="78">
        <f>L24</f>
        <v>0</v>
      </c>
      <c r="M23" s="78">
        <f>M24</f>
        <v>239000</v>
      </c>
      <c r="N23" s="82">
        <f>N24</f>
        <v>249</v>
      </c>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row>
    <row r="24" spans="1:86" s="30" customFormat="1" ht="27.75" customHeight="1" x14ac:dyDescent="0.2">
      <c r="A24" s="32" t="s">
        <v>241</v>
      </c>
      <c r="B24" s="32" t="s">
        <v>240</v>
      </c>
      <c r="C24" s="32" t="s">
        <v>136</v>
      </c>
      <c r="D24" s="49" t="s">
        <v>7</v>
      </c>
      <c r="E24" s="49"/>
      <c r="F24" s="49"/>
      <c r="G24" s="76">
        <f t="shared" si="0"/>
        <v>0</v>
      </c>
      <c r="H24" s="49"/>
      <c r="I24" s="49"/>
      <c r="J24" s="77">
        <f t="shared" si="1"/>
        <v>0</v>
      </c>
      <c r="K24" s="131">
        <v>239000</v>
      </c>
      <c r="L24" s="86"/>
      <c r="M24" s="85">
        <f t="shared" si="2"/>
        <v>239000</v>
      </c>
      <c r="N24" s="74">
        <f>ROUND(M24/1000,1)+10</f>
        <v>249</v>
      </c>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row>
    <row r="25" spans="1:86" s="30" customFormat="1" ht="27.75" customHeight="1" x14ac:dyDescent="0.2">
      <c r="A25" s="33" t="s">
        <v>8</v>
      </c>
      <c r="B25" s="33" t="s">
        <v>137</v>
      </c>
      <c r="C25" s="33"/>
      <c r="D25" s="67" t="s">
        <v>300</v>
      </c>
      <c r="E25" s="67"/>
      <c r="F25" s="67"/>
      <c r="G25" s="76">
        <f t="shared" si="0"/>
        <v>0</v>
      </c>
      <c r="H25" s="67"/>
      <c r="I25" s="67"/>
      <c r="J25" s="77">
        <f t="shared" si="1"/>
        <v>0</v>
      </c>
      <c r="K25" s="82">
        <f>K26</f>
        <v>39000</v>
      </c>
      <c r="L25" s="82">
        <f>L26</f>
        <v>0</v>
      </c>
      <c r="M25" s="82">
        <f>M26</f>
        <v>39000</v>
      </c>
      <c r="N25" s="82">
        <f>N26</f>
        <v>39</v>
      </c>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row>
    <row r="26" spans="1:86" s="30" customFormat="1" ht="46.5" customHeight="1" x14ac:dyDescent="0.2">
      <c r="A26" s="32" t="s">
        <v>242</v>
      </c>
      <c r="B26" s="32" t="s">
        <v>243</v>
      </c>
      <c r="C26" s="32" t="s">
        <v>136</v>
      </c>
      <c r="D26" s="49" t="s">
        <v>244</v>
      </c>
      <c r="E26" s="49"/>
      <c r="F26" s="49"/>
      <c r="G26" s="76">
        <f t="shared" si="0"/>
        <v>0</v>
      </c>
      <c r="H26" s="49"/>
      <c r="I26" s="49"/>
      <c r="J26" s="77">
        <f t="shared" si="1"/>
        <v>0</v>
      </c>
      <c r="K26" s="131">
        <v>39000</v>
      </c>
      <c r="L26" s="86"/>
      <c r="M26" s="85">
        <f t="shared" si="2"/>
        <v>39000</v>
      </c>
      <c r="N26" s="74">
        <f t="shared" si="3"/>
        <v>39</v>
      </c>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row>
    <row r="27" spans="1:86" s="27" customFormat="1" ht="29.25" customHeight="1" x14ac:dyDescent="0.2">
      <c r="A27" s="33" t="s">
        <v>10</v>
      </c>
      <c r="B27" s="33" t="s">
        <v>143</v>
      </c>
      <c r="C27" s="33" t="s">
        <v>144</v>
      </c>
      <c r="D27" s="67" t="s">
        <v>1</v>
      </c>
      <c r="E27" s="67"/>
      <c r="F27" s="67"/>
      <c r="G27" s="76">
        <f t="shared" si="0"/>
        <v>0</v>
      </c>
      <c r="H27" s="67"/>
      <c r="I27" s="67"/>
      <c r="J27" s="77">
        <f t="shared" si="1"/>
        <v>0</v>
      </c>
      <c r="K27" s="78">
        <v>2000000</v>
      </c>
      <c r="L27" s="79"/>
      <c r="M27" s="78">
        <f t="shared" si="2"/>
        <v>2000000</v>
      </c>
      <c r="N27" s="70">
        <f>ROUND(M27/1000,1)-565.6</f>
        <v>1434.4</v>
      </c>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row>
    <row r="28" spans="1:86" s="27" customFormat="1" ht="29.25" customHeight="1" x14ac:dyDescent="0.2">
      <c r="A28" s="33" t="s">
        <v>12</v>
      </c>
      <c r="B28" s="33" t="s">
        <v>147</v>
      </c>
      <c r="C28" s="33" t="s">
        <v>148</v>
      </c>
      <c r="D28" s="67" t="s">
        <v>11</v>
      </c>
      <c r="E28" s="67"/>
      <c r="F28" s="67"/>
      <c r="G28" s="76">
        <f t="shared" si="0"/>
        <v>0</v>
      </c>
      <c r="H28" s="67"/>
      <c r="I28" s="67"/>
      <c r="J28" s="77">
        <f t="shared" si="1"/>
        <v>0</v>
      </c>
      <c r="K28" s="78">
        <v>32000</v>
      </c>
      <c r="L28" s="79"/>
      <c r="M28" s="78">
        <f t="shared" si="2"/>
        <v>32000</v>
      </c>
      <c r="N28" s="70">
        <f t="shared" si="3"/>
        <v>32</v>
      </c>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row>
    <row r="29" spans="1:86" s="27" customFormat="1" ht="29.25" customHeight="1" x14ac:dyDescent="0.2">
      <c r="A29" s="33" t="s">
        <v>13</v>
      </c>
      <c r="B29" s="33" t="s">
        <v>149</v>
      </c>
      <c r="C29" s="33" t="s">
        <v>139</v>
      </c>
      <c r="D29" s="67" t="s">
        <v>294</v>
      </c>
      <c r="E29" s="67"/>
      <c r="F29" s="67"/>
      <c r="G29" s="76">
        <f t="shared" si="0"/>
        <v>0</v>
      </c>
      <c r="H29" s="67"/>
      <c r="I29" s="67"/>
      <c r="J29" s="77">
        <f t="shared" si="1"/>
        <v>0</v>
      </c>
      <c r="K29" s="78">
        <f>K30+K31</f>
        <v>30182000</v>
      </c>
      <c r="L29" s="78">
        <f>L30+L31</f>
        <v>13704000</v>
      </c>
      <c r="M29" s="78">
        <f>M30+M31</f>
        <v>43886000</v>
      </c>
      <c r="N29" s="82">
        <f>N30+N31</f>
        <v>47925.599999999999</v>
      </c>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row>
    <row r="30" spans="1:86" s="30" customFormat="1" ht="40.5" x14ac:dyDescent="0.2">
      <c r="A30" s="32"/>
      <c r="B30" s="32"/>
      <c r="C30" s="32"/>
      <c r="D30" s="49" t="s">
        <v>171</v>
      </c>
      <c r="E30" s="49" t="s">
        <v>171</v>
      </c>
      <c r="F30" s="49"/>
      <c r="G30" s="76">
        <f t="shared" si="0"/>
        <v>0</v>
      </c>
      <c r="H30" s="49"/>
      <c r="I30" s="49"/>
      <c r="J30" s="77">
        <f t="shared" si="1"/>
        <v>0</v>
      </c>
      <c r="K30" s="85">
        <f>9100000+20000000</f>
        <v>29100000</v>
      </c>
      <c r="L30" s="85">
        <v>13704000</v>
      </c>
      <c r="M30" s="85">
        <f t="shared" si="2"/>
        <v>42804000</v>
      </c>
      <c r="N30" s="74">
        <f>ROUND(M30/1000,1)+565.6</f>
        <v>43369.599999999999</v>
      </c>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row>
    <row r="31" spans="1:86" s="30" customFormat="1" ht="40.5" x14ac:dyDescent="0.2">
      <c r="A31" s="32"/>
      <c r="B31" s="32"/>
      <c r="C31" s="32"/>
      <c r="D31" s="49" t="s">
        <v>262</v>
      </c>
      <c r="E31" s="49" t="s">
        <v>262</v>
      </c>
      <c r="F31" s="49"/>
      <c r="G31" s="76">
        <f t="shared" si="0"/>
        <v>0</v>
      </c>
      <c r="H31" s="49"/>
      <c r="I31" s="49"/>
      <c r="J31" s="77">
        <f t="shared" si="1"/>
        <v>0</v>
      </c>
      <c r="K31" s="85">
        <v>1082000</v>
      </c>
      <c r="L31" s="98"/>
      <c r="M31" s="85">
        <f t="shared" si="2"/>
        <v>1082000</v>
      </c>
      <c r="N31" s="74">
        <f>ROUND(M31/1000,1)+3074+400</f>
        <v>4556</v>
      </c>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row>
    <row r="32" spans="1:86" s="27" customFormat="1" ht="45" customHeight="1" x14ac:dyDescent="0.2">
      <c r="A32" s="33" t="s">
        <v>15</v>
      </c>
      <c r="B32" s="33" t="s">
        <v>150</v>
      </c>
      <c r="C32" s="33" t="s">
        <v>151</v>
      </c>
      <c r="D32" s="67" t="s">
        <v>14</v>
      </c>
      <c r="E32" s="67"/>
      <c r="F32" s="67"/>
      <c r="G32" s="76">
        <f t="shared" si="0"/>
        <v>0</v>
      </c>
      <c r="H32" s="67"/>
      <c r="I32" s="67"/>
      <c r="J32" s="77">
        <f t="shared" si="1"/>
        <v>0</v>
      </c>
      <c r="K32" s="78">
        <v>385000</v>
      </c>
      <c r="L32" s="79"/>
      <c r="M32" s="78">
        <f t="shared" si="2"/>
        <v>385000</v>
      </c>
      <c r="N32" s="70">
        <f t="shared" si="3"/>
        <v>385</v>
      </c>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row>
    <row r="33" spans="1:86" s="81" customFormat="1" ht="45" customHeight="1" x14ac:dyDescent="0.2">
      <c r="A33" s="75"/>
      <c r="B33" s="75"/>
      <c r="C33" s="75"/>
      <c r="D33" s="67" t="s">
        <v>317</v>
      </c>
      <c r="E33" s="67"/>
      <c r="F33" s="67"/>
      <c r="G33" s="76"/>
      <c r="H33" s="67"/>
      <c r="I33" s="67"/>
      <c r="J33" s="77"/>
      <c r="K33" s="78"/>
      <c r="L33" s="79"/>
      <c r="M33" s="78"/>
      <c r="N33" s="70">
        <v>1320</v>
      </c>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row>
    <row r="34" spans="1:86" s="81" customFormat="1" ht="32.25" customHeight="1" x14ac:dyDescent="0.2">
      <c r="A34" s="75" t="s">
        <v>16</v>
      </c>
      <c r="B34" s="75" t="s">
        <v>153</v>
      </c>
      <c r="C34" s="75" t="s">
        <v>152</v>
      </c>
      <c r="D34" s="67" t="s">
        <v>297</v>
      </c>
      <c r="E34" s="67"/>
      <c r="F34" s="67"/>
      <c r="G34" s="76">
        <f t="shared" si="0"/>
        <v>0</v>
      </c>
      <c r="H34" s="67"/>
      <c r="I34" s="67"/>
      <c r="J34" s="77">
        <f t="shared" si="1"/>
        <v>0</v>
      </c>
      <c r="K34" s="78">
        <f>K36+K35</f>
        <v>116000</v>
      </c>
      <c r="L34" s="78">
        <f>L36+L35</f>
        <v>0</v>
      </c>
      <c r="M34" s="78">
        <f>M36+M35</f>
        <v>116000</v>
      </c>
      <c r="N34" s="82">
        <f>N36+N35+N37</f>
        <v>3286.7</v>
      </c>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row>
    <row r="35" spans="1:86" s="88" customFormat="1" ht="52.5" customHeight="1" x14ac:dyDescent="0.2">
      <c r="A35" s="83" t="s">
        <v>16</v>
      </c>
      <c r="B35" s="83" t="s">
        <v>153</v>
      </c>
      <c r="C35" s="83" t="s">
        <v>263</v>
      </c>
      <c r="D35" s="84" t="s">
        <v>264</v>
      </c>
      <c r="E35" s="49"/>
      <c r="F35" s="49"/>
      <c r="G35" s="76">
        <f t="shared" si="0"/>
        <v>0</v>
      </c>
      <c r="H35" s="49"/>
      <c r="I35" s="49"/>
      <c r="J35" s="77">
        <f t="shared" si="1"/>
        <v>0</v>
      </c>
      <c r="K35" s="85">
        <v>90000</v>
      </c>
      <c r="L35" s="86"/>
      <c r="M35" s="85">
        <f t="shared" si="2"/>
        <v>90000</v>
      </c>
      <c r="N35" s="74">
        <f>ROUND(M35/1000,1)+2997+229-510+277.7</f>
        <v>3083.7</v>
      </c>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row>
    <row r="36" spans="1:86" s="81" customFormat="1" ht="33.75" customHeight="1" x14ac:dyDescent="0.2">
      <c r="A36" s="83" t="s">
        <v>16</v>
      </c>
      <c r="B36" s="83" t="s">
        <v>153</v>
      </c>
      <c r="C36" s="83" t="s">
        <v>152</v>
      </c>
      <c r="D36" s="84" t="s">
        <v>84</v>
      </c>
      <c r="E36" s="84"/>
      <c r="F36" s="84"/>
      <c r="G36" s="76">
        <f t="shared" si="0"/>
        <v>0</v>
      </c>
      <c r="H36" s="84"/>
      <c r="I36" s="84"/>
      <c r="J36" s="77">
        <f t="shared" si="1"/>
        <v>0</v>
      </c>
      <c r="K36" s="85">
        <v>26000</v>
      </c>
      <c r="L36" s="86"/>
      <c r="M36" s="85">
        <f t="shared" si="2"/>
        <v>26000</v>
      </c>
      <c r="N36" s="74">
        <f t="shared" si="3"/>
        <v>26</v>
      </c>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row>
    <row r="37" spans="1:86" s="127" customFormat="1" ht="33.75" customHeight="1" x14ac:dyDescent="0.2">
      <c r="A37" s="125"/>
      <c r="B37" s="125"/>
      <c r="C37" s="125"/>
      <c r="D37" s="84" t="s">
        <v>331</v>
      </c>
      <c r="E37" s="84"/>
      <c r="F37" s="84"/>
      <c r="G37" s="76"/>
      <c r="H37" s="84"/>
      <c r="I37" s="84"/>
      <c r="J37" s="77"/>
      <c r="K37" s="85"/>
      <c r="L37" s="86"/>
      <c r="M37" s="85"/>
      <c r="N37" s="74">
        <v>177</v>
      </c>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row>
    <row r="38" spans="1:86" s="81" customFormat="1" ht="33.75" customHeight="1" x14ac:dyDescent="0.2">
      <c r="A38" s="89" t="s">
        <v>170</v>
      </c>
      <c r="B38" s="75"/>
      <c r="C38" s="75"/>
      <c r="D38" s="58" t="s">
        <v>17</v>
      </c>
      <c r="E38" s="58"/>
      <c r="F38" s="58"/>
      <c r="G38" s="76">
        <f t="shared" si="0"/>
        <v>0</v>
      </c>
      <c r="H38" s="58"/>
      <c r="I38" s="58"/>
      <c r="J38" s="77">
        <f t="shared" si="1"/>
        <v>0</v>
      </c>
      <c r="K38" s="90">
        <f>K39+K40+K41+K42+K43+K44+K45+K46+K47</f>
        <v>16615460</v>
      </c>
      <c r="L38" s="90">
        <f>L39+L40+L41+L42+L43+L44+L45+L46+L47</f>
        <v>190100</v>
      </c>
      <c r="M38" s="90">
        <f>M39+M40+M41+M42+M43+M44+M45+M46+M47</f>
        <v>16805560</v>
      </c>
      <c r="N38" s="59">
        <f>N39+N40+N41+N42+N43+N44+N45+N46+N47</f>
        <v>18068.400000000001</v>
      </c>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row>
    <row r="39" spans="1:86" s="81" customFormat="1" ht="33.75" customHeight="1" x14ac:dyDescent="0.2">
      <c r="A39" s="91" t="s">
        <v>25</v>
      </c>
      <c r="B39" s="91" t="s">
        <v>100</v>
      </c>
      <c r="C39" s="91" t="s">
        <v>101</v>
      </c>
      <c r="D39" s="67" t="s">
        <v>268</v>
      </c>
      <c r="E39" s="67"/>
      <c r="F39" s="67"/>
      <c r="G39" s="76">
        <f t="shared" si="0"/>
        <v>0</v>
      </c>
      <c r="H39" s="67"/>
      <c r="I39" s="67"/>
      <c r="J39" s="77">
        <f t="shared" si="1"/>
        <v>0</v>
      </c>
      <c r="K39" s="78">
        <v>26000</v>
      </c>
      <c r="L39" s="78"/>
      <c r="M39" s="78">
        <f t="shared" si="2"/>
        <v>26000</v>
      </c>
      <c r="N39" s="70">
        <f>ROUND(M39/1000,1)-6.5</f>
        <v>19.5</v>
      </c>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row>
    <row r="40" spans="1:86" s="81" customFormat="1" ht="33.75" customHeight="1" x14ac:dyDescent="0.2">
      <c r="A40" s="91" t="s">
        <v>26</v>
      </c>
      <c r="B40" s="91" t="s">
        <v>103</v>
      </c>
      <c r="C40" s="91" t="s">
        <v>104</v>
      </c>
      <c r="D40" s="67" t="s">
        <v>18</v>
      </c>
      <c r="E40" s="67"/>
      <c r="F40" s="67"/>
      <c r="G40" s="76">
        <f t="shared" si="0"/>
        <v>0</v>
      </c>
      <c r="H40" s="67"/>
      <c r="I40" s="67"/>
      <c r="J40" s="77">
        <f t="shared" si="1"/>
        <v>0</v>
      </c>
      <c r="K40" s="78">
        <f>4227000+46000+188000</f>
        <v>4461000</v>
      </c>
      <c r="L40" s="78">
        <v>49500</v>
      </c>
      <c r="M40" s="78">
        <f t="shared" si="2"/>
        <v>4510500</v>
      </c>
      <c r="N40" s="70">
        <f>ROUND(M40/1000,1)+110.5+23+5</f>
        <v>4649</v>
      </c>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row>
    <row r="41" spans="1:86" s="81" customFormat="1" ht="63" customHeight="1" x14ac:dyDescent="0.2">
      <c r="A41" s="91" t="s">
        <v>27</v>
      </c>
      <c r="B41" s="91" t="s">
        <v>105</v>
      </c>
      <c r="C41" s="91" t="s">
        <v>106</v>
      </c>
      <c r="D41" s="67" t="s">
        <v>19</v>
      </c>
      <c r="E41" s="67"/>
      <c r="F41" s="67"/>
      <c r="G41" s="76">
        <f t="shared" si="0"/>
        <v>0</v>
      </c>
      <c r="H41" s="67"/>
      <c r="I41" s="67"/>
      <c r="J41" s="77">
        <f t="shared" si="1"/>
        <v>0</v>
      </c>
      <c r="K41" s="78">
        <f>6800000+11000+500000+50000</f>
        <v>7361000</v>
      </c>
      <c r="L41" s="78">
        <v>140600</v>
      </c>
      <c r="M41" s="78">
        <f t="shared" si="2"/>
        <v>7501600</v>
      </c>
      <c r="N41" s="70">
        <f>ROUND(M41/1000,1)+23+866.3+241.5</f>
        <v>8632.4</v>
      </c>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row>
    <row r="42" spans="1:86" s="27" customFormat="1" ht="69" customHeight="1" x14ac:dyDescent="0.2">
      <c r="A42" s="26" t="s">
        <v>28</v>
      </c>
      <c r="B42" s="26" t="s">
        <v>108</v>
      </c>
      <c r="C42" s="26" t="s">
        <v>109</v>
      </c>
      <c r="D42" s="67" t="s">
        <v>20</v>
      </c>
      <c r="E42" s="67"/>
      <c r="F42" s="67"/>
      <c r="G42" s="76">
        <f t="shared" si="0"/>
        <v>0</v>
      </c>
      <c r="H42" s="67"/>
      <c r="I42" s="67"/>
      <c r="J42" s="77">
        <f t="shared" si="1"/>
        <v>0</v>
      </c>
      <c r="K42" s="78">
        <v>150000</v>
      </c>
      <c r="L42" s="78"/>
      <c r="M42" s="78">
        <f t="shared" si="2"/>
        <v>150000</v>
      </c>
      <c r="N42" s="70">
        <f t="shared" si="3"/>
        <v>150</v>
      </c>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row>
    <row r="43" spans="1:86" s="27" customFormat="1" ht="36.75" customHeight="1" x14ac:dyDescent="0.2">
      <c r="A43" s="26" t="s">
        <v>29</v>
      </c>
      <c r="B43" s="26" t="s">
        <v>110</v>
      </c>
      <c r="C43" s="26" t="s">
        <v>111</v>
      </c>
      <c r="D43" s="67" t="s">
        <v>21</v>
      </c>
      <c r="E43" s="67"/>
      <c r="F43" s="67"/>
      <c r="G43" s="76">
        <f t="shared" si="0"/>
        <v>0</v>
      </c>
      <c r="H43" s="67"/>
      <c r="I43" s="67"/>
      <c r="J43" s="77">
        <f t="shared" si="1"/>
        <v>0</v>
      </c>
      <c r="K43" s="78">
        <v>600000</v>
      </c>
      <c r="L43" s="79"/>
      <c r="M43" s="78">
        <f t="shared" si="2"/>
        <v>600000</v>
      </c>
      <c r="N43" s="70">
        <f t="shared" si="3"/>
        <v>600</v>
      </c>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row>
    <row r="44" spans="1:86" s="27" customFormat="1" ht="36.75" customHeight="1" x14ac:dyDescent="0.2">
      <c r="A44" s="26" t="s">
        <v>30</v>
      </c>
      <c r="B44" s="26" t="s">
        <v>112</v>
      </c>
      <c r="C44" s="26" t="s">
        <v>113</v>
      </c>
      <c r="D44" s="67" t="s">
        <v>22</v>
      </c>
      <c r="E44" s="67"/>
      <c r="F44" s="67"/>
      <c r="G44" s="76">
        <f t="shared" si="0"/>
        <v>0</v>
      </c>
      <c r="H44" s="67"/>
      <c r="I44" s="67"/>
      <c r="J44" s="77">
        <f t="shared" si="1"/>
        <v>0</v>
      </c>
      <c r="K44" s="78">
        <v>23000</v>
      </c>
      <c r="L44" s="79"/>
      <c r="M44" s="78">
        <f t="shared" si="2"/>
        <v>23000</v>
      </c>
      <c r="N44" s="70">
        <f t="shared" si="3"/>
        <v>23</v>
      </c>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row>
    <row r="45" spans="1:86" s="27" customFormat="1" ht="36.75" customHeight="1" x14ac:dyDescent="0.2">
      <c r="A45" s="26" t="s">
        <v>31</v>
      </c>
      <c r="B45" s="26" t="s">
        <v>114</v>
      </c>
      <c r="C45" s="26" t="s">
        <v>113</v>
      </c>
      <c r="D45" s="67" t="s">
        <v>23</v>
      </c>
      <c r="E45" s="67"/>
      <c r="F45" s="67"/>
      <c r="G45" s="76">
        <f t="shared" si="0"/>
        <v>0</v>
      </c>
      <c r="H45" s="67"/>
      <c r="I45" s="67"/>
      <c r="J45" s="77">
        <f t="shared" si="1"/>
        <v>0</v>
      </c>
      <c r="K45" s="78">
        <v>50000</v>
      </c>
      <c r="L45" s="79"/>
      <c r="M45" s="78">
        <f t="shared" si="2"/>
        <v>50000</v>
      </c>
      <c r="N45" s="70">
        <f t="shared" si="3"/>
        <v>50</v>
      </c>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row>
    <row r="46" spans="1:86" s="27" customFormat="1" ht="36.75" customHeight="1" x14ac:dyDescent="0.2">
      <c r="A46" s="26" t="s">
        <v>32</v>
      </c>
      <c r="B46" s="26" t="s">
        <v>115</v>
      </c>
      <c r="C46" s="26" t="s">
        <v>113</v>
      </c>
      <c r="D46" s="67" t="s">
        <v>24</v>
      </c>
      <c r="E46" s="67"/>
      <c r="F46" s="67"/>
      <c r="G46" s="76">
        <f t="shared" si="0"/>
        <v>0</v>
      </c>
      <c r="H46" s="67"/>
      <c r="I46" s="67"/>
      <c r="J46" s="77">
        <f t="shared" si="1"/>
        <v>0</v>
      </c>
      <c r="K46" s="78">
        <v>150000</v>
      </c>
      <c r="L46" s="79"/>
      <c r="M46" s="78">
        <f t="shared" si="2"/>
        <v>150000</v>
      </c>
      <c r="N46" s="70">
        <f t="shared" si="3"/>
        <v>150</v>
      </c>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row>
    <row r="47" spans="1:86" s="30" customFormat="1" ht="36.75" customHeight="1" x14ac:dyDescent="0.2">
      <c r="A47" s="26" t="s">
        <v>158</v>
      </c>
      <c r="B47" s="26" t="s">
        <v>145</v>
      </c>
      <c r="C47" s="26" t="s">
        <v>146</v>
      </c>
      <c r="D47" s="67" t="s">
        <v>67</v>
      </c>
      <c r="E47" s="67"/>
      <c r="F47" s="67"/>
      <c r="G47" s="76">
        <f t="shared" si="0"/>
        <v>0</v>
      </c>
      <c r="H47" s="67"/>
      <c r="I47" s="67"/>
      <c r="J47" s="77">
        <f t="shared" si="1"/>
        <v>0</v>
      </c>
      <c r="K47" s="78">
        <v>3794460</v>
      </c>
      <c r="L47" s="79"/>
      <c r="M47" s="78">
        <f t="shared" si="2"/>
        <v>3794460</v>
      </c>
      <c r="N47" s="70">
        <f t="shared" si="3"/>
        <v>3794.5</v>
      </c>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row>
    <row r="48" spans="1:86" s="27" customFormat="1" ht="32.25" customHeight="1" x14ac:dyDescent="0.2">
      <c r="A48" s="25" t="s">
        <v>172</v>
      </c>
      <c r="B48" s="26"/>
      <c r="C48" s="26"/>
      <c r="D48" s="58" t="s">
        <v>33</v>
      </c>
      <c r="E48" s="58"/>
      <c r="F48" s="58"/>
      <c r="G48" s="76">
        <f t="shared" si="0"/>
        <v>0</v>
      </c>
      <c r="H48" s="58"/>
      <c r="I48" s="58"/>
      <c r="J48" s="77">
        <f t="shared" si="1"/>
        <v>0</v>
      </c>
      <c r="K48" s="90">
        <f>K49+K50+K51+K52+K53+K54</f>
        <v>37113000</v>
      </c>
      <c r="L48" s="90">
        <f>L49+L50+L51+L52+L53+L54</f>
        <v>368050</v>
      </c>
      <c r="M48" s="90">
        <f>M49+M50+M51+M52+M53+M54</f>
        <v>37481050</v>
      </c>
      <c r="N48" s="59">
        <f>N49+N50+N51+N52+N53+N54</f>
        <v>37836.1</v>
      </c>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row>
    <row r="49" spans="1:86" s="27" customFormat="1" ht="32.25" customHeight="1" x14ac:dyDescent="0.2">
      <c r="A49" s="26" t="s">
        <v>34</v>
      </c>
      <c r="B49" s="26" t="s">
        <v>100</v>
      </c>
      <c r="C49" s="26" t="s">
        <v>101</v>
      </c>
      <c r="D49" s="67" t="s">
        <v>268</v>
      </c>
      <c r="E49" s="67"/>
      <c r="F49" s="67"/>
      <c r="G49" s="76">
        <f t="shared" si="0"/>
        <v>0</v>
      </c>
      <c r="H49" s="67"/>
      <c r="I49" s="67"/>
      <c r="J49" s="77">
        <f t="shared" si="1"/>
        <v>0</v>
      </c>
      <c r="K49" s="78">
        <v>13000</v>
      </c>
      <c r="L49" s="79"/>
      <c r="M49" s="78">
        <f t="shared" si="2"/>
        <v>13000</v>
      </c>
      <c r="N49" s="70">
        <f t="shared" si="3"/>
        <v>13</v>
      </c>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row>
    <row r="50" spans="1:86" s="81" customFormat="1" ht="32.25" customHeight="1" x14ac:dyDescent="0.2">
      <c r="A50" s="91" t="s">
        <v>36</v>
      </c>
      <c r="B50" s="91" t="s">
        <v>116</v>
      </c>
      <c r="C50" s="91" t="s">
        <v>117</v>
      </c>
      <c r="D50" s="67" t="s">
        <v>35</v>
      </c>
      <c r="E50" s="67"/>
      <c r="F50" s="67"/>
      <c r="G50" s="76">
        <f t="shared" si="0"/>
        <v>0</v>
      </c>
      <c r="H50" s="67"/>
      <c r="I50" s="67"/>
      <c r="J50" s="77">
        <f t="shared" si="1"/>
        <v>0</v>
      </c>
      <c r="K50" s="78">
        <f>22150000+2500000+3000000+2025000</f>
        <v>29675000</v>
      </c>
      <c r="L50" s="78">
        <v>368050</v>
      </c>
      <c r="M50" s="78">
        <f t="shared" si="2"/>
        <v>30043050</v>
      </c>
      <c r="N50" s="70">
        <f>ROUND(M50/1000,1)+35+300+20</f>
        <v>30398.1</v>
      </c>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row>
    <row r="51" spans="1:86" s="27" customFormat="1" ht="32.25" customHeight="1" x14ac:dyDescent="0.2">
      <c r="A51" s="26" t="s">
        <v>38</v>
      </c>
      <c r="B51" s="26" t="s">
        <v>118</v>
      </c>
      <c r="C51" s="26" t="s">
        <v>119</v>
      </c>
      <c r="D51" s="67" t="s">
        <v>37</v>
      </c>
      <c r="E51" s="67"/>
      <c r="F51" s="67"/>
      <c r="G51" s="76">
        <f t="shared" si="0"/>
        <v>0</v>
      </c>
      <c r="H51" s="67"/>
      <c r="I51" s="67"/>
      <c r="J51" s="77">
        <f t="shared" si="1"/>
        <v>0</v>
      </c>
      <c r="K51" s="78">
        <v>3500000</v>
      </c>
      <c r="L51" s="79"/>
      <c r="M51" s="78">
        <f t="shared" si="2"/>
        <v>3500000</v>
      </c>
      <c r="N51" s="70">
        <f t="shared" si="3"/>
        <v>3500</v>
      </c>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row>
    <row r="52" spans="1:86" s="27" customFormat="1" ht="32.25" customHeight="1" x14ac:dyDescent="0.2">
      <c r="A52" s="26" t="s">
        <v>40</v>
      </c>
      <c r="B52" s="26" t="s">
        <v>120</v>
      </c>
      <c r="C52" s="26" t="s">
        <v>121</v>
      </c>
      <c r="D52" s="67" t="s">
        <v>39</v>
      </c>
      <c r="E52" s="67"/>
      <c r="F52" s="67"/>
      <c r="G52" s="76">
        <f t="shared" si="0"/>
        <v>0</v>
      </c>
      <c r="H52" s="67"/>
      <c r="I52" s="67"/>
      <c r="J52" s="77">
        <f t="shared" si="1"/>
        <v>0</v>
      </c>
      <c r="K52" s="78">
        <v>1000000</v>
      </c>
      <c r="L52" s="79"/>
      <c r="M52" s="78">
        <f t="shared" si="2"/>
        <v>1000000</v>
      </c>
      <c r="N52" s="70">
        <f t="shared" si="3"/>
        <v>1000</v>
      </c>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row>
    <row r="53" spans="1:86" s="27" customFormat="1" ht="32.25" customHeight="1" x14ac:dyDescent="0.2">
      <c r="A53" s="26" t="s">
        <v>42</v>
      </c>
      <c r="B53" s="26" t="s">
        <v>122</v>
      </c>
      <c r="C53" s="26" t="s">
        <v>123</v>
      </c>
      <c r="D53" s="67" t="s">
        <v>41</v>
      </c>
      <c r="E53" s="67"/>
      <c r="F53" s="67"/>
      <c r="G53" s="76">
        <f t="shared" si="0"/>
        <v>0</v>
      </c>
      <c r="H53" s="67"/>
      <c r="I53" s="67"/>
      <c r="J53" s="77">
        <f t="shared" si="1"/>
        <v>0</v>
      </c>
      <c r="K53" s="78">
        <f>1250000+475000</f>
        <v>1725000</v>
      </c>
      <c r="L53" s="79"/>
      <c r="M53" s="78">
        <f t="shared" si="2"/>
        <v>1725000</v>
      </c>
      <c r="N53" s="70">
        <f t="shared" si="3"/>
        <v>1725</v>
      </c>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row>
    <row r="54" spans="1:86" s="30" customFormat="1" ht="32.25" customHeight="1" x14ac:dyDescent="0.2">
      <c r="A54" s="26" t="s">
        <v>157</v>
      </c>
      <c r="B54" s="26" t="s">
        <v>145</v>
      </c>
      <c r="C54" s="26" t="s">
        <v>146</v>
      </c>
      <c r="D54" s="67" t="s">
        <v>67</v>
      </c>
      <c r="E54" s="67"/>
      <c r="F54" s="67"/>
      <c r="G54" s="76">
        <f t="shared" si="0"/>
        <v>0</v>
      </c>
      <c r="H54" s="67"/>
      <c r="I54" s="67"/>
      <c r="J54" s="77">
        <f t="shared" si="1"/>
        <v>0</v>
      </c>
      <c r="K54" s="78">
        <v>1200000</v>
      </c>
      <c r="L54" s="79"/>
      <c r="M54" s="78">
        <f t="shared" si="2"/>
        <v>1200000</v>
      </c>
      <c r="N54" s="70">
        <f t="shared" si="3"/>
        <v>1200</v>
      </c>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row>
    <row r="55" spans="1:86" s="27" customFormat="1" ht="32.25" customHeight="1" x14ac:dyDescent="0.2">
      <c r="A55" s="25" t="s">
        <v>43</v>
      </c>
      <c r="B55" s="26"/>
      <c r="C55" s="26"/>
      <c r="D55" s="58" t="s">
        <v>88</v>
      </c>
      <c r="E55" s="58"/>
      <c r="F55" s="58"/>
      <c r="G55" s="76">
        <f t="shared" si="0"/>
        <v>0</v>
      </c>
      <c r="H55" s="58"/>
      <c r="I55" s="58"/>
      <c r="J55" s="77">
        <f t="shared" si="1"/>
        <v>0</v>
      </c>
      <c r="K55" s="90">
        <f>K56+K57+K59+K61+K64</f>
        <v>1567500</v>
      </c>
      <c r="L55" s="90">
        <f>L56+L57+L59+L61+L64</f>
        <v>12515</v>
      </c>
      <c r="M55" s="90">
        <f>M56+M57+M59+M61+M64</f>
        <v>1580015</v>
      </c>
      <c r="N55" s="59">
        <f>N56+N57+N59+N61+N64</f>
        <v>1580</v>
      </c>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row>
    <row r="56" spans="1:86" s="27" customFormat="1" ht="40.5" x14ac:dyDescent="0.2">
      <c r="A56" s="26" t="s">
        <v>44</v>
      </c>
      <c r="B56" s="26" t="s">
        <v>100</v>
      </c>
      <c r="C56" s="26" t="s">
        <v>101</v>
      </c>
      <c r="D56" s="67" t="s">
        <v>3</v>
      </c>
      <c r="E56" s="67"/>
      <c r="F56" s="67"/>
      <c r="G56" s="76">
        <f t="shared" si="0"/>
        <v>0</v>
      </c>
      <c r="H56" s="67"/>
      <c r="I56" s="67"/>
      <c r="J56" s="77">
        <f t="shared" si="1"/>
        <v>0</v>
      </c>
      <c r="K56" s="78">
        <v>250000</v>
      </c>
      <c r="L56" s="79"/>
      <c r="M56" s="78">
        <f t="shared" si="2"/>
        <v>250000</v>
      </c>
      <c r="N56" s="70">
        <f t="shared" si="3"/>
        <v>250</v>
      </c>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row>
    <row r="57" spans="1:86" s="31" customFormat="1" ht="132" customHeight="1" x14ac:dyDescent="0.2">
      <c r="A57" s="35">
        <v>1513030</v>
      </c>
      <c r="B57" s="35">
        <v>3030</v>
      </c>
      <c r="C57" s="35">
        <v>1030</v>
      </c>
      <c r="D57" s="67" t="s">
        <v>301</v>
      </c>
      <c r="E57" s="67"/>
      <c r="F57" s="67"/>
      <c r="G57" s="76">
        <f t="shared" si="0"/>
        <v>0</v>
      </c>
      <c r="H57" s="67"/>
      <c r="I57" s="67"/>
      <c r="J57" s="77">
        <f t="shared" si="1"/>
        <v>0</v>
      </c>
      <c r="K57" s="92">
        <f>K58</f>
        <v>150000</v>
      </c>
      <c r="L57" s="92">
        <f>L58</f>
        <v>4612</v>
      </c>
      <c r="M57" s="92">
        <f>M58</f>
        <v>154612</v>
      </c>
      <c r="N57" s="70">
        <f>N58</f>
        <v>154.6</v>
      </c>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row>
    <row r="58" spans="1:86" s="37" customFormat="1" ht="149.25" customHeight="1" x14ac:dyDescent="0.2">
      <c r="A58" s="36">
        <v>1513031</v>
      </c>
      <c r="B58" s="36">
        <v>3031</v>
      </c>
      <c r="C58" s="36">
        <v>1030</v>
      </c>
      <c r="D58" s="49" t="s">
        <v>245</v>
      </c>
      <c r="E58" s="49"/>
      <c r="F58" s="49"/>
      <c r="G58" s="76">
        <f t="shared" si="0"/>
        <v>0</v>
      </c>
      <c r="H58" s="49"/>
      <c r="I58" s="49"/>
      <c r="J58" s="77">
        <f t="shared" si="1"/>
        <v>0</v>
      </c>
      <c r="K58" s="132">
        <v>150000</v>
      </c>
      <c r="L58" s="132">
        <v>4612</v>
      </c>
      <c r="M58" s="85">
        <f t="shared" si="2"/>
        <v>154612</v>
      </c>
      <c r="N58" s="74">
        <f t="shared" si="3"/>
        <v>154.6</v>
      </c>
    </row>
    <row r="59" spans="1:86" s="27" customFormat="1" ht="48" customHeight="1" x14ac:dyDescent="0.2">
      <c r="A59" s="35">
        <v>1513100</v>
      </c>
      <c r="B59" s="35">
        <v>3100</v>
      </c>
      <c r="C59" s="35"/>
      <c r="D59" s="67" t="s">
        <v>302</v>
      </c>
      <c r="E59" s="67"/>
      <c r="F59" s="67"/>
      <c r="G59" s="76">
        <f t="shared" si="0"/>
        <v>0</v>
      </c>
      <c r="H59" s="67"/>
      <c r="I59" s="67"/>
      <c r="J59" s="77">
        <f t="shared" si="1"/>
        <v>0</v>
      </c>
      <c r="K59" s="92">
        <f>K60</f>
        <v>10000</v>
      </c>
      <c r="L59" s="92">
        <f>L60</f>
        <v>7903</v>
      </c>
      <c r="M59" s="92">
        <f>M60</f>
        <v>17903</v>
      </c>
      <c r="N59" s="70">
        <f>N60</f>
        <v>17.899999999999999</v>
      </c>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row>
    <row r="60" spans="1:86" s="30" customFormat="1" ht="48" customHeight="1" x14ac:dyDescent="0.2">
      <c r="A60" s="36">
        <v>1513104</v>
      </c>
      <c r="B60" s="36">
        <v>3104</v>
      </c>
      <c r="C60" s="36">
        <v>1020</v>
      </c>
      <c r="D60" s="49" t="s">
        <v>45</v>
      </c>
      <c r="E60" s="49"/>
      <c r="F60" s="49"/>
      <c r="G60" s="76">
        <f t="shared" si="0"/>
        <v>0</v>
      </c>
      <c r="H60" s="49"/>
      <c r="I60" s="49"/>
      <c r="J60" s="77">
        <f t="shared" si="1"/>
        <v>0</v>
      </c>
      <c r="K60" s="85">
        <v>10000</v>
      </c>
      <c r="L60" s="85">
        <v>7903</v>
      </c>
      <c r="M60" s="85">
        <f t="shared" si="2"/>
        <v>17903</v>
      </c>
      <c r="N60" s="74">
        <f t="shared" si="3"/>
        <v>17.899999999999999</v>
      </c>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row>
    <row r="61" spans="1:86" s="27" customFormat="1" ht="26.25" customHeight="1" x14ac:dyDescent="0.2">
      <c r="A61" s="35">
        <v>1513300</v>
      </c>
      <c r="B61" s="35">
        <v>3300</v>
      </c>
      <c r="C61" s="35">
        <v>1090</v>
      </c>
      <c r="D61" s="67" t="s">
        <v>303</v>
      </c>
      <c r="E61" s="67"/>
      <c r="F61" s="67"/>
      <c r="G61" s="76">
        <f t="shared" si="0"/>
        <v>0</v>
      </c>
      <c r="H61" s="67"/>
      <c r="I61" s="67"/>
      <c r="J61" s="77">
        <f t="shared" si="1"/>
        <v>0</v>
      </c>
      <c r="K61" s="78">
        <f>K62+K63</f>
        <v>857500</v>
      </c>
      <c r="L61" s="78">
        <f>L62+L63</f>
        <v>0</v>
      </c>
      <c r="M61" s="78">
        <f>M62+M63</f>
        <v>857500</v>
      </c>
      <c r="N61" s="82">
        <f>N62+N63</f>
        <v>857.5</v>
      </c>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row>
    <row r="62" spans="1:86" s="27" customFormat="1" ht="26.25" customHeight="1" x14ac:dyDescent="0.2">
      <c r="A62" s="36">
        <v>1513300</v>
      </c>
      <c r="B62" s="36">
        <v>3300</v>
      </c>
      <c r="C62" s="32" t="s">
        <v>110</v>
      </c>
      <c r="D62" s="49" t="s">
        <v>85</v>
      </c>
      <c r="E62" s="49"/>
      <c r="F62" s="49"/>
      <c r="G62" s="76">
        <f t="shared" si="0"/>
        <v>0</v>
      </c>
      <c r="H62" s="49"/>
      <c r="I62" s="49"/>
      <c r="J62" s="77">
        <f t="shared" si="1"/>
        <v>0</v>
      </c>
      <c r="K62" s="85">
        <v>257500</v>
      </c>
      <c r="L62" s="86"/>
      <c r="M62" s="85">
        <f t="shared" si="2"/>
        <v>257500</v>
      </c>
      <c r="N62" s="74">
        <f t="shared" si="3"/>
        <v>257.5</v>
      </c>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row>
    <row r="63" spans="1:86" s="27" customFormat="1" ht="48.75" customHeight="1" x14ac:dyDescent="0.2">
      <c r="A63" s="36">
        <v>1513300</v>
      </c>
      <c r="B63" s="36">
        <v>3300</v>
      </c>
      <c r="C63" s="32" t="s">
        <v>110</v>
      </c>
      <c r="D63" s="49" t="s">
        <v>261</v>
      </c>
      <c r="E63" s="49"/>
      <c r="F63" s="49"/>
      <c r="G63" s="76">
        <f t="shared" si="0"/>
        <v>0</v>
      </c>
      <c r="H63" s="49"/>
      <c r="I63" s="49"/>
      <c r="J63" s="77">
        <f t="shared" si="1"/>
        <v>0</v>
      </c>
      <c r="K63" s="85">
        <v>600000</v>
      </c>
      <c r="L63" s="86"/>
      <c r="M63" s="85">
        <f t="shared" si="2"/>
        <v>600000</v>
      </c>
      <c r="N63" s="74">
        <f t="shared" si="3"/>
        <v>600</v>
      </c>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row>
    <row r="64" spans="1:86" s="30" customFormat="1" ht="26.25" customHeight="1" x14ac:dyDescent="0.2">
      <c r="A64" s="26" t="s">
        <v>156</v>
      </c>
      <c r="B64" s="26" t="s">
        <v>145</v>
      </c>
      <c r="C64" s="26" t="s">
        <v>146</v>
      </c>
      <c r="D64" s="67" t="s">
        <v>67</v>
      </c>
      <c r="E64" s="67"/>
      <c r="F64" s="67"/>
      <c r="G64" s="76">
        <f t="shared" si="0"/>
        <v>0</v>
      </c>
      <c r="H64" s="67"/>
      <c r="I64" s="67"/>
      <c r="J64" s="77">
        <f t="shared" si="1"/>
        <v>0</v>
      </c>
      <c r="K64" s="78">
        <v>300000</v>
      </c>
      <c r="L64" s="79"/>
      <c r="M64" s="78">
        <f t="shared" si="2"/>
        <v>300000</v>
      </c>
      <c r="N64" s="70">
        <f t="shared" si="3"/>
        <v>300</v>
      </c>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row>
    <row r="65" spans="1:86" s="27" customFormat="1" ht="32.25" customHeight="1" x14ac:dyDescent="0.2">
      <c r="A65" s="34" t="s">
        <v>46</v>
      </c>
      <c r="B65" s="33"/>
      <c r="C65" s="33"/>
      <c r="D65" s="58" t="s">
        <v>47</v>
      </c>
      <c r="E65" s="58"/>
      <c r="F65" s="58"/>
      <c r="G65" s="76">
        <f t="shared" si="0"/>
        <v>0</v>
      </c>
      <c r="H65" s="58"/>
      <c r="I65" s="58"/>
      <c r="J65" s="77">
        <f t="shared" si="1"/>
        <v>0</v>
      </c>
      <c r="K65" s="90">
        <f>K66</f>
        <v>26000</v>
      </c>
      <c r="L65" s="90">
        <f>L66</f>
        <v>350000</v>
      </c>
      <c r="M65" s="90">
        <f>M66</f>
        <v>376000</v>
      </c>
      <c r="N65" s="59">
        <f>N66</f>
        <v>376</v>
      </c>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row>
    <row r="66" spans="1:86" s="27" customFormat="1" ht="32.25" customHeight="1" x14ac:dyDescent="0.2">
      <c r="A66" s="26" t="s">
        <v>48</v>
      </c>
      <c r="B66" s="26" t="s">
        <v>100</v>
      </c>
      <c r="C66" s="26" t="s">
        <v>101</v>
      </c>
      <c r="D66" s="67" t="s">
        <v>268</v>
      </c>
      <c r="E66" s="67"/>
      <c r="F66" s="67"/>
      <c r="G66" s="76">
        <f t="shared" si="0"/>
        <v>0</v>
      </c>
      <c r="H66" s="67"/>
      <c r="I66" s="67"/>
      <c r="J66" s="77">
        <f t="shared" si="1"/>
        <v>0</v>
      </c>
      <c r="K66" s="78">
        <v>26000</v>
      </c>
      <c r="L66" s="78">
        <v>350000</v>
      </c>
      <c r="M66" s="78">
        <f t="shared" si="2"/>
        <v>376000</v>
      </c>
      <c r="N66" s="70">
        <f t="shared" si="3"/>
        <v>376</v>
      </c>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row>
    <row r="67" spans="1:86" s="27" customFormat="1" ht="32.25" customHeight="1" x14ac:dyDescent="0.2">
      <c r="A67" s="26" t="s">
        <v>50</v>
      </c>
      <c r="B67" s="26"/>
      <c r="C67" s="26"/>
      <c r="D67" s="58" t="s">
        <v>49</v>
      </c>
      <c r="E67" s="58"/>
      <c r="F67" s="58"/>
      <c r="G67" s="76">
        <f t="shared" si="0"/>
        <v>0</v>
      </c>
      <c r="H67" s="58"/>
      <c r="I67" s="58"/>
      <c r="J67" s="77">
        <f t="shared" si="1"/>
        <v>0</v>
      </c>
      <c r="K67" s="90">
        <f>K68+K69+K70+K71+K73</f>
        <v>3251000</v>
      </c>
      <c r="L67" s="90">
        <f>L68+L69+L70+L71+L73</f>
        <v>567427</v>
      </c>
      <c r="M67" s="90">
        <f>M68+M69+M70+M71+M73</f>
        <v>3818427</v>
      </c>
      <c r="N67" s="59">
        <f>N68+N69+N70+N71+N73</f>
        <v>4828.3999999999996</v>
      </c>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row>
    <row r="68" spans="1:86" s="27" customFormat="1" ht="32.25" customHeight="1" x14ac:dyDescent="0.2">
      <c r="A68" s="26" t="s">
        <v>51</v>
      </c>
      <c r="B68" s="26" t="s">
        <v>100</v>
      </c>
      <c r="C68" s="26" t="s">
        <v>101</v>
      </c>
      <c r="D68" s="67" t="s">
        <v>268</v>
      </c>
      <c r="E68" s="67"/>
      <c r="F68" s="67"/>
      <c r="G68" s="76">
        <f t="shared" si="0"/>
        <v>0</v>
      </c>
      <c r="H68" s="67"/>
      <c r="I68" s="67"/>
      <c r="J68" s="77">
        <f t="shared" si="1"/>
        <v>0</v>
      </c>
      <c r="K68" s="78">
        <v>13000</v>
      </c>
      <c r="L68" s="78">
        <v>241500</v>
      </c>
      <c r="M68" s="78">
        <f t="shared" si="2"/>
        <v>254500</v>
      </c>
      <c r="N68" s="70">
        <f t="shared" si="3"/>
        <v>254.5</v>
      </c>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row>
    <row r="69" spans="1:86" s="81" customFormat="1" ht="32.25" customHeight="1" x14ac:dyDescent="0.2">
      <c r="A69" s="91" t="s">
        <v>53</v>
      </c>
      <c r="B69" s="91" t="s">
        <v>131</v>
      </c>
      <c r="C69" s="91" t="s">
        <v>132</v>
      </c>
      <c r="D69" s="67" t="s">
        <v>52</v>
      </c>
      <c r="E69" s="67"/>
      <c r="F69" s="67"/>
      <c r="G69" s="76">
        <f t="shared" si="0"/>
        <v>0</v>
      </c>
      <c r="H69" s="67"/>
      <c r="I69" s="67"/>
      <c r="J69" s="77">
        <f t="shared" si="1"/>
        <v>0</v>
      </c>
      <c r="K69" s="78">
        <f>460000+600000</f>
        <v>1060000</v>
      </c>
      <c r="L69" s="92">
        <f>-25000+10000</f>
        <v>-15000</v>
      </c>
      <c r="M69" s="78">
        <f t="shared" si="2"/>
        <v>1045000</v>
      </c>
      <c r="N69" s="70">
        <f>ROUND(M69/1000,1)+5+1000+5</f>
        <v>2055</v>
      </c>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row>
    <row r="70" spans="1:86" s="27" customFormat="1" ht="32.25" customHeight="1" x14ac:dyDescent="0.2">
      <c r="A70" s="26" t="s">
        <v>55</v>
      </c>
      <c r="B70" s="26" t="s">
        <v>133</v>
      </c>
      <c r="C70" s="26" t="s">
        <v>111</v>
      </c>
      <c r="D70" s="67" t="s">
        <v>54</v>
      </c>
      <c r="E70" s="67"/>
      <c r="F70" s="67"/>
      <c r="G70" s="76">
        <f t="shared" si="0"/>
        <v>0</v>
      </c>
      <c r="H70" s="67"/>
      <c r="I70" s="67"/>
      <c r="J70" s="77">
        <f t="shared" si="1"/>
        <v>0</v>
      </c>
      <c r="K70" s="78">
        <f>50000+250000+300000</f>
        <v>600000</v>
      </c>
      <c r="L70" s="78">
        <f>42427-250000+15000</f>
        <v>-192573</v>
      </c>
      <c r="M70" s="78">
        <f t="shared" si="2"/>
        <v>407427</v>
      </c>
      <c r="N70" s="70">
        <f t="shared" si="3"/>
        <v>407.4</v>
      </c>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row>
    <row r="71" spans="1:86" s="27" customFormat="1" ht="32.25" customHeight="1" x14ac:dyDescent="0.2">
      <c r="A71" s="26" t="s">
        <v>56</v>
      </c>
      <c r="B71" s="26" t="s">
        <v>134</v>
      </c>
      <c r="C71" s="26" t="s">
        <v>135</v>
      </c>
      <c r="D71" s="67" t="s">
        <v>299</v>
      </c>
      <c r="E71" s="67"/>
      <c r="F71" s="67"/>
      <c r="G71" s="76">
        <f t="shared" si="0"/>
        <v>0</v>
      </c>
      <c r="H71" s="67"/>
      <c r="I71" s="67"/>
      <c r="J71" s="77">
        <f t="shared" si="1"/>
        <v>0</v>
      </c>
      <c r="K71" s="78">
        <f>K72</f>
        <v>51000</v>
      </c>
      <c r="L71" s="78">
        <f>L72</f>
        <v>258500</v>
      </c>
      <c r="M71" s="78">
        <f>M72</f>
        <v>309500</v>
      </c>
      <c r="N71" s="70">
        <f t="shared" si="3"/>
        <v>309.5</v>
      </c>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row>
    <row r="72" spans="1:86" s="27" customFormat="1" ht="32.25" customHeight="1" x14ac:dyDescent="0.2">
      <c r="A72" s="29" t="s">
        <v>56</v>
      </c>
      <c r="B72" s="29" t="s">
        <v>134</v>
      </c>
      <c r="C72" s="32" t="s">
        <v>135</v>
      </c>
      <c r="D72" s="49" t="s">
        <v>57</v>
      </c>
      <c r="E72" s="49"/>
      <c r="F72" s="49"/>
      <c r="G72" s="76">
        <f t="shared" si="0"/>
        <v>0</v>
      </c>
      <c r="H72" s="49"/>
      <c r="I72" s="49"/>
      <c r="J72" s="77">
        <f t="shared" si="1"/>
        <v>0</v>
      </c>
      <c r="K72" s="85">
        <v>51000</v>
      </c>
      <c r="L72" s="85">
        <v>258500</v>
      </c>
      <c r="M72" s="85">
        <f t="shared" si="2"/>
        <v>309500</v>
      </c>
      <c r="N72" s="74">
        <f t="shared" si="3"/>
        <v>309.5</v>
      </c>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row>
    <row r="73" spans="1:86" s="27" customFormat="1" ht="32.25" customHeight="1" x14ac:dyDescent="0.2">
      <c r="A73" s="26" t="s">
        <v>154</v>
      </c>
      <c r="B73" s="26" t="s">
        <v>145</v>
      </c>
      <c r="C73" s="26" t="s">
        <v>146</v>
      </c>
      <c r="D73" s="67" t="s">
        <v>67</v>
      </c>
      <c r="E73" s="67"/>
      <c r="F73" s="67"/>
      <c r="G73" s="76">
        <f t="shared" si="0"/>
        <v>0</v>
      </c>
      <c r="H73" s="67"/>
      <c r="I73" s="67"/>
      <c r="J73" s="77">
        <f t="shared" si="1"/>
        <v>0</v>
      </c>
      <c r="K73" s="78">
        <f>1088000+439000</f>
        <v>1527000</v>
      </c>
      <c r="L73" s="78">
        <v>275000</v>
      </c>
      <c r="M73" s="78">
        <f t="shared" si="2"/>
        <v>1802000</v>
      </c>
      <c r="N73" s="70">
        <f t="shared" si="3"/>
        <v>1802</v>
      </c>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row>
    <row r="74" spans="1:86" s="27" customFormat="1" ht="32.25" customHeight="1" x14ac:dyDescent="0.2">
      <c r="A74" s="25" t="s">
        <v>59</v>
      </c>
      <c r="B74" s="26"/>
      <c r="C74" s="26"/>
      <c r="D74" s="58" t="s">
        <v>58</v>
      </c>
      <c r="E74" s="58"/>
      <c r="F74" s="58"/>
      <c r="G74" s="76">
        <f t="shared" si="0"/>
        <v>0</v>
      </c>
      <c r="H74" s="58"/>
      <c r="I74" s="58"/>
      <c r="J74" s="77">
        <f t="shared" si="1"/>
        <v>0</v>
      </c>
      <c r="K74" s="90">
        <f>K75+K76+K79+K96+K104+K80+K81+K91</f>
        <v>122570066</v>
      </c>
      <c r="L74" s="90">
        <f>L75+L76+L79+L96+L104+L80+L81+L91</f>
        <v>37293797</v>
      </c>
      <c r="M74" s="90">
        <f>M75+M76+M79+M96+M104+M80+M81+M91</f>
        <v>159863863</v>
      </c>
      <c r="N74" s="59">
        <f>N75+N76+N79+N96+N104+N80+N81+N91+N103+N95</f>
        <v>171304.1</v>
      </c>
      <c r="O74" s="37"/>
      <c r="P74" s="73"/>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row>
    <row r="75" spans="1:86" s="27" customFormat="1" ht="32.25" customHeight="1" x14ac:dyDescent="0.2">
      <c r="A75" s="26" t="s">
        <v>60</v>
      </c>
      <c r="B75" s="26" t="s">
        <v>100</v>
      </c>
      <c r="C75" s="26" t="s">
        <v>101</v>
      </c>
      <c r="D75" s="67" t="s">
        <v>268</v>
      </c>
      <c r="E75" s="67"/>
      <c r="F75" s="67"/>
      <c r="G75" s="76">
        <f t="shared" si="0"/>
        <v>0</v>
      </c>
      <c r="H75" s="67"/>
      <c r="I75" s="67"/>
      <c r="J75" s="77">
        <f t="shared" si="1"/>
        <v>0</v>
      </c>
      <c r="K75" s="78">
        <v>200000</v>
      </c>
      <c r="L75" s="79"/>
      <c r="M75" s="78">
        <f t="shared" si="2"/>
        <v>200000</v>
      </c>
      <c r="N75" s="70">
        <f t="shared" si="3"/>
        <v>200</v>
      </c>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row>
    <row r="76" spans="1:86" s="27" customFormat="1" ht="32.25" customHeight="1" x14ac:dyDescent="0.2">
      <c r="A76" s="26" t="s">
        <v>61</v>
      </c>
      <c r="B76" s="26" t="s">
        <v>125</v>
      </c>
      <c r="C76" s="26"/>
      <c r="D76" s="67" t="s">
        <v>304</v>
      </c>
      <c r="E76" s="67"/>
      <c r="F76" s="67"/>
      <c r="G76" s="76">
        <f t="shared" si="0"/>
        <v>0</v>
      </c>
      <c r="H76" s="67"/>
      <c r="I76" s="67"/>
      <c r="J76" s="77">
        <f t="shared" si="1"/>
        <v>0</v>
      </c>
      <c r="K76" s="78">
        <f>K77+K78</f>
        <v>52327958</v>
      </c>
      <c r="L76" s="78">
        <f>L77+L78</f>
        <v>19632042</v>
      </c>
      <c r="M76" s="78">
        <f>M77+M78</f>
        <v>71960000</v>
      </c>
      <c r="N76" s="70">
        <f>N77+N78</f>
        <v>64312.4</v>
      </c>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row>
    <row r="77" spans="1:86" s="88" customFormat="1" ht="32.25" customHeight="1" x14ac:dyDescent="0.2">
      <c r="A77" s="93" t="s">
        <v>63</v>
      </c>
      <c r="B77" s="93" t="s">
        <v>126</v>
      </c>
      <c r="C77" s="93" t="s">
        <v>124</v>
      </c>
      <c r="D77" s="49" t="s">
        <v>62</v>
      </c>
      <c r="E77" s="49"/>
      <c r="F77" s="49"/>
      <c r="G77" s="76">
        <f t="shared" si="0"/>
        <v>0</v>
      </c>
      <c r="H77" s="49"/>
      <c r="I77" s="49"/>
      <c r="J77" s="77">
        <f t="shared" si="1"/>
        <v>0</v>
      </c>
      <c r="K77" s="85">
        <f>45000000+327958-10000000+1500000</f>
        <v>36827958</v>
      </c>
      <c r="L77" s="85">
        <f>18960000-327958</f>
        <v>18632042</v>
      </c>
      <c r="M77" s="85">
        <f t="shared" si="2"/>
        <v>55460000</v>
      </c>
      <c r="N77" s="74">
        <f>ROUND(M77/1000,1)-737+84.4-7000+5</f>
        <v>47812.4</v>
      </c>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row>
    <row r="78" spans="1:86" s="88" customFormat="1" ht="32.25" customHeight="1" x14ac:dyDescent="0.2">
      <c r="A78" s="93" t="s">
        <v>65</v>
      </c>
      <c r="B78" s="93" t="s">
        <v>127</v>
      </c>
      <c r="C78" s="93" t="s">
        <v>124</v>
      </c>
      <c r="D78" s="49" t="s">
        <v>64</v>
      </c>
      <c r="E78" s="49"/>
      <c r="F78" s="49"/>
      <c r="G78" s="76">
        <f t="shared" si="0"/>
        <v>0</v>
      </c>
      <c r="H78" s="49"/>
      <c r="I78" s="49"/>
      <c r="J78" s="77">
        <f t="shared" si="1"/>
        <v>0</v>
      </c>
      <c r="K78" s="85">
        <f>5000000+10000000+500000</f>
        <v>15500000</v>
      </c>
      <c r="L78" s="85">
        <v>1000000</v>
      </c>
      <c r="M78" s="85">
        <f t="shared" ref="M78:M171" si="4">K78+L78</f>
        <v>16500000</v>
      </c>
      <c r="N78" s="74">
        <f t="shared" si="3"/>
        <v>16500</v>
      </c>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row>
    <row r="79" spans="1:86" s="81" customFormat="1" ht="32.25" customHeight="1" x14ac:dyDescent="0.2">
      <c r="A79" s="91" t="s">
        <v>66</v>
      </c>
      <c r="B79" s="91" t="s">
        <v>129</v>
      </c>
      <c r="C79" s="91" t="s">
        <v>128</v>
      </c>
      <c r="D79" s="67" t="s">
        <v>9</v>
      </c>
      <c r="E79" s="67"/>
      <c r="F79" s="67"/>
      <c r="G79" s="76">
        <f t="shared" si="0"/>
        <v>0</v>
      </c>
      <c r="H79" s="67"/>
      <c r="I79" s="67"/>
      <c r="J79" s="77">
        <f t="shared" si="1"/>
        <v>0</v>
      </c>
      <c r="K79" s="78">
        <f>33612000-12000000+1650158-327958+12000000+150000</f>
        <v>35084200</v>
      </c>
      <c r="L79" s="78">
        <f>12522000+327958-244003</f>
        <v>12605955</v>
      </c>
      <c r="M79" s="78">
        <f t="shared" si="4"/>
        <v>47690155</v>
      </c>
      <c r="N79" s="70">
        <f>ROUND(M79/1000,1)+7400-356.4+100-1000+1600+500+30-428.6-0.1</f>
        <v>55535.1</v>
      </c>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row>
    <row r="80" spans="1:86" s="27" customFormat="1" ht="32.25" customHeight="1" x14ac:dyDescent="0.2">
      <c r="A80" s="26" t="s">
        <v>165</v>
      </c>
      <c r="B80" s="26" t="s">
        <v>130</v>
      </c>
      <c r="C80" s="26" t="s">
        <v>128</v>
      </c>
      <c r="D80" s="67" t="s">
        <v>87</v>
      </c>
      <c r="E80" s="67"/>
      <c r="F80" s="67"/>
      <c r="G80" s="76">
        <f t="shared" si="0"/>
        <v>0</v>
      </c>
      <c r="H80" s="67"/>
      <c r="I80" s="67"/>
      <c r="J80" s="77">
        <f t="shared" si="1"/>
        <v>0</v>
      </c>
      <c r="K80" s="78">
        <v>1000000</v>
      </c>
      <c r="L80" s="79"/>
      <c r="M80" s="78">
        <f t="shared" si="4"/>
        <v>1000000</v>
      </c>
      <c r="N80" s="70">
        <f t="shared" si="3"/>
        <v>1000</v>
      </c>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row>
    <row r="81" spans="1:86" s="27" customFormat="1" ht="32.25" customHeight="1" x14ac:dyDescent="0.2">
      <c r="A81" s="26" t="s">
        <v>248</v>
      </c>
      <c r="B81" s="26" t="s">
        <v>138</v>
      </c>
      <c r="C81" s="26" t="s">
        <v>139</v>
      </c>
      <c r="D81" s="58" t="s">
        <v>71</v>
      </c>
      <c r="E81" s="67"/>
      <c r="F81" s="67"/>
      <c r="G81" s="76">
        <f t="shared" si="0"/>
        <v>0</v>
      </c>
      <c r="H81" s="67"/>
      <c r="I81" s="67"/>
      <c r="J81" s="77">
        <f t="shared" si="1"/>
        <v>0</v>
      </c>
      <c r="K81" s="90">
        <f>K86+K82</f>
        <v>13274508</v>
      </c>
      <c r="L81" s="78">
        <f>L86+L82</f>
        <v>0</v>
      </c>
      <c r="M81" s="90">
        <f>M86+M82</f>
        <v>13274508</v>
      </c>
      <c r="N81" s="59">
        <f>N86+N82+N84</f>
        <v>15011.5</v>
      </c>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row>
    <row r="82" spans="1:86" s="38" customFormat="1" ht="32.25" customHeight="1" x14ac:dyDescent="0.2">
      <c r="A82" s="25"/>
      <c r="B82" s="25"/>
      <c r="C82" s="25"/>
      <c r="D82" s="58" t="s">
        <v>182</v>
      </c>
      <c r="E82" s="58" t="s">
        <v>182</v>
      </c>
      <c r="F82" s="58"/>
      <c r="G82" s="76">
        <f t="shared" si="0"/>
        <v>0</v>
      </c>
      <c r="H82" s="58"/>
      <c r="I82" s="58"/>
      <c r="J82" s="77">
        <f t="shared" si="1"/>
        <v>0</v>
      </c>
      <c r="K82" s="90">
        <f>K83</f>
        <v>500000</v>
      </c>
      <c r="L82" s="90">
        <f>L83</f>
        <v>0</v>
      </c>
      <c r="M82" s="90">
        <f>M83</f>
        <v>500000</v>
      </c>
      <c r="N82" s="59">
        <f>N83</f>
        <v>1500</v>
      </c>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row>
    <row r="83" spans="1:86" s="27" customFormat="1" ht="34.5" customHeight="1" x14ac:dyDescent="0.2">
      <c r="A83" s="26"/>
      <c r="B83" s="26"/>
      <c r="C83" s="26"/>
      <c r="D83" s="67" t="s">
        <v>332</v>
      </c>
      <c r="E83" s="67" t="s">
        <v>254</v>
      </c>
      <c r="F83" s="67"/>
      <c r="G83" s="76">
        <f t="shared" ref="G83:G169" si="5">ROUND(F83/1000,1)</f>
        <v>0</v>
      </c>
      <c r="H83" s="67"/>
      <c r="I83" s="67"/>
      <c r="J83" s="77">
        <f t="shared" ref="J83:J169" si="6">ROUND(I83/1000,1)</f>
        <v>0</v>
      </c>
      <c r="K83" s="78">
        <v>500000</v>
      </c>
      <c r="L83" s="79"/>
      <c r="M83" s="78">
        <f t="shared" si="4"/>
        <v>500000</v>
      </c>
      <c r="N83" s="70">
        <f>ROUND(M83/1000,1)+1000</f>
        <v>1500</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row>
    <row r="84" spans="1:86" s="27" customFormat="1" ht="34.5" customHeight="1" x14ac:dyDescent="0.2">
      <c r="A84" s="26"/>
      <c r="B84" s="26"/>
      <c r="C84" s="26"/>
      <c r="D84" s="133" t="s">
        <v>203</v>
      </c>
      <c r="E84" s="67"/>
      <c r="F84" s="67"/>
      <c r="G84" s="76"/>
      <c r="H84" s="67"/>
      <c r="I84" s="67"/>
      <c r="J84" s="77"/>
      <c r="K84" s="78"/>
      <c r="L84" s="79"/>
      <c r="M84" s="78"/>
      <c r="N84" s="115">
        <f>N85</f>
        <v>737</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row>
    <row r="85" spans="1:86" s="27" customFormat="1" ht="34.5" customHeight="1" x14ac:dyDescent="0.3">
      <c r="A85" s="26"/>
      <c r="B85" s="26"/>
      <c r="C85" s="26"/>
      <c r="D85" s="141" t="s">
        <v>322</v>
      </c>
      <c r="E85" s="67"/>
      <c r="F85" s="67"/>
      <c r="G85" s="76"/>
      <c r="H85" s="67"/>
      <c r="I85" s="67"/>
      <c r="J85" s="77"/>
      <c r="K85" s="78"/>
      <c r="L85" s="79"/>
      <c r="M85" s="78"/>
      <c r="N85" s="70">
        <v>737</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row>
    <row r="86" spans="1:86" s="38" customFormat="1" ht="20.25" x14ac:dyDescent="0.2">
      <c r="A86" s="25"/>
      <c r="B86" s="25"/>
      <c r="C86" s="25"/>
      <c r="D86" s="58" t="s">
        <v>202</v>
      </c>
      <c r="E86" s="58" t="s">
        <v>253</v>
      </c>
      <c r="F86" s="58"/>
      <c r="G86" s="76">
        <f t="shared" si="5"/>
        <v>0</v>
      </c>
      <c r="H86" s="58"/>
      <c r="I86" s="58"/>
      <c r="J86" s="77">
        <f t="shared" si="6"/>
        <v>0</v>
      </c>
      <c r="K86" s="90">
        <f>K87+K88+K89+K90</f>
        <v>12774508</v>
      </c>
      <c r="L86" s="90">
        <f>L87+L88+L89+L90</f>
        <v>0</v>
      </c>
      <c r="M86" s="90">
        <f>M87+M88+M89+M90</f>
        <v>12774508</v>
      </c>
      <c r="N86" s="59">
        <f>N87+N88+N89+N90</f>
        <v>12774.5</v>
      </c>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row>
    <row r="87" spans="1:86" s="27" customFormat="1" ht="51.75" customHeight="1" x14ac:dyDescent="0.3">
      <c r="A87" s="26"/>
      <c r="B87" s="26"/>
      <c r="C87" s="26"/>
      <c r="D87" s="94" t="s">
        <v>249</v>
      </c>
      <c r="E87" s="94" t="s">
        <v>249</v>
      </c>
      <c r="F87" s="67"/>
      <c r="G87" s="76">
        <f t="shared" si="5"/>
        <v>0</v>
      </c>
      <c r="H87" s="67"/>
      <c r="I87" s="67"/>
      <c r="J87" s="77">
        <f t="shared" si="6"/>
        <v>0</v>
      </c>
      <c r="K87" s="78">
        <v>2000000</v>
      </c>
      <c r="L87" s="79"/>
      <c r="M87" s="78">
        <f t="shared" si="4"/>
        <v>2000000</v>
      </c>
      <c r="N87" s="70">
        <f t="shared" ref="N87:N169" si="7">ROUND(M87/1000,1)</f>
        <v>2000</v>
      </c>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row>
    <row r="88" spans="1:86" s="27" customFormat="1" ht="49.5" customHeight="1" x14ac:dyDescent="0.2">
      <c r="A88" s="26"/>
      <c r="B88" s="26"/>
      <c r="C88" s="26"/>
      <c r="D88" s="67" t="s">
        <v>250</v>
      </c>
      <c r="E88" s="67" t="s">
        <v>250</v>
      </c>
      <c r="F88" s="67"/>
      <c r="G88" s="76">
        <f t="shared" si="5"/>
        <v>0</v>
      </c>
      <c r="H88" s="67"/>
      <c r="I88" s="67"/>
      <c r="J88" s="77">
        <f t="shared" si="6"/>
        <v>0</v>
      </c>
      <c r="K88" s="78">
        <v>2000000</v>
      </c>
      <c r="L88" s="79"/>
      <c r="M88" s="78">
        <f t="shared" si="4"/>
        <v>2000000</v>
      </c>
      <c r="N88" s="70">
        <f t="shared" si="7"/>
        <v>2000</v>
      </c>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row>
    <row r="89" spans="1:86" s="27" customFormat="1" ht="54" customHeight="1" x14ac:dyDescent="0.3">
      <c r="A89" s="26"/>
      <c r="B89" s="26"/>
      <c r="C89" s="26"/>
      <c r="D89" s="94" t="s">
        <v>251</v>
      </c>
      <c r="E89" s="94" t="s">
        <v>251</v>
      </c>
      <c r="F89" s="67"/>
      <c r="G89" s="76">
        <f t="shared" si="5"/>
        <v>0</v>
      </c>
      <c r="H89" s="67"/>
      <c r="I89" s="67"/>
      <c r="J89" s="77">
        <f t="shared" si="6"/>
        <v>0</v>
      </c>
      <c r="K89" s="78">
        <v>2000000</v>
      </c>
      <c r="L89" s="79"/>
      <c r="M89" s="78">
        <f t="shared" si="4"/>
        <v>2000000</v>
      </c>
      <c r="N89" s="70">
        <f t="shared" si="7"/>
        <v>2000</v>
      </c>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row>
    <row r="90" spans="1:86" s="81" customFormat="1" ht="54" customHeight="1" x14ac:dyDescent="0.3">
      <c r="A90" s="91"/>
      <c r="B90" s="91"/>
      <c r="C90" s="91"/>
      <c r="D90" s="94" t="s">
        <v>252</v>
      </c>
      <c r="E90" s="94" t="s">
        <v>252</v>
      </c>
      <c r="F90" s="67"/>
      <c r="G90" s="76">
        <f t="shared" si="5"/>
        <v>0</v>
      </c>
      <c r="H90" s="67"/>
      <c r="I90" s="67"/>
      <c r="J90" s="77">
        <f t="shared" si="6"/>
        <v>0</v>
      </c>
      <c r="K90" s="78">
        <v>6774508</v>
      </c>
      <c r="L90" s="79"/>
      <c r="M90" s="78">
        <f t="shared" si="4"/>
        <v>6774508</v>
      </c>
      <c r="N90" s="70">
        <f t="shared" si="7"/>
        <v>6774.5</v>
      </c>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row>
    <row r="91" spans="1:86" s="81" customFormat="1" ht="51.75" customHeight="1" x14ac:dyDescent="0.2">
      <c r="A91" s="91"/>
      <c r="B91" s="91"/>
      <c r="C91" s="91"/>
      <c r="D91" s="58" t="s">
        <v>94</v>
      </c>
      <c r="E91" s="58"/>
      <c r="F91" s="58"/>
      <c r="G91" s="76">
        <f t="shared" si="5"/>
        <v>0</v>
      </c>
      <c r="H91" s="58"/>
      <c r="I91" s="58"/>
      <c r="J91" s="77">
        <f t="shared" si="6"/>
        <v>0</v>
      </c>
      <c r="K91" s="90">
        <f>K92</f>
        <v>0</v>
      </c>
      <c r="L91" s="90">
        <f>L92</f>
        <v>2535000</v>
      </c>
      <c r="M91" s="90">
        <f>M92</f>
        <v>2535000</v>
      </c>
      <c r="N91" s="59">
        <f>N92</f>
        <v>2535</v>
      </c>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row>
    <row r="92" spans="1:86" s="97" customFormat="1" ht="29.25" customHeight="1" x14ac:dyDescent="0.2">
      <c r="A92" s="95" t="s">
        <v>269</v>
      </c>
      <c r="B92" s="95" t="s">
        <v>140</v>
      </c>
      <c r="C92" s="95"/>
      <c r="D92" s="67" t="s">
        <v>305</v>
      </c>
      <c r="E92" s="79"/>
      <c r="F92" s="67"/>
      <c r="G92" s="76">
        <f t="shared" si="5"/>
        <v>0</v>
      </c>
      <c r="H92" s="67"/>
      <c r="I92" s="67"/>
      <c r="J92" s="77">
        <f t="shared" si="6"/>
        <v>0</v>
      </c>
      <c r="K92" s="78">
        <f>K93+K94</f>
        <v>0</v>
      </c>
      <c r="L92" s="78">
        <f>L93+L94</f>
        <v>2535000</v>
      </c>
      <c r="M92" s="78">
        <f>M93+M94</f>
        <v>2535000</v>
      </c>
      <c r="N92" s="70">
        <f t="shared" si="7"/>
        <v>2535</v>
      </c>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6"/>
    </row>
    <row r="93" spans="1:86" s="81" customFormat="1" ht="24.75" customHeight="1" x14ac:dyDescent="0.2">
      <c r="A93" s="91" t="s">
        <v>270</v>
      </c>
      <c r="B93" s="91" t="s">
        <v>141</v>
      </c>
      <c r="C93" s="91" t="s">
        <v>135</v>
      </c>
      <c r="D93" s="86" t="s">
        <v>367</v>
      </c>
      <c r="E93" s="86" t="s">
        <v>285</v>
      </c>
      <c r="F93" s="49"/>
      <c r="G93" s="76">
        <f t="shared" si="5"/>
        <v>0</v>
      </c>
      <c r="H93" s="49"/>
      <c r="I93" s="49"/>
      <c r="J93" s="77">
        <f t="shared" si="6"/>
        <v>0</v>
      </c>
      <c r="K93" s="85"/>
      <c r="L93" s="85">
        <v>35000</v>
      </c>
      <c r="M93" s="85">
        <f>L93+K93</f>
        <v>35000</v>
      </c>
      <c r="N93" s="74">
        <f t="shared" si="7"/>
        <v>35</v>
      </c>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row>
    <row r="94" spans="1:86" s="88" customFormat="1" ht="24.75" customHeight="1" x14ac:dyDescent="0.2">
      <c r="A94" s="93"/>
      <c r="B94" s="93"/>
      <c r="C94" s="93"/>
      <c r="D94" s="66" t="s">
        <v>352</v>
      </c>
      <c r="E94" s="66" t="s">
        <v>284</v>
      </c>
      <c r="F94" s="49"/>
      <c r="G94" s="76">
        <f t="shared" si="5"/>
        <v>0</v>
      </c>
      <c r="H94" s="49"/>
      <c r="I94" s="49"/>
      <c r="J94" s="77">
        <f t="shared" si="6"/>
        <v>0</v>
      </c>
      <c r="K94" s="85"/>
      <c r="L94" s="85">
        <v>2500000</v>
      </c>
      <c r="M94" s="85">
        <f>L94+K94</f>
        <v>2500000</v>
      </c>
      <c r="N94" s="74">
        <f t="shared" si="7"/>
        <v>2500</v>
      </c>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row>
    <row r="95" spans="1:86" s="88" customFormat="1" ht="38.25" customHeight="1" x14ac:dyDescent="0.2">
      <c r="A95" s="93"/>
      <c r="B95" s="93"/>
      <c r="C95" s="93"/>
      <c r="D95" s="76" t="s">
        <v>329</v>
      </c>
      <c r="E95" s="116"/>
      <c r="F95" s="118"/>
      <c r="G95" s="76"/>
      <c r="H95" s="118"/>
      <c r="I95" s="118"/>
      <c r="J95" s="114"/>
      <c r="K95" s="119"/>
      <c r="L95" s="119"/>
      <c r="M95" s="119"/>
      <c r="N95" s="115">
        <v>130</v>
      </c>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row>
    <row r="96" spans="1:86" s="121" customFormat="1" ht="38.25" customHeight="1" x14ac:dyDescent="0.2">
      <c r="A96" s="117"/>
      <c r="B96" s="117"/>
      <c r="C96" s="117"/>
      <c r="D96" s="67" t="s">
        <v>294</v>
      </c>
      <c r="E96" s="67"/>
      <c r="F96" s="67"/>
      <c r="G96" s="76">
        <f t="shared" si="5"/>
        <v>0</v>
      </c>
      <c r="H96" s="67"/>
      <c r="I96" s="67"/>
      <c r="J96" s="77">
        <f t="shared" si="6"/>
        <v>0</v>
      </c>
      <c r="K96" s="78">
        <f>K97+K98+K99+K100+K101+K102</f>
        <v>19461900</v>
      </c>
      <c r="L96" s="78">
        <f>L97+L98+L99+L100+L101+L102</f>
        <v>2520800</v>
      </c>
      <c r="M96" s="82">
        <f>M97+M98+M99+M100+M101+M102</f>
        <v>21982700</v>
      </c>
      <c r="N96" s="82">
        <f>N97+N98+N99+N100+N101+N102</f>
        <v>25895.699999999997</v>
      </c>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row>
    <row r="97" spans="1:86" s="81" customFormat="1" ht="27.75" customHeight="1" x14ac:dyDescent="0.2">
      <c r="A97" s="91" t="s">
        <v>68</v>
      </c>
      <c r="B97" s="91" t="s">
        <v>149</v>
      </c>
      <c r="C97" s="91" t="s">
        <v>139</v>
      </c>
      <c r="D97" s="49" t="s">
        <v>173</v>
      </c>
      <c r="E97" s="49" t="s">
        <v>173</v>
      </c>
      <c r="F97" s="49"/>
      <c r="G97" s="76">
        <f t="shared" si="5"/>
        <v>0</v>
      </c>
      <c r="H97" s="49"/>
      <c r="I97" s="49"/>
      <c r="J97" s="77">
        <f t="shared" si="6"/>
        <v>0</v>
      </c>
      <c r="K97" s="85">
        <v>2651900</v>
      </c>
      <c r="L97" s="98"/>
      <c r="M97" s="85">
        <f t="shared" si="4"/>
        <v>2651900</v>
      </c>
      <c r="N97" s="74">
        <f>ROUND(M97/1000,1)+348.2+194.8</f>
        <v>3194.9</v>
      </c>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row>
    <row r="98" spans="1:86" s="88" customFormat="1" ht="40.5" x14ac:dyDescent="0.2">
      <c r="A98" s="93"/>
      <c r="B98" s="93"/>
      <c r="C98" s="93"/>
      <c r="D98" s="49" t="s">
        <v>174</v>
      </c>
      <c r="E98" s="49" t="s">
        <v>174</v>
      </c>
      <c r="F98" s="49"/>
      <c r="G98" s="76">
        <f t="shared" si="5"/>
        <v>0</v>
      </c>
      <c r="H98" s="49"/>
      <c r="I98" s="49"/>
      <c r="J98" s="77">
        <f t="shared" si="6"/>
        <v>0</v>
      </c>
      <c r="K98" s="85">
        <v>810000</v>
      </c>
      <c r="L98" s="85">
        <v>1250000</v>
      </c>
      <c r="M98" s="85">
        <f t="shared" si="4"/>
        <v>2060000</v>
      </c>
      <c r="N98" s="74">
        <f t="shared" si="7"/>
        <v>2060</v>
      </c>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row>
    <row r="99" spans="1:86" s="30" customFormat="1" ht="40.5" x14ac:dyDescent="0.2">
      <c r="A99" s="29"/>
      <c r="B99" s="29"/>
      <c r="C99" s="29"/>
      <c r="D99" s="49" t="s">
        <v>175</v>
      </c>
      <c r="E99" s="49" t="s">
        <v>175</v>
      </c>
      <c r="F99" s="49"/>
      <c r="G99" s="76">
        <f t="shared" si="5"/>
        <v>0</v>
      </c>
      <c r="H99" s="49"/>
      <c r="I99" s="49"/>
      <c r="J99" s="77">
        <f t="shared" si="6"/>
        <v>0</v>
      </c>
      <c r="K99" s="85">
        <v>2500000</v>
      </c>
      <c r="L99" s="85"/>
      <c r="M99" s="85">
        <f t="shared" si="4"/>
        <v>2500000</v>
      </c>
      <c r="N99" s="74">
        <f t="shared" si="7"/>
        <v>2500</v>
      </c>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row>
    <row r="100" spans="1:86" s="30" customFormat="1" ht="40.5" x14ac:dyDescent="0.2">
      <c r="A100" s="29"/>
      <c r="B100" s="29"/>
      <c r="C100" s="29"/>
      <c r="D100" s="49" t="s">
        <v>176</v>
      </c>
      <c r="E100" s="49" t="s">
        <v>176</v>
      </c>
      <c r="F100" s="49"/>
      <c r="G100" s="76">
        <f t="shared" si="5"/>
        <v>0</v>
      </c>
      <c r="H100" s="49"/>
      <c r="I100" s="49"/>
      <c r="J100" s="77">
        <f t="shared" si="6"/>
        <v>0</v>
      </c>
      <c r="K100" s="85">
        <f>9800000+3000000-1000000</f>
        <v>11800000</v>
      </c>
      <c r="L100" s="85">
        <v>1270800</v>
      </c>
      <c r="M100" s="85">
        <f t="shared" si="4"/>
        <v>13070800</v>
      </c>
      <c r="N100" s="74">
        <f>ROUND(M100/1000,1)+3000</f>
        <v>16070.8</v>
      </c>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row>
    <row r="101" spans="1:86" s="30" customFormat="1" ht="40.5" x14ac:dyDescent="0.2">
      <c r="A101" s="29"/>
      <c r="B101" s="29"/>
      <c r="C101" s="29"/>
      <c r="D101" s="49" t="s">
        <v>177</v>
      </c>
      <c r="E101" s="49" t="s">
        <v>177</v>
      </c>
      <c r="F101" s="49"/>
      <c r="G101" s="76">
        <f t="shared" si="5"/>
        <v>0</v>
      </c>
      <c r="H101" s="49"/>
      <c r="I101" s="49"/>
      <c r="J101" s="77">
        <f t="shared" si="6"/>
        <v>0</v>
      </c>
      <c r="K101" s="85">
        <v>200000</v>
      </c>
      <c r="L101" s="85"/>
      <c r="M101" s="85">
        <f t="shared" si="4"/>
        <v>200000</v>
      </c>
      <c r="N101" s="74">
        <f t="shared" si="7"/>
        <v>200</v>
      </c>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row>
    <row r="102" spans="1:86" s="30" customFormat="1" ht="40.5" x14ac:dyDescent="0.2">
      <c r="A102" s="29"/>
      <c r="B102" s="29"/>
      <c r="C102" s="29"/>
      <c r="D102" s="49" t="s">
        <v>178</v>
      </c>
      <c r="E102" s="49" t="s">
        <v>178</v>
      </c>
      <c r="F102" s="49"/>
      <c r="G102" s="76">
        <f t="shared" si="5"/>
        <v>0</v>
      </c>
      <c r="H102" s="49"/>
      <c r="I102" s="49"/>
      <c r="J102" s="77">
        <f t="shared" si="6"/>
        <v>0</v>
      </c>
      <c r="K102" s="85">
        <v>1500000</v>
      </c>
      <c r="L102" s="98"/>
      <c r="M102" s="85">
        <f t="shared" si="4"/>
        <v>1500000</v>
      </c>
      <c r="N102" s="74">
        <f>ROUND(M102/1000,1)+370</f>
        <v>1870</v>
      </c>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row>
    <row r="103" spans="1:86" s="88" customFormat="1" ht="37.5" customHeight="1" x14ac:dyDescent="0.2">
      <c r="A103" s="93"/>
      <c r="B103" s="93"/>
      <c r="C103" s="93"/>
      <c r="D103" s="67" t="s">
        <v>316</v>
      </c>
      <c r="E103" s="49"/>
      <c r="F103" s="49"/>
      <c r="G103" s="76"/>
      <c r="H103" s="49"/>
      <c r="I103" s="49"/>
      <c r="J103" s="77"/>
      <c r="K103" s="85"/>
      <c r="L103" s="98"/>
      <c r="M103" s="85"/>
      <c r="N103" s="70">
        <v>5462.9</v>
      </c>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1:86" s="88" customFormat="1" ht="37.5" customHeight="1" x14ac:dyDescent="0.2">
      <c r="A104" s="93"/>
      <c r="B104" s="93"/>
      <c r="C104" s="93"/>
      <c r="D104" s="134" t="s">
        <v>306</v>
      </c>
      <c r="E104" s="134"/>
      <c r="F104" s="134"/>
      <c r="G104" s="76">
        <f t="shared" si="5"/>
        <v>0</v>
      </c>
      <c r="H104" s="134"/>
      <c r="I104" s="134"/>
      <c r="J104" s="77">
        <f t="shared" si="6"/>
        <v>0</v>
      </c>
      <c r="K104" s="78">
        <f>K105</f>
        <v>1221500</v>
      </c>
      <c r="L104" s="78">
        <f>L105</f>
        <v>0</v>
      </c>
      <c r="M104" s="78">
        <f>M105</f>
        <v>1221500</v>
      </c>
      <c r="N104" s="82">
        <f>N105</f>
        <v>1221.5</v>
      </c>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1:86" s="27" customFormat="1" ht="66.75" customHeight="1" x14ac:dyDescent="0.2">
      <c r="A105" s="35">
        <v>4118800</v>
      </c>
      <c r="B105" s="35">
        <v>8800</v>
      </c>
      <c r="C105" s="26" t="s">
        <v>100</v>
      </c>
      <c r="D105" s="135" t="s">
        <v>229</v>
      </c>
      <c r="E105" s="135"/>
      <c r="F105" s="135"/>
      <c r="G105" s="76">
        <f t="shared" si="5"/>
        <v>0</v>
      </c>
      <c r="H105" s="135"/>
      <c r="I105" s="135"/>
      <c r="J105" s="77">
        <f t="shared" si="6"/>
        <v>0</v>
      </c>
      <c r="K105" s="85">
        <f>1730000-508500</f>
        <v>1221500</v>
      </c>
      <c r="L105" s="86"/>
      <c r="M105" s="85">
        <f t="shared" si="4"/>
        <v>1221500</v>
      </c>
      <c r="N105" s="74">
        <f t="shared" si="7"/>
        <v>1221.5</v>
      </c>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row>
    <row r="106" spans="1:86" s="27" customFormat="1" ht="33" customHeight="1" x14ac:dyDescent="0.2">
      <c r="A106" s="36">
        <v>4118800</v>
      </c>
      <c r="B106" s="36">
        <v>8800</v>
      </c>
      <c r="C106" s="32" t="s">
        <v>100</v>
      </c>
      <c r="D106" s="58" t="s">
        <v>89</v>
      </c>
      <c r="E106" s="58"/>
      <c r="F106" s="58"/>
      <c r="G106" s="76">
        <f t="shared" si="5"/>
        <v>0</v>
      </c>
      <c r="H106" s="58"/>
      <c r="I106" s="58"/>
      <c r="J106" s="77">
        <f t="shared" si="6"/>
        <v>0</v>
      </c>
      <c r="K106" s="90">
        <f>K107+K108</f>
        <v>150000</v>
      </c>
      <c r="L106" s="90">
        <f>L107+L108</f>
        <v>0</v>
      </c>
      <c r="M106" s="90">
        <f>M107+M108</f>
        <v>150000</v>
      </c>
      <c r="N106" s="59">
        <f>N107+N108</f>
        <v>150</v>
      </c>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row>
    <row r="107" spans="1:86" s="38" customFormat="1" ht="35.25" customHeight="1" x14ac:dyDescent="0.2">
      <c r="A107" s="25" t="s">
        <v>70</v>
      </c>
      <c r="B107" s="25"/>
      <c r="C107" s="25"/>
      <c r="D107" s="67" t="s">
        <v>268</v>
      </c>
      <c r="E107" s="67"/>
      <c r="F107" s="67"/>
      <c r="G107" s="76">
        <f t="shared" si="5"/>
        <v>0</v>
      </c>
      <c r="H107" s="67"/>
      <c r="I107" s="67"/>
      <c r="J107" s="77">
        <f t="shared" si="6"/>
        <v>0</v>
      </c>
      <c r="K107" s="78">
        <v>100000</v>
      </c>
      <c r="L107" s="79"/>
      <c r="M107" s="78">
        <f t="shared" si="4"/>
        <v>100000</v>
      </c>
      <c r="N107" s="70">
        <f t="shared" si="7"/>
        <v>100</v>
      </c>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row>
    <row r="108" spans="1:86" s="27" customFormat="1" ht="35.25" customHeight="1" x14ac:dyDescent="0.2">
      <c r="A108" s="26" t="s">
        <v>69</v>
      </c>
      <c r="B108" s="26" t="s">
        <v>100</v>
      </c>
      <c r="C108" s="26" t="s">
        <v>101</v>
      </c>
      <c r="D108" s="67" t="s">
        <v>246</v>
      </c>
      <c r="E108" s="67"/>
      <c r="F108" s="67"/>
      <c r="G108" s="76">
        <f t="shared" si="5"/>
        <v>0</v>
      </c>
      <c r="H108" s="67"/>
      <c r="I108" s="67"/>
      <c r="J108" s="77">
        <f t="shared" si="6"/>
        <v>0</v>
      </c>
      <c r="K108" s="78">
        <v>50000</v>
      </c>
      <c r="L108" s="79"/>
      <c r="M108" s="78">
        <f t="shared" si="4"/>
        <v>50000</v>
      </c>
      <c r="N108" s="70">
        <f t="shared" si="7"/>
        <v>50</v>
      </c>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row>
    <row r="109" spans="1:86" s="27" customFormat="1" ht="35.25" customHeight="1" x14ac:dyDescent="0.2">
      <c r="A109" s="26" t="s">
        <v>72</v>
      </c>
      <c r="B109" s="26" t="s">
        <v>163</v>
      </c>
      <c r="C109" s="26" t="s">
        <v>142</v>
      </c>
      <c r="D109" s="58" t="s">
        <v>97</v>
      </c>
      <c r="E109" s="58"/>
      <c r="F109" s="58"/>
      <c r="G109" s="76">
        <f t="shared" si="5"/>
        <v>0</v>
      </c>
      <c r="H109" s="58"/>
      <c r="I109" s="58"/>
      <c r="J109" s="114">
        <f t="shared" si="6"/>
        <v>0</v>
      </c>
      <c r="K109" s="90">
        <f>K110</f>
        <v>12000</v>
      </c>
      <c r="L109" s="90">
        <f>L110</f>
        <v>0</v>
      </c>
      <c r="M109" s="90">
        <f>M110</f>
        <v>12000</v>
      </c>
      <c r="N109" s="59">
        <f>N110</f>
        <v>12</v>
      </c>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row>
    <row r="110" spans="1:86" s="38" customFormat="1" ht="35.25" customHeight="1" x14ac:dyDescent="0.2">
      <c r="A110" s="39">
        <v>4610000</v>
      </c>
      <c r="B110" s="39"/>
      <c r="C110" s="39"/>
      <c r="D110" s="67" t="s">
        <v>268</v>
      </c>
      <c r="E110" s="67"/>
      <c r="F110" s="67"/>
      <c r="G110" s="76">
        <f t="shared" si="5"/>
        <v>0</v>
      </c>
      <c r="H110" s="67"/>
      <c r="I110" s="67"/>
      <c r="J110" s="77">
        <f t="shared" si="6"/>
        <v>0</v>
      </c>
      <c r="K110" s="78">
        <v>12000</v>
      </c>
      <c r="L110" s="79"/>
      <c r="M110" s="78">
        <f t="shared" si="4"/>
        <v>12000</v>
      </c>
      <c r="N110" s="70">
        <f t="shared" si="7"/>
        <v>12</v>
      </c>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row>
    <row r="111" spans="1:86" s="30" customFormat="1" ht="35.25" customHeight="1" x14ac:dyDescent="0.2">
      <c r="A111" s="26" t="s">
        <v>96</v>
      </c>
      <c r="B111" s="26" t="s">
        <v>100</v>
      </c>
      <c r="C111" s="26" t="s">
        <v>101</v>
      </c>
      <c r="D111" s="58" t="s">
        <v>73</v>
      </c>
      <c r="E111" s="58"/>
      <c r="F111" s="58"/>
      <c r="G111" s="76">
        <f t="shared" si="5"/>
        <v>0</v>
      </c>
      <c r="H111" s="58"/>
      <c r="I111" s="58"/>
      <c r="J111" s="77">
        <f t="shared" si="6"/>
        <v>0</v>
      </c>
      <c r="K111" s="90" t="e">
        <f>K113+K114+K227+K223+K226+K221+K112</f>
        <v>#REF!</v>
      </c>
      <c r="L111" s="90" t="e">
        <f>L113+L114+L227+L223+L226+L221+L112</f>
        <v>#REF!</v>
      </c>
      <c r="M111" s="90" t="e">
        <f>M113+M114+M227+M223+M226+M221+M112</f>
        <v>#REF!</v>
      </c>
      <c r="N111" s="59">
        <f>N113+N114+N227+N223+N226+N221+N112</f>
        <v>286339.09999999998</v>
      </c>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row>
    <row r="112" spans="1:86" s="27" customFormat="1" ht="35.25" customHeight="1" x14ac:dyDescent="0.2">
      <c r="A112" s="25" t="s">
        <v>74</v>
      </c>
      <c r="B112" s="26"/>
      <c r="C112" s="26"/>
      <c r="D112" s="67" t="s">
        <v>35</v>
      </c>
      <c r="E112" s="67"/>
      <c r="F112" s="67"/>
      <c r="G112" s="76">
        <f t="shared" si="5"/>
        <v>0</v>
      </c>
      <c r="H112" s="67"/>
      <c r="I112" s="67"/>
      <c r="J112" s="77">
        <f t="shared" si="6"/>
        <v>0</v>
      </c>
      <c r="K112" s="78">
        <v>5000000</v>
      </c>
      <c r="L112" s="79"/>
      <c r="M112" s="78">
        <f t="shared" si="4"/>
        <v>5000000</v>
      </c>
      <c r="N112" s="70">
        <f t="shared" si="7"/>
        <v>5000</v>
      </c>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row>
    <row r="113" spans="1:86" s="27" customFormat="1" ht="35.25" customHeight="1" x14ac:dyDescent="0.2">
      <c r="A113" s="26" t="s">
        <v>181</v>
      </c>
      <c r="B113" s="26" t="s">
        <v>116</v>
      </c>
      <c r="C113" s="26" t="s">
        <v>117</v>
      </c>
      <c r="D113" s="67" t="s">
        <v>0</v>
      </c>
      <c r="E113" s="67"/>
      <c r="F113" s="67"/>
      <c r="G113" s="76">
        <f t="shared" si="5"/>
        <v>0</v>
      </c>
      <c r="H113" s="67"/>
      <c r="I113" s="67"/>
      <c r="J113" s="77">
        <f t="shared" si="6"/>
        <v>0</v>
      </c>
      <c r="K113" s="78">
        <f>62165698+12000000-12000000</f>
        <v>62165698</v>
      </c>
      <c r="L113" s="78">
        <f>19609036.18+21390963.82</f>
        <v>41000000</v>
      </c>
      <c r="M113" s="78">
        <f t="shared" si="4"/>
        <v>103165698</v>
      </c>
      <c r="N113" s="70">
        <f>ROUND(M113/1000,1)-2000-5000</f>
        <v>96165.7</v>
      </c>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row>
    <row r="114" spans="1:86" s="27" customFormat="1" ht="35.25" customHeight="1" x14ac:dyDescent="0.2">
      <c r="A114" s="26" t="s">
        <v>75</v>
      </c>
      <c r="B114" s="26" t="s">
        <v>129</v>
      </c>
      <c r="C114" s="26" t="s">
        <v>128</v>
      </c>
      <c r="D114" s="58" t="s">
        <v>71</v>
      </c>
      <c r="E114" s="67"/>
      <c r="F114" s="67"/>
      <c r="G114" s="76">
        <f t="shared" si="5"/>
        <v>0</v>
      </c>
      <c r="H114" s="67"/>
      <c r="I114" s="67"/>
      <c r="J114" s="77">
        <f t="shared" si="6"/>
        <v>0</v>
      </c>
      <c r="K114" s="90">
        <f>K115+K166+K172</f>
        <v>82807074</v>
      </c>
      <c r="L114" s="90">
        <f>L115+L166+L172</f>
        <v>33543041</v>
      </c>
      <c r="M114" s="90">
        <f>M115+M166+M172</f>
        <v>116350115</v>
      </c>
      <c r="N114" s="59">
        <f>N115+N166+N172</f>
        <v>118191.30000000002</v>
      </c>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row>
    <row r="115" spans="1:86" s="27" customFormat="1" ht="35.25" customHeight="1" x14ac:dyDescent="0.2">
      <c r="A115" s="26" t="s">
        <v>76</v>
      </c>
      <c r="B115" s="26" t="s">
        <v>138</v>
      </c>
      <c r="C115" s="26" t="s">
        <v>139</v>
      </c>
      <c r="D115" s="58" t="s">
        <v>182</v>
      </c>
      <c r="E115" s="58" t="s">
        <v>182</v>
      </c>
      <c r="F115" s="53"/>
      <c r="G115" s="134">
        <f t="shared" si="5"/>
        <v>0</v>
      </c>
      <c r="H115" s="56"/>
      <c r="I115" s="53"/>
      <c r="J115" s="77">
        <f t="shared" si="6"/>
        <v>0</v>
      </c>
      <c r="K115" s="136">
        <f>SUM(K116:K164)</f>
        <v>32674667</v>
      </c>
      <c r="L115" s="136">
        <f>SUM(L116:L164)</f>
        <v>1871000</v>
      </c>
      <c r="M115" s="136">
        <f>SUM(M116:M164)</f>
        <v>34545667</v>
      </c>
      <c r="N115" s="137">
        <f>SUM(N116:N165)</f>
        <v>36881.9</v>
      </c>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row>
    <row r="116" spans="1:86" s="38" customFormat="1" ht="35.25" customHeight="1" x14ac:dyDescent="0.2">
      <c r="A116" s="25"/>
      <c r="B116" s="25"/>
      <c r="C116" s="25"/>
      <c r="D116" s="67" t="s">
        <v>183</v>
      </c>
      <c r="E116" s="67" t="s">
        <v>183</v>
      </c>
      <c r="F116" s="99">
        <v>28556946</v>
      </c>
      <c r="G116" s="77">
        <f t="shared" si="5"/>
        <v>28556.9</v>
      </c>
      <c r="H116" s="82">
        <v>84.5</v>
      </c>
      <c r="I116" s="99">
        <v>24123406</v>
      </c>
      <c r="J116" s="77">
        <f t="shared" si="6"/>
        <v>24123.4</v>
      </c>
      <c r="K116" s="78">
        <v>3000000</v>
      </c>
      <c r="L116" s="79"/>
      <c r="M116" s="78">
        <f t="shared" si="4"/>
        <v>3000000</v>
      </c>
      <c r="N116" s="70">
        <f t="shared" si="7"/>
        <v>3000</v>
      </c>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row>
    <row r="117" spans="1:86" s="27" customFormat="1" ht="60" customHeight="1" x14ac:dyDescent="0.2">
      <c r="A117" s="26"/>
      <c r="B117" s="26"/>
      <c r="C117" s="26"/>
      <c r="D117" s="67" t="s">
        <v>184</v>
      </c>
      <c r="E117" s="67" t="s">
        <v>184</v>
      </c>
      <c r="F117" s="99"/>
      <c r="G117" s="77">
        <f t="shared" si="5"/>
        <v>0</v>
      </c>
      <c r="H117" s="99"/>
      <c r="I117" s="99"/>
      <c r="J117" s="77">
        <f t="shared" si="6"/>
        <v>0</v>
      </c>
      <c r="K117" s="78">
        <f>12350000-2000000</f>
        <v>10350000</v>
      </c>
      <c r="L117" s="79"/>
      <c r="M117" s="78">
        <f t="shared" si="4"/>
        <v>10350000</v>
      </c>
      <c r="N117" s="70">
        <f>ROUND(M117/1000,1)-30</f>
        <v>10320</v>
      </c>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row>
    <row r="118" spans="1:86" s="81" customFormat="1" ht="54" customHeight="1" x14ac:dyDescent="0.2">
      <c r="A118" s="91"/>
      <c r="B118" s="91"/>
      <c r="C118" s="91"/>
      <c r="D118" s="67" t="s">
        <v>364</v>
      </c>
      <c r="E118" s="67" t="s">
        <v>185</v>
      </c>
      <c r="F118" s="99">
        <v>55700800</v>
      </c>
      <c r="G118" s="77">
        <f t="shared" si="5"/>
        <v>55700.800000000003</v>
      </c>
      <c r="H118" s="82">
        <v>65.400000000000006</v>
      </c>
      <c r="I118" s="99">
        <v>36425600</v>
      </c>
      <c r="J118" s="77">
        <f t="shared" si="6"/>
        <v>36425.599999999999</v>
      </c>
      <c r="K118" s="78">
        <v>5000000</v>
      </c>
      <c r="L118" s="79"/>
      <c r="M118" s="78">
        <f t="shared" si="4"/>
        <v>5000000</v>
      </c>
      <c r="N118" s="70">
        <f t="shared" si="7"/>
        <v>5000</v>
      </c>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row>
    <row r="119" spans="1:86" s="27" customFormat="1" ht="36.75" customHeight="1" x14ac:dyDescent="0.2">
      <c r="A119" s="26"/>
      <c r="B119" s="26"/>
      <c r="C119" s="26"/>
      <c r="D119" s="67" t="s">
        <v>186</v>
      </c>
      <c r="E119" s="67" t="s">
        <v>186</v>
      </c>
      <c r="F119" s="99">
        <v>12997832</v>
      </c>
      <c r="G119" s="77">
        <f t="shared" si="5"/>
        <v>12997.8</v>
      </c>
      <c r="H119" s="99">
        <v>29</v>
      </c>
      <c r="I119" s="99">
        <v>3769686</v>
      </c>
      <c r="J119" s="77">
        <f t="shared" si="6"/>
        <v>3769.7</v>
      </c>
      <c r="K119" s="78">
        <v>500000</v>
      </c>
      <c r="L119" s="79"/>
      <c r="M119" s="78">
        <f t="shared" si="4"/>
        <v>500000</v>
      </c>
      <c r="N119" s="70">
        <f t="shared" si="7"/>
        <v>500</v>
      </c>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row>
    <row r="120" spans="1:86" s="27" customFormat="1" ht="30.75" customHeight="1" x14ac:dyDescent="0.2">
      <c r="A120" s="26"/>
      <c r="B120" s="26"/>
      <c r="C120" s="26"/>
      <c r="D120" s="67" t="s">
        <v>187</v>
      </c>
      <c r="E120" s="67" t="s">
        <v>187</v>
      </c>
      <c r="F120" s="99">
        <v>9888427</v>
      </c>
      <c r="G120" s="77">
        <f t="shared" si="5"/>
        <v>9888.4</v>
      </c>
      <c r="H120" s="82">
        <v>97.9</v>
      </c>
      <c r="I120" s="99">
        <v>9684425</v>
      </c>
      <c r="J120" s="77">
        <f t="shared" si="6"/>
        <v>9684.4</v>
      </c>
      <c r="K120" s="78">
        <f>5000000-3000000</f>
        <v>2000000</v>
      </c>
      <c r="L120" s="79"/>
      <c r="M120" s="78">
        <f t="shared" si="4"/>
        <v>2000000</v>
      </c>
      <c r="N120" s="70">
        <f t="shared" si="7"/>
        <v>2000</v>
      </c>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row>
    <row r="121" spans="1:86" s="27" customFormat="1" ht="40.5" x14ac:dyDescent="0.2">
      <c r="A121" s="26"/>
      <c r="B121" s="26"/>
      <c r="C121" s="26"/>
      <c r="D121" s="60" t="s">
        <v>188</v>
      </c>
      <c r="E121" s="60" t="s">
        <v>188</v>
      </c>
      <c r="F121" s="99"/>
      <c r="G121" s="77">
        <f t="shared" si="5"/>
        <v>0</v>
      </c>
      <c r="H121" s="99"/>
      <c r="I121" s="99"/>
      <c r="J121" s="77">
        <f t="shared" si="6"/>
        <v>0</v>
      </c>
      <c r="K121" s="78">
        <v>1500000</v>
      </c>
      <c r="L121" s="79"/>
      <c r="M121" s="78">
        <f t="shared" si="4"/>
        <v>1500000</v>
      </c>
      <c r="N121" s="70">
        <f t="shared" si="7"/>
        <v>1500</v>
      </c>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row>
    <row r="122" spans="1:86" s="27" customFormat="1" ht="40.5" x14ac:dyDescent="0.2">
      <c r="A122" s="26"/>
      <c r="B122" s="26"/>
      <c r="C122" s="26"/>
      <c r="D122" s="67" t="s">
        <v>189</v>
      </c>
      <c r="E122" s="67" t="s">
        <v>189</v>
      </c>
      <c r="F122" s="99">
        <v>2186292</v>
      </c>
      <c r="G122" s="77">
        <f t="shared" si="5"/>
        <v>2186.3000000000002</v>
      </c>
      <c r="H122" s="82">
        <v>30.7</v>
      </c>
      <c r="I122" s="99">
        <v>670994</v>
      </c>
      <c r="J122" s="77">
        <f t="shared" si="6"/>
        <v>671</v>
      </c>
      <c r="K122" s="78">
        <v>500000</v>
      </c>
      <c r="L122" s="79"/>
      <c r="M122" s="78">
        <f t="shared" si="4"/>
        <v>500000</v>
      </c>
      <c r="N122" s="70">
        <f t="shared" si="7"/>
        <v>500</v>
      </c>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row>
    <row r="123" spans="1:86" s="27" customFormat="1" ht="35.25" customHeight="1" x14ac:dyDescent="0.2">
      <c r="A123" s="26"/>
      <c r="B123" s="26"/>
      <c r="C123" s="26"/>
      <c r="D123" s="60" t="s">
        <v>272</v>
      </c>
      <c r="E123" s="60" t="s">
        <v>272</v>
      </c>
      <c r="F123" s="99"/>
      <c r="G123" s="77">
        <f t="shared" si="5"/>
        <v>0</v>
      </c>
      <c r="H123" s="82"/>
      <c r="I123" s="99"/>
      <c r="J123" s="77">
        <f t="shared" si="6"/>
        <v>0</v>
      </c>
      <c r="K123" s="78"/>
      <c r="L123" s="78">
        <v>500000</v>
      </c>
      <c r="M123" s="78">
        <f t="shared" si="4"/>
        <v>500000</v>
      </c>
      <c r="N123" s="70">
        <f t="shared" si="7"/>
        <v>500</v>
      </c>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row>
    <row r="124" spans="1:86" s="81" customFormat="1" ht="33.75" customHeight="1" x14ac:dyDescent="0.2">
      <c r="A124" s="91"/>
      <c r="B124" s="91"/>
      <c r="C124" s="91"/>
      <c r="D124" s="67" t="s">
        <v>190</v>
      </c>
      <c r="E124" s="67" t="s">
        <v>190</v>
      </c>
      <c r="F124" s="99">
        <v>41125371</v>
      </c>
      <c r="G124" s="77">
        <f t="shared" si="5"/>
        <v>41125.4</v>
      </c>
      <c r="H124" s="82">
        <v>54.2</v>
      </c>
      <c r="I124" s="99">
        <v>22273896</v>
      </c>
      <c r="J124" s="77">
        <f t="shared" si="6"/>
        <v>22273.9</v>
      </c>
      <c r="K124" s="78">
        <f>5000000-3000000</f>
        <v>2000000</v>
      </c>
      <c r="L124" s="79"/>
      <c r="M124" s="78">
        <f t="shared" si="4"/>
        <v>2000000</v>
      </c>
      <c r="N124" s="70">
        <f t="shared" si="7"/>
        <v>2000</v>
      </c>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row>
    <row r="125" spans="1:86" s="81" customFormat="1" ht="32.25" customHeight="1" x14ac:dyDescent="0.2">
      <c r="A125" s="91"/>
      <c r="B125" s="91"/>
      <c r="C125" s="91"/>
      <c r="D125" s="67" t="s">
        <v>295</v>
      </c>
      <c r="E125" s="67" t="s">
        <v>271</v>
      </c>
      <c r="F125" s="99"/>
      <c r="G125" s="77">
        <f t="shared" si="5"/>
        <v>0</v>
      </c>
      <c r="H125" s="82"/>
      <c r="I125" s="99"/>
      <c r="J125" s="77">
        <f t="shared" si="6"/>
        <v>0</v>
      </c>
      <c r="K125" s="78"/>
      <c r="L125" s="78">
        <v>850000</v>
      </c>
      <c r="M125" s="78">
        <f t="shared" si="4"/>
        <v>850000</v>
      </c>
      <c r="N125" s="70">
        <f t="shared" si="7"/>
        <v>850</v>
      </c>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row>
    <row r="126" spans="1:86" s="81" customFormat="1" ht="37.5" customHeight="1" x14ac:dyDescent="0.2">
      <c r="A126" s="91"/>
      <c r="B126" s="91"/>
      <c r="C126" s="91"/>
      <c r="D126" s="67" t="s">
        <v>318</v>
      </c>
      <c r="E126" s="67"/>
      <c r="F126" s="99"/>
      <c r="G126" s="77"/>
      <c r="H126" s="82"/>
      <c r="I126" s="99"/>
      <c r="J126" s="77"/>
      <c r="K126" s="78"/>
      <c r="L126" s="78"/>
      <c r="M126" s="78"/>
      <c r="N126" s="70">
        <v>100</v>
      </c>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row>
    <row r="127" spans="1:86" s="81" customFormat="1" ht="37.5" customHeight="1" x14ac:dyDescent="0.2">
      <c r="A127" s="91"/>
      <c r="B127" s="91"/>
      <c r="C127" s="91"/>
      <c r="D127" s="67" t="s">
        <v>255</v>
      </c>
      <c r="E127" s="67" t="s">
        <v>255</v>
      </c>
      <c r="F127" s="99"/>
      <c r="G127" s="77">
        <f t="shared" si="5"/>
        <v>0</v>
      </c>
      <c r="H127" s="82"/>
      <c r="I127" s="99"/>
      <c r="J127" s="77">
        <f t="shared" si="6"/>
        <v>0</v>
      </c>
      <c r="K127" s="78">
        <v>100000</v>
      </c>
      <c r="L127" s="79"/>
      <c r="M127" s="78">
        <f t="shared" si="4"/>
        <v>100000</v>
      </c>
      <c r="N127" s="70">
        <f t="shared" si="7"/>
        <v>100</v>
      </c>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row>
    <row r="128" spans="1:86" s="81" customFormat="1" ht="20.25" x14ac:dyDescent="0.2">
      <c r="A128" s="91"/>
      <c r="B128" s="91"/>
      <c r="C128" s="91"/>
      <c r="D128" s="67" t="s">
        <v>191</v>
      </c>
      <c r="E128" s="67" t="s">
        <v>191</v>
      </c>
      <c r="F128" s="99"/>
      <c r="G128" s="77">
        <f t="shared" si="5"/>
        <v>0</v>
      </c>
      <c r="H128" s="99"/>
      <c r="I128" s="99"/>
      <c r="J128" s="77">
        <f t="shared" si="6"/>
        <v>0</v>
      </c>
      <c r="K128" s="78">
        <v>500000</v>
      </c>
      <c r="L128" s="79"/>
      <c r="M128" s="78">
        <f t="shared" si="4"/>
        <v>500000</v>
      </c>
      <c r="N128" s="70">
        <f t="shared" si="7"/>
        <v>500</v>
      </c>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row>
    <row r="129" spans="1:86" s="81" customFormat="1" ht="33" customHeight="1" x14ac:dyDescent="0.2">
      <c r="A129" s="91"/>
      <c r="B129" s="91"/>
      <c r="C129" s="91"/>
      <c r="D129" s="67" t="s">
        <v>192</v>
      </c>
      <c r="E129" s="67" t="s">
        <v>192</v>
      </c>
      <c r="F129" s="99"/>
      <c r="G129" s="77">
        <f t="shared" si="5"/>
        <v>0</v>
      </c>
      <c r="H129" s="99"/>
      <c r="I129" s="99"/>
      <c r="J129" s="77">
        <f t="shared" si="6"/>
        <v>0</v>
      </c>
      <c r="K129" s="78">
        <v>4200000</v>
      </c>
      <c r="L129" s="79"/>
      <c r="M129" s="78">
        <f t="shared" si="4"/>
        <v>4200000</v>
      </c>
      <c r="N129" s="70">
        <f>ROUND(M129/1000,1)+2000-150-100-680</f>
        <v>5270</v>
      </c>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row>
    <row r="130" spans="1:86" s="81" customFormat="1" ht="31.5" customHeight="1" x14ac:dyDescent="0.2">
      <c r="A130" s="91"/>
      <c r="B130" s="91"/>
      <c r="C130" s="91"/>
      <c r="D130" s="67" t="s">
        <v>368</v>
      </c>
      <c r="E130" s="67"/>
      <c r="F130" s="99"/>
      <c r="G130" s="77"/>
      <c r="H130" s="99"/>
      <c r="I130" s="99"/>
      <c r="J130" s="77"/>
      <c r="K130" s="78"/>
      <c r="L130" s="79"/>
      <c r="M130" s="78"/>
      <c r="N130" s="70">
        <v>50</v>
      </c>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row>
    <row r="131" spans="1:86" s="124" customFormat="1" ht="31.5" customHeight="1" x14ac:dyDescent="0.2">
      <c r="A131" s="129"/>
      <c r="B131" s="129"/>
      <c r="C131" s="129"/>
      <c r="D131" s="67" t="s">
        <v>333</v>
      </c>
      <c r="E131" s="67"/>
      <c r="F131" s="99"/>
      <c r="G131" s="77"/>
      <c r="H131" s="99"/>
      <c r="I131" s="99"/>
      <c r="J131" s="77"/>
      <c r="K131" s="78"/>
      <c r="L131" s="79"/>
      <c r="M131" s="78"/>
      <c r="N131" s="70">
        <v>50</v>
      </c>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row>
    <row r="132" spans="1:86" s="124" customFormat="1" ht="31.5" customHeight="1" x14ac:dyDescent="0.2">
      <c r="A132" s="129"/>
      <c r="B132" s="129"/>
      <c r="C132" s="129"/>
      <c r="D132" s="67" t="s">
        <v>334</v>
      </c>
      <c r="E132" s="67"/>
      <c r="F132" s="99"/>
      <c r="G132" s="77"/>
      <c r="H132" s="99"/>
      <c r="I132" s="99"/>
      <c r="J132" s="77"/>
      <c r="K132" s="78"/>
      <c r="L132" s="79"/>
      <c r="M132" s="78"/>
      <c r="N132" s="70">
        <v>50</v>
      </c>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c r="CF132" s="123"/>
      <c r="CG132" s="123"/>
      <c r="CH132" s="123"/>
    </row>
    <row r="133" spans="1:86" s="124" customFormat="1" ht="31.5" customHeight="1" x14ac:dyDescent="0.2">
      <c r="A133" s="129"/>
      <c r="B133" s="129"/>
      <c r="C133" s="129"/>
      <c r="D133" s="67" t="s">
        <v>335</v>
      </c>
      <c r="E133" s="67"/>
      <c r="F133" s="99"/>
      <c r="G133" s="77"/>
      <c r="H133" s="99"/>
      <c r="I133" s="99"/>
      <c r="J133" s="77"/>
      <c r="K133" s="78"/>
      <c r="L133" s="79"/>
      <c r="M133" s="78"/>
      <c r="N133" s="70">
        <v>65</v>
      </c>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row>
    <row r="134" spans="1:86" s="124" customFormat="1" ht="31.5" customHeight="1" x14ac:dyDescent="0.2">
      <c r="A134" s="129"/>
      <c r="B134" s="129"/>
      <c r="C134" s="129"/>
      <c r="D134" s="67" t="s">
        <v>336</v>
      </c>
      <c r="E134" s="67"/>
      <c r="F134" s="99"/>
      <c r="G134" s="77"/>
      <c r="H134" s="99"/>
      <c r="I134" s="99"/>
      <c r="J134" s="77"/>
      <c r="K134" s="78"/>
      <c r="L134" s="79"/>
      <c r="M134" s="78"/>
      <c r="N134" s="70">
        <v>35</v>
      </c>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c r="CF134" s="123"/>
      <c r="CG134" s="123"/>
      <c r="CH134" s="123"/>
    </row>
    <row r="135" spans="1:86" s="124" customFormat="1" ht="31.5" customHeight="1" x14ac:dyDescent="0.2">
      <c r="A135" s="129"/>
      <c r="B135" s="129"/>
      <c r="C135" s="129"/>
      <c r="D135" s="67" t="s">
        <v>351</v>
      </c>
      <c r="E135" s="67"/>
      <c r="F135" s="99"/>
      <c r="G135" s="77"/>
      <c r="H135" s="99"/>
      <c r="I135" s="99"/>
      <c r="J135" s="77"/>
      <c r="K135" s="78"/>
      <c r="L135" s="79"/>
      <c r="M135" s="78"/>
      <c r="N135" s="70">
        <v>100</v>
      </c>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row>
    <row r="136" spans="1:86" s="124" customFormat="1" ht="31.5" customHeight="1" x14ac:dyDescent="0.2">
      <c r="A136" s="129"/>
      <c r="B136" s="129"/>
      <c r="C136" s="129"/>
      <c r="D136" s="67" t="s">
        <v>337</v>
      </c>
      <c r="E136" s="67"/>
      <c r="F136" s="99"/>
      <c r="G136" s="77"/>
      <c r="H136" s="99"/>
      <c r="I136" s="99"/>
      <c r="J136" s="77"/>
      <c r="K136" s="78"/>
      <c r="L136" s="79"/>
      <c r="M136" s="78"/>
      <c r="N136" s="70">
        <v>50</v>
      </c>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c r="CF136" s="123"/>
      <c r="CG136" s="123"/>
      <c r="CH136" s="123"/>
    </row>
    <row r="137" spans="1:86" s="124" customFormat="1" ht="31.5" customHeight="1" x14ac:dyDescent="0.2">
      <c r="A137" s="129"/>
      <c r="B137" s="129"/>
      <c r="C137" s="129"/>
      <c r="D137" s="67" t="s">
        <v>338</v>
      </c>
      <c r="E137" s="67"/>
      <c r="F137" s="99"/>
      <c r="G137" s="77"/>
      <c r="H137" s="99"/>
      <c r="I137" s="99"/>
      <c r="J137" s="77"/>
      <c r="K137" s="78"/>
      <c r="L137" s="79"/>
      <c r="M137" s="78"/>
      <c r="N137" s="70">
        <v>50</v>
      </c>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row>
    <row r="138" spans="1:86" s="124" customFormat="1" ht="31.5" customHeight="1" x14ac:dyDescent="0.2">
      <c r="A138" s="129"/>
      <c r="B138" s="129"/>
      <c r="C138" s="129"/>
      <c r="D138" s="67" t="s">
        <v>339</v>
      </c>
      <c r="E138" s="67"/>
      <c r="F138" s="99"/>
      <c r="G138" s="77"/>
      <c r="H138" s="99"/>
      <c r="I138" s="99"/>
      <c r="J138" s="77"/>
      <c r="K138" s="78"/>
      <c r="L138" s="79"/>
      <c r="M138" s="78"/>
      <c r="N138" s="70">
        <v>50</v>
      </c>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c r="CF138" s="123"/>
      <c r="CG138" s="123"/>
      <c r="CH138" s="123"/>
    </row>
    <row r="139" spans="1:86" s="124" customFormat="1" ht="31.5" customHeight="1" x14ac:dyDescent="0.2">
      <c r="A139" s="129"/>
      <c r="B139" s="129"/>
      <c r="C139" s="129"/>
      <c r="D139" s="67" t="s">
        <v>340</v>
      </c>
      <c r="E139" s="67"/>
      <c r="F139" s="99"/>
      <c r="G139" s="77"/>
      <c r="H139" s="99"/>
      <c r="I139" s="99"/>
      <c r="J139" s="77"/>
      <c r="K139" s="78"/>
      <c r="L139" s="79"/>
      <c r="M139" s="78"/>
      <c r="N139" s="70">
        <v>50</v>
      </c>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c r="CF139" s="123"/>
      <c r="CG139" s="123"/>
      <c r="CH139" s="123"/>
    </row>
    <row r="140" spans="1:86" s="124" customFormat="1" ht="31.5" customHeight="1" x14ac:dyDescent="0.2">
      <c r="A140" s="129"/>
      <c r="B140" s="129"/>
      <c r="C140" s="129"/>
      <c r="D140" s="67" t="s">
        <v>341</v>
      </c>
      <c r="E140" s="67"/>
      <c r="F140" s="99"/>
      <c r="G140" s="77"/>
      <c r="H140" s="99"/>
      <c r="I140" s="99"/>
      <c r="J140" s="77"/>
      <c r="K140" s="78"/>
      <c r="L140" s="79"/>
      <c r="M140" s="78"/>
      <c r="N140" s="70">
        <v>50</v>
      </c>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row>
    <row r="141" spans="1:86" s="124" customFormat="1" ht="31.5" customHeight="1" x14ac:dyDescent="0.2">
      <c r="A141" s="129"/>
      <c r="B141" s="129"/>
      <c r="C141" s="129"/>
      <c r="D141" s="67" t="s">
        <v>342</v>
      </c>
      <c r="E141" s="67"/>
      <c r="F141" s="99"/>
      <c r="G141" s="77"/>
      <c r="H141" s="99"/>
      <c r="I141" s="99"/>
      <c r="J141" s="77"/>
      <c r="K141" s="78"/>
      <c r="L141" s="79"/>
      <c r="M141" s="78"/>
      <c r="N141" s="70">
        <v>50</v>
      </c>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row>
    <row r="142" spans="1:86" s="124" customFormat="1" ht="31.5" customHeight="1" x14ac:dyDescent="0.2">
      <c r="A142" s="129"/>
      <c r="B142" s="129"/>
      <c r="C142" s="129"/>
      <c r="D142" s="67" t="s">
        <v>343</v>
      </c>
      <c r="E142" s="67"/>
      <c r="F142" s="99"/>
      <c r="G142" s="77"/>
      <c r="H142" s="99"/>
      <c r="I142" s="99"/>
      <c r="J142" s="77"/>
      <c r="K142" s="78"/>
      <c r="L142" s="79"/>
      <c r="M142" s="78"/>
      <c r="N142" s="70">
        <v>50</v>
      </c>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row>
    <row r="143" spans="1:86" s="124" customFormat="1" ht="31.5" customHeight="1" x14ac:dyDescent="0.2">
      <c r="A143" s="129"/>
      <c r="B143" s="129"/>
      <c r="C143" s="129"/>
      <c r="D143" s="67" t="s">
        <v>344</v>
      </c>
      <c r="E143" s="67"/>
      <c r="F143" s="99"/>
      <c r="G143" s="77"/>
      <c r="H143" s="99"/>
      <c r="I143" s="99"/>
      <c r="J143" s="77"/>
      <c r="K143" s="78"/>
      <c r="L143" s="79"/>
      <c r="M143" s="78"/>
      <c r="N143" s="70">
        <v>50</v>
      </c>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row>
    <row r="144" spans="1:86" s="124" customFormat="1" ht="31.5" customHeight="1" x14ac:dyDescent="0.2">
      <c r="A144" s="129"/>
      <c r="B144" s="129"/>
      <c r="C144" s="129"/>
      <c r="D144" s="67" t="s">
        <v>345</v>
      </c>
      <c r="E144" s="67"/>
      <c r="F144" s="99"/>
      <c r="G144" s="77"/>
      <c r="H144" s="99"/>
      <c r="I144" s="99"/>
      <c r="J144" s="77"/>
      <c r="K144" s="78"/>
      <c r="L144" s="79"/>
      <c r="M144" s="78"/>
      <c r="N144" s="70">
        <v>50</v>
      </c>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23"/>
      <c r="CE144" s="123"/>
      <c r="CF144" s="123"/>
      <c r="CG144" s="123"/>
      <c r="CH144" s="123"/>
    </row>
    <row r="145" spans="1:86" s="124" customFormat="1" ht="31.5" customHeight="1" x14ac:dyDescent="0.2">
      <c r="A145" s="129"/>
      <c r="B145" s="129"/>
      <c r="C145" s="129"/>
      <c r="D145" s="67" t="s">
        <v>346</v>
      </c>
      <c r="E145" s="67"/>
      <c r="F145" s="99"/>
      <c r="G145" s="77"/>
      <c r="H145" s="99"/>
      <c r="I145" s="99"/>
      <c r="J145" s="77"/>
      <c r="K145" s="78"/>
      <c r="L145" s="79"/>
      <c r="M145" s="78"/>
      <c r="N145" s="70">
        <v>50</v>
      </c>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row>
    <row r="146" spans="1:86" s="124" customFormat="1" ht="36.75" customHeight="1" x14ac:dyDescent="0.2">
      <c r="A146" s="129"/>
      <c r="B146" s="129"/>
      <c r="C146" s="129"/>
      <c r="D146" s="60" t="s">
        <v>193</v>
      </c>
      <c r="E146" s="60" t="s">
        <v>193</v>
      </c>
      <c r="F146" s="99"/>
      <c r="G146" s="77">
        <f t="shared" si="5"/>
        <v>0</v>
      </c>
      <c r="H146" s="99"/>
      <c r="I146" s="99"/>
      <c r="J146" s="77">
        <f t="shared" si="6"/>
        <v>0</v>
      </c>
      <c r="K146" s="78">
        <v>45000</v>
      </c>
      <c r="L146" s="79"/>
      <c r="M146" s="78">
        <f t="shared" si="4"/>
        <v>45000</v>
      </c>
      <c r="N146" s="70">
        <f t="shared" si="7"/>
        <v>45</v>
      </c>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row>
    <row r="147" spans="1:86" s="81" customFormat="1" ht="36.75" customHeight="1" x14ac:dyDescent="0.2">
      <c r="A147" s="91"/>
      <c r="B147" s="91"/>
      <c r="C147" s="91"/>
      <c r="D147" s="60" t="s">
        <v>194</v>
      </c>
      <c r="E147" s="60" t="s">
        <v>194</v>
      </c>
      <c r="F147" s="99"/>
      <c r="G147" s="77">
        <f t="shared" si="5"/>
        <v>0</v>
      </c>
      <c r="H147" s="99"/>
      <c r="I147" s="99"/>
      <c r="J147" s="77">
        <f t="shared" si="6"/>
        <v>0</v>
      </c>
      <c r="K147" s="78">
        <v>44565</v>
      </c>
      <c r="L147" s="79"/>
      <c r="M147" s="78">
        <f t="shared" si="4"/>
        <v>44565</v>
      </c>
      <c r="N147" s="70">
        <f>ROUND(M147/1000,1)+6.2</f>
        <v>50.800000000000004</v>
      </c>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row>
    <row r="148" spans="1:86" s="81" customFormat="1" ht="36.75" customHeight="1" x14ac:dyDescent="0.2">
      <c r="A148" s="91"/>
      <c r="B148" s="91"/>
      <c r="C148" s="91"/>
      <c r="D148" s="60" t="s">
        <v>195</v>
      </c>
      <c r="E148" s="60" t="s">
        <v>195</v>
      </c>
      <c r="F148" s="99"/>
      <c r="G148" s="77">
        <f t="shared" si="5"/>
        <v>0</v>
      </c>
      <c r="H148" s="99"/>
      <c r="I148" s="99"/>
      <c r="J148" s="77">
        <f t="shared" si="6"/>
        <v>0</v>
      </c>
      <c r="K148" s="78">
        <v>29703</v>
      </c>
      <c r="L148" s="79"/>
      <c r="M148" s="78">
        <f t="shared" si="4"/>
        <v>29703</v>
      </c>
      <c r="N148" s="70">
        <f>ROUND(M148/1000,1)+9.1</f>
        <v>38.799999999999997</v>
      </c>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row>
    <row r="149" spans="1:86" s="81" customFormat="1" ht="33.75" customHeight="1" x14ac:dyDescent="0.2">
      <c r="A149" s="91"/>
      <c r="B149" s="91"/>
      <c r="C149" s="91"/>
      <c r="D149" s="60" t="s">
        <v>323</v>
      </c>
      <c r="E149" s="60"/>
      <c r="F149" s="99"/>
      <c r="G149" s="77"/>
      <c r="H149" s="99"/>
      <c r="I149" s="99"/>
      <c r="J149" s="77"/>
      <c r="K149" s="78"/>
      <c r="L149" s="79"/>
      <c r="M149" s="78"/>
      <c r="N149" s="70">
        <f>5.6+47.6</f>
        <v>53.2</v>
      </c>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row>
    <row r="150" spans="1:86" s="81" customFormat="1" ht="33.75" customHeight="1" x14ac:dyDescent="0.2">
      <c r="A150" s="91"/>
      <c r="B150" s="91"/>
      <c r="C150" s="91"/>
      <c r="D150" s="60" t="s">
        <v>196</v>
      </c>
      <c r="E150" s="60" t="s">
        <v>196</v>
      </c>
      <c r="F150" s="99"/>
      <c r="G150" s="77">
        <f t="shared" si="5"/>
        <v>0</v>
      </c>
      <c r="H150" s="99"/>
      <c r="I150" s="99"/>
      <c r="J150" s="77">
        <f t="shared" si="6"/>
        <v>0</v>
      </c>
      <c r="K150" s="78">
        <v>41338</v>
      </c>
      <c r="L150" s="79"/>
      <c r="M150" s="78">
        <f t="shared" si="4"/>
        <v>41338</v>
      </c>
      <c r="N150" s="70">
        <f>ROUND(M150/1000,1)+45.6</f>
        <v>86.9</v>
      </c>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row>
    <row r="151" spans="1:86" s="81" customFormat="1" ht="41.25" customHeight="1" x14ac:dyDescent="0.2">
      <c r="A151" s="91"/>
      <c r="B151" s="91"/>
      <c r="C151" s="91"/>
      <c r="D151" s="60" t="s">
        <v>197</v>
      </c>
      <c r="E151" s="60" t="s">
        <v>197</v>
      </c>
      <c r="F151" s="99"/>
      <c r="G151" s="77">
        <f t="shared" si="5"/>
        <v>0</v>
      </c>
      <c r="H151" s="99"/>
      <c r="I151" s="99"/>
      <c r="J151" s="77">
        <f t="shared" si="6"/>
        <v>0</v>
      </c>
      <c r="K151" s="78">
        <v>70000</v>
      </c>
      <c r="L151" s="79"/>
      <c r="M151" s="78">
        <f t="shared" si="4"/>
        <v>70000</v>
      </c>
      <c r="N151" s="70">
        <f t="shared" si="7"/>
        <v>70</v>
      </c>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row>
    <row r="152" spans="1:86" s="27" customFormat="1" ht="34.5" customHeight="1" x14ac:dyDescent="0.2">
      <c r="A152" s="26"/>
      <c r="B152" s="26"/>
      <c r="C152" s="26"/>
      <c r="D152" s="60" t="s">
        <v>256</v>
      </c>
      <c r="E152" s="60" t="s">
        <v>256</v>
      </c>
      <c r="F152" s="99"/>
      <c r="G152" s="77">
        <f t="shared" si="5"/>
        <v>0</v>
      </c>
      <c r="H152" s="99"/>
      <c r="I152" s="99"/>
      <c r="J152" s="77">
        <f t="shared" si="6"/>
        <v>0</v>
      </c>
      <c r="K152" s="78">
        <v>100000</v>
      </c>
      <c r="L152" s="79"/>
      <c r="M152" s="78">
        <f t="shared" si="4"/>
        <v>100000</v>
      </c>
      <c r="N152" s="70">
        <f t="shared" si="7"/>
        <v>100</v>
      </c>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row>
    <row r="153" spans="1:86" s="27" customFormat="1" ht="39.75" customHeight="1" x14ac:dyDescent="0.2">
      <c r="A153" s="26"/>
      <c r="B153" s="26"/>
      <c r="C153" s="26"/>
      <c r="D153" s="67" t="s">
        <v>198</v>
      </c>
      <c r="E153" s="67" t="s">
        <v>198</v>
      </c>
      <c r="F153" s="99"/>
      <c r="G153" s="77">
        <f t="shared" si="5"/>
        <v>0</v>
      </c>
      <c r="H153" s="99"/>
      <c r="I153" s="99"/>
      <c r="J153" s="77">
        <f t="shared" si="6"/>
        <v>0</v>
      </c>
      <c r="K153" s="78">
        <v>375963</v>
      </c>
      <c r="L153" s="79"/>
      <c r="M153" s="78">
        <f t="shared" si="4"/>
        <v>375963</v>
      </c>
      <c r="N153" s="70">
        <f t="shared" si="7"/>
        <v>376</v>
      </c>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row>
    <row r="154" spans="1:86" s="27" customFormat="1" ht="40.5" x14ac:dyDescent="0.2">
      <c r="A154" s="26"/>
      <c r="B154" s="26"/>
      <c r="C154" s="26"/>
      <c r="D154" s="67" t="s">
        <v>199</v>
      </c>
      <c r="E154" s="67" t="s">
        <v>199</v>
      </c>
      <c r="F154" s="99"/>
      <c r="G154" s="77">
        <f t="shared" si="5"/>
        <v>0</v>
      </c>
      <c r="H154" s="99"/>
      <c r="I154" s="99"/>
      <c r="J154" s="77">
        <f t="shared" si="6"/>
        <v>0</v>
      </c>
      <c r="K154" s="78">
        <v>499988</v>
      </c>
      <c r="L154" s="79"/>
      <c r="M154" s="78">
        <f t="shared" si="4"/>
        <v>499988</v>
      </c>
      <c r="N154" s="70">
        <f t="shared" si="7"/>
        <v>500</v>
      </c>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row>
    <row r="155" spans="1:86" s="27" customFormat="1" ht="40.5" x14ac:dyDescent="0.2">
      <c r="A155" s="26"/>
      <c r="B155" s="26"/>
      <c r="C155" s="26"/>
      <c r="D155" s="67" t="s">
        <v>230</v>
      </c>
      <c r="E155" s="67" t="s">
        <v>230</v>
      </c>
      <c r="F155" s="99"/>
      <c r="G155" s="77">
        <f t="shared" si="5"/>
        <v>0</v>
      </c>
      <c r="H155" s="99"/>
      <c r="I155" s="99"/>
      <c r="J155" s="77">
        <f t="shared" si="6"/>
        <v>0</v>
      </c>
      <c r="K155" s="78">
        <v>420000</v>
      </c>
      <c r="L155" s="79"/>
      <c r="M155" s="78">
        <f t="shared" si="4"/>
        <v>420000</v>
      </c>
      <c r="N155" s="70">
        <f t="shared" si="7"/>
        <v>420</v>
      </c>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row>
    <row r="156" spans="1:86" s="27" customFormat="1" ht="40.5" x14ac:dyDescent="0.2">
      <c r="A156" s="26"/>
      <c r="B156" s="26"/>
      <c r="C156" s="26"/>
      <c r="D156" s="67" t="s">
        <v>201</v>
      </c>
      <c r="E156" s="67" t="s">
        <v>201</v>
      </c>
      <c r="F156" s="99"/>
      <c r="G156" s="77">
        <f t="shared" si="5"/>
        <v>0</v>
      </c>
      <c r="H156" s="99"/>
      <c r="I156" s="99"/>
      <c r="J156" s="77">
        <f t="shared" si="6"/>
        <v>0</v>
      </c>
      <c r="K156" s="78">
        <v>500000</v>
      </c>
      <c r="L156" s="79"/>
      <c r="M156" s="78">
        <f t="shared" si="4"/>
        <v>500000</v>
      </c>
      <c r="N156" s="70">
        <f t="shared" si="7"/>
        <v>500</v>
      </c>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row>
    <row r="157" spans="1:86" s="27" customFormat="1" ht="60" customHeight="1" x14ac:dyDescent="0.2">
      <c r="A157" s="26"/>
      <c r="B157" s="26"/>
      <c r="C157" s="26"/>
      <c r="D157" s="67" t="s">
        <v>200</v>
      </c>
      <c r="E157" s="67" t="s">
        <v>200</v>
      </c>
      <c r="F157" s="99"/>
      <c r="G157" s="77">
        <f t="shared" si="5"/>
        <v>0</v>
      </c>
      <c r="H157" s="99"/>
      <c r="I157" s="99"/>
      <c r="J157" s="77">
        <f t="shared" si="6"/>
        <v>0</v>
      </c>
      <c r="K157" s="78">
        <v>492000</v>
      </c>
      <c r="L157" s="79"/>
      <c r="M157" s="78">
        <f t="shared" si="4"/>
        <v>492000</v>
      </c>
      <c r="N157" s="70">
        <f t="shared" si="7"/>
        <v>492</v>
      </c>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row>
    <row r="158" spans="1:86" s="27" customFormat="1" ht="41.25" customHeight="1" x14ac:dyDescent="0.2">
      <c r="A158" s="26"/>
      <c r="B158" s="26"/>
      <c r="C158" s="26"/>
      <c r="D158" s="60" t="s">
        <v>231</v>
      </c>
      <c r="E158" s="60" t="s">
        <v>231</v>
      </c>
      <c r="F158" s="99"/>
      <c r="G158" s="77">
        <f t="shared" si="5"/>
        <v>0</v>
      </c>
      <c r="H158" s="99"/>
      <c r="I158" s="99"/>
      <c r="J158" s="77">
        <f t="shared" si="6"/>
        <v>0</v>
      </c>
      <c r="K158" s="78">
        <v>406110</v>
      </c>
      <c r="L158" s="79"/>
      <c r="M158" s="78">
        <f t="shared" si="4"/>
        <v>406110</v>
      </c>
      <c r="N158" s="70">
        <f t="shared" si="7"/>
        <v>406.1</v>
      </c>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row>
    <row r="159" spans="1:86" s="27" customFormat="1" ht="42.75" customHeight="1" x14ac:dyDescent="0.2">
      <c r="A159" s="26"/>
      <c r="B159" s="26"/>
      <c r="C159" s="26"/>
      <c r="D159" s="60" t="s">
        <v>286</v>
      </c>
      <c r="E159" s="60" t="s">
        <v>286</v>
      </c>
      <c r="F159" s="99"/>
      <c r="G159" s="77">
        <f t="shared" si="5"/>
        <v>0</v>
      </c>
      <c r="H159" s="99"/>
      <c r="I159" s="99"/>
      <c r="J159" s="77">
        <f t="shared" si="6"/>
        <v>0</v>
      </c>
      <c r="K159" s="78"/>
      <c r="L159" s="78">
        <v>500000</v>
      </c>
      <c r="M159" s="78">
        <f t="shared" si="4"/>
        <v>500000</v>
      </c>
      <c r="N159" s="70">
        <f t="shared" si="7"/>
        <v>500</v>
      </c>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row>
    <row r="160" spans="1:86" s="27" customFormat="1" ht="36.75" customHeight="1" x14ac:dyDescent="0.2">
      <c r="A160" s="26"/>
      <c r="B160" s="26"/>
      <c r="C160" s="26"/>
      <c r="D160" s="138" t="s">
        <v>347</v>
      </c>
      <c r="E160" s="60"/>
      <c r="F160" s="99"/>
      <c r="G160" s="77"/>
      <c r="H160" s="99"/>
      <c r="I160" s="99"/>
      <c r="J160" s="77"/>
      <c r="K160" s="78"/>
      <c r="L160" s="78"/>
      <c r="M160" s="78"/>
      <c r="N160" s="70">
        <v>50</v>
      </c>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row>
    <row r="161" spans="1:86" s="124" customFormat="1" ht="36.75" customHeight="1" x14ac:dyDescent="0.2">
      <c r="A161" s="129"/>
      <c r="B161" s="129"/>
      <c r="C161" s="129"/>
      <c r="D161" s="138" t="s">
        <v>348</v>
      </c>
      <c r="E161" s="60"/>
      <c r="F161" s="99"/>
      <c r="G161" s="77"/>
      <c r="H161" s="99"/>
      <c r="I161" s="99"/>
      <c r="J161" s="77"/>
      <c r="K161" s="78"/>
      <c r="L161" s="78"/>
      <c r="M161" s="78"/>
      <c r="N161" s="70">
        <v>35</v>
      </c>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row>
    <row r="162" spans="1:86" s="124" customFormat="1" ht="36.75" customHeight="1" x14ac:dyDescent="0.2">
      <c r="A162" s="129"/>
      <c r="B162" s="129"/>
      <c r="C162" s="129"/>
      <c r="D162" s="138" t="s">
        <v>349</v>
      </c>
      <c r="E162" s="60"/>
      <c r="F162" s="99"/>
      <c r="G162" s="77"/>
      <c r="H162" s="99"/>
      <c r="I162" s="99"/>
      <c r="J162" s="77"/>
      <c r="K162" s="78"/>
      <c r="L162" s="78"/>
      <c r="M162" s="78"/>
      <c r="N162" s="70">
        <f>65+80</f>
        <v>145</v>
      </c>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row>
    <row r="163" spans="1:86" s="124" customFormat="1" ht="36.75" customHeight="1" x14ac:dyDescent="0.2">
      <c r="A163" s="129"/>
      <c r="B163" s="129"/>
      <c r="C163" s="129"/>
      <c r="D163" s="60" t="s">
        <v>282</v>
      </c>
      <c r="E163" s="60" t="s">
        <v>282</v>
      </c>
      <c r="F163" s="99"/>
      <c r="G163" s="77">
        <f t="shared" si="5"/>
        <v>0</v>
      </c>
      <c r="H163" s="99"/>
      <c r="I163" s="99"/>
      <c r="J163" s="77">
        <f t="shared" si="6"/>
        <v>0</v>
      </c>
      <c r="K163" s="78"/>
      <c r="L163" s="78">
        <v>10500</v>
      </c>
      <c r="M163" s="78">
        <f t="shared" si="4"/>
        <v>10500</v>
      </c>
      <c r="N163" s="70">
        <f t="shared" si="7"/>
        <v>10.5</v>
      </c>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row>
    <row r="164" spans="1:86" s="27" customFormat="1" ht="35.25" customHeight="1" x14ac:dyDescent="0.2">
      <c r="A164" s="26"/>
      <c r="B164" s="26"/>
      <c r="C164" s="26"/>
      <c r="D164" s="60" t="s">
        <v>283</v>
      </c>
      <c r="E164" s="60" t="s">
        <v>283</v>
      </c>
      <c r="F164" s="99"/>
      <c r="G164" s="77">
        <f t="shared" si="5"/>
        <v>0</v>
      </c>
      <c r="H164" s="99"/>
      <c r="I164" s="99"/>
      <c r="J164" s="77">
        <f t="shared" si="6"/>
        <v>0</v>
      </c>
      <c r="K164" s="78"/>
      <c r="L164" s="78">
        <v>10500</v>
      </c>
      <c r="M164" s="78">
        <f t="shared" si="4"/>
        <v>10500</v>
      </c>
      <c r="N164" s="70">
        <f t="shared" si="7"/>
        <v>10.5</v>
      </c>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row>
    <row r="165" spans="1:86" s="27" customFormat="1" ht="39.75" customHeight="1" x14ac:dyDescent="0.2">
      <c r="A165" s="26"/>
      <c r="B165" s="26"/>
      <c r="C165" s="26"/>
      <c r="D165" s="60" t="s">
        <v>350</v>
      </c>
      <c r="E165" s="60"/>
      <c r="F165" s="99"/>
      <c r="G165" s="77"/>
      <c r="H165" s="99"/>
      <c r="I165" s="99"/>
      <c r="J165" s="77"/>
      <c r="K165" s="78"/>
      <c r="L165" s="78"/>
      <c r="M165" s="78"/>
      <c r="N165" s="70">
        <v>2.1</v>
      </c>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row>
    <row r="166" spans="1:86" s="124" customFormat="1" ht="39.75" customHeight="1" x14ac:dyDescent="0.2">
      <c r="A166" s="129"/>
      <c r="B166" s="129"/>
      <c r="C166" s="129"/>
      <c r="D166" s="58" t="s">
        <v>203</v>
      </c>
      <c r="E166" s="58" t="s">
        <v>203</v>
      </c>
      <c r="F166" s="139"/>
      <c r="G166" s="77">
        <f t="shared" si="5"/>
        <v>0</v>
      </c>
      <c r="H166" s="99"/>
      <c r="I166" s="139"/>
      <c r="J166" s="77">
        <f t="shared" si="6"/>
        <v>0</v>
      </c>
      <c r="K166" s="90">
        <f>SUM(K167:K171)</f>
        <v>350000</v>
      </c>
      <c r="L166" s="90">
        <f>SUM(L167:L171)</f>
        <v>0</v>
      </c>
      <c r="M166" s="90">
        <f>SUM(M167:M171)</f>
        <v>350000</v>
      </c>
      <c r="N166" s="59">
        <f>SUM(N167:N171)</f>
        <v>350</v>
      </c>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row>
    <row r="167" spans="1:86" s="38" customFormat="1" ht="36" customHeight="1" x14ac:dyDescent="0.2">
      <c r="A167" s="25"/>
      <c r="B167" s="25"/>
      <c r="C167" s="25"/>
      <c r="D167" s="67" t="s">
        <v>225</v>
      </c>
      <c r="E167" s="67" t="s">
        <v>225</v>
      </c>
      <c r="F167" s="99"/>
      <c r="G167" s="77">
        <f t="shared" si="5"/>
        <v>0</v>
      </c>
      <c r="H167" s="99"/>
      <c r="I167" s="99"/>
      <c r="J167" s="77">
        <f t="shared" si="6"/>
        <v>0</v>
      </c>
      <c r="K167" s="78">
        <v>70000</v>
      </c>
      <c r="L167" s="79"/>
      <c r="M167" s="78">
        <f t="shared" si="4"/>
        <v>70000</v>
      </c>
      <c r="N167" s="70">
        <f t="shared" si="7"/>
        <v>70</v>
      </c>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row>
    <row r="168" spans="1:86" s="27" customFormat="1" ht="42.75" customHeight="1" x14ac:dyDescent="0.2">
      <c r="A168" s="26"/>
      <c r="B168" s="26"/>
      <c r="C168" s="26"/>
      <c r="D168" s="67" t="s">
        <v>247</v>
      </c>
      <c r="E168" s="67" t="s">
        <v>247</v>
      </c>
      <c r="F168" s="99"/>
      <c r="G168" s="77">
        <f t="shared" si="5"/>
        <v>0</v>
      </c>
      <c r="H168" s="99"/>
      <c r="I168" s="99"/>
      <c r="J168" s="77">
        <f t="shared" si="6"/>
        <v>0</v>
      </c>
      <c r="K168" s="78">
        <v>70000</v>
      </c>
      <c r="L168" s="79"/>
      <c r="M168" s="78">
        <f t="shared" si="4"/>
        <v>70000</v>
      </c>
      <c r="N168" s="70">
        <f t="shared" si="7"/>
        <v>70</v>
      </c>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row>
    <row r="169" spans="1:86" s="27" customFormat="1" ht="42.75" customHeight="1" x14ac:dyDescent="0.2">
      <c r="A169" s="26"/>
      <c r="B169" s="26"/>
      <c r="C169" s="26"/>
      <c r="D169" s="67" t="s">
        <v>226</v>
      </c>
      <c r="E169" s="67" t="s">
        <v>226</v>
      </c>
      <c r="F169" s="99"/>
      <c r="G169" s="77">
        <f t="shared" si="5"/>
        <v>0</v>
      </c>
      <c r="H169" s="99"/>
      <c r="I169" s="99"/>
      <c r="J169" s="77">
        <f t="shared" si="6"/>
        <v>0</v>
      </c>
      <c r="K169" s="78">
        <v>70000</v>
      </c>
      <c r="L169" s="79"/>
      <c r="M169" s="78">
        <f t="shared" si="4"/>
        <v>70000</v>
      </c>
      <c r="N169" s="70">
        <f t="shared" si="7"/>
        <v>70</v>
      </c>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row>
    <row r="170" spans="1:86" s="27" customFormat="1" ht="42.75" customHeight="1" x14ac:dyDescent="0.2">
      <c r="A170" s="26"/>
      <c r="B170" s="26"/>
      <c r="C170" s="26"/>
      <c r="D170" s="67" t="s">
        <v>227</v>
      </c>
      <c r="E170" s="67" t="s">
        <v>227</v>
      </c>
      <c r="F170" s="99"/>
      <c r="G170" s="77">
        <f t="shared" ref="G170:G241" si="8">ROUND(F170/1000,1)</f>
        <v>0</v>
      </c>
      <c r="H170" s="99"/>
      <c r="I170" s="99"/>
      <c r="J170" s="77">
        <f t="shared" ref="J170:J241" si="9">ROUND(I170/1000,1)</f>
        <v>0</v>
      </c>
      <c r="K170" s="78">
        <v>70000</v>
      </c>
      <c r="L170" s="79"/>
      <c r="M170" s="78">
        <f t="shared" si="4"/>
        <v>70000</v>
      </c>
      <c r="N170" s="70">
        <f t="shared" ref="N170:N236" si="10">ROUND(M170/1000,1)</f>
        <v>70</v>
      </c>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row>
    <row r="171" spans="1:86" s="27" customFormat="1" ht="42.75" customHeight="1" x14ac:dyDescent="0.2">
      <c r="A171" s="26"/>
      <c r="B171" s="26"/>
      <c r="C171" s="26"/>
      <c r="D171" s="67" t="s">
        <v>228</v>
      </c>
      <c r="E171" s="67" t="s">
        <v>228</v>
      </c>
      <c r="F171" s="99"/>
      <c r="G171" s="77">
        <f t="shared" si="8"/>
        <v>0</v>
      </c>
      <c r="H171" s="99"/>
      <c r="I171" s="99"/>
      <c r="J171" s="77">
        <f t="shared" si="9"/>
        <v>0</v>
      </c>
      <c r="K171" s="78">
        <v>70000</v>
      </c>
      <c r="L171" s="79"/>
      <c r="M171" s="78">
        <f t="shared" si="4"/>
        <v>70000</v>
      </c>
      <c r="N171" s="70">
        <f t="shared" si="10"/>
        <v>70</v>
      </c>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row>
    <row r="172" spans="1:86" s="27" customFormat="1" ht="42.75" customHeight="1" x14ac:dyDescent="0.2">
      <c r="A172" s="26"/>
      <c r="B172" s="26"/>
      <c r="C172" s="26"/>
      <c r="D172" s="58" t="s">
        <v>202</v>
      </c>
      <c r="E172" s="58" t="s">
        <v>202</v>
      </c>
      <c r="F172" s="139"/>
      <c r="G172" s="77">
        <f t="shared" si="8"/>
        <v>0</v>
      </c>
      <c r="H172" s="99"/>
      <c r="I172" s="139"/>
      <c r="J172" s="77">
        <f t="shared" si="9"/>
        <v>0</v>
      </c>
      <c r="K172" s="90">
        <f>SUM(K173:K220)</f>
        <v>49782407</v>
      </c>
      <c r="L172" s="90">
        <f>SUM(L173:L220)</f>
        <v>31672041</v>
      </c>
      <c r="M172" s="90">
        <f>SUM(M173:M220)</f>
        <v>81454448</v>
      </c>
      <c r="N172" s="59">
        <f>SUM(N173:N220)</f>
        <v>80959.400000000009</v>
      </c>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row>
    <row r="173" spans="1:86" s="38" customFormat="1" ht="29.25" customHeight="1" x14ac:dyDescent="0.2">
      <c r="A173" s="25"/>
      <c r="B173" s="25"/>
      <c r="C173" s="25"/>
      <c r="D173" s="67" t="s">
        <v>204</v>
      </c>
      <c r="E173" s="67" t="s">
        <v>204</v>
      </c>
      <c r="F173" s="99">
        <v>9995386</v>
      </c>
      <c r="G173" s="77">
        <f t="shared" si="8"/>
        <v>9995.4</v>
      </c>
      <c r="H173" s="99">
        <v>24</v>
      </c>
      <c r="I173" s="99">
        <v>2401568</v>
      </c>
      <c r="J173" s="77">
        <f t="shared" si="9"/>
        <v>2401.6</v>
      </c>
      <c r="K173" s="78">
        <v>200000</v>
      </c>
      <c r="L173" s="78">
        <v>500000</v>
      </c>
      <c r="M173" s="78">
        <f t="shared" ref="M173:M239" si="11">K173+L173</f>
        <v>700000</v>
      </c>
      <c r="N173" s="70">
        <f t="shared" si="10"/>
        <v>700</v>
      </c>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row>
    <row r="174" spans="1:86" s="27" customFormat="1" ht="40.5" x14ac:dyDescent="0.2">
      <c r="A174" s="26"/>
      <c r="B174" s="26"/>
      <c r="C174" s="26"/>
      <c r="D174" s="67" t="s">
        <v>205</v>
      </c>
      <c r="E174" s="67" t="s">
        <v>205</v>
      </c>
      <c r="F174" s="99">
        <v>11282117</v>
      </c>
      <c r="G174" s="77">
        <f t="shared" si="8"/>
        <v>11282.1</v>
      </c>
      <c r="H174" s="99">
        <v>61</v>
      </c>
      <c r="I174" s="99">
        <v>6879469</v>
      </c>
      <c r="J174" s="77">
        <f t="shared" si="9"/>
        <v>6879.5</v>
      </c>
      <c r="K174" s="78">
        <v>1000000</v>
      </c>
      <c r="L174" s="78">
        <v>2050000</v>
      </c>
      <c r="M174" s="78">
        <f t="shared" si="11"/>
        <v>3050000</v>
      </c>
      <c r="N174" s="70">
        <f t="shared" si="10"/>
        <v>3050</v>
      </c>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row>
    <row r="175" spans="1:86" s="27" customFormat="1" ht="90" customHeight="1" x14ac:dyDescent="0.2">
      <c r="A175" s="26"/>
      <c r="B175" s="26"/>
      <c r="C175" s="26"/>
      <c r="D175" s="60" t="s">
        <v>275</v>
      </c>
      <c r="E175" s="60" t="s">
        <v>275</v>
      </c>
      <c r="F175" s="99"/>
      <c r="G175" s="77">
        <f t="shared" si="8"/>
        <v>0</v>
      </c>
      <c r="H175" s="99"/>
      <c r="I175" s="99"/>
      <c r="J175" s="77">
        <f t="shared" si="9"/>
        <v>0</v>
      </c>
      <c r="K175" s="78"/>
      <c r="L175" s="78">
        <v>500000</v>
      </c>
      <c r="M175" s="78">
        <f t="shared" si="11"/>
        <v>500000</v>
      </c>
      <c r="N175" s="70">
        <f t="shared" si="10"/>
        <v>500</v>
      </c>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row>
    <row r="176" spans="1:86" s="27" customFormat="1" ht="72" customHeight="1" x14ac:dyDescent="0.2">
      <c r="A176" s="26"/>
      <c r="B176" s="26"/>
      <c r="C176" s="26"/>
      <c r="D176" s="60" t="s">
        <v>276</v>
      </c>
      <c r="E176" s="60" t="s">
        <v>276</v>
      </c>
      <c r="F176" s="99"/>
      <c r="G176" s="77">
        <f t="shared" si="8"/>
        <v>0</v>
      </c>
      <c r="H176" s="99"/>
      <c r="I176" s="99"/>
      <c r="J176" s="77">
        <f t="shared" si="9"/>
        <v>0</v>
      </c>
      <c r="K176" s="78"/>
      <c r="L176" s="78">
        <v>500000</v>
      </c>
      <c r="M176" s="78">
        <f t="shared" si="11"/>
        <v>500000</v>
      </c>
      <c r="N176" s="70">
        <f t="shared" si="10"/>
        <v>500</v>
      </c>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row>
    <row r="177" spans="1:86" s="27" customFormat="1" ht="37.5" customHeight="1" x14ac:dyDescent="0.2">
      <c r="A177" s="26"/>
      <c r="B177" s="26"/>
      <c r="C177" s="26"/>
      <c r="D177" s="60" t="s">
        <v>324</v>
      </c>
      <c r="E177" s="60"/>
      <c r="F177" s="99"/>
      <c r="G177" s="77"/>
      <c r="H177" s="99"/>
      <c r="I177" s="99"/>
      <c r="J177" s="77"/>
      <c r="K177" s="78"/>
      <c r="L177" s="78"/>
      <c r="M177" s="78"/>
      <c r="N177" s="70">
        <v>30</v>
      </c>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row>
    <row r="178" spans="1:86" s="81" customFormat="1" ht="33.75" customHeight="1" x14ac:dyDescent="0.2">
      <c r="A178" s="91"/>
      <c r="B178" s="91"/>
      <c r="C178" s="91"/>
      <c r="D178" s="60" t="s">
        <v>273</v>
      </c>
      <c r="E178" s="60" t="s">
        <v>273</v>
      </c>
      <c r="F178" s="99"/>
      <c r="G178" s="77">
        <f t="shared" si="8"/>
        <v>0</v>
      </c>
      <c r="H178" s="99"/>
      <c r="I178" s="99"/>
      <c r="J178" s="77">
        <f t="shared" si="9"/>
        <v>0</v>
      </c>
      <c r="K178" s="78"/>
      <c r="L178" s="78">
        <f>976164+3023836</f>
        <v>4000000</v>
      </c>
      <c r="M178" s="78">
        <f t="shared" si="11"/>
        <v>4000000</v>
      </c>
      <c r="N178" s="70">
        <f>ROUND(M178/1000,1)+5</f>
        <v>4005</v>
      </c>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row>
    <row r="179" spans="1:86" s="81" customFormat="1" ht="40.5" x14ac:dyDescent="0.2">
      <c r="A179" s="91"/>
      <c r="B179" s="91"/>
      <c r="C179" s="91"/>
      <c r="D179" s="67" t="s">
        <v>206</v>
      </c>
      <c r="E179" s="67" t="s">
        <v>206</v>
      </c>
      <c r="F179" s="99">
        <v>5382485</v>
      </c>
      <c r="G179" s="77">
        <f t="shared" si="8"/>
        <v>5382.5</v>
      </c>
      <c r="H179" s="82">
        <v>88.6</v>
      </c>
      <c r="I179" s="99">
        <v>4766800</v>
      </c>
      <c r="J179" s="77">
        <f t="shared" si="9"/>
        <v>4766.8</v>
      </c>
      <c r="K179" s="78">
        <v>1322041</v>
      </c>
      <c r="L179" s="78">
        <v>1322041</v>
      </c>
      <c r="M179" s="78">
        <f t="shared" si="11"/>
        <v>2644082</v>
      </c>
      <c r="N179" s="70">
        <f t="shared" si="10"/>
        <v>2644.1</v>
      </c>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row>
    <row r="180" spans="1:86" s="27" customFormat="1" ht="31.5" customHeight="1" x14ac:dyDescent="0.2">
      <c r="A180" s="26"/>
      <c r="B180" s="26"/>
      <c r="C180" s="26"/>
      <c r="D180" s="67" t="s">
        <v>207</v>
      </c>
      <c r="E180" s="67" t="s">
        <v>207</v>
      </c>
      <c r="F180" s="99"/>
      <c r="G180" s="77">
        <f t="shared" si="8"/>
        <v>0</v>
      </c>
      <c r="H180" s="99"/>
      <c r="I180" s="99"/>
      <c r="J180" s="77">
        <f t="shared" si="9"/>
        <v>0</v>
      </c>
      <c r="K180" s="78">
        <f>5263766-3000000</f>
        <v>2263766</v>
      </c>
      <c r="L180" s="79"/>
      <c r="M180" s="78">
        <f t="shared" si="11"/>
        <v>2263766</v>
      </c>
      <c r="N180" s="70">
        <f>ROUND(M180/1000,1)-0.1</f>
        <v>2263.7000000000003</v>
      </c>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row>
    <row r="181" spans="1:86" s="27" customFormat="1" ht="31.5" customHeight="1" x14ac:dyDescent="0.2">
      <c r="A181" s="26"/>
      <c r="B181" s="26"/>
      <c r="C181" s="26"/>
      <c r="D181" s="67" t="s">
        <v>257</v>
      </c>
      <c r="E181" s="67" t="s">
        <v>257</v>
      </c>
      <c r="F181" s="99"/>
      <c r="G181" s="77">
        <f t="shared" si="8"/>
        <v>0</v>
      </c>
      <c r="H181" s="99"/>
      <c r="I181" s="99"/>
      <c r="J181" s="77">
        <f t="shared" si="9"/>
        <v>0</v>
      </c>
      <c r="K181" s="78">
        <v>300000</v>
      </c>
      <c r="L181" s="79"/>
      <c r="M181" s="78">
        <f t="shared" si="11"/>
        <v>300000</v>
      </c>
      <c r="N181" s="70">
        <f t="shared" si="10"/>
        <v>300</v>
      </c>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row>
    <row r="182" spans="1:86" s="27" customFormat="1" ht="31.5" customHeight="1" x14ac:dyDescent="0.2">
      <c r="A182" s="26"/>
      <c r="B182" s="26"/>
      <c r="C182" s="26"/>
      <c r="D182" s="67" t="s">
        <v>277</v>
      </c>
      <c r="E182" s="67" t="s">
        <v>277</v>
      </c>
      <c r="F182" s="99"/>
      <c r="G182" s="77">
        <f t="shared" si="8"/>
        <v>0</v>
      </c>
      <c r="H182" s="99"/>
      <c r="I182" s="99"/>
      <c r="J182" s="77">
        <f t="shared" si="9"/>
        <v>0</v>
      </c>
      <c r="K182" s="78"/>
      <c r="L182" s="78">
        <v>500000</v>
      </c>
      <c r="M182" s="78">
        <f t="shared" si="11"/>
        <v>500000</v>
      </c>
      <c r="N182" s="70">
        <f>ROUND(M182/1000,1)-75</f>
        <v>425</v>
      </c>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row>
    <row r="183" spans="1:86" s="27" customFormat="1" ht="41.25" customHeight="1" x14ac:dyDescent="0.2">
      <c r="A183" s="26"/>
      <c r="B183" s="26"/>
      <c r="C183" s="26"/>
      <c r="D183" s="67" t="s">
        <v>313</v>
      </c>
      <c r="E183" s="140" t="s">
        <v>287</v>
      </c>
      <c r="F183" s="99"/>
      <c r="G183" s="77">
        <f t="shared" si="8"/>
        <v>0</v>
      </c>
      <c r="H183" s="99"/>
      <c r="I183" s="99"/>
      <c r="J183" s="77">
        <f t="shared" si="9"/>
        <v>0</v>
      </c>
      <c r="K183" s="78"/>
      <c r="L183" s="78">
        <v>250000</v>
      </c>
      <c r="M183" s="78">
        <f>K183+L183</f>
        <v>250000</v>
      </c>
      <c r="N183" s="70">
        <f t="shared" si="10"/>
        <v>250</v>
      </c>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row>
    <row r="184" spans="1:86" s="27" customFormat="1" ht="49.5" customHeight="1" x14ac:dyDescent="0.2">
      <c r="A184" s="26"/>
      <c r="B184" s="26"/>
      <c r="C184" s="26"/>
      <c r="D184" s="67" t="s">
        <v>314</v>
      </c>
      <c r="E184" s="140" t="s">
        <v>290</v>
      </c>
      <c r="F184" s="99"/>
      <c r="G184" s="77">
        <f t="shared" si="8"/>
        <v>0</v>
      </c>
      <c r="H184" s="99"/>
      <c r="I184" s="99"/>
      <c r="J184" s="77">
        <f t="shared" si="9"/>
        <v>0</v>
      </c>
      <c r="K184" s="78"/>
      <c r="L184" s="78">
        <v>250000</v>
      </c>
      <c r="M184" s="78">
        <f>K184+L184</f>
        <v>250000</v>
      </c>
      <c r="N184" s="70">
        <f t="shared" si="10"/>
        <v>250</v>
      </c>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row>
    <row r="185" spans="1:86" s="27" customFormat="1" ht="42.75" customHeight="1" x14ac:dyDescent="0.2">
      <c r="A185" s="26"/>
      <c r="B185" s="26"/>
      <c r="C185" s="26"/>
      <c r="D185" s="67" t="s">
        <v>315</v>
      </c>
      <c r="E185" s="67" t="s">
        <v>288</v>
      </c>
      <c r="F185" s="99"/>
      <c r="G185" s="77">
        <f t="shared" si="8"/>
        <v>0</v>
      </c>
      <c r="H185" s="99"/>
      <c r="I185" s="99"/>
      <c r="J185" s="77">
        <f t="shared" si="9"/>
        <v>0</v>
      </c>
      <c r="K185" s="78"/>
      <c r="L185" s="78">
        <v>500000</v>
      </c>
      <c r="M185" s="78">
        <f>K185+L185</f>
        <v>500000</v>
      </c>
      <c r="N185" s="70">
        <f t="shared" si="10"/>
        <v>500</v>
      </c>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row>
    <row r="186" spans="1:86" s="41" customFormat="1" ht="53.25" customHeight="1" x14ac:dyDescent="0.2">
      <c r="A186" s="40"/>
      <c r="B186" s="40"/>
      <c r="C186" s="40"/>
      <c r="D186" s="67" t="s">
        <v>296</v>
      </c>
      <c r="E186" s="67" t="s">
        <v>289</v>
      </c>
      <c r="F186" s="99"/>
      <c r="G186" s="77">
        <f t="shared" si="8"/>
        <v>0</v>
      </c>
      <c r="H186" s="99"/>
      <c r="I186" s="99"/>
      <c r="J186" s="77">
        <f t="shared" si="9"/>
        <v>0</v>
      </c>
      <c r="K186" s="78"/>
      <c r="L186" s="78">
        <v>500000</v>
      </c>
      <c r="M186" s="78">
        <f>K186+L186</f>
        <v>500000</v>
      </c>
      <c r="N186" s="70">
        <f t="shared" si="10"/>
        <v>500</v>
      </c>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row>
    <row r="187" spans="1:86" s="41" customFormat="1" ht="30.75" customHeight="1" x14ac:dyDescent="0.2">
      <c r="A187" s="40"/>
      <c r="B187" s="40"/>
      <c r="C187" s="40"/>
      <c r="D187" s="67" t="s">
        <v>208</v>
      </c>
      <c r="E187" s="67" t="s">
        <v>208</v>
      </c>
      <c r="F187" s="99"/>
      <c r="G187" s="77">
        <f t="shared" si="8"/>
        <v>0</v>
      </c>
      <c r="H187" s="99"/>
      <c r="I187" s="99"/>
      <c r="J187" s="77">
        <f t="shared" si="9"/>
        <v>0</v>
      </c>
      <c r="K187" s="78">
        <f>1000000-500000</f>
        <v>500000</v>
      </c>
      <c r="L187" s="78">
        <v>2500000</v>
      </c>
      <c r="M187" s="78">
        <f t="shared" si="11"/>
        <v>3000000</v>
      </c>
      <c r="N187" s="70">
        <f t="shared" si="10"/>
        <v>3000</v>
      </c>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row>
    <row r="188" spans="1:86" s="27" customFormat="1" ht="40.5" x14ac:dyDescent="0.2">
      <c r="A188" s="26"/>
      <c r="B188" s="26"/>
      <c r="C188" s="26"/>
      <c r="D188" s="67" t="s">
        <v>365</v>
      </c>
      <c r="E188" s="67"/>
      <c r="F188" s="99"/>
      <c r="G188" s="77"/>
      <c r="H188" s="99"/>
      <c r="I188" s="99"/>
      <c r="J188" s="77"/>
      <c r="K188" s="78"/>
      <c r="L188" s="78"/>
      <c r="M188" s="78"/>
      <c r="N188" s="70">
        <v>100</v>
      </c>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row>
    <row r="189" spans="1:86" s="124" customFormat="1" ht="30" customHeight="1" x14ac:dyDescent="0.2">
      <c r="A189" s="129"/>
      <c r="B189" s="129"/>
      <c r="C189" s="129"/>
      <c r="D189" s="67" t="s">
        <v>258</v>
      </c>
      <c r="E189" s="67" t="s">
        <v>258</v>
      </c>
      <c r="F189" s="99"/>
      <c r="G189" s="77">
        <f t="shared" si="8"/>
        <v>0</v>
      </c>
      <c r="H189" s="99"/>
      <c r="I189" s="99"/>
      <c r="J189" s="77">
        <f t="shared" si="9"/>
        <v>0</v>
      </c>
      <c r="K189" s="78">
        <v>1000000</v>
      </c>
      <c r="L189" s="78"/>
      <c r="M189" s="78">
        <f t="shared" si="11"/>
        <v>1000000</v>
      </c>
      <c r="N189" s="70">
        <f t="shared" si="10"/>
        <v>1000</v>
      </c>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row>
    <row r="190" spans="1:86" s="27" customFormat="1" ht="30" customHeight="1" x14ac:dyDescent="0.2">
      <c r="A190" s="26"/>
      <c r="B190" s="26"/>
      <c r="C190" s="26"/>
      <c r="D190" s="67" t="s">
        <v>278</v>
      </c>
      <c r="E190" s="67" t="s">
        <v>278</v>
      </c>
      <c r="F190" s="99"/>
      <c r="G190" s="77">
        <f t="shared" si="8"/>
        <v>0</v>
      </c>
      <c r="H190" s="99"/>
      <c r="I190" s="99"/>
      <c r="J190" s="77">
        <f t="shared" si="9"/>
        <v>0</v>
      </c>
      <c r="K190" s="78"/>
      <c r="L190" s="78">
        <v>500000</v>
      </c>
      <c r="M190" s="78">
        <f t="shared" si="11"/>
        <v>500000</v>
      </c>
      <c r="N190" s="70">
        <f t="shared" si="10"/>
        <v>500</v>
      </c>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row>
    <row r="191" spans="1:86" s="27" customFormat="1" ht="32.25" customHeight="1" x14ac:dyDescent="0.2">
      <c r="A191" s="26"/>
      <c r="B191" s="26"/>
      <c r="C191" s="26"/>
      <c r="D191" s="67" t="s">
        <v>219</v>
      </c>
      <c r="E191" s="67" t="s">
        <v>219</v>
      </c>
      <c r="F191" s="99"/>
      <c r="G191" s="77">
        <f t="shared" si="8"/>
        <v>0</v>
      </c>
      <c r="H191" s="99"/>
      <c r="I191" s="99"/>
      <c r="J191" s="77">
        <f t="shared" si="9"/>
        <v>0</v>
      </c>
      <c r="K191" s="78">
        <v>200000</v>
      </c>
      <c r="L191" s="78"/>
      <c r="M191" s="78">
        <f>K191+L191</f>
        <v>200000</v>
      </c>
      <c r="N191" s="70">
        <f t="shared" si="10"/>
        <v>200</v>
      </c>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row>
    <row r="192" spans="1:86" s="27" customFormat="1" ht="49.5" customHeight="1" x14ac:dyDescent="0.2">
      <c r="A192" s="26"/>
      <c r="B192" s="26"/>
      <c r="C192" s="26"/>
      <c r="D192" s="67" t="s">
        <v>218</v>
      </c>
      <c r="E192" s="67" t="s">
        <v>218</v>
      </c>
      <c r="F192" s="99">
        <v>10359229</v>
      </c>
      <c r="G192" s="77">
        <f t="shared" si="8"/>
        <v>10359.200000000001</v>
      </c>
      <c r="H192" s="82">
        <v>40.9</v>
      </c>
      <c r="I192" s="99">
        <v>4240867</v>
      </c>
      <c r="J192" s="77">
        <f t="shared" si="9"/>
        <v>4240.8999999999996</v>
      </c>
      <c r="K192" s="78">
        <v>1000000</v>
      </c>
      <c r="L192" s="78">
        <v>1100000</v>
      </c>
      <c r="M192" s="78">
        <f>K192+L192</f>
        <v>2100000</v>
      </c>
      <c r="N192" s="70">
        <f t="shared" si="10"/>
        <v>2100</v>
      </c>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row>
    <row r="193" spans="1:86" s="27" customFormat="1" ht="36.75" customHeight="1" x14ac:dyDescent="0.2">
      <c r="A193" s="26"/>
      <c r="B193" s="26"/>
      <c r="C193" s="26"/>
      <c r="D193" s="67" t="s">
        <v>209</v>
      </c>
      <c r="E193" s="67" t="s">
        <v>209</v>
      </c>
      <c r="F193" s="99">
        <v>8134171</v>
      </c>
      <c r="G193" s="77">
        <f t="shared" si="8"/>
        <v>8134.2</v>
      </c>
      <c r="H193" s="82">
        <v>87.2</v>
      </c>
      <c r="I193" s="99">
        <v>7095619</v>
      </c>
      <c r="J193" s="77">
        <f t="shared" si="9"/>
        <v>7095.6</v>
      </c>
      <c r="K193" s="78">
        <v>2000000</v>
      </c>
      <c r="L193" s="78">
        <v>1000000</v>
      </c>
      <c r="M193" s="78">
        <f t="shared" si="11"/>
        <v>3000000</v>
      </c>
      <c r="N193" s="70">
        <f t="shared" si="10"/>
        <v>3000</v>
      </c>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row>
    <row r="194" spans="1:86" s="27" customFormat="1" ht="30" customHeight="1" x14ac:dyDescent="0.2">
      <c r="A194" s="26"/>
      <c r="B194" s="26"/>
      <c r="C194" s="26"/>
      <c r="D194" s="67" t="s">
        <v>210</v>
      </c>
      <c r="E194" s="67" t="s">
        <v>210</v>
      </c>
      <c r="F194" s="99">
        <v>33898627</v>
      </c>
      <c r="G194" s="77">
        <f t="shared" si="8"/>
        <v>33898.6</v>
      </c>
      <c r="H194" s="82">
        <v>98.1</v>
      </c>
      <c r="I194" s="99">
        <v>33247860</v>
      </c>
      <c r="J194" s="77">
        <f t="shared" si="9"/>
        <v>33247.9</v>
      </c>
      <c r="K194" s="78">
        <v>5000000</v>
      </c>
      <c r="L194" s="78">
        <v>5000000</v>
      </c>
      <c r="M194" s="78">
        <f t="shared" si="11"/>
        <v>10000000</v>
      </c>
      <c r="N194" s="70">
        <f t="shared" si="10"/>
        <v>10000</v>
      </c>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row>
    <row r="195" spans="1:86" s="27" customFormat="1" ht="33.75" customHeight="1" x14ac:dyDescent="0.2">
      <c r="A195" s="26"/>
      <c r="B195" s="26"/>
      <c r="C195" s="26"/>
      <c r="D195" s="67" t="s">
        <v>232</v>
      </c>
      <c r="E195" s="67" t="s">
        <v>232</v>
      </c>
      <c r="F195" s="99"/>
      <c r="G195" s="77">
        <f t="shared" si="8"/>
        <v>0</v>
      </c>
      <c r="H195" s="99"/>
      <c r="I195" s="99"/>
      <c r="J195" s="77">
        <f t="shared" si="9"/>
        <v>0</v>
      </c>
      <c r="K195" s="78">
        <v>2700000</v>
      </c>
      <c r="L195" s="78"/>
      <c r="M195" s="78">
        <f t="shared" si="11"/>
        <v>2700000</v>
      </c>
      <c r="N195" s="70">
        <f t="shared" si="10"/>
        <v>2700</v>
      </c>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row>
    <row r="196" spans="1:86" s="27" customFormat="1" ht="40.5" x14ac:dyDescent="0.2">
      <c r="A196" s="26"/>
      <c r="B196" s="26"/>
      <c r="C196" s="26"/>
      <c r="D196" s="67" t="s">
        <v>279</v>
      </c>
      <c r="E196" s="67" t="s">
        <v>279</v>
      </c>
      <c r="F196" s="99"/>
      <c r="G196" s="77">
        <f t="shared" si="8"/>
        <v>0</v>
      </c>
      <c r="H196" s="99"/>
      <c r="I196" s="99"/>
      <c r="J196" s="77">
        <f t="shared" si="9"/>
        <v>0</v>
      </c>
      <c r="K196" s="78"/>
      <c r="L196" s="78">
        <v>200000</v>
      </c>
      <c r="M196" s="78">
        <f t="shared" si="11"/>
        <v>200000</v>
      </c>
      <c r="N196" s="70">
        <f t="shared" si="10"/>
        <v>200</v>
      </c>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row>
    <row r="197" spans="1:86" s="27" customFormat="1" ht="31.5" customHeight="1" x14ac:dyDescent="0.2">
      <c r="A197" s="26"/>
      <c r="B197" s="26"/>
      <c r="C197" s="26"/>
      <c r="D197" s="67" t="s">
        <v>222</v>
      </c>
      <c r="E197" s="67" t="s">
        <v>222</v>
      </c>
      <c r="F197" s="99">
        <v>14670250</v>
      </c>
      <c r="G197" s="77">
        <f t="shared" si="8"/>
        <v>14670.3</v>
      </c>
      <c r="H197" s="99">
        <v>98.5</v>
      </c>
      <c r="I197" s="99">
        <v>14443532</v>
      </c>
      <c r="J197" s="77">
        <f t="shared" si="9"/>
        <v>14443.5</v>
      </c>
      <c r="K197" s="78">
        <v>2000000</v>
      </c>
      <c r="L197" s="78">
        <v>5000000</v>
      </c>
      <c r="M197" s="78">
        <f>K197+L197</f>
        <v>7000000</v>
      </c>
      <c r="N197" s="70">
        <f t="shared" si="10"/>
        <v>7000</v>
      </c>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row>
    <row r="198" spans="1:86" s="27" customFormat="1" ht="33.75" customHeight="1" x14ac:dyDescent="0.2">
      <c r="A198" s="26"/>
      <c r="B198" s="26"/>
      <c r="C198" s="26"/>
      <c r="D198" s="67" t="s">
        <v>211</v>
      </c>
      <c r="E198" s="67" t="s">
        <v>211</v>
      </c>
      <c r="F198" s="99">
        <v>7365869</v>
      </c>
      <c r="G198" s="77">
        <f t="shared" si="8"/>
        <v>7365.9</v>
      </c>
      <c r="H198" s="82">
        <v>76.3</v>
      </c>
      <c r="I198" s="99">
        <v>5617385</v>
      </c>
      <c r="J198" s="77">
        <f t="shared" si="9"/>
        <v>5617.4</v>
      </c>
      <c r="K198" s="78">
        <v>2000000</v>
      </c>
      <c r="L198" s="78"/>
      <c r="M198" s="78">
        <f t="shared" si="11"/>
        <v>2000000</v>
      </c>
      <c r="N198" s="70">
        <f t="shared" si="10"/>
        <v>2000</v>
      </c>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row>
    <row r="199" spans="1:86" s="27" customFormat="1" ht="36.75" customHeight="1" x14ac:dyDescent="0.2">
      <c r="A199" s="26"/>
      <c r="B199" s="26"/>
      <c r="C199" s="26"/>
      <c r="D199" s="67" t="s">
        <v>212</v>
      </c>
      <c r="E199" s="67" t="s">
        <v>212</v>
      </c>
      <c r="F199" s="99">
        <v>2512375</v>
      </c>
      <c r="G199" s="77">
        <f t="shared" si="8"/>
        <v>2512.4</v>
      </c>
      <c r="H199" s="99">
        <v>100</v>
      </c>
      <c r="I199" s="99">
        <v>2512375</v>
      </c>
      <c r="J199" s="77">
        <f t="shared" si="9"/>
        <v>2512.4</v>
      </c>
      <c r="K199" s="78">
        <v>2000000</v>
      </c>
      <c r="L199" s="78"/>
      <c r="M199" s="78">
        <f t="shared" si="11"/>
        <v>2000000</v>
      </c>
      <c r="N199" s="70">
        <f>ROUND(M199/1000,1)+400</f>
        <v>2400</v>
      </c>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row>
    <row r="200" spans="1:86" s="27" customFormat="1" ht="33.75" customHeight="1" x14ac:dyDescent="0.2">
      <c r="A200" s="26"/>
      <c r="B200" s="26"/>
      <c r="C200" s="26"/>
      <c r="D200" s="67" t="s">
        <v>213</v>
      </c>
      <c r="E200" s="67" t="s">
        <v>213</v>
      </c>
      <c r="F200" s="99">
        <v>4782900</v>
      </c>
      <c r="G200" s="77">
        <f t="shared" si="8"/>
        <v>4782.8999999999996</v>
      </c>
      <c r="H200" s="82">
        <v>45.4</v>
      </c>
      <c r="I200" s="99">
        <v>2171239</v>
      </c>
      <c r="J200" s="77">
        <f t="shared" si="9"/>
        <v>2171.1999999999998</v>
      </c>
      <c r="K200" s="78">
        <v>2000000</v>
      </c>
      <c r="L200" s="78"/>
      <c r="M200" s="78">
        <f t="shared" si="11"/>
        <v>2000000</v>
      </c>
      <c r="N200" s="70">
        <f t="shared" si="10"/>
        <v>2000</v>
      </c>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row>
    <row r="201" spans="1:86" s="27" customFormat="1" ht="43.5" customHeight="1" x14ac:dyDescent="0.2">
      <c r="A201" s="26"/>
      <c r="B201" s="26"/>
      <c r="C201" s="26"/>
      <c r="D201" s="67" t="s">
        <v>214</v>
      </c>
      <c r="E201" s="67" t="s">
        <v>214</v>
      </c>
      <c r="F201" s="99"/>
      <c r="G201" s="77">
        <f t="shared" si="8"/>
        <v>0</v>
      </c>
      <c r="H201" s="99"/>
      <c r="I201" s="99"/>
      <c r="J201" s="77">
        <f t="shared" si="9"/>
        <v>0</v>
      </c>
      <c r="K201" s="78">
        <v>1000000</v>
      </c>
      <c r="L201" s="78"/>
      <c r="M201" s="78">
        <f t="shared" si="11"/>
        <v>1000000</v>
      </c>
      <c r="N201" s="70">
        <f>ROUND(M201/1000,1)-400-400-5</f>
        <v>195</v>
      </c>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row>
    <row r="202" spans="1:86" s="27" customFormat="1" ht="43.5" customHeight="1" x14ac:dyDescent="0.2">
      <c r="A202" s="26"/>
      <c r="B202" s="26"/>
      <c r="C202" s="26"/>
      <c r="D202" s="67" t="s">
        <v>215</v>
      </c>
      <c r="E202" s="67" t="s">
        <v>215</v>
      </c>
      <c r="F202" s="99">
        <v>54104796</v>
      </c>
      <c r="G202" s="77">
        <f t="shared" si="8"/>
        <v>54104.800000000003</v>
      </c>
      <c r="H202" s="82">
        <v>28.9</v>
      </c>
      <c r="I202" s="99">
        <v>15616691</v>
      </c>
      <c r="J202" s="77">
        <f t="shared" si="9"/>
        <v>15616.7</v>
      </c>
      <c r="K202" s="78">
        <f>10000000-2000000</f>
        <v>8000000</v>
      </c>
      <c r="L202" s="78"/>
      <c r="M202" s="78">
        <f t="shared" si="11"/>
        <v>8000000</v>
      </c>
      <c r="N202" s="70">
        <f t="shared" si="10"/>
        <v>8000</v>
      </c>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row>
    <row r="203" spans="1:86" s="27" customFormat="1" ht="52.5" customHeight="1" x14ac:dyDescent="0.2">
      <c r="A203" s="26"/>
      <c r="B203" s="26"/>
      <c r="C203" s="26"/>
      <c r="D203" s="67" t="s">
        <v>216</v>
      </c>
      <c r="E203" s="67" t="s">
        <v>216</v>
      </c>
      <c r="F203" s="99"/>
      <c r="G203" s="77">
        <f t="shared" si="8"/>
        <v>0</v>
      </c>
      <c r="H203" s="99"/>
      <c r="I203" s="99"/>
      <c r="J203" s="77">
        <f t="shared" si="9"/>
        <v>0</v>
      </c>
      <c r="K203" s="78">
        <v>300000</v>
      </c>
      <c r="L203" s="78"/>
      <c r="M203" s="78">
        <f t="shared" si="11"/>
        <v>300000</v>
      </c>
      <c r="N203" s="70">
        <f t="shared" si="10"/>
        <v>300</v>
      </c>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row>
    <row r="204" spans="1:86" s="27" customFormat="1" ht="54" customHeight="1" x14ac:dyDescent="0.2">
      <c r="A204" s="26"/>
      <c r="B204" s="26"/>
      <c r="C204" s="26"/>
      <c r="D204" s="67" t="s">
        <v>320</v>
      </c>
      <c r="E204" s="67"/>
      <c r="F204" s="99"/>
      <c r="G204" s="77"/>
      <c r="H204" s="99"/>
      <c r="I204" s="99"/>
      <c r="J204" s="77"/>
      <c r="K204" s="78"/>
      <c r="L204" s="78"/>
      <c r="M204" s="78"/>
      <c r="N204" s="70">
        <v>100</v>
      </c>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row>
    <row r="205" spans="1:86" s="81" customFormat="1" ht="34.5" customHeight="1" x14ac:dyDescent="0.2">
      <c r="A205" s="91"/>
      <c r="B205" s="91"/>
      <c r="C205" s="91"/>
      <c r="D205" s="67" t="s">
        <v>217</v>
      </c>
      <c r="E205" s="67" t="s">
        <v>217</v>
      </c>
      <c r="F205" s="99">
        <v>4291979</v>
      </c>
      <c r="G205" s="77">
        <f t="shared" si="8"/>
        <v>4292</v>
      </c>
      <c r="H205" s="99">
        <v>75.599999999999994</v>
      </c>
      <c r="I205" s="99">
        <v>3243169</v>
      </c>
      <c r="J205" s="77">
        <f t="shared" si="9"/>
        <v>3243.2</v>
      </c>
      <c r="K205" s="78">
        <f>1500000-500000</f>
        <v>1000000</v>
      </c>
      <c r="L205" s="78"/>
      <c r="M205" s="78">
        <f t="shared" si="11"/>
        <v>1000000</v>
      </c>
      <c r="N205" s="70">
        <f t="shared" si="10"/>
        <v>1000</v>
      </c>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row>
    <row r="206" spans="1:86" s="81" customFormat="1" ht="34.5" customHeight="1" x14ac:dyDescent="0.2">
      <c r="A206" s="91"/>
      <c r="B206" s="91"/>
      <c r="C206" s="91"/>
      <c r="D206" s="60" t="s">
        <v>220</v>
      </c>
      <c r="E206" s="60" t="s">
        <v>220</v>
      </c>
      <c r="F206" s="99">
        <v>16481572</v>
      </c>
      <c r="G206" s="77">
        <f t="shared" si="8"/>
        <v>16481.599999999999</v>
      </c>
      <c r="H206" s="82">
        <v>95.8</v>
      </c>
      <c r="I206" s="99">
        <v>15789129</v>
      </c>
      <c r="J206" s="77">
        <f t="shared" si="9"/>
        <v>15789.1</v>
      </c>
      <c r="K206" s="78">
        <f>5000000-1000000</f>
        <v>4000000</v>
      </c>
      <c r="L206" s="78"/>
      <c r="M206" s="78">
        <f>K206+L206</f>
        <v>4000000</v>
      </c>
      <c r="N206" s="70">
        <f t="shared" si="10"/>
        <v>4000</v>
      </c>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row>
    <row r="207" spans="1:86" s="81" customFormat="1" ht="34.5" customHeight="1" x14ac:dyDescent="0.2">
      <c r="A207" s="91"/>
      <c r="B207" s="91"/>
      <c r="C207" s="91"/>
      <c r="D207" s="67" t="s">
        <v>221</v>
      </c>
      <c r="E207" s="67" t="s">
        <v>221</v>
      </c>
      <c r="F207" s="99"/>
      <c r="G207" s="77">
        <f t="shared" si="8"/>
        <v>0</v>
      </c>
      <c r="H207" s="99"/>
      <c r="I207" s="99"/>
      <c r="J207" s="77">
        <f t="shared" si="9"/>
        <v>0</v>
      </c>
      <c r="K207" s="78">
        <f>2000000-800000</f>
        <v>1200000</v>
      </c>
      <c r="L207" s="78"/>
      <c r="M207" s="78">
        <f>K207+L207</f>
        <v>1200000</v>
      </c>
      <c r="N207" s="70">
        <f t="shared" si="10"/>
        <v>1200</v>
      </c>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row>
    <row r="208" spans="1:86" s="81" customFormat="1" ht="34.5" customHeight="1" x14ac:dyDescent="0.2">
      <c r="A208" s="91"/>
      <c r="B208" s="91"/>
      <c r="C208" s="91"/>
      <c r="D208" s="67" t="s">
        <v>223</v>
      </c>
      <c r="E208" s="67" t="s">
        <v>223</v>
      </c>
      <c r="F208" s="99"/>
      <c r="G208" s="77">
        <f t="shared" si="8"/>
        <v>0</v>
      </c>
      <c r="H208" s="99"/>
      <c r="I208" s="99"/>
      <c r="J208" s="77">
        <f t="shared" si="9"/>
        <v>0</v>
      </c>
      <c r="K208" s="78">
        <v>3000000</v>
      </c>
      <c r="L208" s="78"/>
      <c r="M208" s="78">
        <f>K208+L208</f>
        <v>3000000</v>
      </c>
      <c r="N208" s="70">
        <f t="shared" si="10"/>
        <v>3000</v>
      </c>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row>
    <row r="209" spans="1:86" s="81" customFormat="1" ht="34.5" customHeight="1" x14ac:dyDescent="0.2">
      <c r="A209" s="91"/>
      <c r="B209" s="91"/>
      <c r="C209" s="91"/>
      <c r="D209" s="100" t="s">
        <v>325</v>
      </c>
      <c r="E209" s="67"/>
      <c r="F209" s="99"/>
      <c r="G209" s="77"/>
      <c r="H209" s="99"/>
      <c r="I209" s="99"/>
      <c r="J209" s="77"/>
      <c r="K209" s="78"/>
      <c r="L209" s="78"/>
      <c r="M209" s="78"/>
      <c r="N209" s="70">
        <v>100</v>
      </c>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row>
    <row r="210" spans="1:86" s="81" customFormat="1" ht="34.5" customHeight="1" x14ac:dyDescent="0.2">
      <c r="A210" s="91"/>
      <c r="B210" s="91"/>
      <c r="C210" s="91"/>
      <c r="D210" s="100" t="s">
        <v>326</v>
      </c>
      <c r="E210" s="67"/>
      <c r="F210" s="99"/>
      <c r="G210" s="77"/>
      <c r="H210" s="99"/>
      <c r="I210" s="99"/>
      <c r="J210" s="77"/>
      <c r="K210" s="78"/>
      <c r="L210" s="78"/>
      <c r="M210" s="78"/>
      <c r="N210" s="70">
        <v>100</v>
      </c>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row>
    <row r="211" spans="1:86" s="81" customFormat="1" ht="34.5" customHeight="1" x14ac:dyDescent="0.2">
      <c r="A211" s="91"/>
      <c r="B211" s="91"/>
      <c r="C211" s="91"/>
      <c r="D211" s="100" t="s">
        <v>327</v>
      </c>
      <c r="E211" s="67"/>
      <c r="F211" s="99"/>
      <c r="G211" s="77"/>
      <c r="H211" s="99"/>
      <c r="I211" s="99"/>
      <c r="J211" s="77"/>
      <c r="K211" s="78"/>
      <c r="L211" s="78"/>
      <c r="M211" s="78"/>
      <c r="N211" s="70">
        <v>100</v>
      </c>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row>
    <row r="212" spans="1:86" s="81" customFormat="1" ht="45.75" customHeight="1" x14ac:dyDescent="0.2">
      <c r="A212" s="91"/>
      <c r="B212" s="91"/>
      <c r="C212" s="91"/>
      <c r="D212" s="100" t="s">
        <v>328</v>
      </c>
      <c r="E212" s="67"/>
      <c r="F212" s="99"/>
      <c r="G212" s="77"/>
      <c r="H212" s="99"/>
      <c r="I212" s="99"/>
      <c r="J212" s="77"/>
      <c r="K212" s="78"/>
      <c r="L212" s="78"/>
      <c r="M212" s="78"/>
      <c r="N212" s="70">
        <v>100</v>
      </c>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row>
    <row r="213" spans="1:86" s="81" customFormat="1" ht="45.75" customHeight="1" x14ac:dyDescent="0.2">
      <c r="A213" s="91"/>
      <c r="B213" s="91"/>
      <c r="C213" s="91"/>
      <c r="D213" s="100" t="s">
        <v>366</v>
      </c>
      <c r="E213" s="67"/>
      <c r="F213" s="99"/>
      <c r="G213" s="77"/>
      <c r="H213" s="99"/>
      <c r="I213" s="99"/>
      <c r="J213" s="77"/>
      <c r="K213" s="78"/>
      <c r="L213" s="78"/>
      <c r="M213" s="78"/>
      <c r="N213" s="70">
        <v>50</v>
      </c>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row>
    <row r="214" spans="1:86" s="127" customFormat="1" ht="36" customHeight="1" x14ac:dyDescent="0.2">
      <c r="A214" s="128"/>
      <c r="B214" s="128"/>
      <c r="C214" s="128"/>
      <c r="D214" s="67" t="s">
        <v>259</v>
      </c>
      <c r="E214" s="67" t="s">
        <v>259</v>
      </c>
      <c r="F214" s="99"/>
      <c r="G214" s="77">
        <f t="shared" si="8"/>
        <v>0</v>
      </c>
      <c r="H214" s="99"/>
      <c r="I214" s="99"/>
      <c r="J214" s="77">
        <f t="shared" si="9"/>
        <v>0</v>
      </c>
      <c r="K214" s="78">
        <v>100000</v>
      </c>
      <c r="L214" s="78"/>
      <c r="M214" s="78">
        <f t="shared" si="11"/>
        <v>100000</v>
      </c>
      <c r="N214" s="70">
        <f t="shared" si="10"/>
        <v>100</v>
      </c>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26"/>
      <c r="CA214" s="126"/>
      <c r="CB214" s="126"/>
      <c r="CC214" s="126"/>
      <c r="CD214" s="126"/>
      <c r="CE214" s="126"/>
      <c r="CF214" s="126"/>
      <c r="CG214" s="126"/>
      <c r="CH214" s="126"/>
    </row>
    <row r="215" spans="1:86" s="81" customFormat="1" ht="36" customHeight="1" x14ac:dyDescent="0.2">
      <c r="A215" s="91"/>
      <c r="B215" s="91"/>
      <c r="C215" s="91"/>
      <c r="D215" s="67" t="s">
        <v>260</v>
      </c>
      <c r="E215" s="67" t="s">
        <v>260</v>
      </c>
      <c r="F215" s="99"/>
      <c r="G215" s="77">
        <f t="shared" si="8"/>
        <v>0</v>
      </c>
      <c r="H215" s="99"/>
      <c r="I215" s="99"/>
      <c r="J215" s="77">
        <f t="shared" si="9"/>
        <v>0</v>
      </c>
      <c r="K215" s="78">
        <v>96600</v>
      </c>
      <c r="L215" s="78"/>
      <c r="M215" s="78">
        <f t="shared" si="11"/>
        <v>96600</v>
      </c>
      <c r="N215" s="70">
        <f t="shared" si="10"/>
        <v>96.6</v>
      </c>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row>
    <row r="216" spans="1:86" s="81" customFormat="1" ht="36" customHeight="1" x14ac:dyDescent="0.2">
      <c r="A216" s="91"/>
      <c r="B216" s="91"/>
      <c r="C216" s="91"/>
      <c r="D216" s="67" t="s">
        <v>224</v>
      </c>
      <c r="E216" s="67" t="s">
        <v>224</v>
      </c>
      <c r="F216" s="99">
        <v>31834622</v>
      </c>
      <c r="G216" s="77">
        <f t="shared" si="8"/>
        <v>31834.6</v>
      </c>
      <c r="H216" s="82">
        <v>98.3</v>
      </c>
      <c r="I216" s="99">
        <v>31285694</v>
      </c>
      <c r="J216" s="77">
        <f t="shared" si="9"/>
        <v>31285.7</v>
      </c>
      <c r="K216" s="78">
        <v>5000000</v>
      </c>
      <c r="L216" s="78">
        <v>5000000</v>
      </c>
      <c r="M216" s="78">
        <f t="shared" si="11"/>
        <v>10000000</v>
      </c>
      <c r="N216" s="70">
        <f>ROUND(M216/1000,1)-1000</f>
        <v>9000</v>
      </c>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row>
    <row r="217" spans="1:86" s="81" customFormat="1" ht="36" customHeight="1" x14ac:dyDescent="0.2">
      <c r="A217" s="91"/>
      <c r="B217" s="91"/>
      <c r="C217" s="91"/>
      <c r="D217" s="67" t="s">
        <v>274</v>
      </c>
      <c r="E217" s="67" t="s">
        <v>274</v>
      </c>
      <c r="F217" s="99"/>
      <c r="G217" s="77">
        <f t="shared" si="8"/>
        <v>0</v>
      </c>
      <c r="H217" s="99"/>
      <c r="I217" s="99"/>
      <c r="J217" s="77">
        <f t="shared" si="9"/>
        <v>0</v>
      </c>
      <c r="K217" s="78"/>
      <c r="L217" s="78">
        <v>500000</v>
      </c>
      <c r="M217" s="78">
        <f t="shared" si="11"/>
        <v>500000</v>
      </c>
      <c r="N217" s="70">
        <f t="shared" si="10"/>
        <v>500</v>
      </c>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row>
    <row r="218" spans="1:86" s="81" customFormat="1" ht="36" customHeight="1" x14ac:dyDescent="0.2">
      <c r="A218" s="91"/>
      <c r="B218" s="91"/>
      <c r="C218" s="91"/>
      <c r="D218" s="67" t="s">
        <v>319</v>
      </c>
      <c r="E218" s="67"/>
      <c r="F218" s="99"/>
      <c r="G218" s="77"/>
      <c r="H218" s="99"/>
      <c r="I218" s="99"/>
      <c r="J218" s="77"/>
      <c r="K218" s="78"/>
      <c r="L218" s="78"/>
      <c r="M218" s="78"/>
      <c r="N218" s="70">
        <v>300</v>
      </c>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row>
    <row r="219" spans="1:86" s="81" customFormat="1" ht="36" customHeight="1" x14ac:dyDescent="0.2">
      <c r="A219" s="91"/>
      <c r="B219" s="91"/>
      <c r="C219" s="91"/>
      <c r="D219" s="60" t="s">
        <v>233</v>
      </c>
      <c r="E219" s="60" t="s">
        <v>233</v>
      </c>
      <c r="F219" s="99">
        <v>7995986</v>
      </c>
      <c r="G219" s="77">
        <f t="shared" si="8"/>
        <v>7996</v>
      </c>
      <c r="H219" s="82">
        <v>97.2</v>
      </c>
      <c r="I219" s="99">
        <v>7768864</v>
      </c>
      <c r="J219" s="77">
        <f t="shared" si="9"/>
        <v>7768.9</v>
      </c>
      <c r="K219" s="78">
        <v>500000</v>
      </c>
      <c r="L219" s="78"/>
      <c r="M219" s="78">
        <f t="shared" si="11"/>
        <v>500000</v>
      </c>
      <c r="N219" s="70">
        <f t="shared" si="10"/>
        <v>500</v>
      </c>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row>
    <row r="220" spans="1:86" s="81" customFormat="1" ht="36" customHeight="1" x14ac:dyDescent="0.2">
      <c r="A220" s="91"/>
      <c r="B220" s="91"/>
      <c r="C220" s="91"/>
      <c r="D220" s="60" t="s">
        <v>234</v>
      </c>
      <c r="E220" s="60" t="s">
        <v>234</v>
      </c>
      <c r="F220" s="99"/>
      <c r="G220" s="77">
        <f t="shared" si="8"/>
        <v>0</v>
      </c>
      <c r="H220" s="99"/>
      <c r="I220" s="99"/>
      <c r="J220" s="77">
        <f t="shared" si="9"/>
        <v>0</v>
      </c>
      <c r="K220" s="78">
        <v>100000</v>
      </c>
      <c r="L220" s="79"/>
      <c r="M220" s="78">
        <f t="shared" si="11"/>
        <v>100000</v>
      </c>
      <c r="N220" s="70">
        <f t="shared" si="10"/>
        <v>100</v>
      </c>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row>
    <row r="221" spans="1:86" s="81" customFormat="1" ht="36" customHeight="1" x14ac:dyDescent="0.2">
      <c r="A221" s="91"/>
      <c r="B221" s="91"/>
      <c r="C221" s="91"/>
      <c r="D221" s="67" t="s">
        <v>307</v>
      </c>
      <c r="E221" s="67"/>
      <c r="F221" s="67"/>
      <c r="G221" s="77">
        <f t="shared" si="8"/>
        <v>0</v>
      </c>
      <c r="H221" s="67"/>
      <c r="I221" s="67"/>
      <c r="J221" s="77">
        <f t="shared" si="9"/>
        <v>0</v>
      </c>
      <c r="K221" s="78">
        <f>K222</f>
        <v>10000000</v>
      </c>
      <c r="L221" s="78">
        <f>L222</f>
        <v>11000000</v>
      </c>
      <c r="M221" s="78">
        <f>M222</f>
        <v>21000000</v>
      </c>
      <c r="N221" s="82">
        <f>N222</f>
        <v>21000</v>
      </c>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row>
    <row r="222" spans="1:86" s="81" customFormat="1" ht="36" customHeight="1" x14ac:dyDescent="0.2">
      <c r="A222" s="91" t="s">
        <v>162</v>
      </c>
      <c r="B222" s="91" t="s">
        <v>161</v>
      </c>
      <c r="C222" s="91"/>
      <c r="D222" s="49" t="s">
        <v>99</v>
      </c>
      <c r="E222" s="49"/>
      <c r="F222" s="49"/>
      <c r="G222" s="77">
        <f t="shared" si="8"/>
        <v>0</v>
      </c>
      <c r="H222" s="49"/>
      <c r="I222" s="49"/>
      <c r="J222" s="77">
        <f t="shared" si="9"/>
        <v>0</v>
      </c>
      <c r="K222" s="85">
        <v>10000000</v>
      </c>
      <c r="L222" s="85">
        <v>11000000</v>
      </c>
      <c r="M222" s="85">
        <f t="shared" si="11"/>
        <v>21000000</v>
      </c>
      <c r="N222" s="74">
        <f t="shared" si="10"/>
        <v>21000</v>
      </c>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row>
    <row r="223" spans="1:86" s="88" customFormat="1" ht="32.25" customHeight="1" x14ac:dyDescent="0.2">
      <c r="A223" s="93" t="s">
        <v>98</v>
      </c>
      <c r="B223" s="93" t="s">
        <v>155</v>
      </c>
      <c r="C223" s="93" t="s">
        <v>107</v>
      </c>
      <c r="D223" s="58" t="s">
        <v>94</v>
      </c>
      <c r="E223" s="58"/>
      <c r="F223" s="58"/>
      <c r="G223" s="77">
        <f t="shared" si="8"/>
        <v>0</v>
      </c>
      <c r="H223" s="67"/>
      <c r="I223" s="58"/>
      <c r="J223" s="77">
        <f t="shared" si="9"/>
        <v>0</v>
      </c>
      <c r="K223" s="90" t="e">
        <f>K224</f>
        <v>#REF!</v>
      </c>
      <c r="L223" s="90" t="e">
        <f>L224</f>
        <v>#REF!</v>
      </c>
      <c r="M223" s="90" t="e">
        <f>M224</f>
        <v>#REF!</v>
      </c>
      <c r="N223" s="59">
        <f>N224</f>
        <v>608.1</v>
      </c>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row>
    <row r="224" spans="1:86" s="97" customFormat="1" ht="36.75" customHeight="1" x14ac:dyDescent="0.2">
      <c r="A224" s="95" t="s">
        <v>93</v>
      </c>
      <c r="B224" s="95" t="s">
        <v>140</v>
      </c>
      <c r="C224" s="95"/>
      <c r="D224" s="67" t="s">
        <v>305</v>
      </c>
      <c r="E224" s="79"/>
      <c r="F224" s="67"/>
      <c r="G224" s="77">
        <f t="shared" si="8"/>
        <v>0</v>
      </c>
      <c r="H224" s="67"/>
      <c r="I224" s="67"/>
      <c r="J224" s="77">
        <f t="shared" si="9"/>
        <v>0</v>
      </c>
      <c r="K224" s="78" t="e">
        <f>K225+#REF!</f>
        <v>#REF!</v>
      </c>
      <c r="L224" s="78" t="e">
        <f>L225+#REF!</f>
        <v>#REF!</v>
      </c>
      <c r="M224" s="78" t="e">
        <f>M225+#REF!</f>
        <v>#REF!</v>
      </c>
      <c r="N224" s="70">
        <f>N225</f>
        <v>608.1</v>
      </c>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6"/>
      <c r="CD224" s="96"/>
      <c r="CE224" s="96"/>
      <c r="CF224" s="96"/>
      <c r="CG224" s="96"/>
      <c r="CH224" s="96"/>
    </row>
    <row r="225" spans="1:86" s="27" customFormat="1" ht="32.25" customHeight="1" x14ac:dyDescent="0.2">
      <c r="A225" s="26" t="s">
        <v>95</v>
      </c>
      <c r="B225" s="26" t="s">
        <v>141</v>
      </c>
      <c r="C225" s="26" t="s">
        <v>135</v>
      </c>
      <c r="D225" s="68" t="s">
        <v>237</v>
      </c>
      <c r="E225" s="68" t="s">
        <v>237</v>
      </c>
      <c r="F225" s="49"/>
      <c r="G225" s="77">
        <f t="shared" si="8"/>
        <v>0</v>
      </c>
      <c r="H225" s="49"/>
      <c r="I225" s="49"/>
      <c r="J225" s="77">
        <f t="shared" si="9"/>
        <v>0</v>
      </c>
      <c r="K225" s="85">
        <v>108100</v>
      </c>
      <c r="L225" s="85">
        <v>500000</v>
      </c>
      <c r="M225" s="85">
        <f t="shared" si="11"/>
        <v>608100</v>
      </c>
      <c r="N225" s="74">
        <f t="shared" si="10"/>
        <v>608.1</v>
      </c>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row>
    <row r="226" spans="1:86" s="30" customFormat="1" ht="37.5" customHeight="1" x14ac:dyDescent="0.2">
      <c r="A226" s="29"/>
      <c r="B226" s="29"/>
      <c r="C226" s="29"/>
      <c r="D226" s="67" t="s">
        <v>67</v>
      </c>
      <c r="E226" s="67"/>
      <c r="F226" s="67"/>
      <c r="G226" s="77">
        <f t="shared" si="8"/>
        <v>0</v>
      </c>
      <c r="H226" s="67"/>
      <c r="I226" s="67"/>
      <c r="J226" s="77">
        <f t="shared" si="9"/>
        <v>0</v>
      </c>
      <c r="K226" s="78">
        <v>16524000</v>
      </c>
      <c r="L226" s="79"/>
      <c r="M226" s="78">
        <f t="shared" si="11"/>
        <v>16524000</v>
      </c>
      <c r="N226" s="70">
        <f t="shared" si="10"/>
        <v>16524</v>
      </c>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row>
    <row r="227" spans="1:86" s="27" customFormat="1" ht="38.25" customHeight="1" x14ac:dyDescent="0.2">
      <c r="A227" s="26" t="s">
        <v>265</v>
      </c>
      <c r="B227" s="26" t="s">
        <v>145</v>
      </c>
      <c r="C227" s="26" t="s">
        <v>146</v>
      </c>
      <c r="D227" s="67" t="s">
        <v>294</v>
      </c>
      <c r="E227" s="60" t="s">
        <v>179</v>
      </c>
      <c r="F227" s="67"/>
      <c r="G227" s="77">
        <f t="shared" si="8"/>
        <v>0</v>
      </c>
      <c r="H227" s="67"/>
      <c r="I227" s="67"/>
      <c r="J227" s="77">
        <f t="shared" si="9"/>
        <v>0</v>
      </c>
      <c r="K227" s="78">
        <f>13700000+2000000</f>
        <v>15700000</v>
      </c>
      <c r="L227" s="78">
        <v>9850000</v>
      </c>
      <c r="M227" s="78">
        <f t="shared" si="11"/>
        <v>25550000</v>
      </c>
      <c r="N227" s="70">
        <f>N228</f>
        <v>28850</v>
      </c>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row>
    <row r="228" spans="1:86" s="27" customFormat="1" ht="24" customHeight="1" x14ac:dyDescent="0.2">
      <c r="A228" s="33" t="s">
        <v>86</v>
      </c>
      <c r="B228" s="33" t="s">
        <v>149</v>
      </c>
      <c r="C228" s="33" t="s">
        <v>139</v>
      </c>
      <c r="D228" s="68" t="s">
        <v>179</v>
      </c>
      <c r="E228" s="68"/>
      <c r="F228" s="49"/>
      <c r="G228" s="77">
        <f t="shared" si="8"/>
        <v>0</v>
      </c>
      <c r="H228" s="49"/>
      <c r="I228" s="49"/>
      <c r="J228" s="77">
        <f t="shared" si="9"/>
        <v>0</v>
      </c>
      <c r="K228" s="85">
        <v>15700000</v>
      </c>
      <c r="L228" s="85">
        <v>9850000</v>
      </c>
      <c r="M228" s="85">
        <v>25550000</v>
      </c>
      <c r="N228" s="74">
        <f>ROUND(M228/1000,1)+1473+1827</f>
        <v>28850</v>
      </c>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row>
    <row r="229" spans="1:86" s="30" customFormat="1" ht="33.75" customHeight="1" x14ac:dyDescent="0.2">
      <c r="A229" s="32"/>
      <c r="B229" s="32"/>
      <c r="C229" s="32"/>
      <c r="D229" s="58" t="s">
        <v>90</v>
      </c>
      <c r="E229" s="67"/>
      <c r="F229" s="67"/>
      <c r="G229" s="77">
        <f t="shared" si="8"/>
        <v>0</v>
      </c>
      <c r="H229" s="67"/>
      <c r="I229" s="67"/>
      <c r="J229" s="77">
        <f t="shared" si="9"/>
        <v>0</v>
      </c>
      <c r="K229" s="90">
        <f>K230+K231</f>
        <v>45000</v>
      </c>
      <c r="L229" s="90">
        <f>L230+L231</f>
        <v>67173</v>
      </c>
      <c r="M229" s="90">
        <f>M230+M231</f>
        <v>112173</v>
      </c>
      <c r="N229" s="59">
        <f>N230+N231</f>
        <v>112.2</v>
      </c>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row>
    <row r="230" spans="1:86" s="27" customFormat="1" ht="33.75" customHeight="1" x14ac:dyDescent="0.2">
      <c r="A230" s="39">
        <v>4810000</v>
      </c>
      <c r="B230" s="35"/>
      <c r="C230" s="35"/>
      <c r="D230" s="67" t="s">
        <v>268</v>
      </c>
      <c r="E230" s="67"/>
      <c r="F230" s="67"/>
      <c r="G230" s="77">
        <f t="shared" si="8"/>
        <v>0</v>
      </c>
      <c r="H230" s="67"/>
      <c r="I230" s="67"/>
      <c r="J230" s="77">
        <f t="shared" si="9"/>
        <v>0</v>
      </c>
      <c r="K230" s="78">
        <v>45000</v>
      </c>
      <c r="L230" s="78">
        <v>50000</v>
      </c>
      <c r="M230" s="78">
        <f t="shared" si="11"/>
        <v>95000</v>
      </c>
      <c r="N230" s="70">
        <f t="shared" si="10"/>
        <v>95</v>
      </c>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row>
    <row r="231" spans="1:86" s="27" customFormat="1" ht="33.75" customHeight="1" x14ac:dyDescent="0.2">
      <c r="A231" s="26" t="s">
        <v>77</v>
      </c>
      <c r="B231" s="26" t="s">
        <v>100</v>
      </c>
      <c r="C231" s="26" t="s">
        <v>101</v>
      </c>
      <c r="D231" s="67" t="s">
        <v>294</v>
      </c>
      <c r="E231" s="60" t="s">
        <v>281</v>
      </c>
      <c r="F231" s="67"/>
      <c r="G231" s="77">
        <f t="shared" si="8"/>
        <v>0</v>
      </c>
      <c r="H231" s="67"/>
      <c r="I231" s="67"/>
      <c r="J231" s="77">
        <f t="shared" si="9"/>
        <v>0</v>
      </c>
      <c r="K231" s="78"/>
      <c r="L231" s="78">
        <v>17173</v>
      </c>
      <c r="M231" s="78">
        <f>K231+L231</f>
        <v>17173</v>
      </c>
      <c r="N231" s="70">
        <f t="shared" si="10"/>
        <v>17.2</v>
      </c>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row>
    <row r="232" spans="1:86" s="27" customFormat="1" ht="20.25" x14ac:dyDescent="0.2">
      <c r="A232" s="33" t="s">
        <v>280</v>
      </c>
      <c r="B232" s="33" t="s">
        <v>149</v>
      </c>
      <c r="C232" s="33" t="s">
        <v>139</v>
      </c>
      <c r="D232" s="68" t="s">
        <v>281</v>
      </c>
      <c r="E232" s="68"/>
      <c r="F232" s="49"/>
      <c r="G232" s="77">
        <f t="shared" si="8"/>
        <v>0</v>
      </c>
      <c r="H232" s="49"/>
      <c r="I232" s="49"/>
      <c r="J232" s="77">
        <f t="shared" si="9"/>
        <v>0</v>
      </c>
      <c r="K232" s="85"/>
      <c r="L232" s="85">
        <v>17173</v>
      </c>
      <c r="M232" s="85">
        <v>17173</v>
      </c>
      <c r="N232" s="74">
        <f t="shared" si="10"/>
        <v>17.2</v>
      </c>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row>
    <row r="233" spans="1:86" s="30" customFormat="1" ht="26.25" customHeight="1" x14ac:dyDescent="0.2">
      <c r="A233" s="32"/>
      <c r="B233" s="32"/>
      <c r="C233" s="32"/>
      <c r="D233" s="58" t="s">
        <v>78</v>
      </c>
      <c r="E233" s="58"/>
      <c r="F233" s="58"/>
      <c r="G233" s="77">
        <f t="shared" si="8"/>
        <v>0</v>
      </c>
      <c r="H233" s="67"/>
      <c r="I233" s="58"/>
      <c r="J233" s="77">
        <f t="shared" si="9"/>
        <v>0</v>
      </c>
      <c r="K233" s="90">
        <f>K234</f>
        <v>21000</v>
      </c>
      <c r="L233" s="90">
        <f>L234</f>
        <v>0</v>
      </c>
      <c r="M233" s="90">
        <f>M234</f>
        <v>21000</v>
      </c>
      <c r="N233" s="59">
        <f>N234</f>
        <v>21</v>
      </c>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row>
    <row r="234" spans="1:86" s="51" customFormat="1" ht="30.75" customHeight="1" x14ac:dyDescent="0.2">
      <c r="A234" s="39">
        <v>5010000</v>
      </c>
      <c r="B234" s="35"/>
      <c r="C234" s="35"/>
      <c r="D234" s="67" t="s">
        <v>268</v>
      </c>
      <c r="E234" s="67"/>
      <c r="F234" s="67"/>
      <c r="G234" s="77">
        <f t="shared" si="8"/>
        <v>0</v>
      </c>
      <c r="H234" s="67"/>
      <c r="I234" s="67"/>
      <c r="J234" s="77">
        <f t="shared" si="9"/>
        <v>0</v>
      </c>
      <c r="K234" s="78">
        <v>21000</v>
      </c>
      <c r="L234" s="79"/>
      <c r="M234" s="78">
        <f t="shared" si="11"/>
        <v>21000</v>
      </c>
      <c r="N234" s="70">
        <f t="shared" si="10"/>
        <v>21</v>
      </c>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row>
    <row r="235" spans="1:86" s="27" customFormat="1" ht="30.75" customHeight="1" x14ac:dyDescent="0.2">
      <c r="A235" s="26" t="s">
        <v>79</v>
      </c>
      <c r="B235" s="26" t="s">
        <v>100</v>
      </c>
      <c r="C235" s="26" t="s">
        <v>101</v>
      </c>
      <c r="D235" s="58" t="s">
        <v>91</v>
      </c>
      <c r="E235" s="118"/>
      <c r="F235" s="118"/>
      <c r="G235" s="77">
        <f t="shared" si="8"/>
        <v>0</v>
      </c>
      <c r="H235" s="49"/>
      <c r="I235" s="118"/>
      <c r="J235" s="77">
        <f t="shared" si="9"/>
        <v>0</v>
      </c>
      <c r="K235" s="90">
        <f>K236</f>
        <v>50000</v>
      </c>
      <c r="L235" s="90">
        <f>L236</f>
        <v>81000</v>
      </c>
      <c r="M235" s="90">
        <f>M236</f>
        <v>131000</v>
      </c>
      <c r="N235" s="59">
        <f>N236</f>
        <v>131</v>
      </c>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row>
    <row r="236" spans="1:86" s="30" customFormat="1" ht="30.75" customHeight="1" x14ac:dyDescent="0.2">
      <c r="A236" s="28" t="s">
        <v>80</v>
      </c>
      <c r="B236" s="29"/>
      <c r="C236" s="29"/>
      <c r="D236" s="67" t="s">
        <v>268</v>
      </c>
      <c r="E236" s="67"/>
      <c r="F236" s="67"/>
      <c r="G236" s="77">
        <f t="shared" si="8"/>
        <v>0</v>
      </c>
      <c r="H236" s="67"/>
      <c r="I236" s="67"/>
      <c r="J236" s="77">
        <f t="shared" si="9"/>
        <v>0</v>
      </c>
      <c r="K236" s="78">
        <v>50000</v>
      </c>
      <c r="L236" s="78">
        <v>81000</v>
      </c>
      <c r="M236" s="78">
        <f t="shared" si="11"/>
        <v>131000</v>
      </c>
      <c r="N236" s="70">
        <f t="shared" si="10"/>
        <v>131</v>
      </c>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row>
    <row r="237" spans="1:86" s="27" customFormat="1" ht="47.25" customHeight="1" x14ac:dyDescent="0.2">
      <c r="A237" s="26" t="s">
        <v>81</v>
      </c>
      <c r="B237" s="26" t="s">
        <v>100</v>
      </c>
      <c r="C237" s="26" t="s">
        <v>101</v>
      </c>
      <c r="D237" s="58" t="s">
        <v>92</v>
      </c>
      <c r="E237" s="58"/>
      <c r="F237" s="58"/>
      <c r="G237" s="77">
        <f t="shared" si="8"/>
        <v>0</v>
      </c>
      <c r="H237" s="67"/>
      <c r="I237" s="58"/>
      <c r="J237" s="77">
        <f t="shared" si="9"/>
        <v>0</v>
      </c>
      <c r="K237" s="90">
        <f>K238</f>
        <v>1000000</v>
      </c>
      <c r="L237" s="90">
        <f>L238</f>
        <v>950000</v>
      </c>
      <c r="M237" s="90">
        <f>M238</f>
        <v>1950000</v>
      </c>
      <c r="N237" s="59">
        <f>N238</f>
        <v>1500</v>
      </c>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row>
    <row r="238" spans="1:86" s="27" customFormat="1" ht="32.25" customHeight="1" x14ac:dyDescent="0.2">
      <c r="A238" s="39">
        <v>7610000</v>
      </c>
      <c r="B238" s="35"/>
      <c r="C238" s="35"/>
      <c r="D238" s="134" t="s">
        <v>306</v>
      </c>
      <c r="E238" s="134"/>
      <c r="F238" s="134"/>
      <c r="G238" s="77">
        <f t="shared" si="8"/>
        <v>0</v>
      </c>
      <c r="H238" s="134"/>
      <c r="I238" s="134"/>
      <c r="J238" s="77">
        <f t="shared" si="9"/>
        <v>0</v>
      </c>
      <c r="K238" s="78">
        <f>K239</f>
        <v>1000000</v>
      </c>
      <c r="L238" s="78">
        <f>L239</f>
        <v>950000</v>
      </c>
      <c r="M238" s="78">
        <f t="shared" si="11"/>
        <v>1950000</v>
      </c>
      <c r="N238" s="70">
        <f>N239</f>
        <v>1500</v>
      </c>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row>
    <row r="239" spans="1:86" s="27" customFormat="1" ht="33.75" customHeight="1" x14ac:dyDescent="0.2">
      <c r="A239" s="35">
        <v>7618800</v>
      </c>
      <c r="B239" s="35">
        <v>8800</v>
      </c>
      <c r="C239" s="26" t="s">
        <v>100</v>
      </c>
      <c r="D239" s="135" t="s">
        <v>82</v>
      </c>
      <c r="E239" s="135"/>
      <c r="F239" s="135"/>
      <c r="G239" s="77">
        <f t="shared" si="8"/>
        <v>0</v>
      </c>
      <c r="H239" s="135"/>
      <c r="I239" s="135"/>
      <c r="J239" s="77">
        <f t="shared" si="9"/>
        <v>0</v>
      </c>
      <c r="K239" s="85">
        <f>500000+500000</f>
        <v>1000000</v>
      </c>
      <c r="L239" s="85">
        <v>950000</v>
      </c>
      <c r="M239" s="85">
        <f t="shared" si="11"/>
        <v>1950000</v>
      </c>
      <c r="N239" s="74">
        <f>ROUND(M239/1000,1)-450</f>
        <v>1500</v>
      </c>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row>
    <row r="240" spans="1:86" s="27" customFormat="1" ht="30.75" customHeight="1" x14ac:dyDescent="0.2">
      <c r="A240" s="36">
        <v>7618800</v>
      </c>
      <c r="B240" s="36">
        <v>8800</v>
      </c>
      <c r="C240" s="32" t="s">
        <v>100</v>
      </c>
      <c r="D240" s="58" t="s">
        <v>308</v>
      </c>
      <c r="E240" s="58"/>
      <c r="F240" s="58"/>
      <c r="G240" s="77">
        <f t="shared" si="8"/>
        <v>0</v>
      </c>
      <c r="H240" s="67"/>
      <c r="I240" s="58"/>
      <c r="J240" s="77">
        <f t="shared" si="9"/>
        <v>0</v>
      </c>
      <c r="K240" s="90" t="e">
        <f>K16+K38+K48+K55+K65+K67+K74+K106+K111+K229+K233+K235+K237+K109</f>
        <v>#REF!</v>
      </c>
      <c r="L240" s="90" t="e">
        <f>L16+L38+L48+L55+L65+L67+L74+L106+L111+L229+L233+L235+L237+L109</f>
        <v>#REF!</v>
      </c>
      <c r="M240" s="90" t="e">
        <f>M16+M38+M48+M55+M65+M67+M74+M106+M111+M229+M233+M235+M237+M109</f>
        <v>#REF!</v>
      </c>
      <c r="N240" s="59">
        <f>N16+N38+N48+N55+N65+N67+N74+N106+N111+N229+N233+N235+N237+N109</f>
        <v>581826.69999999995</v>
      </c>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row>
    <row r="241" spans="1:87" s="27" customFormat="1" ht="41.25" customHeight="1" x14ac:dyDescent="0.2">
      <c r="A241" s="35"/>
      <c r="B241" s="35"/>
      <c r="C241" s="35"/>
      <c r="D241" s="58" t="s">
        <v>309</v>
      </c>
      <c r="E241" s="102"/>
      <c r="F241" s="102"/>
      <c r="G241" s="114">
        <f t="shared" si="8"/>
        <v>0</v>
      </c>
      <c r="H241" s="102"/>
      <c r="I241" s="102"/>
      <c r="J241" s="77">
        <f t="shared" si="9"/>
        <v>0</v>
      </c>
      <c r="K241" s="103"/>
      <c r="L241" s="104"/>
      <c r="M241" s="105"/>
      <c r="N241" s="115">
        <v>10154.799999999999</v>
      </c>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row>
    <row r="242" spans="1:87" s="108" customFormat="1" ht="42.75" customHeight="1" x14ac:dyDescent="0.2">
      <c r="A242" s="101"/>
      <c r="B242" s="101"/>
      <c r="C242" s="101"/>
      <c r="D242" s="58" t="s">
        <v>321</v>
      </c>
      <c r="E242" s="102"/>
      <c r="F242" s="102"/>
      <c r="G242" s="102"/>
      <c r="H242" s="102"/>
      <c r="I242" s="102"/>
      <c r="J242" s="102"/>
      <c r="K242" s="103"/>
      <c r="L242" s="104"/>
      <c r="M242" s="105"/>
      <c r="N242" s="106">
        <f>N243</f>
        <v>69.8</v>
      </c>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7"/>
      <c r="CE242" s="107"/>
      <c r="CF242" s="107"/>
      <c r="CG242" s="107"/>
      <c r="CH242" s="107"/>
    </row>
    <row r="243" spans="1:87" s="108" customFormat="1" ht="39" customHeight="1" x14ac:dyDescent="0.2">
      <c r="A243" s="101"/>
      <c r="B243" s="101"/>
      <c r="C243" s="101"/>
      <c r="D243" s="67" t="s">
        <v>190</v>
      </c>
      <c r="E243" s="110"/>
      <c r="F243" s="110"/>
      <c r="G243" s="110"/>
      <c r="H243" s="110"/>
      <c r="I243" s="110"/>
      <c r="J243" s="110"/>
      <c r="K243" s="111"/>
      <c r="L243" s="104"/>
      <c r="M243" s="104"/>
      <c r="N243" s="79">
        <v>69.8</v>
      </c>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7"/>
      <c r="CE243" s="107"/>
      <c r="CF243" s="107"/>
      <c r="CG243" s="107"/>
      <c r="CH243" s="107"/>
    </row>
    <row r="244" spans="1:87" s="113" customFormat="1" ht="36.75" customHeight="1" x14ac:dyDescent="0.25">
      <c r="A244" s="109"/>
      <c r="B244" s="109"/>
      <c r="C244" s="109"/>
      <c r="D244" s="144"/>
      <c r="E244" s="2"/>
      <c r="F244" s="2"/>
      <c r="G244" s="2"/>
      <c r="H244" s="2"/>
      <c r="I244" s="2"/>
      <c r="J244" s="2"/>
      <c r="K244" s="5"/>
      <c r="L244" s="4"/>
      <c r="M244" s="17"/>
      <c r="N244" s="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row>
    <row r="245" spans="1:87" ht="25.5" customHeight="1" x14ac:dyDescent="0.4">
      <c r="D245" s="147"/>
      <c r="E245" s="122"/>
      <c r="F245" s="6"/>
      <c r="G245" s="6"/>
      <c r="H245" s="6"/>
      <c r="I245" s="157"/>
      <c r="J245" s="157"/>
      <c r="K245" s="157"/>
      <c r="L245" s="4"/>
      <c r="M245" s="18"/>
      <c r="N245" s="48"/>
    </row>
    <row r="246" spans="1:87" s="6" customFormat="1" ht="27.75" x14ac:dyDescent="0.4">
      <c r="A246" s="122"/>
      <c r="B246" s="122"/>
      <c r="C246" s="122"/>
      <c r="D246" s="144"/>
      <c r="E246" s="2"/>
      <c r="F246" s="2"/>
      <c r="G246" s="2"/>
      <c r="H246" s="2"/>
      <c r="I246" s="2"/>
      <c r="J246" s="2"/>
      <c r="K246" s="5"/>
      <c r="L246" s="4"/>
      <c r="M246" s="17"/>
      <c r="N246" s="71"/>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row>
    <row r="247" spans="1:87" ht="25.5" customHeight="1" x14ac:dyDescent="0.25">
      <c r="K247" s="5"/>
      <c r="L247" s="4"/>
    </row>
    <row r="248" spans="1:87" ht="6.6" customHeight="1" x14ac:dyDescent="0.4">
      <c r="D248" s="148"/>
      <c r="E248" s="10"/>
      <c r="F248" s="10"/>
      <c r="G248" s="10"/>
      <c r="H248" s="10"/>
      <c r="I248" s="8"/>
      <c r="J248" s="52"/>
      <c r="K248" s="9"/>
      <c r="L248" s="4"/>
      <c r="M248" s="19"/>
      <c r="N248" s="72"/>
    </row>
    <row r="249" spans="1:87" s="10" customFormat="1" ht="27.75" x14ac:dyDescent="0.4">
      <c r="A249" s="7" t="s">
        <v>236</v>
      </c>
      <c r="B249" s="23"/>
      <c r="C249" s="24"/>
      <c r="D249" s="148" t="s">
        <v>357</v>
      </c>
      <c r="I249" s="8"/>
      <c r="J249" s="52" t="s">
        <v>358</v>
      </c>
      <c r="K249" s="9"/>
      <c r="L249" s="4"/>
      <c r="M249" s="19"/>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row>
    <row r="250" spans="1:87" s="10" customFormat="1" ht="27.75" x14ac:dyDescent="0.4">
      <c r="A250" s="156" t="s">
        <v>359</v>
      </c>
      <c r="B250" s="156"/>
      <c r="C250" s="11"/>
      <c r="D250" s="148"/>
      <c r="E250" s="11"/>
      <c r="F250" s="11"/>
      <c r="G250" s="11"/>
      <c r="H250" s="11"/>
      <c r="I250" s="8"/>
      <c r="J250" s="8"/>
      <c r="K250" s="11"/>
      <c r="M250" s="52" t="s">
        <v>360</v>
      </c>
      <c r="N250" s="61"/>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row>
    <row r="251" spans="1:87" s="10" customFormat="1" ht="27.75" x14ac:dyDescent="0.4">
      <c r="A251" s="156"/>
      <c r="B251" s="156"/>
      <c r="D251" s="149" t="s">
        <v>236</v>
      </c>
      <c r="H251" s="143"/>
      <c r="I251" s="8"/>
      <c r="J251" s="8"/>
      <c r="K251" s="9"/>
      <c r="L251" s="4"/>
      <c r="M251" s="19"/>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row>
    <row r="252" spans="1:87" ht="30.75" customHeight="1" x14ac:dyDescent="0.25">
      <c r="A252" s="12"/>
      <c r="B252" s="12"/>
      <c r="C252" s="12"/>
      <c r="D252" s="150" t="s">
        <v>361</v>
      </c>
      <c r="E252" s="13"/>
      <c r="F252" s="13"/>
      <c r="G252" s="13"/>
      <c r="H252" s="13"/>
      <c r="I252" s="13"/>
      <c r="J252" s="13"/>
      <c r="K252" s="1"/>
      <c r="L252" s="4"/>
      <c r="CI252" s="12"/>
    </row>
    <row r="253" spans="1:87" s="12" customFormat="1" ht="24.6" customHeight="1" x14ac:dyDescent="0.25">
      <c r="A253" s="14"/>
      <c r="B253" s="14"/>
      <c r="C253" s="14"/>
      <c r="D253" s="151"/>
      <c r="E253" s="16"/>
      <c r="F253" s="16"/>
      <c r="G253" s="16"/>
      <c r="H253" s="16"/>
      <c r="I253" s="16"/>
      <c r="J253" s="16"/>
      <c r="K253" s="16"/>
      <c r="L253" s="4"/>
      <c r="M253" s="20"/>
    </row>
    <row r="254" spans="1:87" s="12" customFormat="1" x14ac:dyDescent="0.25">
      <c r="A254" s="15"/>
      <c r="B254" s="15"/>
      <c r="C254" s="15"/>
      <c r="D254" s="144"/>
      <c r="E254" s="2"/>
      <c r="F254" s="2"/>
      <c r="G254" s="2"/>
      <c r="H254" s="2"/>
      <c r="I254" s="2"/>
      <c r="J254" s="2"/>
      <c r="K254" s="2"/>
      <c r="L254" s="4"/>
      <c r="M254" s="17"/>
    </row>
    <row r="255" spans="1:87" x14ac:dyDescent="0.25">
      <c r="L255" s="4"/>
    </row>
    <row r="256" spans="1:87" x14ac:dyDescent="0.25">
      <c r="L256" s="4"/>
    </row>
  </sheetData>
  <mergeCells count="27">
    <mergeCell ref="G4:N4"/>
    <mergeCell ref="G6:N6"/>
    <mergeCell ref="A250:B250"/>
    <mergeCell ref="A251:B251"/>
    <mergeCell ref="D10:N10"/>
    <mergeCell ref="D11:N11"/>
    <mergeCell ref="F13:F14"/>
    <mergeCell ref="I245:K245"/>
    <mergeCell ref="G13:G14"/>
    <mergeCell ref="J13:J14"/>
    <mergeCell ref="D13:D14"/>
    <mergeCell ref="G1:N1"/>
    <mergeCell ref="G2:N2"/>
    <mergeCell ref="G3:N3"/>
    <mergeCell ref="E13:E14"/>
    <mergeCell ref="L13:L14"/>
    <mergeCell ref="A8:N8"/>
    <mergeCell ref="A9:N9"/>
    <mergeCell ref="G5:N5"/>
    <mergeCell ref="N13:N14"/>
    <mergeCell ref="M13:M14"/>
    <mergeCell ref="H13:H14"/>
    <mergeCell ref="K13:K14"/>
    <mergeCell ref="I13:I14"/>
    <mergeCell ref="A13:A14"/>
    <mergeCell ref="B13:B14"/>
    <mergeCell ref="C13:C14"/>
  </mergeCells>
  <phoneticPr fontId="27" type="noConversion"/>
  <printOptions horizontalCentered="1"/>
  <pageMargins left="0.19685039370078741" right="0.19685039370078741" top="1.1811023622047245" bottom="0.43307086614173229" header="0.51181102362204722" footer="0.23622047244094491"/>
  <pageSetup paperSize="9" scale="54" firstPageNumber="16" fitToHeight="11" orientation="landscape" useFirstPageNumber="1" verticalDpi="300" r:id="rId1"/>
  <headerFooter>
    <oddFooter>&amp;R&amp;20&amp;P</oddFooter>
  </headerFooter>
  <rowBreaks count="6" manualBreakCount="6">
    <brk id="28" min="3" max="13" man="1"/>
    <brk id="47" min="3" max="13" man="1"/>
    <brk id="58" min="3" max="13" man="1"/>
    <brk id="181" min="3" max="13" man="1"/>
    <brk id="220" min="3" max="13" man="1"/>
    <brk id="237" min="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6 (с)</vt:lpstr>
      <vt:lpstr>'дод 6 (с)'!Заголовки_для_печати</vt:lpstr>
      <vt:lpstr>'дод 6 (с)'!Область_печати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User</cp:lastModifiedBy>
  <cp:lastPrinted>2017-03-30T13:59:59Z</cp:lastPrinted>
  <dcterms:created xsi:type="dcterms:W3CDTF">2014-01-17T10:52:16Z</dcterms:created>
  <dcterms:modified xsi:type="dcterms:W3CDTF">2017-03-31T05:16:16Z</dcterms:modified>
</cp:coreProperties>
</file>