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'Sheet1'!$A$1:$Q$813</definedName>
  </definedNames>
  <calcPr fullCalcOnLoad="1"/>
</workbook>
</file>

<file path=xl/sharedStrings.xml><?xml version="1.0" encoding="utf-8"?>
<sst xmlns="http://schemas.openxmlformats.org/spreadsheetml/2006/main" count="769" uniqueCount="470">
  <si>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</si>
  <si>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</si>
  <si>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</si>
  <si>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</si>
  <si>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</si>
  <si>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</si>
  <si>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</si>
  <si>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</si>
  <si>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</si>
  <si>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</si>
  <si>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</si>
  <si>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</si>
  <si>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</si>
  <si>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</si>
  <si>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</si>
  <si>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</si>
  <si>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</si>
  <si>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</si>
  <si>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</si>
  <si>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</si>
  <si>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</si>
  <si>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</si>
  <si>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</si>
  <si>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</si>
  <si>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</si>
  <si>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</si>
  <si>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</si>
  <si>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</si>
  <si>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</si>
  <si>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</si>
  <si>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</si>
  <si>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</si>
  <si>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</si>
  <si>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</si>
  <si>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</si>
  <si>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</si>
  <si>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</si>
  <si>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</si>
  <si>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</si>
  <si>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</si>
  <si>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</si>
  <si>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</si>
  <si>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</si>
  <si>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</si>
  <si>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</si>
  <si>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</si>
  <si>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</si>
  <si>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</si>
  <si>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</si>
  <si>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</si>
  <si>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</si>
  <si>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</si>
  <si>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</si>
  <si>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</si>
  <si>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</si>
  <si>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</si>
  <si>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</si>
  <si>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</si>
  <si>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</si>
  <si>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</si>
  <si>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</si>
  <si>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</si>
  <si>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</si>
  <si>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</si>
  <si>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</si>
  <si>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</si>
  <si>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</si>
  <si>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</si>
  <si>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</si>
  <si>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</si>
  <si>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</si>
  <si>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</si>
  <si>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</si>
  <si>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</si>
  <si>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</si>
  <si>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</si>
  <si>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</si>
  <si>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</si>
  <si>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</si>
  <si>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</si>
  <si>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</si>
  <si>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</si>
  <si>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</si>
  <si>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</si>
  <si>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</si>
  <si>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</si>
  <si>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</si>
  <si>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</si>
  <si>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</si>
  <si>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</si>
  <si>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</si>
  <si>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</si>
  <si>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</si>
  <si>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</si>
  <si>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</si>
  <si>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</si>
  <si>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</si>
  <si>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</si>
  <si>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</si>
  <si>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</si>
  <si>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</si>
  <si>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</si>
  <si>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</si>
  <si>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</si>
  <si>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</si>
  <si>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</si>
  <si>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</si>
  <si>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</si>
  <si>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</si>
  <si>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</si>
  <si>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</si>
  <si>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</si>
  <si>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</si>
  <si>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</si>
  <si>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</si>
  <si>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</si>
  <si>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</si>
  <si>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</si>
  <si>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</si>
  <si>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</si>
  <si>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</si>
  <si>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</si>
  <si>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</si>
  <si>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</si>
  <si>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</si>
  <si>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</si>
  <si>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</si>
  <si>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</si>
  <si>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</si>
  <si>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</si>
  <si>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</si>
  <si>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</si>
  <si>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</si>
  <si>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</si>
  <si>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</si>
  <si>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</si>
  <si>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</si>
  <si>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</si>
  <si>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</si>
  <si>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</si>
  <si>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</si>
  <si>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</si>
  <si>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</si>
  <si>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</si>
  <si>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</si>
  <si>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</si>
  <si>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</si>
  <si>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</si>
  <si>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</si>
  <si>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</si>
  <si>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</si>
  <si>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</si>
  <si>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</si>
  <si>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</si>
  <si>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</si>
  <si>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</si>
  <si>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</si>
  <si>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</si>
  <si>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</si>
  <si>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</si>
  <si>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</si>
  <si>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</si>
  <si>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</si>
  <si>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</si>
  <si>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</si>
  <si>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</si>
  <si>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</si>
  <si>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</si>
  <si>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</si>
  <si>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</si>
  <si>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</si>
  <si>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</si>
  <si>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</si>
  <si>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</si>
  <si>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</si>
  <si>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</si>
  <si>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</si>
  <si>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</si>
  <si>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</si>
  <si>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</si>
  <si>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</si>
  <si>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</si>
  <si>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</si>
  <si>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</si>
  <si>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</si>
  <si>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</si>
  <si>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</si>
  <si>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</si>
  <si>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</si>
  <si>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</si>
  <si>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</si>
  <si>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</si>
  <si>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</si>
  <si>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</si>
  <si>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</si>
  <si>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</si>
  <si>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</si>
  <si>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</si>
  <si>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</si>
  <si>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</si>
  <si>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</si>
  <si>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</si>
  <si>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</si>
  <si>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</si>
  <si>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</si>
  <si>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</si>
  <si>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</si>
  <si>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</si>
  <si>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</si>
  <si>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</si>
  <si>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</si>
  <si>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</si>
  <si>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</si>
  <si>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зелених насаджень, що планується висадити, од.</t>
  </si>
  <si>
    <t xml:space="preserve">    Показник: середні витрати на  висадження одного дерева,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</si>
  <si>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</si>
  <si>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</si>
  <si>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</si>
  <si>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</si>
  <si>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</si>
  <si>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</si>
  <si>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</si>
  <si>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</si>
  <si>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</si>
  <si>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</si>
  <si>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</si>
  <si>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</si>
  <si>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</si>
  <si>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</si>
  <si>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</si>
  <si>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</si>
  <si>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</si>
  <si>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</si>
  <si>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</si>
  <si>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</si>
  <si>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</si>
  <si>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</si>
  <si>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</si>
  <si>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</si>
  <si>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</si>
  <si>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</si>
  <si>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</si>
  <si>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</si>
  <si>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</si>
  <si>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</si>
  <si>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</si>
  <si>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</si>
  <si>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</si>
  <si>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</si>
  <si>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</si>
  <si>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</si>
  <si>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</si>
  <si>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</si>
  <si>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</si>
  <si>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</si>
  <si>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</si>
  <si>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</si>
  <si>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</si>
  <si>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</si>
  <si>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Виконавець: Яременко Г.І.</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</si>
  <si>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</si>
  <si>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</si>
  <si>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</si>
  <si>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</si>
  <si>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</si>
  <si>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</si>
  <si>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</si>
  <si>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</si>
  <si>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</si>
  <si>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</si>
  <si>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</si>
  <si>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</si>
  <si>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</si>
  <si>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</si>
  <si>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</si>
  <si>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</si>
  <si>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</si>
  <si>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</si>
  <si>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</si>
  <si>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</si>
  <si>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</si>
  <si>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</si>
  <si>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</si>
  <si>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</si>
  <si>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</si>
  <si>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</si>
  <si>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</si>
  <si>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</si>
  <si>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</si>
  <si>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</si>
  <si>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</si>
  <si>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</si>
  <si>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</si>
  <si>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</si>
  <si>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</si>
  <si>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</si>
  <si>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</si>
  <si>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Мета: Розробка схеми теплопостачання м.Суми </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</si>
  <si>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</si>
  <si>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</si>
  <si>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</si>
  <si>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</si>
  <si>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</si>
  <si>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</si>
  <si>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</si>
  <si>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</si>
  <si>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</si>
  <si>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</si>
  <si>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</si>
  <si>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</si>
  <si>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</si>
  <si>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</si>
  <si>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Тип показника: Витрати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</si>
  <si>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</si>
  <si>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</si>
  <si>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</si>
  <si>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</si>
  <si>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</si>
  <si>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</si>
  <si>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</si>
  <si>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</si>
  <si>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м3</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</si>
  <si>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</si>
  <si>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</si>
  <si>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</si>
  <si>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</si>
  <si>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</si>
  <si>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</si>
  <si>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</si>
  <si>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</si>
  <si>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</si>
  <si>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</si>
  <si>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</si>
  <si>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</si>
  <si>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</si>
  <si>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</si>
  <si>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</si>
  <si>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Показник:кількість об'ктів, яка охоплена поточним ремонтом, шт.</t>
  </si>
  <si>
    <t xml:space="preserve">    Показник: загальна кількість об'єктів, що потребує поточного ремонту, шт.</t>
  </si>
  <si>
    <t xml:space="preserve">    Показник: середня вартість ремонту 1 об'єкта, грн.</t>
  </si>
  <si>
    <t xml:space="preserve">    Показник: питома вага об'ктів, що зазнали ремонту до кількості, що потребувала поточного ремонту</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</si>
  <si>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</si>
  <si>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</si>
  <si>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</si>
  <si>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</si>
  <si>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</si>
  <si>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</si>
  <si>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</si>
  <si>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</si>
  <si>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</si>
  <si>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</si>
  <si>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</si>
  <si>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</si>
  <si>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</si>
  <si>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</si>
  <si>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</si>
  <si>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</si>
  <si>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</si>
  <si>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</si>
  <si>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</si>
  <si>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</si>
  <si>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</si>
  <si>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</si>
  <si>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</si>
  <si>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</si>
  <si>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19. Придбання та монтаж покажчиків вулиць</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</si>
  <si>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</si>
  <si>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</si>
  <si>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</si>
  <si>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</si>
  <si>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</si>
  <si>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</si>
  <si>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</si>
  <si>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</si>
  <si>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</si>
  <si>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</si>
  <si>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</si>
  <si>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</si>
  <si>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</si>
  <si>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</si>
  <si>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</si>
  <si>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</si>
  <si>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площа будинків, на які планується розробити технічні паспорти, м.кв.</t>
  </si>
  <si>
    <t>Показник: кількість зон  відпочинку, які планується облаштувати, од.</t>
  </si>
  <si>
    <t xml:space="preserve">    Показник: середня вартість облаштування однієї зони відпочинку, грн.</t>
  </si>
  <si>
    <t xml:space="preserve">    Показник: кількість науково-технічної продукції, од.</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</si>
  <si>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</si>
  <si>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</si>
  <si>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</si>
  <si>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</si>
  <si>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</si>
  <si>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</si>
  <si>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</si>
  <si>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</si>
  <si>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</si>
  <si>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</si>
  <si>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</si>
  <si>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</si>
  <si>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</si>
  <si>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</si>
  <si>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</si>
  <si>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</si>
  <si>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</si>
  <si>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Завдання: 43 Проведення капітального ремонту колекторів та каналізаційних мереж"</t>
  </si>
  <si>
    <t>Завдання: 44. Виконання геофізичного обстеження відпрацьованих свердловин</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</si>
  <si>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</si>
  <si>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</si>
  <si>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</si>
  <si>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</si>
  <si>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</si>
  <si>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</si>
  <si>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</si>
  <si>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</si>
  <si>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</si>
  <si>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</si>
  <si>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</si>
  <si>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</si>
  <si>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</si>
  <si>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</si>
  <si>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</si>
  <si>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</si>
  <si>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</si>
  <si>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</si>
  <si>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КТКВК 100203, 170703, 150101/ КПКВК 6060, 6650, 6310</t>
  </si>
  <si>
    <t>КТКВК 250404/ КПКВК 8600</t>
  </si>
  <si>
    <t>КТКВК 240900/ КПКВК 9180</t>
  </si>
  <si>
    <t>КТКВК 100302/ КПКВК 6130</t>
  </si>
  <si>
    <t>КТКВК 100202/ КПКВК 6052</t>
  </si>
  <si>
    <t>КТКВК 160101/ КПКВК 7310</t>
  </si>
  <si>
    <t>КТКВК 250903/ КПКВК 8091</t>
  </si>
  <si>
    <t>КТКВК 180107/ КПКВК 7410</t>
  </si>
  <si>
    <t>КТКВК 100208/ КПКВК 6100</t>
  </si>
  <si>
    <t>КТКВК 150202/ КПКВК 6430</t>
  </si>
  <si>
    <t>КТКВК 180409/ КПКВК 7470</t>
  </si>
  <si>
    <t>КТКВК 250380/ КПКВК 8800</t>
  </si>
  <si>
    <t>КТКВК 100101/ КПКВК 6010</t>
  </si>
  <si>
    <t>КТКВК 090501/ КПКВК 3240</t>
  </si>
  <si>
    <t>КТКВК 150101/ КПКВК 6310</t>
  </si>
  <si>
    <t>КТКВК 250904/ КПКВК 8092</t>
  </si>
  <si>
    <t>Завдання: 47.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</si>
  <si>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47.2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</si>
  <si>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КТКВК 100102, 100106 / КПКВК 6021, 6022, 6421</t>
  </si>
  <si>
    <t xml:space="preserve">  Завдання: 58. Реставрація житлових будинків та об'єктів благоустрою</t>
  </si>
  <si>
    <t xml:space="preserve">    Показник: кількість житлових будинків та об'єктів, які необхідно відреставрувати, шт.</t>
  </si>
  <si>
    <t xml:space="preserve">    Показник: кількість житлових будинків та об'єктів, які планується відреставрувати, шт.</t>
  </si>
  <si>
    <t xml:space="preserve">    Показник: середня вартість реставрації житлового будинку та об'єкту, грн.</t>
  </si>
  <si>
    <t xml:space="preserve">    Показник: Питома вага кількості житлових будинків та об'єктів, які планується відреставрувати, до кількості житлових будинків та об'єктів, що потребують реставрації, %</t>
  </si>
  <si>
    <t xml:space="preserve">    Мета: Проведення реставрації житлового фонду та об'єктів комунального господарства </t>
  </si>
  <si>
    <t>КПКВК 6421</t>
  </si>
  <si>
    <t>Підпрограма 2. Капітальний ремонт житлового фонду об'єднань співвласників багатоквартирних будинків</t>
  </si>
  <si>
    <t xml:space="preserve">  Завдання: 17.5. Проведення капітального ремонту житлових будинків об'єднань співвласників багатоквартирних будинків</t>
  </si>
  <si>
    <t xml:space="preserve">  Завдання: 17.6. Співфінансування капітального ремонту житлових будинків об'єднань співвласників багатоквартирних будинків та ЖБК</t>
  </si>
  <si>
    <t xml:space="preserve">  Завдання: 56. Реконструкція  полігону для складування ТПВ на території В.Бобрицької сільської ради Краснопільського район, реконструкція колеекторів міста Суми та інших об'єктів</t>
  </si>
  <si>
    <t xml:space="preserve">    Показник: середня вартість будівництва одного об'єкта,  грн.</t>
  </si>
  <si>
    <t xml:space="preserve">    Мета: Проведення будівництва об'єктів комунального господарства </t>
  </si>
  <si>
    <t xml:space="preserve">  Завдання: 55. Будівництво об'єктів комунального  господарства</t>
  </si>
  <si>
    <t>Показник: кількість комплексних схем розміщення тимчасових споруд для провадження підприємницької діяльності у місті Суми, кількість конкурсів ескізних проектів дитячого парку "Казка"</t>
  </si>
  <si>
    <t>Показник: вартість розробки Комплексної схеми розміщення тимчасових споруд для провадження підприємницької діяльності у місті Суми, конкурсів ескізних проектів дитячого парку "Казка"</t>
  </si>
  <si>
    <t xml:space="preserve">  Завдання: 33. Забезпечення відтворення зелених насаджен, співфінансування капітального ремонту житлового фонду (ДІМ)</t>
  </si>
  <si>
    <t>Завдання: 32. Розроблення  Комплексної схеми розміщення тимчасових споруд для провадження підприємницької діяльності у місті Суми (УАМ СМР), проведення конкурсу ескізних проектів дитячого парку "Казка"(УАМ СМР)</t>
  </si>
  <si>
    <t xml:space="preserve">    Показник: кількість топогеодезичних зйомок земельної ділянки, од.</t>
  </si>
  <si>
    <t xml:space="preserve">  Показник: вартість проведення1  топогеодезичної зйомки земельної ділянки,  грн.</t>
  </si>
  <si>
    <t xml:space="preserve">    Показник: кількість рекламних засобів, що підлягають демонтажу та зберіганню, од. всього;</t>
  </si>
  <si>
    <t xml:space="preserve">   Показник: середня вартість демонтажу одного рекламного засобу та їх зберігання, розміщеного самовільно та з порушенням порядку розміщення зовнішньої реклами, грн.</t>
  </si>
  <si>
    <r>
      <t xml:space="preserve">  Завдання: 23. Демонтаж  рекламних засобів, розміщених самовільно та з порушенням порядку розміщення зовнішньої реклами, їх зберігання </t>
    </r>
    <r>
      <rPr>
        <b/>
        <i/>
        <sz val="8"/>
        <color indexed="10"/>
        <rFont val="Times New Roman"/>
        <family val="1"/>
      </rPr>
      <t xml:space="preserve"> </t>
    </r>
    <r>
      <rPr>
        <b/>
        <i/>
        <sz val="8"/>
        <rFont val="Times New Roman"/>
        <family val="1"/>
      </rPr>
      <t>(УАМ СМР)</t>
    </r>
  </si>
  <si>
    <t xml:space="preserve">  Завдання: 26. Оплата податку на земельну ділянку за адресою: м.Суми, вул.Привокзальна, 4/13 (каналізаційно-насосна станція) та відшкодування майнової шкоди по рішенню судів </t>
  </si>
  <si>
    <t xml:space="preserve">    Показник: середня вартість 1  відшкодування майнової шкоди, грн.</t>
  </si>
  <si>
    <t>Показник: кількість відшкодувань майнової шкоди , од</t>
  </si>
  <si>
    <t xml:space="preserve">                     Додаток 18</t>
  </si>
  <si>
    <t xml:space="preserve">від 29 березня  2017  року № 1866 -МР </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</si>
</sst>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7">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b/>
      <i/>
      <sz val="14"/>
      <name val="Times New Roman"/>
      <family val="1"/>
    </font>
    <font>
      <b/>
      <i/>
      <sz val="12"/>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9"/>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23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 fontId="1"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0" xfId="0" applyFont="1" applyAlignment="1">
      <alignment horizontal="center" vertical="center" wrapText="1"/>
    </xf>
    <xf numFmtId="4" fontId="5"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2" fontId="0" fillId="0" borderId="0" xfId="0" applyNumberFormat="1" applyAlignment="1">
      <alignment/>
    </xf>
    <xf numFmtId="0" fontId="2" fillId="34" borderId="11" xfId="0" applyFont="1" applyFill="1" applyBorder="1" applyAlignment="1">
      <alignment horizontal="left" wrapText="1"/>
    </xf>
    <xf numFmtId="0" fontId="2" fillId="35" borderId="11" xfId="0" applyFont="1" applyFill="1" applyBorder="1" applyAlignment="1">
      <alignment horizontal="left" wrapText="1"/>
    </xf>
    <xf numFmtId="0" fontId="1" fillId="34" borderId="11" xfId="0" applyFont="1" applyFill="1" applyBorder="1" applyAlignment="1">
      <alignment horizontal="left" wrapText="1"/>
    </xf>
    <xf numFmtId="0" fontId="1" fillId="35" borderId="11" xfId="0" applyFont="1" applyFill="1" applyBorder="1" applyAlignment="1">
      <alignment horizontal="left" wrapText="1"/>
    </xf>
    <xf numFmtId="4" fontId="1" fillId="35" borderId="11" xfId="0" applyNumberFormat="1" applyFont="1" applyFill="1" applyBorder="1" applyAlignment="1">
      <alignment horizontal="center" vertical="center"/>
    </xf>
    <xf numFmtId="4" fontId="8" fillId="35" borderId="11" xfId="0" applyNumberFormat="1" applyFont="1" applyFill="1" applyBorder="1" applyAlignment="1">
      <alignment horizontal="center" vertical="center"/>
    </xf>
    <xf numFmtId="4" fontId="8" fillId="34" borderId="11" xfId="0" applyNumberFormat="1" applyFont="1" applyFill="1" applyBorder="1" applyAlignment="1">
      <alignment horizontal="center" vertical="center"/>
    </xf>
    <xf numFmtId="4" fontId="1" fillId="34"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xf>
    <xf numFmtId="0" fontId="1" fillId="0" borderId="11" xfId="0" applyFont="1" applyFill="1" applyBorder="1" applyAlignment="1">
      <alignment horizontal="left" vertical="top" wrapText="1"/>
    </xf>
    <xf numFmtId="4" fontId="1" fillId="0" borderId="0" xfId="0" applyNumberFormat="1" applyFont="1" applyAlignment="1">
      <alignment/>
    </xf>
    <xf numFmtId="0" fontId="2" fillId="36" borderId="11" xfId="0" applyFont="1" applyFill="1" applyBorder="1" applyAlignment="1">
      <alignment horizontal="left" wrapText="1"/>
    </xf>
    <xf numFmtId="0" fontId="1" fillId="36" borderId="11" xfId="0" applyFont="1" applyFill="1" applyBorder="1" applyAlignment="1">
      <alignment horizontal="left" wrapText="1"/>
    </xf>
    <xf numFmtId="0" fontId="1" fillId="36" borderId="11" xfId="0" applyFont="1" applyFill="1" applyBorder="1" applyAlignment="1">
      <alignment horizontal="left" vertical="top" wrapText="1"/>
    </xf>
    <xf numFmtId="0" fontId="1" fillId="36" borderId="12" xfId="0" applyFont="1" applyFill="1" applyBorder="1" applyAlignment="1">
      <alignment horizontal="left" wrapText="1"/>
    </xf>
    <xf numFmtId="0" fontId="1" fillId="34" borderId="12" xfId="0" applyFont="1" applyFill="1" applyBorder="1" applyAlignment="1">
      <alignment horizontal="left" wrapText="1"/>
    </xf>
    <xf numFmtId="0" fontId="10"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 fillId="0" borderId="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1" fillId="33"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0" fontId="1"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4" fontId="3"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5" fillId="0" borderId="11" xfId="0" applyFont="1" applyFill="1" applyBorder="1" applyAlignment="1">
      <alignment horizontal="left"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0" fontId="1" fillId="0" borderId="0" xfId="0" applyFont="1" applyFill="1" applyAlignment="1">
      <alignment/>
    </xf>
    <xf numFmtId="0" fontId="0" fillId="0" borderId="0" xfId="0" applyFill="1" applyAlignment="1">
      <alignment/>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 fontId="10" fillId="0" borderId="0" xfId="0" applyNumberFormat="1" applyFont="1" applyAlignment="1">
      <alignment horizontal="center"/>
    </xf>
    <xf numFmtId="4" fontId="1" fillId="35" borderId="10"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8" borderId="10" xfId="0"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1" fillId="35" borderId="12" xfId="0" applyFont="1" applyFill="1" applyBorder="1" applyAlignment="1">
      <alignment horizontal="left" wrapText="1"/>
    </xf>
    <xf numFmtId="4" fontId="1" fillId="35" borderId="12" xfId="0" applyNumberFormat="1" applyFont="1" applyFill="1" applyBorder="1" applyAlignment="1">
      <alignment horizontal="center" vertical="center"/>
    </xf>
    <xf numFmtId="0" fontId="1" fillId="35" borderId="10" xfId="0" applyFont="1" applyFill="1" applyBorder="1" applyAlignment="1">
      <alignment horizontal="left" wrapText="1"/>
    </xf>
    <xf numFmtId="0" fontId="5" fillId="38" borderId="10" xfId="0" applyFont="1" applyFill="1" applyBorder="1" applyAlignment="1">
      <alignment horizontal="left" vertical="center" wrapText="1"/>
    </xf>
    <xf numFmtId="49" fontId="24" fillId="38" borderId="10" xfId="0" applyNumberFormat="1" applyFont="1" applyFill="1" applyBorder="1" applyAlignment="1">
      <alignment horizontal="center" vertical="center" wrapText="1"/>
    </xf>
    <xf numFmtId="2" fontId="1" fillId="38" borderId="0" xfId="0" applyNumberFormat="1" applyFont="1" applyFill="1" applyBorder="1" applyAlignment="1">
      <alignment horizontal="center" vertical="center" wrapText="1"/>
    </xf>
    <xf numFmtId="0" fontId="0" fillId="38" borderId="0" xfId="0" applyFill="1" applyAlignment="1">
      <alignment/>
    </xf>
    <xf numFmtId="0" fontId="1" fillId="36" borderId="10" xfId="0" applyFont="1" applyFill="1" applyBorder="1" applyAlignment="1">
      <alignment horizontal="left" wrapText="1"/>
    </xf>
    <xf numFmtId="0" fontId="2" fillId="36" borderId="10" xfId="0" applyFont="1" applyFill="1" applyBorder="1" applyAlignment="1">
      <alignment horizontal="left" wrapText="1"/>
    </xf>
    <xf numFmtId="0" fontId="5" fillId="38" borderId="10" xfId="0" applyFont="1" applyFill="1" applyBorder="1" applyAlignment="1">
      <alignment horizontal="center" vertical="center" wrapText="1"/>
    </xf>
    <xf numFmtId="4" fontId="5" fillId="38" borderId="10" xfId="0" applyNumberFormat="1" applyFont="1" applyFill="1" applyBorder="1" applyAlignment="1">
      <alignment horizontal="center" vertical="center" wrapText="1"/>
    </xf>
    <xf numFmtId="2" fontId="5" fillId="38" borderId="10" xfId="0" applyNumberFormat="1" applyFont="1" applyFill="1" applyBorder="1" applyAlignment="1">
      <alignment horizontal="center" vertical="center" wrapText="1"/>
    </xf>
    <xf numFmtId="0" fontId="5" fillId="38" borderId="0" xfId="0" applyFont="1" applyFill="1" applyAlignment="1">
      <alignment/>
    </xf>
    <xf numFmtId="0" fontId="25" fillId="38" borderId="0" xfId="0" applyFont="1" applyFill="1" applyAlignment="1">
      <alignment/>
    </xf>
    <xf numFmtId="0" fontId="1" fillId="37" borderId="10" xfId="0" applyFont="1" applyFill="1" applyBorder="1" applyAlignment="1">
      <alignment wrapText="1"/>
    </xf>
    <xf numFmtId="0" fontId="15" fillId="0" borderId="0" xfId="0" applyFont="1" applyBorder="1" applyAlignment="1">
      <alignment horizontal="left" vertical="center" wrapText="1"/>
    </xf>
    <xf numFmtId="4" fontId="4" fillId="38" borderId="10" xfId="0" applyNumberFormat="1" applyFont="1" applyFill="1" applyBorder="1" applyAlignment="1">
      <alignment horizontal="center" vertical="center" wrapText="1"/>
    </xf>
    <xf numFmtId="0" fontId="5" fillId="39" borderId="11" xfId="0" applyFont="1" applyFill="1" applyBorder="1" applyAlignment="1">
      <alignment horizontal="left" wrapText="1"/>
    </xf>
    <xf numFmtId="0" fontId="5" fillId="39" borderId="14" xfId="0" applyFont="1" applyFill="1" applyBorder="1" applyAlignment="1">
      <alignment horizontal="left" wrapText="1"/>
    </xf>
    <xf numFmtId="2" fontId="5" fillId="40"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4" fontId="5" fillId="40" borderId="11" xfId="0" applyNumberFormat="1" applyFont="1" applyFill="1" applyBorder="1" applyAlignment="1">
      <alignment horizontal="center" vertical="center"/>
    </xf>
    <xf numFmtId="0" fontId="26" fillId="38" borderId="0" xfId="0" applyFont="1" applyFill="1" applyAlignment="1">
      <alignment/>
    </xf>
    <xf numFmtId="0" fontId="27" fillId="38" borderId="0" xfId="0" applyFont="1" applyFill="1" applyAlignment="1">
      <alignment/>
    </xf>
    <xf numFmtId="4" fontId="5" fillId="39" borderId="11"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0" borderId="10" xfId="0" applyNumberFormat="1" applyFont="1" applyFill="1" applyBorder="1" applyAlignment="1">
      <alignment horizontal="center" vertical="center"/>
    </xf>
    <xf numFmtId="2" fontId="5" fillId="38" borderId="0" xfId="0" applyNumberFormat="1" applyFont="1" applyFill="1" applyBorder="1" applyAlignment="1">
      <alignment horizontal="center" vertical="center" wrapText="1"/>
    </xf>
    <xf numFmtId="0" fontId="1" fillId="36" borderId="11" xfId="0" applyFont="1" applyFill="1" applyBorder="1" applyAlignment="1">
      <alignment horizontal="left" vertical="center" wrapText="1"/>
    </xf>
    <xf numFmtId="0" fontId="11" fillId="38" borderId="10" xfId="0" applyFont="1" applyFill="1" applyBorder="1" applyAlignment="1">
      <alignment horizontal="center" vertical="center" wrapText="1"/>
    </xf>
    <xf numFmtId="0" fontId="1" fillId="41" borderId="10" xfId="0" applyFont="1" applyFill="1" applyBorder="1" applyAlignment="1">
      <alignment horizontal="left" vertical="center" wrapText="1"/>
    </xf>
    <xf numFmtId="0" fontId="1" fillId="41" borderId="10" xfId="0" applyFont="1" applyFill="1" applyBorder="1" applyAlignment="1">
      <alignment horizontal="center" vertical="center" wrapText="1"/>
    </xf>
    <xf numFmtId="4" fontId="3" fillId="41" borderId="10" xfId="0" applyNumberFormat="1" applyFont="1" applyFill="1" applyBorder="1" applyAlignment="1">
      <alignment horizontal="center" vertical="center" wrapText="1"/>
    </xf>
    <xf numFmtId="0" fontId="1" fillId="41" borderId="0" xfId="0" applyFont="1" applyFill="1" applyAlignment="1">
      <alignment/>
    </xf>
    <xf numFmtId="0" fontId="0" fillId="41" borderId="0" xfId="0" applyFill="1" applyAlignment="1">
      <alignment/>
    </xf>
    <xf numFmtId="4" fontId="1" fillId="41" borderId="10" xfId="0" applyNumberFormat="1" applyFont="1" applyFill="1" applyBorder="1" applyAlignment="1">
      <alignment horizontal="center" vertical="center" wrapText="1"/>
    </xf>
    <xf numFmtId="0" fontId="1" fillId="0" borderId="0" xfId="0" applyFont="1" applyBorder="1" applyAlignment="1">
      <alignment/>
    </xf>
    <xf numFmtId="4" fontId="1" fillId="41" borderId="0" xfId="0" applyNumberFormat="1" applyFont="1" applyFill="1" applyBorder="1" applyAlignment="1">
      <alignment/>
    </xf>
    <xf numFmtId="4" fontId="1" fillId="0" borderId="0" xfId="0" applyNumberFormat="1" applyFont="1" applyBorder="1" applyAlignment="1">
      <alignment/>
    </xf>
    <xf numFmtId="0" fontId="23" fillId="38" borderId="10" xfId="0" applyFont="1" applyFill="1" applyBorder="1" applyAlignment="1">
      <alignment horizontal="center" vertical="center" wrapText="1"/>
    </xf>
    <xf numFmtId="4" fontId="11" fillId="38" borderId="10" xfId="0" applyNumberFormat="1" applyFont="1" applyFill="1" applyBorder="1" applyAlignment="1">
      <alignment horizontal="center" vertical="center" wrapText="1"/>
    </xf>
    <xf numFmtId="4" fontId="1" fillId="38" borderId="0" xfId="0" applyNumberFormat="1" applyFont="1" applyFill="1" applyAlignment="1">
      <alignment/>
    </xf>
    <xf numFmtId="0" fontId="1" fillId="38" borderId="0" xfId="0" applyFont="1" applyFill="1" applyAlignment="1">
      <alignment/>
    </xf>
    <xf numFmtId="0" fontId="11" fillId="39" borderId="11" xfId="0" applyFont="1" applyFill="1" applyBorder="1" applyAlignment="1">
      <alignment horizontal="center" wrapText="1"/>
    </xf>
    <xf numFmtId="4" fontId="11" fillId="40" borderId="11" xfId="0" applyNumberFormat="1" applyFont="1" applyFill="1" applyBorder="1" applyAlignment="1">
      <alignment horizontal="center" vertical="center"/>
    </xf>
    <xf numFmtId="0" fontId="24" fillId="38" borderId="10" xfId="0" applyFont="1" applyFill="1" applyBorder="1" applyAlignment="1">
      <alignment horizontal="center" vertical="center" wrapText="1"/>
    </xf>
    <xf numFmtId="0" fontId="11" fillId="39" borderId="11" xfId="0" applyFont="1" applyFill="1" applyBorder="1" applyAlignment="1">
      <alignment horizontal="center" vertical="center" wrapText="1"/>
    </xf>
    <xf numFmtId="4" fontId="13" fillId="0" borderId="0" xfId="0" applyNumberFormat="1" applyFont="1" applyAlignment="1">
      <alignment horizontal="left"/>
    </xf>
    <xf numFmtId="4" fontId="65" fillId="41" borderId="0" xfId="0" applyNumberFormat="1" applyFont="1" applyFill="1" applyBorder="1" applyAlignment="1">
      <alignment/>
    </xf>
    <xf numFmtId="4" fontId="2" fillId="0" borderId="10" xfId="0" applyNumberFormat="1" applyFont="1" applyBorder="1" applyAlignment="1">
      <alignment horizontal="center" vertical="center" wrapText="1"/>
    </xf>
    <xf numFmtId="4" fontId="2" fillId="37"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5" fillId="38"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5" fillId="40" borderId="15" xfId="0" applyNumberFormat="1" applyFont="1" applyFill="1" applyBorder="1" applyAlignment="1">
      <alignment horizontal="center" vertical="center"/>
    </xf>
    <xf numFmtId="4" fontId="2" fillId="35" borderId="11" xfId="0" applyNumberFormat="1" applyFont="1" applyFill="1" applyBorder="1" applyAlignment="1">
      <alignment horizontal="center" vertical="center"/>
    </xf>
    <xf numFmtId="4" fontId="5" fillId="35" borderId="11"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40" borderId="11" xfId="0" applyNumberFormat="1" applyFont="1" applyFill="1" applyBorder="1" applyAlignment="1">
      <alignment horizontal="center" vertical="center"/>
    </xf>
    <xf numFmtId="4" fontId="4" fillId="4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xf>
    <xf numFmtId="4" fontId="2" fillId="35" borderId="12"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4" fontId="1" fillId="35" borderId="15" xfId="0" applyNumberFormat="1" applyFont="1" applyFill="1" applyBorder="1" applyAlignment="1">
      <alignment horizontal="center" vertical="center"/>
    </xf>
    <xf numFmtId="4" fontId="5" fillId="38" borderId="10" xfId="0" applyNumberFormat="1" applyFont="1" applyFill="1" applyBorder="1" applyAlignment="1">
      <alignment horizontal="center"/>
    </xf>
    <xf numFmtId="4" fontId="1" fillId="37" borderId="10" xfId="0" applyNumberFormat="1" applyFont="1" applyFill="1" applyBorder="1" applyAlignment="1">
      <alignment horizontal="center"/>
    </xf>
    <xf numFmtId="4" fontId="1" fillId="0" borderId="10" xfId="0" applyNumberFormat="1" applyFont="1" applyBorder="1" applyAlignment="1">
      <alignment horizontal="center"/>
    </xf>
    <xf numFmtId="4" fontId="1" fillId="37" borderId="10" xfId="0" applyNumberFormat="1" applyFont="1" applyFill="1" applyBorder="1" applyAlignment="1">
      <alignment horizontal="center" vertical="center"/>
    </xf>
    <xf numFmtId="4" fontId="1" fillId="37" borderId="0"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0" borderId="16" xfId="0" applyNumberFormat="1" applyFont="1" applyFill="1" applyBorder="1" applyAlignment="1">
      <alignment horizontal="center" vertical="center" wrapText="1"/>
    </xf>
    <xf numFmtId="4" fontId="2" fillId="38" borderId="10" xfId="0" applyNumberFormat="1" applyFont="1" applyFill="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10" fillId="0" borderId="0" xfId="0" applyNumberFormat="1" applyFont="1" applyBorder="1" applyAlignment="1">
      <alignment horizontal="center" vertical="center"/>
    </xf>
    <xf numFmtId="4" fontId="0" fillId="0" borderId="0" xfId="0" applyNumberFormat="1" applyFont="1" applyAlignment="1">
      <alignment/>
    </xf>
    <xf numFmtId="4" fontId="10" fillId="0" borderId="0" xfId="0" applyNumberFormat="1" applyFont="1" applyBorder="1" applyAlignment="1">
      <alignment horizontal="center" vertical="center" wrapText="1"/>
    </xf>
    <xf numFmtId="4" fontId="15" fillId="0" borderId="0" xfId="0" applyNumberFormat="1" applyFont="1" applyAlignment="1">
      <alignment horizontal="center"/>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41" borderId="10" xfId="0" applyNumberFormat="1" applyFont="1" applyFill="1" applyBorder="1" applyAlignment="1">
      <alignment horizontal="center" vertical="center" wrapText="1"/>
    </xf>
    <xf numFmtId="0" fontId="2" fillId="38" borderId="10" xfId="0" applyFont="1" applyFill="1" applyBorder="1" applyAlignment="1">
      <alignment horizontal="center" vertical="center" wrapText="1"/>
    </xf>
    <xf numFmtId="4" fontId="2" fillId="38" borderId="10" xfId="0" applyNumberFormat="1" applyFont="1" applyFill="1" applyBorder="1" applyAlignment="1">
      <alignment horizontal="center"/>
    </xf>
    <xf numFmtId="2" fontId="2" fillId="38" borderId="0" xfId="0" applyNumberFormat="1" applyFont="1" applyFill="1" applyBorder="1" applyAlignment="1">
      <alignment horizontal="center" vertical="center" wrapText="1"/>
    </xf>
    <xf numFmtId="0" fontId="28" fillId="38" borderId="0" xfId="0" applyFont="1" applyFill="1" applyAlignment="1">
      <alignment/>
    </xf>
    <xf numFmtId="0" fontId="2" fillId="38" borderId="1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24" fillId="41" borderId="10" xfId="0" applyFont="1" applyFill="1" applyBorder="1" applyAlignment="1">
      <alignment horizontal="center" vertical="center" wrapText="1"/>
    </xf>
    <xf numFmtId="4" fontId="24" fillId="41" borderId="10" xfId="0" applyNumberFormat="1" applyFont="1" applyFill="1" applyBorder="1" applyAlignment="1">
      <alignment horizontal="center" vertical="center" wrapText="1"/>
    </xf>
    <xf numFmtId="4" fontId="1" fillId="41" borderId="0" xfId="0" applyNumberFormat="1" applyFont="1" applyFill="1" applyAlignment="1">
      <alignment/>
    </xf>
    <xf numFmtId="4" fontId="3" fillId="38" borderId="10" xfId="0" applyNumberFormat="1" applyFont="1" applyFill="1" applyBorder="1" applyAlignment="1">
      <alignment horizontal="center" vertical="center" wrapText="1"/>
    </xf>
    <xf numFmtId="0" fontId="19" fillId="38" borderId="0" xfId="0" applyFont="1" applyFill="1" applyAlignment="1">
      <alignment/>
    </xf>
    <xf numFmtId="0" fontId="20" fillId="38" borderId="0" xfId="0" applyFont="1" applyFill="1" applyAlignment="1">
      <alignment/>
    </xf>
    <xf numFmtId="0" fontId="2" fillId="41" borderId="10" xfId="0" applyFont="1" applyFill="1" applyBorder="1" applyAlignment="1">
      <alignment horizontal="left" vertical="center" wrapText="1"/>
    </xf>
    <xf numFmtId="4" fontId="5" fillId="41"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 fontId="11" fillId="40" borderId="0" xfId="0" applyNumberFormat="1" applyFont="1" applyFill="1" applyBorder="1" applyAlignment="1">
      <alignment horizontal="center" vertical="center"/>
    </xf>
    <xf numFmtId="0" fontId="1" fillId="40" borderId="10" xfId="0" applyFont="1" applyFill="1" applyBorder="1" applyAlignment="1">
      <alignment horizontal="left" wrapText="1"/>
    </xf>
    <xf numFmtId="4" fontId="1" fillId="40" borderId="10"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4" fontId="1" fillId="38" borderId="10" xfId="0" applyNumberFormat="1" applyFont="1" applyFill="1" applyBorder="1" applyAlignment="1">
      <alignment horizontal="center"/>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3" fontId="1" fillId="0" borderId="0" xfId="0" applyNumberFormat="1" applyFont="1" applyAlignment="1">
      <alignment horizontal="center" vertical="center"/>
    </xf>
    <xf numFmtId="3" fontId="1" fillId="35" borderId="10" xfId="0" applyNumberFormat="1" applyFont="1" applyFill="1" applyBorder="1" applyAlignment="1">
      <alignment horizontal="center" vertical="center"/>
    </xf>
    <xf numFmtId="0" fontId="1" fillId="36" borderId="11" xfId="0" applyFont="1" applyFill="1" applyBorder="1" applyAlignment="1">
      <alignment vertical="center"/>
    </xf>
    <xf numFmtId="4" fontId="1" fillId="35" borderId="10" xfId="0" applyNumberFormat="1" applyFont="1" applyFill="1" applyBorder="1" applyAlignment="1">
      <alignment horizontal="center" vertical="center" wrapText="1"/>
    </xf>
    <xf numFmtId="0" fontId="66" fillId="38"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4" fontId="2" fillId="41" borderId="10" xfId="0" applyNumberFormat="1" applyFont="1" applyFill="1" applyBorder="1" applyAlignment="1">
      <alignment horizontal="center"/>
    </xf>
    <xf numFmtId="2" fontId="2" fillId="41" borderId="0" xfId="0" applyNumberFormat="1" applyFont="1" applyFill="1" applyBorder="1" applyAlignment="1">
      <alignment horizontal="center" vertical="center" wrapText="1"/>
    </xf>
    <xf numFmtId="0" fontId="28" fillId="41" borderId="0" xfId="0" applyFont="1" applyFill="1" applyAlignment="1">
      <alignment/>
    </xf>
    <xf numFmtId="0" fontId="1" fillId="38" borderId="10" xfId="53" applyFont="1" applyFill="1" applyBorder="1" applyAlignment="1">
      <alignment horizontal="center" vertical="center" wrapText="1"/>
      <protection/>
    </xf>
    <xf numFmtId="171" fontId="5" fillId="38" borderId="10" xfId="61" applyFont="1" applyFill="1" applyBorder="1" applyAlignment="1">
      <alignment horizontal="center" vertical="center" wrapText="1"/>
    </xf>
    <xf numFmtId="0" fontId="1" fillId="41" borderId="0" xfId="0" applyFont="1" applyFill="1" applyBorder="1" applyAlignment="1">
      <alignment horizontal="left" vertical="center" wrapText="1"/>
    </xf>
    <xf numFmtId="2" fontId="30" fillId="38" borderId="10" xfId="0" applyNumberFormat="1" applyFont="1" applyFill="1" applyBorder="1" applyAlignment="1">
      <alignment horizontal="left" vertical="center" wrapText="1"/>
    </xf>
    <xf numFmtId="4" fontId="30" fillId="38" borderId="10" xfId="0" applyNumberFormat="1" applyFont="1" applyFill="1" applyBorder="1" applyAlignment="1">
      <alignment horizontal="left" vertical="center" wrapText="1"/>
    </xf>
    <xf numFmtId="4" fontId="31" fillId="38" borderId="10" xfId="0" applyNumberFormat="1" applyFont="1" applyFill="1" applyBorder="1" applyAlignment="1">
      <alignment horizontal="left" wrapText="1"/>
    </xf>
    <xf numFmtId="4" fontId="30" fillId="38" borderId="10" xfId="0" applyNumberFormat="1" applyFont="1" applyFill="1" applyBorder="1" applyAlignment="1">
      <alignment horizontal="center" vertical="center" wrapText="1"/>
    </xf>
    <xf numFmtId="0" fontId="1" fillId="36" borderId="11" xfId="0" applyFont="1" applyFill="1" applyBorder="1" applyAlignment="1">
      <alignment horizontal="center" vertical="center" shrinkToFit="1"/>
    </xf>
    <xf numFmtId="0" fontId="1" fillId="42" borderId="10" xfId="0" applyFont="1" applyFill="1" applyBorder="1" applyAlignment="1">
      <alignment horizontal="left" wrapText="1"/>
    </xf>
    <xf numFmtId="0" fontId="1" fillId="43" borderId="10" xfId="0" applyFont="1" applyFill="1" applyBorder="1" applyAlignment="1">
      <alignment horizontal="left" wrapText="1"/>
    </xf>
    <xf numFmtId="4" fontId="1" fillId="43" borderId="10" xfId="0" applyNumberFormat="1" applyFont="1" applyFill="1" applyBorder="1" applyAlignment="1">
      <alignment horizontal="center" vertical="center"/>
    </xf>
    <xf numFmtId="4" fontId="13" fillId="0" borderId="0" xfId="0" applyNumberFormat="1" applyFont="1" applyAlignment="1">
      <alignment horizontal="left"/>
    </xf>
    <xf numFmtId="0" fontId="14" fillId="0" borderId="0" xfId="0" applyFont="1" applyAlignment="1">
      <alignment horizontal="center" wrapText="1"/>
    </xf>
    <xf numFmtId="4" fontId="15" fillId="0" borderId="0" xfId="0" applyNumberFormat="1" applyFont="1" applyAlignment="1">
      <alignment horizontal="center"/>
    </xf>
    <xf numFmtId="4" fontId="2" fillId="0" borderId="18"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0" xfId="0" applyFont="1" applyBorder="1" applyAlignment="1">
      <alignment horizontal="left" vertical="center" wrapText="1"/>
    </xf>
    <xf numFmtId="0" fontId="15" fillId="0" borderId="0" xfId="0" applyFont="1" applyBorder="1" applyAlignment="1">
      <alignment horizontal="left" vertical="center" wrapText="1"/>
    </xf>
    <xf numFmtId="4" fontId="1" fillId="0" borderId="1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41956050"/>
        <c:axId val="42060131"/>
      </c:barChart>
      <c:catAx>
        <c:axId val="41956050"/>
        <c:scaling>
          <c:orientation val="minMax"/>
        </c:scaling>
        <c:axPos val="b"/>
        <c:delete val="0"/>
        <c:numFmt formatCode="General" sourceLinked="1"/>
        <c:majorTickMark val="out"/>
        <c:minorTickMark val="none"/>
        <c:tickLblPos val="nextTo"/>
        <c:spPr>
          <a:ln w="3175">
            <a:solidFill>
              <a:srgbClr val="000000"/>
            </a:solidFill>
          </a:ln>
        </c:spPr>
        <c:crossAx val="42060131"/>
        <c:crosses val="autoZero"/>
        <c:auto val="1"/>
        <c:lblOffset val="100"/>
        <c:tickLblSkip val="1"/>
        <c:noMultiLvlLbl val="0"/>
      </c:catAx>
      <c:valAx>
        <c:axId val="420601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956050"/>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910"/>
  <sheetViews>
    <sheetView tabSelected="1" view="pageBreakPreview" zoomScale="115" zoomScaleNormal="85" zoomScaleSheetLayoutView="115" workbookViewId="0" topLeftCell="A95">
      <selection activeCell="F18" sqref="F18"/>
    </sheetView>
  </sheetViews>
  <sheetFormatPr defaultColWidth="9.33203125" defaultRowHeight="11.25"/>
  <cols>
    <col min="1" max="1" width="45.33203125" style="1" customWidth="1"/>
    <col min="2" max="2" width="9.5" style="1" hidden="1" customWidth="1"/>
    <col min="3" max="3" width="9.66015625" style="1" hidden="1" customWidth="1"/>
    <col min="4" max="4" width="17.16015625" style="42" customWidth="1"/>
    <col min="5" max="5" width="16.66015625" style="42" customWidth="1"/>
    <col min="6" max="6" width="17.66015625" style="42" customWidth="1"/>
    <col min="7" max="7" width="17.5" style="42" customWidth="1"/>
    <col min="8" max="9" width="16.16015625" style="42" customWidth="1"/>
    <col min="10" max="10" width="17.16015625" style="42" customWidth="1"/>
    <col min="11" max="13" width="16" style="42" hidden="1" customWidth="1"/>
    <col min="14" max="14" width="17.16015625" style="42" customWidth="1"/>
    <col min="15" max="15" width="17.5" style="42" customWidth="1"/>
    <col min="16" max="16" width="16.16015625" style="42" customWidth="1"/>
    <col min="17" max="17" width="0.328125" style="1" customWidth="1"/>
    <col min="18" max="235" width="10.33203125" style="1" customWidth="1"/>
  </cols>
  <sheetData>
    <row r="1" spans="14:16" ht="12.75">
      <c r="N1" s="215" t="s">
        <v>468</v>
      </c>
      <c r="O1" s="215"/>
      <c r="P1" s="215"/>
    </row>
    <row r="2" spans="1:16" ht="12.75">
      <c r="A2" s="115"/>
      <c r="B2" s="115"/>
      <c r="C2" s="115"/>
      <c r="D2" s="117"/>
      <c r="E2" s="117"/>
      <c r="F2" s="117"/>
      <c r="G2" s="117"/>
      <c r="H2" s="117"/>
      <c r="I2" s="117"/>
      <c r="N2" s="215" t="s">
        <v>82</v>
      </c>
      <c r="O2" s="215"/>
      <c r="P2" s="215"/>
    </row>
    <row r="3" spans="1:16" ht="12.75">
      <c r="A3" s="115"/>
      <c r="B3" s="115"/>
      <c r="C3" s="115"/>
      <c r="D3" s="116"/>
      <c r="E3" s="116"/>
      <c r="F3" s="116"/>
      <c r="G3" s="116"/>
      <c r="H3" s="116"/>
      <c r="I3" s="117"/>
      <c r="N3" s="215" t="s">
        <v>241</v>
      </c>
      <c r="O3" s="215"/>
      <c r="P3" s="215"/>
    </row>
    <row r="4" spans="1:16" ht="12.75">
      <c r="A4" s="115"/>
      <c r="B4" s="115"/>
      <c r="C4" s="115"/>
      <c r="D4" s="116"/>
      <c r="E4" s="127"/>
      <c r="F4" s="116"/>
      <c r="G4" s="116"/>
      <c r="H4" s="116"/>
      <c r="I4" s="117"/>
      <c r="N4" s="215" t="s">
        <v>62</v>
      </c>
      <c r="O4" s="215"/>
      <c r="P4" s="215"/>
    </row>
    <row r="5" spans="1:16" ht="12.75">
      <c r="A5" s="115"/>
      <c r="B5" s="115"/>
      <c r="C5" s="115"/>
      <c r="D5" s="116"/>
      <c r="E5" s="127"/>
      <c r="F5" s="116"/>
      <c r="G5" s="116"/>
      <c r="H5" s="116"/>
      <c r="I5" s="117"/>
      <c r="N5" s="215" t="s">
        <v>87</v>
      </c>
      <c r="O5" s="215"/>
      <c r="P5" s="215"/>
    </row>
    <row r="6" spans="1:16" ht="12.75">
      <c r="A6" s="115"/>
      <c r="B6" s="115"/>
      <c r="C6" s="115"/>
      <c r="D6" s="116"/>
      <c r="E6" s="116"/>
      <c r="F6" s="116"/>
      <c r="G6" s="116"/>
      <c r="H6" s="116"/>
      <c r="I6" s="117"/>
      <c r="N6" s="215" t="s">
        <v>248</v>
      </c>
      <c r="O6" s="215"/>
      <c r="P6" s="215"/>
    </row>
    <row r="7" spans="1:17" ht="15.75">
      <c r="A7" s="115"/>
      <c r="B7" s="115"/>
      <c r="C7" s="115"/>
      <c r="D7" s="116"/>
      <c r="E7" s="116"/>
      <c r="F7" s="116"/>
      <c r="G7" s="116"/>
      <c r="H7" s="116"/>
      <c r="I7" s="117"/>
      <c r="N7" s="215" t="s">
        <v>469</v>
      </c>
      <c r="O7" s="215"/>
      <c r="P7" s="215"/>
      <c r="Q7" s="27"/>
    </row>
    <row r="8" spans="1:17" ht="15.75">
      <c r="A8" s="115"/>
      <c r="B8" s="115"/>
      <c r="C8" s="115"/>
      <c r="D8" s="116"/>
      <c r="E8" s="116"/>
      <c r="F8" s="116"/>
      <c r="G8" s="116"/>
      <c r="H8" s="116"/>
      <c r="I8" s="117"/>
      <c r="N8" s="126"/>
      <c r="O8" s="126"/>
      <c r="P8" s="126"/>
      <c r="Q8" s="27"/>
    </row>
    <row r="9" spans="1:9" ht="11.25">
      <c r="A9" s="115"/>
      <c r="B9" s="115"/>
      <c r="C9" s="115"/>
      <c r="D9" s="116"/>
      <c r="E9" s="116"/>
      <c r="F9" s="116"/>
      <c r="G9" s="116"/>
      <c r="H9" s="116"/>
      <c r="I9" s="117"/>
    </row>
    <row r="10" spans="1:16" ht="31.5" customHeight="1">
      <c r="A10" s="216" t="s">
        <v>88</v>
      </c>
      <c r="B10" s="216"/>
      <c r="C10" s="216"/>
      <c r="D10" s="216"/>
      <c r="E10" s="216"/>
      <c r="F10" s="216"/>
      <c r="G10" s="216"/>
      <c r="H10" s="216"/>
      <c r="I10" s="216"/>
      <c r="J10" s="216"/>
      <c r="K10" s="216"/>
      <c r="L10" s="216"/>
      <c r="M10" s="216"/>
      <c r="N10" s="216"/>
      <c r="O10" s="216"/>
      <c r="P10" s="216"/>
    </row>
    <row r="11" spans="1:16" ht="16.5" customHeight="1">
      <c r="A11" s="3"/>
      <c r="B11" s="3"/>
      <c r="C11" s="3"/>
      <c r="D11" s="74"/>
      <c r="E11" s="74"/>
      <c r="F11" s="74"/>
      <c r="G11" s="74"/>
      <c r="H11" s="74"/>
      <c r="I11" s="74"/>
      <c r="K11" s="74"/>
      <c r="P11" s="74" t="s">
        <v>59</v>
      </c>
    </row>
    <row r="12" spans="1:241" ht="11.25" customHeight="1">
      <c r="A12" s="226"/>
      <c r="B12" s="229" t="s">
        <v>52</v>
      </c>
      <c r="C12" s="229" t="s">
        <v>53</v>
      </c>
      <c r="D12" s="218" t="s">
        <v>89</v>
      </c>
      <c r="E12" s="219"/>
      <c r="F12" s="220"/>
      <c r="G12" s="225" t="s">
        <v>90</v>
      </c>
      <c r="H12" s="225"/>
      <c r="I12" s="225"/>
      <c r="J12" s="225"/>
      <c r="K12" s="128"/>
      <c r="L12" s="128"/>
      <c r="M12" s="128"/>
      <c r="N12" s="218" t="s">
        <v>91</v>
      </c>
      <c r="O12" s="219"/>
      <c r="P12" s="220"/>
      <c r="IB12" s="1"/>
      <c r="IC12" s="1"/>
      <c r="ID12" s="1"/>
      <c r="IE12" s="1"/>
      <c r="IF12" s="1"/>
      <c r="IG12" s="1"/>
    </row>
    <row r="13" spans="1:241" ht="12" customHeight="1">
      <c r="A13" s="227"/>
      <c r="B13" s="230"/>
      <c r="C13" s="230"/>
      <c r="D13" s="221" t="s">
        <v>54</v>
      </c>
      <c r="E13" s="222"/>
      <c r="F13" s="223" t="s">
        <v>41</v>
      </c>
      <c r="G13" s="234" t="s">
        <v>54</v>
      </c>
      <c r="H13" s="234"/>
      <c r="I13" s="234"/>
      <c r="J13" s="225" t="s">
        <v>41</v>
      </c>
      <c r="K13" s="218" t="s">
        <v>40</v>
      </c>
      <c r="L13" s="219"/>
      <c r="M13" s="220"/>
      <c r="N13" s="221" t="s">
        <v>54</v>
      </c>
      <c r="O13" s="222"/>
      <c r="P13" s="223" t="s">
        <v>41</v>
      </c>
      <c r="IB13" s="1"/>
      <c r="IC13" s="1"/>
      <c r="ID13" s="1"/>
      <c r="IE13" s="1"/>
      <c r="IF13" s="1"/>
      <c r="IG13" s="1"/>
    </row>
    <row r="14" spans="1:241" ht="24.75" customHeight="1">
      <c r="A14" s="228"/>
      <c r="B14" s="231"/>
      <c r="C14" s="231"/>
      <c r="D14" s="128" t="s">
        <v>0</v>
      </c>
      <c r="E14" s="128" t="s">
        <v>1</v>
      </c>
      <c r="F14" s="224"/>
      <c r="G14" s="128" t="s">
        <v>0</v>
      </c>
      <c r="H14" s="128" t="s">
        <v>1</v>
      </c>
      <c r="I14" s="128" t="s">
        <v>320</v>
      </c>
      <c r="J14" s="225"/>
      <c r="K14" s="128" t="s">
        <v>0</v>
      </c>
      <c r="L14" s="128" t="s">
        <v>1</v>
      </c>
      <c r="M14" s="128" t="s">
        <v>41</v>
      </c>
      <c r="N14" s="128" t="s">
        <v>0</v>
      </c>
      <c r="O14" s="128" t="s">
        <v>1</v>
      </c>
      <c r="P14" s="224"/>
      <c r="IB14" s="1"/>
      <c r="IC14" s="1"/>
      <c r="ID14" s="1"/>
      <c r="IE14" s="1"/>
      <c r="IF14" s="1"/>
      <c r="IG14" s="1"/>
    </row>
    <row r="15" spans="1:241" s="168" customFormat="1" ht="11.25">
      <c r="A15" s="166">
        <v>1</v>
      </c>
      <c r="B15" s="166"/>
      <c r="C15" s="166"/>
      <c r="D15" s="166" t="s">
        <v>2</v>
      </c>
      <c r="E15" s="166" t="s">
        <v>3</v>
      </c>
      <c r="F15" s="166">
        <v>7</v>
      </c>
      <c r="G15" s="166">
        <v>8</v>
      </c>
      <c r="H15" s="166">
        <v>9</v>
      </c>
      <c r="I15" s="166">
        <v>10</v>
      </c>
      <c r="J15" s="166">
        <v>11</v>
      </c>
      <c r="K15" s="166">
        <v>12</v>
      </c>
      <c r="L15" s="166">
        <v>13</v>
      </c>
      <c r="M15" s="166">
        <v>14</v>
      </c>
      <c r="N15" s="166">
        <v>12</v>
      </c>
      <c r="O15" s="166">
        <v>13</v>
      </c>
      <c r="P15" s="166">
        <v>14</v>
      </c>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row>
    <row r="16" spans="1:16" s="1" customFormat="1" ht="28.5" customHeight="1">
      <c r="A16" s="57" t="s">
        <v>76</v>
      </c>
      <c r="B16" s="57"/>
      <c r="C16" s="57"/>
      <c r="D16" s="58">
        <f>D25+D301+D381+D516+D532+D599+D616+D628+D651</f>
        <v>42115300.002</v>
      </c>
      <c r="E16" s="58">
        <f>E25+E301+E381+E516+E532+E599+E654</f>
        <v>42792920</v>
      </c>
      <c r="F16" s="58">
        <f>F25+F301+F381+F516+F532+F599+F616+F628+F654</f>
        <v>84908220.002</v>
      </c>
      <c r="G16" s="177">
        <f>G25+G301+G381+G516+G532+G599+G628+G651+G663+G690+G706+G715+G735+G743+G461</f>
        <v>68231249.99272124</v>
      </c>
      <c r="H16" s="177">
        <f>H25+H301+H381+H516+H532+H628+H663+H706+H599+H715+H735+H651+H690+H743+H764+H461-1000-452400</f>
        <v>210440573.4999594</v>
      </c>
      <c r="I16" s="177">
        <f>I25+I301+I381+I516+I532+I651+I690+I706</f>
        <v>47000</v>
      </c>
      <c r="J16" s="177">
        <f>G16+H16+I16</f>
        <v>278718823.49268067</v>
      </c>
      <c r="K16" s="58" t="e">
        <f>K25+K301+K381+K516+K532</f>
        <v>#REF!</v>
      </c>
      <c r="L16" s="58" t="e">
        <f>L25+L301+L381+L516+L532</f>
        <v>#REF!</v>
      </c>
      <c r="M16" s="58" t="e">
        <f>M25+M301+M381+M516+M532</f>
        <v>#REF!</v>
      </c>
      <c r="N16" s="177">
        <f>N25+N301+N381+N516+N532+N599+N628+N651+N663+N690+N706+N715+N735+N743+N461</f>
        <v>118481259.99101064</v>
      </c>
      <c r="O16" s="177">
        <f>O25+O301+O381+O516+O532+O599+O628+O651+O663+O690+O706+O715+O735+O743+O461+O764+O794</f>
        <v>305838832.003878</v>
      </c>
      <c r="P16" s="177">
        <f aca="true" t="shared" si="0" ref="P16:P21">N16+O16</f>
        <v>424320091.99488866</v>
      </c>
    </row>
    <row r="17" spans="1:16" s="1" customFormat="1" ht="41.25" customHeight="1">
      <c r="A17" s="57" t="s">
        <v>61</v>
      </c>
      <c r="B17" s="57"/>
      <c r="C17" s="57"/>
      <c r="D17" s="58">
        <f>D26</f>
        <v>50736000</v>
      </c>
      <c r="E17" s="58">
        <f>E26</f>
        <v>58817800</v>
      </c>
      <c r="F17" s="58">
        <f>D17+E17</f>
        <v>109553800</v>
      </c>
      <c r="G17" s="177">
        <f>G26+G616</f>
        <v>71963199.997529</v>
      </c>
      <c r="H17" s="177">
        <f>H26+H616</f>
        <v>131508929</v>
      </c>
      <c r="I17" s="177">
        <f>I26+I616</f>
        <v>0</v>
      </c>
      <c r="J17" s="177">
        <f>G17+H17</f>
        <v>203472128.997529</v>
      </c>
      <c r="K17" s="58">
        <f>K26</f>
        <v>0</v>
      </c>
      <c r="L17" s="58">
        <f>L26</f>
        <v>0</v>
      </c>
      <c r="M17" s="58">
        <f>M26</f>
        <v>0</v>
      </c>
      <c r="N17" s="177">
        <f>N26+N616</f>
        <v>85227999.99998</v>
      </c>
      <c r="O17" s="177">
        <f>O26+O616</f>
        <v>127450000</v>
      </c>
      <c r="P17" s="177">
        <f t="shared" si="0"/>
        <v>212677999.99998</v>
      </c>
    </row>
    <row r="18" spans="1:17" ht="51" customHeight="1">
      <c r="A18" s="57" t="s">
        <v>333</v>
      </c>
      <c r="B18" s="57"/>
      <c r="C18" s="57"/>
      <c r="D18" s="58">
        <f>D382+D459</f>
        <v>353680</v>
      </c>
      <c r="E18" s="58">
        <f>E382+E459</f>
        <v>534080</v>
      </c>
      <c r="F18" s="58">
        <f>D18+E18</f>
        <v>887760</v>
      </c>
      <c r="G18" s="177">
        <f>G382+G459</f>
        <v>0</v>
      </c>
      <c r="H18" s="177">
        <f>H382+H459</f>
        <v>64399.99999992592</v>
      </c>
      <c r="I18" s="177">
        <f>I382+I459</f>
        <v>0</v>
      </c>
      <c r="J18" s="177">
        <f>G18+H18+I18</f>
        <v>64399.99999992592</v>
      </c>
      <c r="K18" s="58">
        <f>K382+K459</f>
        <v>0</v>
      </c>
      <c r="L18" s="58">
        <f>L382+L459</f>
        <v>0</v>
      </c>
      <c r="M18" s="58">
        <f>M382+M459</f>
        <v>0</v>
      </c>
      <c r="N18" s="58">
        <f>N382+N459</f>
        <v>0</v>
      </c>
      <c r="O18" s="58">
        <f>O382+O459</f>
        <v>0</v>
      </c>
      <c r="P18" s="58">
        <f t="shared" si="0"/>
        <v>0</v>
      </c>
      <c r="Q18" s="42"/>
    </row>
    <row r="19" spans="1:17" ht="51" customHeight="1">
      <c r="A19" s="57" t="s">
        <v>332</v>
      </c>
      <c r="B19" s="57"/>
      <c r="C19" s="57"/>
      <c r="D19" s="58">
        <f>D383+D460</f>
        <v>0</v>
      </c>
      <c r="E19" s="58">
        <f aca="true" t="shared" si="1" ref="E19:O19">E383+E460</f>
        <v>0</v>
      </c>
      <c r="F19" s="58">
        <f>D19+E19</f>
        <v>0</v>
      </c>
      <c r="G19" s="177">
        <f>G383+G460</f>
        <v>219999.99999799998</v>
      </c>
      <c r="H19" s="177">
        <f>H383+H460</f>
        <v>814109.999999774</v>
      </c>
      <c r="I19" s="177">
        <f>I383+I460</f>
        <v>0</v>
      </c>
      <c r="J19" s="177">
        <f>G19+H19+I19</f>
        <v>1034109.999997774</v>
      </c>
      <c r="K19" s="58">
        <f t="shared" si="1"/>
        <v>0</v>
      </c>
      <c r="L19" s="58">
        <f t="shared" si="1"/>
        <v>0</v>
      </c>
      <c r="M19" s="58">
        <f t="shared" si="1"/>
        <v>0</v>
      </c>
      <c r="N19" s="58">
        <f t="shared" si="1"/>
        <v>299210</v>
      </c>
      <c r="O19" s="58">
        <f t="shared" si="1"/>
        <v>764509.9999997</v>
      </c>
      <c r="P19" s="58">
        <f t="shared" si="0"/>
        <v>1063719.9999997</v>
      </c>
      <c r="Q19" s="42"/>
    </row>
    <row r="20" spans="1:17" ht="29.25" customHeight="1">
      <c r="A20" s="57" t="s">
        <v>75</v>
      </c>
      <c r="B20" s="57"/>
      <c r="C20" s="57"/>
      <c r="D20" s="58">
        <f>D28</f>
        <v>132300</v>
      </c>
      <c r="E20" s="58">
        <f>E28</f>
        <v>0</v>
      </c>
      <c r="F20" s="58">
        <f>D20+E20</f>
        <v>132300</v>
      </c>
      <c r="G20" s="177">
        <f>G28</f>
        <v>172439.79</v>
      </c>
      <c r="H20" s="177">
        <f>H28</f>
        <v>0</v>
      </c>
      <c r="I20" s="177">
        <f>I28</f>
        <v>0</v>
      </c>
      <c r="J20" s="177">
        <f>G20+H20</f>
        <v>172439.79</v>
      </c>
      <c r="K20" s="58">
        <f>K28</f>
        <v>0</v>
      </c>
      <c r="L20" s="58">
        <f>L28</f>
        <v>0</v>
      </c>
      <c r="M20" s="58">
        <f>M28</f>
        <v>0</v>
      </c>
      <c r="N20" s="58">
        <f>N28</f>
        <v>0</v>
      </c>
      <c r="O20" s="58">
        <f>O28</f>
        <v>0</v>
      </c>
      <c r="P20" s="58">
        <f t="shared" si="0"/>
        <v>0</v>
      </c>
      <c r="Q20" s="42"/>
    </row>
    <row r="21" spans="1:235" s="113" customFormat="1" ht="29.25" customHeight="1">
      <c r="A21" s="175" t="s">
        <v>324</v>
      </c>
      <c r="B21" s="176"/>
      <c r="C21" s="176"/>
      <c r="D21" s="177"/>
      <c r="E21" s="177"/>
      <c r="F21" s="177"/>
      <c r="G21" s="177">
        <f>G29</f>
        <v>365080.002</v>
      </c>
      <c r="H21" s="177">
        <f aca="true" t="shared" si="2" ref="H21:O21">H29</f>
        <v>0</v>
      </c>
      <c r="I21" s="177">
        <f t="shared" si="2"/>
        <v>0</v>
      </c>
      <c r="J21" s="177">
        <f>G21+H21+I21</f>
        <v>365080.002</v>
      </c>
      <c r="K21" s="177">
        <f t="shared" si="2"/>
        <v>0</v>
      </c>
      <c r="L21" s="177">
        <f t="shared" si="2"/>
        <v>0</v>
      </c>
      <c r="M21" s="177">
        <f t="shared" si="2"/>
        <v>0</v>
      </c>
      <c r="N21" s="177">
        <f t="shared" si="2"/>
        <v>789999.9999959131</v>
      </c>
      <c r="O21" s="177">
        <f t="shared" si="2"/>
        <v>0</v>
      </c>
      <c r="P21" s="177">
        <f t="shared" si="0"/>
        <v>789999.9999959131</v>
      </c>
      <c r="Q21" s="178"/>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row>
    <row r="22" spans="1:17" ht="20.25" customHeight="1">
      <c r="A22" s="57" t="s">
        <v>218</v>
      </c>
      <c r="B22" s="57"/>
      <c r="C22" s="57"/>
      <c r="D22" s="58">
        <f>D16+D17+D18+D20</f>
        <v>93337280.002</v>
      </c>
      <c r="E22" s="58">
        <f>E16+E17+E18+E20</f>
        <v>102144800</v>
      </c>
      <c r="F22" s="58">
        <f>F16+F17+F18+F20</f>
        <v>195482080.002</v>
      </c>
      <c r="G22" s="58">
        <f>G16+G17+G18+G20+G21+G19</f>
        <v>140951969.78224823</v>
      </c>
      <c r="H22" s="58">
        <f>H16+H17+H18+H20+H21+H19</f>
        <v>342828012.4999591</v>
      </c>
      <c r="I22" s="58">
        <f>I16+I17+I18+I20+I21+I19</f>
        <v>47000</v>
      </c>
      <c r="J22" s="58">
        <f>J16+J17+J18+J20+J21+J19</f>
        <v>483826982.2822074</v>
      </c>
      <c r="K22" s="58" t="e">
        <f>K16+K17+K18+K20</f>
        <v>#REF!</v>
      </c>
      <c r="L22" s="58" t="e">
        <f>L16+L17+L18+L20</f>
        <v>#REF!</v>
      </c>
      <c r="M22" s="58" t="e">
        <f>M16+M17+M18+M20</f>
        <v>#REF!</v>
      </c>
      <c r="N22" s="58">
        <f>N16+N17+N18+N20+N19+N21</f>
        <v>204798469.99098656</v>
      </c>
      <c r="O22" s="58">
        <f>O16+O17+O18+O20+O19+O21</f>
        <v>434053342.0038777</v>
      </c>
      <c r="P22" s="58">
        <f>P16+P17+P18+P20+P19+P21</f>
        <v>638851811.9948642</v>
      </c>
      <c r="Q22" s="42"/>
    </row>
    <row r="23" spans="1:235" s="85" customFormat="1" ht="30.75" customHeight="1">
      <c r="A23" s="118" t="s">
        <v>423</v>
      </c>
      <c r="B23" s="88"/>
      <c r="C23" s="88"/>
      <c r="D23" s="119">
        <f>D25+D26+D28</f>
        <v>85352300</v>
      </c>
      <c r="E23" s="119">
        <f aca="true" t="shared" si="3" ref="E23:M23">E25+E26+E28</f>
        <v>73485300</v>
      </c>
      <c r="F23" s="119">
        <f>F25+F26+F28</f>
        <v>158837600</v>
      </c>
      <c r="G23" s="119">
        <f>G25+G26+G28+G29</f>
        <v>117518019.7841344</v>
      </c>
      <c r="H23" s="119">
        <f>H25+H26+H28+H29</f>
        <v>155348611.5</v>
      </c>
      <c r="I23" s="119">
        <f>I25+I26+I28+I29</f>
        <v>0</v>
      </c>
      <c r="J23" s="119">
        <f t="shared" si="3"/>
        <v>272501551.2821344</v>
      </c>
      <c r="K23" s="119">
        <f t="shared" si="3"/>
        <v>-1039.33</v>
      </c>
      <c r="L23" s="119">
        <f t="shared" si="3"/>
        <v>-1039.33</v>
      </c>
      <c r="M23" s="119">
        <f t="shared" si="3"/>
        <v>-1039.33</v>
      </c>
      <c r="N23" s="119">
        <f>N25+N26+N28+N29</f>
        <v>168636299.99599954</v>
      </c>
      <c r="O23" s="119">
        <f>O25+O26+O28+O29</f>
        <v>176978000.0039</v>
      </c>
      <c r="P23" s="119">
        <f>N23+O23</f>
        <v>345614299.9998995</v>
      </c>
      <c r="Q23" s="120"/>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row>
    <row r="24" spans="1:17" ht="27" customHeight="1">
      <c r="A24" s="18" t="s">
        <v>219</v>
      </c>
      <c r="B24" s="8"/>
      <c r="C24" s="8"/>
      <c r="D24" s="10"/>
      <c r="E24" s="10"/>
      <c r="F24" s="10"/>
      <c r="G24" s="10"/>
      <c r="H24" s="10"/>
      <c r="I24" s="10"/>
      <c r="J24" s="10"/>
      <c r="K24" s="11"/>
      <c r="L24" s="11"/>
      <c r="M24" s="11"/>
      <c r="N24" s="10"/>
      <c r="O24" s="10"/>
      <c r="P24" s="10"/>
      <c r="Q24" s="42"/>
    </row>
    <row r="25" spans="1:235" s="85" customFormat="1" ht="15" customHeight="1">
      <c r="A25" s="108" t="s">
        <v>97</v>
      </c>
      <c r="B25" s="108"/>
      <c r="C25" s="108"/>
      <c r="D25" s="119">
        <f>D77+(D92*D95)+D141+D169+D206+D247+D262+D282+D292+D99</f>
        <v>34484000</v>
      </c>
      <c r="E25" s="119">
        <f>E77+(E92*E95)+E141+E169+E206+E247+E262+E282+E292</f>
        <v>14667500</v>
      </c>
      <c r="F25" s="119">
        <f>D25+E25</f>
        <v>49151500</v>
      </c>
      <c r="G25" s="119">
        <f>G77+(G92*G95)+G141+G169+G206+G247+G262+G282+G292+G99-G29+G50</f>
        <v>53097299.994605385</v>
      </c>
      <c r="H25" s="119">
        <f>H77+(H92*H95)+H141+H169+H206+H247+H262+H282+H292</f>
        <v>23839682.5</v>
      </c>
      <c r="I25" s="119">
        <f>I77+(I92*I95)+I141+I169+I206+I247+I262+I282+I292</f>
        <v>0</v>
      </c>
      <c r="J25" s="119">
        <f>G25+H25</f>
        <v>76936982.49460539</v>
      </c>
      <c r="K25" s="119">
        <f>K77+(K92*K95)+K141+K169+K206+K247+K262+K282+K292</f>
        <v>-1039.33</v>
      </c>
      <c r="L25" s="119">
        <f>L77+(L92*L95)+L141+L169+L206+L247+L262+L282+L292</f>
        <v>-1039.33</v>
      </c>
      <c r="M25" s="119">
        <f>M77+(M92*M95)+M141+M169+M206+M247+M262+M282+M292</f>
        <v>-1039.33</v>
      </c>
      <c r="N25" s="119">
        <f>N77+(N92*N95)+N141+N169+N206+N247+N262+N282+N292+N99+N50-N29</f>
        <v>94618299.99602363</v>
      </c>
      <c r="O25" s="119">
        <f>O77+(O92*O95)+O141+O169+O206+O247+O262+O282+O292</f>
        <v>49528000.00390001</v>
      </c>
      <c r="P25" s="119">
        <f>N25+O25</f>
        <v>144146299.99992365</v>
      </c>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row>
    <row r="26" spans="1:235" s="85" customFormat="1" ht="13.5" customHeight="1">
      <c r="A26" s="108" t="s">
        <v>98</v>
      </c>
      <c r="B26" s="108"/>
      <c r="C26" s="108"/>
      <c r="D26" s="119">
        <f>D30+D41+D59+D106+D113-D28</f>
        <v>50736000</v>
      </c>
      <c r="E26" s="119">
        <f>E30+E41+E59+E106+E113-E28+(E91*E94)</f>
        <v>58817800</v>
      </c>
      <c r="F26" s="119">
        <f>D26+E26</f>
        <v>109553800</v>
      </c>
      <c r="G26" s="119">
        <f>G30+G41+G59+G106+G113-G28</f>
        <v>63883199.997529</v>
      </c>
      <c r="H26" s="119">
        <f>H30+H41+H59+H106+H113-H28+(J91*J94)-600180</f>
        <v>131508929</v>
      </c>
      <c r="I26" s="119">
        <f>I30+I41+I59+I106+I113-I28+(K91*K94)</f>
        <v>0</v>
      </c>
      <c r="J26" s="119">
        <f>G26+H26</f>
        <v>195392128.997529</v>
      </c>
      <c r="K26" s="119">
        <f>K30+K41+K59+K106+K113-K28+(L91*L94)</f>
        <v>0</v>
      </c>
      <c r="L26" s="119">
        <f>L30+L41+L59+L106+L113-L28+(M91*M94)</f>
        <v>0</v>
      </c>
      <c r="M26" s="119">
        <f>M30+M41+M59+M106+M113-M28+(N91*N94)</f>
        <v>0</v>
      </c>
      <c r="N26" s="119">
        <f>N30+N41+N59+N106+N113+N28</f>
        <v>73227999.99998</v>
      </c>
      <c r="O26" s="119">
        <f>O30+O41+O59+O106+O113-O28+O91*O94</f>
        <v>127450000</v>
      </c>
      <c r="P26" s="119">
        <f>N26+O26</f>
        <v>200677999.99998</v>
      </c>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row>
    <row r="27" spans="1:235" s="85" customFormat="1" ht="30.75" customHeight="1" hidden="1">
      <c r="A27" s="108"/>
      <c r="B27" s="108"/>
      <c r="C27" s="108"/>
      <c r="D27" s="119">
        <f>D30+D41+D77+D59+D113</f>
        <v>57221000</v>
      </c>
      <c r="E27" s="119">
        <f>E30+E41+E77+E59+E113</f>
        <v>25700000</v>
      </c>
      <c r="F27" s="119">
        <f>D27+E27</f>
        <v>82921000</v>
      </c>
      <c r="G27" s="119">
        <f>G30+G41+G77+G59+G113</f>
        <v>73655639.78602898</v>
      </c>
      <c r="H27" s="119">
        <f>H30+H41+H77+H59+H113</f>
        <v>72700000</v>
      </c>
      <c r="I27" s="119"/>
      <c r="J27" s="119">
        <f>G27+H27</f>
        <v>146355639.78602898</v>
      </c>
      <c r="K27" s="119">
        <f>K30+K41+K77+K59+K113</f>
        <v>0</v>
      </c>
      <c r="L27" s="119">
        <f>L30+L41+L77+L59+L113</f>
        <v>0</v>
      </c>
      <c r="M27" s="119">
        <f>M30+M41+M77+M59+M113</f>
        <v>0</v>
      </c>
      <c r="N27" s="119">
        <f>N30+N41+N77+N59+N113</f>
        <v>84927999.99998</v>
      </c>
      <c r="O27" s="119" t="e">
        <f>O31+O42+#REF!+#REF!</f>
        <v>#REF!</v>
      </c>
      <c r="P27" s="119" t="e">
        <f>N27+O27</f>
        <v>#REF!</v>
      </c>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row>
    <row r="28" spans="1:235" s="85" customFormat="1" ht="13.5" customHeight="1">
      <c r="A28" s="108" t="s">
        <v>217</v>
      </c>
      <c r="B28" s="108"/>
      <c r="C28" s="108"/>
      <c r="D28" s="119">
        <v>132300</v>
      </c>
      <c r="E28" s="119"/>
      <c r="F28" s="119">
        <f>D28+E28</f>
        <v>132300</v>
      </c>
      <c r="G28" s="119">
        <f>135000+37439.79</f>
        <v>172439.79</v>
      </c>
      <c r="H28" s="119"/>
      <c r="I28" s="119"/>
      <c r="J28" s="119">
        <f>G28+H28</f>
        <v>172439.79</v>
      </c>
      <c r="K28" s="119"/>
      <c r="L28" s="119"/>
      <c r="M28" s="119"/>
      <c r="N28" s="119">
        <f>165000-165000</f>
        <v>0</v>
      </c>
      <c r="O28" s="119"/>
      <c r="P28" s="119">
        <f>N28+O28</f>
        <v>0</v>
      </c>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row>
    <row r="29" spans="1:235" s="85" customFormat="1" ht="24">
      <c r="A29" s="108" t="s">
        <v>324</v>
      </c>
      <c r="B29" s="108"/>
      <c r="C29" s="108"/>
      <c r="D29" s="119"/>
      <c r="E29" s="119"/>
      <c r="F29" s="119"/>
      <c r="G29" s="119">
        <f>G252*G257</f>
        <v>365080.002</v>
      </c>
      <c r="H29" s="119">
        <f aca="true" t="shared" si="4" ref="H29:O29">H252*H257</f>
        <v>0</v>
      </c>
      <c r="I29" s="119">
        <f t="shared" si="4"/>
        <v>0</v>
      </c>
      <c r="J29" s="119">
        <f>G29+H29+I29</f>
        <v>365080.002</v>
      </c>
      <c r="K29" s="119">
        <f t="shared" si="4"/>
        <v>0</v>
      </c>
      <c r="L29" s="119">
        <f t="shared" si="4"/>
        <v>0</v>
      </c>
      <c r="M29" s="119">
        <f t="shared" si="4"/>
        <v>0</v>
      </c>
      <c r="N29" s="119">
        <f t="shared" si="4"/>
        <v>789999.9999959131</v>
      </c>
      <c r="O29" s="119">
        <f t="shared" si="4"/>
        <v>0</v>
      </c>
      <c r="P29" s="119">
        <f>N29+O29</f>
        <v>789999.9999959131</v>
      </c>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row>
    <row r="30" spans="1:235" s="102" customFormat="1" ht="33.75">
      <c r="A30" s="82" t="s">
        <v>44</v>
      </c>
      <c r="B30" s="88"/>
      <c r="C30" s="88"/>
      <c r="D30" s="89"/>
      <c r="E30" s="89">
        <f>E37*E35</f>
        <v>22500000</v>
      </c>
      <c r="F30" s="89">
        <f>F37*F35</f>
        <v>22500000</v>
      </c>
      <c r="G30" s="89"/>
      <c r="H30" s="89">
        <f>H35*H37</f>
        <v>71500000</v>
      </c>
      <c r="I30" s="89"/>
      <c r="J30" s="89">
        <f>H30</f>
        <v>71500000</v>
      </c>
      <c r="K30" s="95"/>
      <c r="L30" s="95"/>
      <c r="M30" s="95"/>
      <c r="N30" s="89"/>
      <c r="O30" s="89">
        <f>(O37*O35)</f>
        <v>32400000</v>
      </c>
      <c r="P30" s="89">
        <f>(P37*P35)</f>
        <v>32400000</v>
      </c>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row>
    <row r="31" spans="1:235" s="50" customFormat="1" ht="12">
      <c r="A31" s="54" t="s">
        <v>4</v>
      </c>
      <c r="B31" s="61"/>
      <c r="C31" s="61"/>
      <c r="D31" s="64"/>
      <c r="E31" s="64"/>
      <c r="F31" s="64"/>
      <c r="G31" s="64"/>
      <c r="H31" s="64"/>
      <c r="I31" s="64"/>
      <c r="J31" s="64"/>
      <c r="K31" s="63"/>
      <c r="L31" s="63"/>
      <c r="M31" s="63"/>
      <c r="N31" s="64"/>
      <c r="O31" s="64"/>
      <c r="P31" s="64"/>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row>
    <row r="32" spans="1:235" s="50" customFormat="1" ht="27" customHeight="1">
      <c r="A32" s="55" t="s">
        <v>9</v>
      </c>
      <c r="B32" s="59"/>
      <c r="C32" s="59"/>
      <c r="D32" s="62"/>
      <c r="E32" s="62">
        <v>270000</v>
      </c>
      <c r="F32" s="62">
        <f>E32</f>
        <v>270000</v>
      </c>
      <c r="G32" s="62"/>
      <c r="H32" s="62">
        <v>270000</v>
      </c>
      <c r="I32" s="62"/>
      <c r="J32" s="62">
        <f>H32</f>
        <v>270000</v>
      </c>
      <c r="K32" s="63"/>
      <c r="L32" s="63"/>
      <c r="M32" s="63"/>
      <c r="N32" s="62"/>
      <c r="O32" s="62">
        <v>300000</v>
      </c>
      <c r="P32" s="62">
        <f>O32</f>
        <v>300000</v>
      </c>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row>
    <row r="33" spans="1:235" s="50" customFormat="1" ht="27" customHeight="1">
      <c r="A33" s="55" t="s">
        <v>220</v>
      </c>
      <c r="B33" s="59"/>
      <c r="C33" s="59"/>
      <c r="D33" s="62"/>
      <c r="E33" s="62"/>
      <c r="F33" s="62"/>
      <c r="G33" s="62"/>
      <c r="H33" s="62"/>
      <c r="I33" s="62"/>
      <c r="J33" s="62"/>
      <c r="K33" s="63"/>
      <c r="L33" s="63"/>
      <c r="M33" s="63"/>
      <c r="N33" s="62"/>
      <c r="O33" s="62"/>
      <c r="P33" s="62"/>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row>
    <row r="34" spans="1:235" s="50" customFormat="1" ht="12">
      <c r="A34" s="54" t="s">
        <v>5</v>
      </c>
      <c r="B34" s="61"/>
      <c r="C34" s="61"/>
      <c r="D34" s="62"/>
      <c r="E34" s="64"/>
      <c r="F34" s="64"/>
      <c r="G34" s="62"/>
      <c r="H34" s="64"/>
      <c r="I34" s="64"/>
      <c r="J34" s="64"/>
      <c r="K34" s="63"/>
      <c r="L34" s="63"/>
      <c r="M34" s="63"/>
      <c r="N34" s="62"/>
      <c r="O34" s="64"/>
      <c r="P34" s="64"/>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row>
    <row r="35" spans="1:235" s="50" customFormat="1" ht="22.5">
      <c r="A35" s="55" t="s">
        <v>12</v>
      </c>
      <c r="B35" s="59"/>
      <c r="C35" s="59"/>
      <c r="D35" s="62"/>
      <c r="E35" s="62">
        <f>50000+25000</f>
        <v>75000</v>
      </c>
      <c r="F35" s="62">
        <f>E35</f>
        <v>75000</v>
      </c>
      <c r="G35" s="62"/>
      <c r="H35" s="62">
        <f>50000+25000+103750</f>
        <v>178750</v>
      </c>
      <c r="I35" s="62"/>
      <c r="J35" s="62">
        <f>H35</f>
        <v>178750</v>
      </c>
      <c r="K35" s="63"/>
      <c r="L35" s="63"/>
      <c r="M35" s="63"/>
      <c r="N35" s="62"/>
      <c r="O35" s="62">
        <f>54000+27000</f>
        <v>81000</v>
      </c>
      <c r="P35" s="62">
        <f>O35</f>
        <v>81000</v>
      </c>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row>
    <row r="36" spans="1:235" s="50" customFormat="1" ht="12">
      <c r="A36" s="54" t="s">
        <v>7</v>
      </c>
      <c r="B36" s="61"/>
      <c r="C36" s="61"/>
      <c r="D36" s="62"/>
      <c r="E36" s="64"/>
      <c r="F36" s="64"/>
      <c r="G36" s="62"/>
      <c r="H36" s="64"/>
      <c r="I36" s="64"/>
      <c r="J36" s="64"/>
      <c r="K36" s="63"/>
      <c r="L36" s="63"/>
      <c r="M36" s="63"/>
      <c r="N36" s="62"/>
      <c r="O36" s="64"/>
      <c r="P36" s="64"/>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row>
    <row r="37" spans="1:235" s="50" customFormat="1" ht="22.5">
      <c r="A37" s="55" t="s">
        <v>17</v>
      </c>
      <c r="B37" s="59"/>
      <c r="C37" s="59"/>
      <c r="D37" s="62"/>
      <c r="E37" s="62">
        <v>300</v>
      </c>
      <c r="F37" s="62">
        <f>E37</f>
        <v>300</v>
      </c>
      <c r="G37" s="62"/>
      <c r="H37" s="62">
        <v>400</v>
      </c>
      <c r="I37" s="62"/>
      <c r="J37" s="62">
        <f>H37</f>
        <v>400</v>
      </c>
      <c r="K37" s="63"/>
      <c r="L37" s="63"/>
      <c r="M37" s="63"/>
      <c r="N37" s="62"/>
      <c r="O37" s="62">
        <v>400</v>
      </c>
      <c r="P37" s="62">
        <f>O37</f>
        <v>400</v>
      </c>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row>
    <row r="38" spans="1:235" s="50" customFormat="1" ht="12">
      <c r="A38" s="54" t="s">
        <v>6</v>
      </c>
      <c r="B38" s="61"/>
      <c r="C38" s="61"/>
      <c r="D38" s="62"/>
      <c r="E38" s="64"/>
      <c r="F38" s="64"/>
      <c r="G38" s="62"/>
      <c r="H38" s="64"/>
      <c r="I38" s="64"/>
      <c r="J38" s="64"/>
      <c r="K38" s="63"/>
      <c r="L38" s="63"/>
      <c r="M38" s="63"/>
      <c r="N38" s="62"/>
      <c r="O38" s="64"/>
      <c r="P38" s="64"/>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row>
    <row r="39" spans="1:235" s="50" customFormat="1" ht="22.5">
      <c r="A39" s="55" t="s">
        <v>23</v>
      </c>
      <c r="B39" s="59"/>
      <c r="C39" s="59"/>
      <c r="D39" s="62"/>
      <c r="E39" s="62">
        <f>E35/E32*100</f>
        <v>27.77777777777778</v>
      </c>
      <c r="F39" s="62">
        <f>F35/F32*100</f>
        <v>27.77777777777778</v>
      </c>
      <c r="G39" s="62"/>
      <c r="H39" s="62">
        <f>H35/H32*100</f>
        <v>66.20370370370371</v>
      </c>
      <c r="I39" s="62"/>
      <c r="J39" s="62">
        <f>J35/J32*100</f>
        <v>66.20370370370371</v>
      </c>
      <c r="K39" s="63"/>
      <c r="L39" s="63"/>
      <c r="M39" s="63"/>
      <c r="N39" s="62"/>
      <c r="O39" s="62">
        <f>O35/O32*100</f>
        <v>27</v>
      </c>
      <c r="P39" s="62">
        <f>P35/P32*100</f>
        <v>27</v>
      </c>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row>
    <row r="40" spans="1:235" s="181" customFormat="1" ht="27" customHeight="1">
      <c r="A40" s="108" t="s">
        <v>423</v>
      </c>
      <c r="B40" s="77"/>
      <c r="C40" s="77"/>
      <c r="D40" s="78"/>
      <c r="E40" s="78"/>
      <c r="F40" s="78"/>
      <c r="G40" s="78"/>
      <c r="H40" s="78"/>
      <c r="I40" s="78"/>
      <c r="J40" s="78"/>
      <c r="K40" s="179"/>
      <c r="L40" s="179"/>
      <c r="M40" s="179"/>
      <c r="N40" s="78"/>
      <c r="O40" s="78"/>
      <c r="P40" s="78"/>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row>
    <row r="41" spans="1:235" s="102" customFormat="1" ht="35.25" customHeight="1">
      <c r="A41" s="82" t="s">
        <v>92</v>
      </c>
      <c r="B41" s="88"/>
      <c r="C41" s="88"/>
      <c r="D41" s="89">
        <f>D47*D45+100</f>
        <v>29500000</v>
      </c>
      <c r="E41" s="89"/>
      <c r="F41" s="89">
        <f>F47*F45+100</f>
        <v>29500000</v>
      </c>
      <c r="G41" s="89">
        <f>G45*G47</f>
        <v>38399999.9985</v>
      </c>
      <c r="H41" s="89"/>
      <c r="I41" s="89"/>
      <c r="J41" s="89">
        <f>G41</f>
        <v>38399999.9985</v>
      </c>
      <c r="K41" s="95"/>
      <c r="L41" s="95"/>
      <c r="M41" s="95"/>
      <c r="N41" s="89">
        <f>N45*N47</f>
        <v>42480000</v>
      </c>
      <c r="O41" s="89"/>
      <c r="P41" s="89">
        <f>N41</f>
        <v>42480000</v>
      </c>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row>
    <row r="42" spans="1:235" s="50" customFormat="1" ht="12">
      <c r="A42" s="54" t="s">
        <v>4</v>
      </c>
      <c r="B42" s="61"/>
      <c r="C42" s="61"/>
      <c r="D42" s="62"/>
      <c r="E42" s="62"/>
      <c r="F42" s="62"/>
      <c r="G42" s="62"/>
      <c r="H42" s="62"/>
      <c r="I42" s="62"/>
      <c r="J42" s="62"/>
      <c r="K42" s="63"/>
      <c r="L42" s="63"/>
      <c r="M42" s="63"/>
      <c r="N42" s="62"/>
      <c r="O42" s="62"/>
      <c r="P42" s="62"/>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row>
    <row r="43" spans="1:235" s="50" customFormat="1" ht="22.5">
      <c r="A43" s="55" t="s">
        <v>10</v>
      </c>
      <c r="B43" s="59"/>
      <c r="C43" s="59"/>
      <c r="D43" s="62">
        <v>292000</v>
      </c>
      <c r="E43" s="62"/>
      <c r="F43" s="62">
        <f>D43</f>
        <v>292000</v>
      </c>
      <c r="G43" s="62">
        <v>292000</v>
      </c>
      <c r="H43" s="62"/>
      <c r="I43" s="62"/>
      <c r="J43" s="62">
        <f>G43</f>
        <v>292000</v>
      </c>
      <c r="K43" s="63"/>
      <c r="L43" s="63"/>
      <c r="M43" s="63"/>
      <c r="N43" s="62">
        <v>300000</v>
      </c>
      <c r="O43" s="62"/>
      <c r="P43" s="62">
        <f>N43</f>
        <v>300000</v>
      </c>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row>
    <row r="44" spans="1:235" s="50" customFormat="1" ht="12">
      <c r="A44" s="54" t="s">
        <v>5</v>
      </c>
      <c r="B44" s="61"/>
      <c r="C44" s="61"/>
      <c r="D44" s="62"/>
      <c r="E44" s="62"/>
      <c r="F44" s="62"/>
      <c r="G44" s="62"/>
      <c r="H44" s="62"/>
      <c r="I44" s="62"/>
      <c r="J44" s="62"/>
      <c r="K44" s="63"/>
      <c r="L44" s="63"/>
      <c r="M44" s="63"/>
      <c r="N44" s="62"/>
      <c r="O44" s="62"/>
      <c r="P44" s="62"/>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row>
    <row r="45" spans="1:235" s="50" customFormat="1" ht="22.5">
      <c r="A45" s="55" t="s">
        <v>11</v>
      </c>
      <c r="B45" s="59"/>
      <c r="C45" s="59"/>
      <c r="D45" s="62">
        <f>73333+25000</f>
        <v>98333</v>
      </c>
      <c r="E45" s="62"/>
      <c r="F45" s="62">
        <f>D45</f>
        <v>98333</v>
      </c>
      <c r="G45" s="62">
        <f>73333+25000+8333</f>
        <v>106666</v>
      </c>
      <c r="H45" s="62"/>
      <c r="I45" s="62"/>
      <c r="J45" s="62">
        <f>G45</f>
        <v>106666</v>
      </c>
      <c r="K45" s="63"/>
      <c r="L45" s="63"/>
      <c r="M45" s="63"/>
      <c r="N45" s="62">
        <f>79200+27000</f>
        <v>106200</v>
      </c>
      <c r="O45" s="62"/>
      <c r="P45" s="62">
        <f>N45</f>
        <v>106200</v>
      </c>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row>
    <row r="46" spans="1:235" s="50" customFormat="1" ht="12">
      <c r="A46" s="54" t="s">
        <v>7</v>
      </c>
      <c r="B46" s="61"/>
      <c r="C46" s="61"/>
      <c r="D46" s="62"/>
      <c r="E46" s="62"/>
      <c r="F46" s="62"/>
      <c r="G46" s="62"/>
      <c r="H46" s="62"/>
      <c r="I46" s="62"/>
      <c r="J46" s="62"/>
      <c r="K46" s="63"/>
      <c r="L46" s="63"/>
      <c r="M46" s="63"/>
      <c r="N46" s="62"/>
      <c r="O46" s="62"/>
      <c r="P46" s="62"/>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row>
    <row r="47" spans="1:235" s="50" customFormat="1" ht="24" customHeight="1">
      <c r="A47" s="55" t="s">
        <v>20</v>
      </c>
      <c r="B47" s="59"/>
      <c r="C47" s="59"/>
      <c r="D47" s="62">
        <v>300</v>
      </c>
      <c r="E47" s="62"/>
      <c r="F47" s="62">
        <f>D47</f>
        <v>300</v>
      </c>
      <c r="G47" s="62">
        <v>360.00225</v>
      </c>
      <c r="H47" s="62"/>
      <c r="I47" s="62"/>
      <c r="J47" s="62">
        <f>G47</f>
        <v>360.00225</v>
      </c>
      <c r="K47" s="63"/>
      <c r="L47" s="63"/>
      <c r="M47" s="63"/>
      <c r="N47" s="62">
        <v>400</v>
      </c>
      <c r="O47" s="62"/>
      <c r="P47" s="62">
        <f>N47</f>
        <v>400</v>
      </c>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row>
    <row r="48" spans="1:235" s="50" customFormat="1" ht="12">
      <c r="A48" s="54" t="s">
        <v>6</v>
      </c>
      <c r="B48" s="61"/>
      <c r="C48" s="61"/>
      <c r="D48" s="62"/>
      <c r="E48" s="62"/>
      <c r="F48" s="62"/>
      <c r="G48" s="62"/>
      <c r="H48" s="62"/>
      <c r="I48" s="62"/>
      <c r="J48" s="62"/>
      <c r="K48" s="63"/>
      <c r="L48" s="63"/>
      <c r="M48" s="63"/>
      <c r="N48" s="62"/>
      <c r="O48" s="62"/>
      <c r="P48" s="62"/>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row>
    <row r="49" spans="1:235" s="50" customFormat="1" ht="21.75" customHeight="1">
      <c r="A49" s="55" t="s">
        <v>22</v>
      </c>
      <c r="B49" s="59"/>
      <c r="C49" s="59"/>
      <c r="D49" s="62">
        <f aca="true" t="shared" si="5" ref="D49:J49">D45/D43*100</f>
        <v>33.67568493150685</v>
      </c>
      <c r="E49" s="62"/>
      <c r="F49" s="62">
        <f t="shared" si="5"/>
        <v>33.67568493150685</v>
      </c>
      <c r="G49" s="62">
        <f t="shared" si="5"/>
        <v>36.52945205479452</v>
      </c>
      <c r="H49" s="62"/>
      <c r="I49" s="62"/>
      <c r="J49" s="62">
        <f t="shared" si="5"/>
        <v>36.52945205479452</v>
      </c>
      <c r="K49" s="63"/>
      <c r="L49" s="63"/>
      <c r="M49" s="63"/>
      <c r="N49" s="62">
        <f>N45/N43*100</f>
        <v>35.4</v>
      </c>
      <c r="O49" s="62"/>
      <c r="P49" s="62">
        <f>P45/P43*100</f>
        <v>35.4</v>
      </c>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row>
    <row r="50" spans="1:235" s="102" customFormat="1" ht="35.25" customHeight="1">
      <c r="A50" s="82" t="s">
        <v>336</v>
      </c>
      <c r="B50" s="88"/>
      <c r="C50" s="88"/>
      <c r="D50" s="89">
        <f>D56*D54+100</f>
        <v>29500000</v>
      </c>
      <c r="E50" s="89"/>
      <c r="F50" s="89">
        <f>F56*F54</f>
        <v>0</v>
      </c>
      <c r="G50" s="89">
        <f>G54*G56</f>
        <v>150000</v>
      </c>
      <c r="H50" s="89"/>
      <c r="I50" s="89"/>
      <c r="J50" s="89">
        <f>G50</f>
        <v>150000</v>
      </c>
      <c r="K50" s="95"/>
      <c r="L50" s="95"/>
      <c r="M50" s="95"/>
      <c r="N50" s="89">
        <f>N54*N56</f>
        <v>16800000</v>
      </c>
      <c r="O50" s="89"/>
      <c r="P50" s="89">
        <f>N50</f>
        <v>16800000</v>
      </c>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01"/>
      <c r="ER50" s="101"/>
      <c r="ES50" s="101"/>
      <c r="ET50" s="101"/>
      <c r="EU50" s="101"/>
      <c r="EV50" s="101"/>
      <c r="EW50" s="101"/>
      <c r="EX50" s="101"/>
      <c r="EY50" s="101"/>
      <c r="EZ50" s="101"/>
      <c r="FA50" s="101"/>
      <c r="FB50" s="101"/>
      <c r="FC50" s="101"/>
      <c r="FD50" s="101"/>
      <c r="FE50" s="101"/>
      <c r="FF50" s="101"/>
      <c r="FG50" s="101"/>
      <c r="FH50" s="101"/>
      <c r="FI50" s="101"/>
      <c r="FJ50" s="101"/>
      <c r="FK50" s="101"/>
      <c r="FL50" s="101"/>
      <c r="FM50" s="101"/>
      <c r="FN50" s="101"/>
      <c r="FO50" s="101"/>
      <c r="FP50" s="101"/>
      <c r="FQ50" s="101"/>
      <c r="FR50" s="101"/>
      <c r="FS50" s="101"/>
      <c r="FT50" s="101"/>
      <c r="FU50" s="101"/>
      <c r="FV50" s="101"/>
      <c r="FW50" s="101"/>
      <c r="FX50" s="101"/>
      <c r="FY50" s="101"/>
      <c r="FZ50" s="101"/>
      <c r="GA50" s="101"/>
      <c r="GB50" s="101"/>
      <c r="GC50" s="101"/>
      <c r="GD50" s="101"/>
      <c r="GE50" s="101"/>
      <c r="GF50" s="101"/>
      <c r="GG50" s="101"/>
      <c r="GH50" s="101"/>
      <c r="GI50" s="101"/>
      <c r="GJ50" s="101"/>
      <c r="GK50" s="101"/>
      <c r="GL50" s="101"/>
      <c r="GM50" s="101"/>
      <c r="GN50" s="101"/>
      <c r="GO50" s="101"/>
      <c r="GP50" s="101"/>
      <c r="GQ50" s="101"/>
      <c r="GR50" s="101"/>
      <c r="GS50" s="101"/>
      <c r="GT50" s="101"/>
      <c r="GU50" s="101"/>
      <c r="GV50" s="101"/>
      <c r="GW50" s="101"/>
      <c r="GX50" s="101"/>
      <c r="GY50" s="101"/>
      <c r="GZ50" s="101"/>
      <c r="HA50" s="101"/>
      <c r="HB50" s="101"/>
      <c r="HC50" s="101"/>
      <c r="HD50" s="101"/>
      <c r="HE50" s="101"/>
      <c r="HF50" s="101"/>
      <c r="HG50" s="101"/>
      <c r="HH50" s="101"/>
      <c r="HI50" s="101"/>
      <c r="HJ50" s="101"/>
      <c r="HK50" s="101"/>
      <c r="HL50" s="101"/>
      <c r="HM50" s="101"/>
      <c r="HN50" s="101"/>
      <c r="HO50" s="101"/>
      <c r="HP50" s="101"/>
      <c r="HQ50" s="101"/>
      <c r="HR50" s="101"/>
      <c r="HS50" s="101"/>
      <c r="HT50" s="101"/>
      <c r="HU50" s="101"/>
      <c r="HV50" s="101"/>
      <c r="HW50" s="101"/>
      <c r="HX50" s="101"/>
      <c r="HY50" s="101"/>
      <c r="HZ50" s="101"/>
      <c r="IA50" s="101"/>
    </row>
    <row r="51" spans="1:235" s="50" customFormat="1" ht="12">
      <c r="A51" s="54" t="s">
        <v>4</v>
      </c>
      <c r="B51" s="61"/>
      <c r="C51" s="61"/>
      <c r="D51" s="62"/>
      <c r="E51" s="62"/>
      <c r="F51" s="62"/>
      <c r="G51" s="62"/>
      <c r="H51" s="62"/>
      <c r="I51" s="62"/>
      <c r="J51" s="62"/>
      <c r="K51" s="63"/>
      <c r="L51" s="63"/>
      <c r="M51" s="63"/>
      <c r="N51" s="62"/>
      <c r="O51" s="62"/>
      <c r="P51" s="62"/>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row>
    <row r="52" spans="1:235" s="50" customFormat="1" ht="22.5">
      <c r="A52" s="55" t="s">
        <v>338</v>
      </c>
      <c r="B52" s="59"/>
      <c r="C52" s="59"/>
      <c r="D52" s="62">
        <v>292000</v>
      </c>
      <c r="E52" s="62"/>
      <c r="F52" s="62"/>
      <c r="G52" s="62">
        <v>4</v>
      </c>
      <c r="H52" s="62"/>
      <c r="I52" s="62"/>
      <c r="J52" s="62">
        <f>G52</f>
        <v>4</v>
      </c>
      <c r="K52" s="63"/>
      <c r="L52" s="63"/>
      <c r="M52" s="63"/>
      <c r="N52" s="62">
        <v>3</v>
      </c>
      <c r="O52" s="62"/>
      <c r="P52" s="62">
        <f>N52</f>
        <v>3</v>
      </c>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row>
    <row r="53" spans="1:235" s="50" customFormat="1" ht="12">
      <c r="A53" s="54" t="s">
        <v>5</v>
      </c>
      <c r="B53" s="61"/>
      <c r="C53" s="61"/>
      <c r="D53" s="62"/>
      <c r="E53" s="62"/>
      <c r="F53" s="62"/>
      <c r="G53" s="62"/>
      <c r="H53" s="62"/>
      <c r="I53" s="62"/>
      <c r="J53" s="62"/>
      <c r="K53" s="63"/>
      <c r="L53" s="63"/>
      <c r="M53" s="63"/>
      <c r="N53" s="62"/>
      <c r="O53" s="62"/>
      <c r="P53" s="62"/>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row>
    <row r="54" spans="1:235" s="50" customFormat="1" ht="22.5">
      <c r="A54" s="55" t="s">
        <v>337</v>
      </c>
      <c r="B54" s="59"/>
      <c r="C54" s="59"/>
      <c r="D54" s="62">
        <f>73333+25000</f>
        <v>98333</v>
      </c>
      <c r="E54" s="62"/>
      <c r="F54" s="62"/>
      <c r="G54" s="62">
        <v>1</v>
      </c>
      <c r="H54" s="62"/>
      <c r="I54" s="62"/>
      <c r="J54" s="62">
        <f>G54</f>
        <v>1</v>
      </c>
      <c r="K54" s="63"/>
      <c r="L54" s="63"/>
      <c r="M54" s="63"/>
      <c r="N54" s="62">
        <v>4</v>
      </c>
      <c r="O54" s="62"/>
      <c r="P54" s="62">
        <f>N54</f>
        <v>4</v>
      </c>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row>
    <row r="55" spans="1:235" s="50" customFormat="1" ht="12">
      <c r="A55" s="54" t="s">
        <v>7</v>
      </c>
      <c r="B55" s="61"/>
      <c r="C55" s="61"/>
      <c r="D55" s="62"/>
      <c r="E55" s="62"/>
      <c r="F55" s="62"/>
      <c r="G55" s="62"/>
      <c r="H55" s="62"/>
      <c r="I55" s="62"/>
      <c r="J55" s="62"/>
      <c r="K55" s="63"/>
      <c r="L55" s="63"/>
      <c r="M55" s="63"/>
      <c r="N55" s="62"/>
      <c r="O55" s="62"/>
      <c r="P55" s="62"/>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row>
    <row r="56" spans="1:235" s="50" customFormat="1" ht="22.5">
      <c r="A56" s="55" t="s">
        <v>339</v>
      </c>
      <c r="B56" s="59"/>
      <c r="C56" s="59"/>
      <c r="D56" s="62">
        <v>300</v>
      </c>
      <c r="E56" s="62"/>
      <c r="F56" s="62"/>
      <c r="G56" s="62">
        <v>150000</v>
      </c>
      <c r="H56" s="62"/>
      <c r="I56" s="62"/>
      <c r="J56" s="62">
        <f>G56</f>
        <v>150000</v>
      </c>
      <c r="K56" s="63"/>
      <c r="L56" s="63"/>
      <c r="M56" s="63"/>
      <c r="N56" s="62">
        <v>4200000</v>
      </c>
      <c r="O56" s="62"/>
      <c r="P56" s="62">
        <f>N56</f>
        <v>4200000</v>
      </c>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row>
    <row r="57" spans="1:235" s="50" customFormat="1" ht="12">
      <c r="A57" s="54" t="s">
        <v>6</v>
      </c>
      <c r="B57" s="61"/>
      <c r="C57" s="61"/>
      <c r="D57" s="62"/>
      <c r="E57" s="62"/>
      <c r="F57" s="62"/>
      <c r="G57" s="62"/>
      <c r="H57" s="62"/>
      <c r="I57" s="62"/>
      <c r="J57" s="62"/>
      <c r="K57" s="63"/>
      <c r="L57" s="63"/>
      <c r="M57" s="63"/>
      <c r="N57" s="62"/>
      <c r="O57" s="62"/>
      <c r="P57" s="62"/>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row>
    <row r="58" spans="1:235" s="50" customFormat="1" ht="21.75" customHeight="1">
      <c r="A58" s="55" t="s">
        <v>340</v>
      </c>
      <c r="B58" s="59"/>
      <c r="C58" s="59"/>
      <c r="D58" s="62">
        <f>D54/D52*100</f>
        <v>33.67568493150685</v>
      </c>
      <c r="E58" s="62"/>
      <c r="F58" s="62"/>
      <c r="G58" s="62">
        <f>G54/G52</f>
        <v>0.25</v>
      </c>
      <c r="H58" s="62"/>
      <c r="I58" s="62"/>
      <c r="J58" s="62">
        <f>J54/J52*100</f>
        <v>25</v>
      </c>
      <c r="K58" s="63"/>
      <c r="L58" s="63"/>
      <c r="M58" s="63"/>
      <c r="N58" s="62">
        <f>N54/N52*100</f>
        <v>133.33333333333331</v>
      </c>
      <c r="O58" s="62"/>
      <c r="P58" s="62">
        <f>P54/P52*100</f>
        <v>133.33333333333331</v>
      </c>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row>
    <row r="59" spans="1:235" s="102" customFormat="1" ht="28.5" customHeight="1">
      <c r="A59" s="82" t="s">
        <v>341</v>
      </c>
      <c r="B59" s="88"/>
      <c r="C59" s="88"/>
      <c r="D59" s="89">
        <f>(D63*D65)+0.4</f>
        <v>19000000</v>
      </c>
      <c r="E59" s="89"/>
      <c r="F59" s="89">
        <f>(F63*F65)+0.4</f>
        <v>19000000</v>
      </c>
      <c r="G59" s="89">
        <f>G63*G65</f>
        <v>22799999.9995862</v>
      </c>
      <c r="H59" s="89"/>
      <c r="I59" s="89"/>
      <c r="J59" s="89">
        <f>G59</f>
        <v>22799999.9995862</v>
      </c>
      <c r="K59" s="95"/>
      <c r="L59" s="95"/>
      <c r="M59" s="95"/>
      <c r="N59" s="89">
        <f>N63*N65</f>
        <v>27360000</v>
      </c>
      <c r="O59" s="89"/>
      <c r="P59" s="89">
        <f>N59</f>
        <v>27360000</v>
      </c>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101"/>
      <c r="HW59" s="101"/>
      <c r="HX59" s="101"/>
      <c r="HY59" s="101"/>
      <c r="HZ59" s="101"/>
      <c r="IA59" s="101"/>
    </row>
    <row r="60" spans="1:235" s="50" customFormat="1" ht="12">
      <c r="A60" s="54" t="s">
        <v>4</v>
      </c>
      <c r="B60" s="61"/>
      <c r="C60" s="61"/>
      <c r="D60" s="62"/>
      <c r="E60" s="62"/>
      <c r="F60" s="62"/>
      <c r="G60" s="62"/>
      <c r="H60" s="62"/>
      <c r="I60" s="62"/>
      <c r="J60" s="62"/>
      <c r="K60" s="63"/>
      <c r="L60" s="63"/>
      <c r="M60" s="63"/>
      <c r="N60" s="62"/>
      <c r="O60" s="62"/>
      <c r="P60" s="62"/>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row>
    <row r="61" spans="1:235" s="50" customFormat="1" ht="22.5">
      <c r="A61" s="55" t="s">
        <v>83</v>
      </c>
      <c r="B61" s="59"/>
      <c r="C61" s="59"/>
      <c r="D61" s="62">
        <v>3372600</v>
      </c>
      <c r="E61" s="62"/>
      <c r="F61" s="62">
        <f>D61</f>
        <v>3372600</v>
      </c>
      <c r="G61" s="62">
        <v>3372600</v>
      </c>
      <c r="H61" s="62"/>
      <c r="I61" s="62"/>
      <c r="J61" s="62">
        <f>G61</f>
        <v>3372600</v>
      </c>
      <c r="K61" s="63"/>
      <c r="L61" s="63"/>
      <c r="M61" s="63"/>
      <c r="N61" s="62">
        <v>3372600</v>
      </c>
      <c r="O61" s="62"/>
      <c r="P61" s="62">
        <f>N61</f>
        <v>3372600</v>
      </c>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row>
    <row r="62" spans="1:235" s="50" customFormat="1" ht="12">
      <c r="A62" s="54" t="s">
        <v>5</v>
      </c>
      <c r="B62" s="61"/>
      <c r="C62" s="61"/>
      <c r="D62" s="62"/>
      <c r="E62" s="62"/>
      <c r="F62" s="62"/>
      <c r="G62" s="62"/>
      <c r="H62" s="62"/>
      <c r="I62" s="62"/>
      <c r="J62" s="62"/>
      <c r="K62" s="63"/>
      <c r="L62" s="63"/>
      <c r="M62" s="63"/>
      <c r="N62" s="62"/>
      <c r="O62" s="62"/>
      <c r="P62" s="62"/>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row>
    <row r="63" spans="1:235" s="50" customFormat="1" ht="21.75" customHeight="1">
      <c r="A63" s="55" t="s">
        <v>84</v>
      </c>
      <c r="B63" s="59"/>
      <c r="C63" s="59"/>
      <c r="D63" s="62">
        <v>1310344.8</v>
      </c>
      <c r="E63" s="62"/>
      <c r="F63" s="62">
        <f>D63</f>
        <v>1310344.8</v>
      </c>
      <c r="G63" s="62">
        <v>1310344.8</v>
      </c>
      <c r="H63" s="62"/>
      <c r="I63" s="62"/>
      <c r="J63" s="62">
        <f>G63</f>
        <v>1310344.8</v>
      </c>
      <c r="K63" s="63"/>
      <c r="L63" s="63"/>
      <c r="M63" s="63"/>
      <c r="N63" s="62">
        <v>1425000</v>
      </c>
      <c r="O63" s="62"/>
      <c r="P63" s="62">
        <f>N63</f>
        <v>1425000</v>
      </c>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row>
    <row r="64" spans="1:235" s="50" customFormat="1" ht="12">
      <c r="A64" s="54" t="s">
        <v>7</v>
      </c>
      <c r="B64" s="61"/>
      <c r="C64" s="61"/>
      <c r="D64" s="62"/>
      <c r="E64" s="62"/>
      <c r="F64" s="62"/>
      <c r="G64" s="62"/>
      <c r="H64" s="62"/>
      <c r="I64" s="62"/>
      <c r="J64" s="62"/>
      <c r="K64" s="63"/>
      <c r="L64" s="63"/>
      <c r="M64" s="63"/>
      <c r="N64" s="62"/>
      <c r="O64" s="62"/>
      <c r="P64" s="62"/>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c r="GN64" s="49"/>
      <c r="GO64" s="49"/>
      <c r="GP64" s="49"/>
      <c r="GQ64" s="49"/>
      <c r="GR64" s="49"/>
      <c r="GS64" s="49"/>
      <c r="GT64" s="49"/>
      <c r="GU64" s="49"/>
      <c r="GV64" s="49"/>
      <c r="GW64" s="49"/>
      <c r="GX64" s="49"/>
      <c r="GY64" s="49"/>
      <c r="GZ64" s="49"/>
      <c r="HA64" s="49"/>
      <c r="HB64" s="49"/>
      <c r="HC64" s="49"/>
      <c r="HD64" s="49"/>
      <c r="HE64" s="49"/>
      <c r="HF64" s="49"/>
      <c r="HG64" s="49"/>
      <c r="HH64" s="49"/>
      <c r="HI64" s="49"/>
      <c r="HJ64" s="49"/>
      <c r="HK64" s="49"/>
      <c r="HL64" s="49"/>
      <c r="HM64" s="49"/>
      <c r="HN64" s="49"/>
      <c r="HO64" s="49"/>
      <c r="HP64" s="49"/>
      <c r="HQ64" s="49"/>
      <c r="HR64" s="49"/>
      <c r="HS64" s="49"/>
      <c r="HT64" s="49"/>
      <c r="HU64" s="49"/>
      <c r="HV64" s="49"/>
      <c r="HW64" s="49"/>
      <c r="HX64" s="49"/>
      <c r="HY64" s="49"/>
      <c r="HZ64" s="49"/>
      <c r="IA64" s="49"/>
    </row>
    <row r="65" spans="1:235" s="50" customFormat="1" ht="21.75" customHeight="1">
      <c r="A65" s="55" t="s">
        <v>18</v>
      </c>
      <c r="B65" s="59"/>
      <c r="C65" s="59"/>
      <c r="D65" s="62">
        <v>14.5</v>
      </c>
      <c r="E65" s="62"/>
      <c r="F65" s="62">
        <f>D65</f>
        <v>14.5</v>
      </c>
      <c r="G65" s="62">
        <v>17.400000366</v>
      </c>
      <c r="H65" s="62"/>
      <c r="I65" s="62"/>
      <c r="J65" s="62">
        <f>G65</f>
        <v>17.400000366</v>
      </c>
      <c r="K65" s="63"/>
      <c r="L65" s="63"/>
      <c r="M65" s="63"/>
      <c r="N65" s="62">
        <v>19.2</v>
      </c>
      <c r="O65" s="62"/>
      <c r="P65" s="62">
        <f>N65</f>
        <v>19.2</v>
      </c>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row>
    <row r="66" spans="1:235" s="50" customFormat="1" ht="12">
      <c r="A66" s="54" t="s">
        <v>6</v>
      </c>
      <c r="B66" s="61"/>
      <c r="C66" s="61"/>
      <c r="D66" s="62"/>
      <c r="E66" s="62"/>
      <c r="F66" s="62"/>
      <c r="G66" s="62"/>
      <c r="H66" s="62"/>
      <c r="I66" s="62"/>
      <c r="J66" s="62"/>
      <c r="K66" s="63"/>
      <c r="L66" s="63"/>
      <c r="M66" s="63"/>
      <c r="N66" s="62"/>
      <c r="O66" s="62"/>
      <c r="P66" s="62"/>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row>
    <row r="67" spans="1:235" s="50" customFormat="1" ht="26.25" customHeight="1">
      <c r="A67" s="55" t="s">
        <v>85</v>
      </c>
      <c r="B67" s="59"/>
      <c r="C67" s="59"/>
      <c r="D67" s="62">
        <f>D63/D61*100</f>
        <v>38.852659669098024</v>
      </c>
      <c r="E67" s="62"/>
      <c r="F67" s="62">
        <f>F63/F61*100</f>
        <v>38.852659669098024</v>
      </c>
      <c r="G67" s="62">
        <f>G63/G61*100</f>
        <v>38.852659669098024</v>
      </c>
      <c r="H67" s="62"/>
      <c r="I67" s="62"/>
      <c r="J67" s="62">
        <f>J63/J61*100</f>
        <v>38.852659669098024</v>
      </c>
      <c r="K67" s="63"/>
      <c r="L67" s="63"/>
      <c r="M67" s="63"/>
      <c r="N67" s="62">
        <f>N63/N61*100</f>
        <v>42.252268279665536</v>
      </c>
      <c r="O67" s="62"/>
      <c r="P67" s="62">
        <f>P63/P61*100</f>
        <v>42.252268279665536</v>
      </c>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row>
    <row r="68" spans="1:235" s="50" customFormat="1" ht="0.75" customHeight="1" hidden="1">
      <c r="A68" s="55"/>
      <c r="B68" s="59"/>
      <c r="C68" s="59"/>
      <c r="D68" s="62"/>
      <c r="E68" s="62"/>
      <c r="F68" s="62"/>
      <c r="G68" s="62"/>
      <c r="H68" s="62"/>
      <c r="I68" s="62"/>
      <c r="J68" s="62"/>
      <c r="K68" s="63"/>
      <c r="L68" s="63"/>
      <c r="M68" s="63"/>
      <c r="N68" s="62"/>
      <c r="O68" s="62"/>
      <c r="P68" s="62"/>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c r="HH68" s="49"/>
      <c r="HI68" s="49"/>
      <c r="HJ68" s="49"/>
      <c r="HK68" s="49"/>
      <c r="HL68" s="49"/>
      <c r="HM68" s="49"/>
      <c r="HN68" s="49"/>
      <c r="HO68" s="49"/>
      <c r="HP68" s="49"/>
      <c r="HQ68" s="49"/>
      <c r="HR68" s="49"/>
      <c r="HS68" s="49"/>
      <c r="HT68" s="49"/>
      <c r="HU68" s="49"/>
      <c r="HV68" s="49"/>
      <c r="HW68" s="49"/>
      <c r="HX68" s="49"/>
      <c r="HY68" s="49"/>
      <c r="HZ68" s="49"/>
      <c r="IA68" s="49"/>
    </row>
    <row r="69" spans="1:235" s="50" customFormat="1" ht="21.75" customHeight="1" hidden="1">
      <c r="A69" s="55"/>
      <c r="B69" s="59"/>
      <c r="C69" s="59"/>
      <c r="D69" s="62"/>
      <c r="E69" s="62"/>
      <c r="F69" s="62"/>
      <c r="G69" s="62"/>
      <c r="H69" s="62"/>
      <c r="I69" s="62"/>
      <c r="J69" s="62"/>
      <c r="K69" s="63"/>
      <c r="L69" s="63"/>
      <c r="M69" s="63"/>
      <c r="N69" s="62"/>
      <c r="O69" s="62"/>
      <c r="P69" s="62"/>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c r="GU69" s="49"/>
      <c r="GV69" s="49"/>
      <c r="GW69" s="49"/>
      <c r="GX69" s="49"/>
      <c r="GY69" s="49"/>
      <c r="GZ69" s="49"/>
      <c r="HA69" s="49"/>
      <c r="HB69" s="49"/>
      <c r="HC69" s="49"/>
      <c r="HD69" s="49"/>
      <c r="HE69" s="49"/>
      <c r="HF69" s="49"/>
      <c r="HG69" s="49"/>
      <c r="HH69" s="49"/>
      <c r="HI69" s="49"/>
      <c r="HJ69" s="49"/>
      <c r="HK69" s="49"/>
      <c r="HL69" s="49"/>
      <c r="HM69" s="49"/>
      <c r="HN69" s="49"/>
      <c r="HO69" s="49"/>
      <c r="HP69" s="49"/>
      <c r="HQ69" s="49"/>
      <c r="HR69" s="49"/>
      <c r="HS69" s="49"/>
      <c r="HT69" s="49"/>
      <c r="HU69" s="49"/>
      <c r="HV69" s="49"/>
      <c r="HW69" s="49"/>
      <c r="HX69" s="49"/>
      <c r="HY69" s="49"/>
      <c r="HZ69" s="49"/>
      <c r="IA69" s="49"/>
    </row>
    <row r="70" spans="1:235" s="50" customFormat="1" ht="21.75" customHeight="1" hidden="1">
      <c r="A70" s="55"/>
      <c r="B70" s="59"/>
      <c r="C70" s="59"/>
      <c r="D70" s="62"/>
      <c r="E70" s="62"/>
      <c r="F70" s="62"/>
      <c r="G70" s="62"/>
      <c r="H70" s="62"/>
      <c r="I70" s="62"/>
      <c r="J70" s="62"/>
      <c r="K70" s="63"/>
      <c r="L70" s="63"/>
      <c r="M70" s="63"/>
      <c r="N70" s="62"/>
      <c r="O70" s="62"/>
      <c r="P70" s="62"/>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row>
    <row r="71" spans="1:235" s="50" customFormat="1" ht="1.5" customHeight="1" hidden="1">
      <c r="A71" s="55"/>
      <c r="B71" s="59"/>
      <c r="C71" s="59"/>
      <c r="D71" s="62"/>
      <c r="E71" s="62"/>
      <c r="F71" s="62"/>
      <c r="G71" s="62"/>
      <c r="H71" s="62"/>
      <c r="I71" s="62"/>
      <c r="J71" s="62"/>
      <c r="K71" s="63"/>
      <c r="L71" s="63"/>
      <c r="M71" s="63"/>
      <c r="N71" s="62"/>
      <c r="O71" s="62"/>
      <c r="P71" s="62"/>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c r="GU71" s="49"/>
      <c r="GV71" s="49"/>
      <c r="GW71" s="49"/>
      <c r="GX71" s="49"/>
      <c r="GY71" s="49"/>
      <c r="GZ71" s="49"/>
      <c r="HA71" s="49"/>
      <c r="HB71" s="49"/>
      <c r="HC71" s="49"/>
      <c r="HD71" s="49"/>
      <c r="HE71" s="49"/>
      <c r="HF71" s="49"/>
      <c r="HG71" s="49"/>
      <c r="HH71" s="49"/>
      <c r="HI71" s="49"/>
      <c r="HJ71" s="49"/>
      <c r="HK71" s="49"/>
      <c r="HL71" s="49"/>
      <c r="HM71" s="49"/>
      <c r="HN71" s="49"/>
      <c r="HO71" s="49"/>
      <c r="HP71" s="49"/>
      <c r="HQ71" s="49"/>
      <c r="HR71" s="49"/>
      <c r="HS71" s="49"/>
      <c r="HT71" s="49"/>
      <c r="HU71" s="49"/>
      <c r="HV71" s="49"/>
      <c r="HW71" s="49"/>
      <c r="HX71" s="49"/>
      <c r="HY71" s="49"/>
      <c r="HZ71" s="49"/>
      <c r="IA71" s="49"/>
    </row>
    <row r="72" spans="1:235" s="50" customFormat="1" ht="21.75" customHeight="1" hidden="1">
      <c r="A72" s="55"/>
      <c r="B72" s="59"/>
      <c r="C72" s="59"/>
      <c r="D72" s="62"/>
      <c r="E72" s="62"/>
      <c r="F72" s="62"/>
      <c r="G72" s="62"/>
      <c r="H72" s="62"/>
      <c r="I72" s="62"/>
      <c r="J72" s="62"/>
      <c r="K72" s="63"/>
      <c r="L72" s="63"/>
      <c r="M72" s="63"/>
      <c r="N72" s="62"/>
      <c r="O72" s="62"/>
      <c r="P72" s="62"/>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c r="GU72" s="49"/>
      <c r="GV72" s="49"/>
      <c r="GW72" s="49"/>
      <c r="GX72" s="49"/>
      <c r="GY72" s="49"/>
      <c r="GZ72" s="49"/>
      <c r="HA72" s="49"/>
      <c r="HB72" s="49"/>
      <c r="HC72" s="49"/>
      <c r="HD72" s="49"/>
      <c r="HE72" s="49"/>
      <c r="HF72" s="49"/>
      <c r="HG72" s="49"/>
      <c r="HH72" s="49"/>
      <c r="HI72" s="49"/>
      <c r="HJ72" s="49"/>
      <c r="HK72" s="49"/>
      <c r="HL72" s="49"/>
      <c r="HM72" s="49"/>
      <c r="HN72" s="49"/>
      <c r="HO72" s="49"/>
      <c r="HP72" s="49"/>
      <c r="HQ72" s="49"/>
      <c r="HR72" s="49"/>
      <c r="HS72" s="49"/>
      <c r="HT72" s="49"/>
      <c r="HU72" s="49"/>
      <c r="HV72" s="49"/>
      <c r="HW72" s="49"/>
      <c r="HX72" s="49"/>
      <c r="HY72" s="49"/>
      <c r="HZ72" s="49"/>
      <c r="IA72" s="49"/>
    </row>
    <row r="73" spans="1:235" s="50" customFormat="1" ht="21.75" customHeight="1" hidden="1">
      <c r="A73" s="55"/>
      <c r="B73" s="59"/>
      <c r="C73" s="59"/>
      <c r="D73" s="62"/>
      <c r="E73" s="62"/>
      <c r="F73" s="62"/>
      <c r="G73" s="62"/>
      <c r="H73" s="62"/>
      <c r="I73" s="62"/>
      <c r="J73" s="62"/>
      <c r="K73" s="63"/>
      <c r="L73" s="63"/>
      <c r="M73" s="63"/>
      <c r="N73" s="62"/>
      <c r="O73" s="62"/>
      <c r="P73" s="62"/>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c r="GN73" s="49"/>
      <c r="GO73" s="49"/>
      <c r="GP73" s="49"/>
      <c r="GQ73" s="49"/>
      <c r="GR73" s="49"/>
      <c r="GS73" s="49"/>
      <c r="GT73" s="49"/>
      <c r="GU73" s="49"/>
      <c r="GV73" s="49"/>
      <c r="GW73" s="49"/>
      <c r="GX73" s="49"/>
      <c r="GY73" s="49"/>
      <c r="GZ73" s="49"/>
      <c r="HA73" s="49"/>
      <c r="HB73" s="49"/>
      <c r="HC73" s="49"/>
      <c r="HD73" s="49"/>
      <c r="HE73" s="49"/>
      <c r="HF73" s="49"/>
      <c r="HG73" s="49"/>
      <c r="HH73" s="49"/>
      <c r="HI73" s="49"/>
      <c r="HJ73" s="49"/>
      <c r="HK73" s="49"/>
      <c r="HL73" s="49"/>
      <c r="HM73" s="49"/>
      <c r="HN73" s="49"/>
      <c r="HO73" s="49"/>
      <c r="HP73" s="49"/>
      <c r="HQ73" s="49"/>
      <c r="HR73" s="49"/>
      <c r="HS73" s="49"/>
      <c r="HT73" s="49"/>
      <c r="HU73" s="49"/>
      <c r="HV73" s="49"/>
      <c r="HW73" s="49"/>
      <c r="HX73" s="49"/>
      <c r="HY73" s="49"/>
      <c r="HZ73" s="49"/>
      <c r="IA73" s="49"/>
    </row>
    <row r="74" spans="1:235" s="50" customFormat="1" ht="21.75" customHeight="1" hidden="1">
      <c r="A74" s="55"/>
      <c r="B74" s="59"/>
      <c r="C74" s="59"/>
      <c r="D74" s="62"/>
      <c r="E74" s="62"/>
      <c r="F74" s="62"/>
      <c r="G74" s="62"/>
      <c r="H74" s="62"/>
      <c r="I74" s="62"/>
      <c r="J74" s="62"/>
      <c r="K74" s="63"/>
      <c r="L74" s="63"/>
      <c r="M74" s="63"/>
      <c r="N74" s="62"/>
      <c r="O74" s="62"/>
      <c r="P74" s="62"/>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c r="GN74" s="49"/>
      <c r="GO74" s="49"/>
      <c r="GP74" s="49"/>
      <c r="GQ74" s="49"/>
      <c r="GR74" s="49"/>
      <c r="GS74" s="49"/>
      <c r="GT74" s="49"/>
      <c r="GU74" s="49"/>
      <c r="GV74" s="49"/>
      <c r="GW74" s="49"/>
      <c r="GX74" s="49"/>
      <c r="GY74" s="49"/>
      <c r="GZ74" s="49"/>
      <c r="HA74" s="49"/>
      <c r="HB74" s="49"/>
      <c r="HC74" s="49"/>
      <c r="HD74" s="49"/>
      <c r="HE74" s="49"/>
      <c r="HF74" s="49"/>
      <c r="HG74" s="49"/>
      <c r="HH74" s="49"/>
      <c r="HI74" s="49"/>
      <c r="HJ74" s="49"/>
      <c r="HK74" s="49"/>
      <c r="HL74" s="49"/>
      <c r="HM74" s="49"/>
      <c r="HN74" s="49"/>
      <c r="HO74" s="49"/>
      <c r="HP74" s="49"/>
      <c r="HQ74" s="49"/>
      <c r="HR74" s="49"/>
      <c r="HS74" s="49"/>
      <c r="HT74" s="49"/>
      <c r="HU74" s="49"/>
      <c r="HV74" s="49"/>
      <c r="HW74" s="49"/>
      <c r="HX74" s="49"/>
      <c r="HY74" s="49"/>
      <c r="HZ74" s="49"/>
      <c r="IA74" s="49"/>
    </row>
    <row r="75" spans="1:235" s="50" customFormat="1" ht="21.75" customHeight="1" hidden="1">
      <c r="A75" s="55"/>
      <c r="B75" s="59"/>
      <c r="C75" s="59"/>
      <c r="D75" s="62"/>
      <c r="E75" s="62"/>
      <c r="F75" s="62"/>
      <c r="G75" s="62"/>
      <c r="H75" s="62"/>
      <c r="I75" s="62"/>
      <c r="J75" s="62"/>
      <c r="K75" s="63"/>
      <c r="L75" s="63"/>
      <c r="M75" s="63"/>
      <c r="N75" s="62"/>
      <c r="O75" s="62"/>
      <c r="P75" s="62"/>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c r="HH75" s="49"/>
      <c r="HI75" s="49"/>
      <c r="HJ75" s="49"/>
      <c r="HK75" s="49"/>
      <c r="HL75" s="49"/>
      <c r="HM75" s="49"/>
      <c r="HN75" s="49"/>
      <c r="HO75" s="49"/>
      <c r="HP75" s="49"/>
      <c r="HQ75" s="49"/>
      <c r="HR75" s="49"/>
      <c r="HS75" s="49"/>
      <c r="HT75" s="49"/>
      <c r="HU75" s="49"/>
      <c r="HV75" s="49"/>
      <c r="HW75" s="49"/>
      <c r="HX75" s="49"/>
      <c r="HY75" s="49"/>
      <c r="HZ75" s="49"/>
      <c r="IA75" s="49"/>
    </row>
    <row r="76" spans="1:235" s="50" customFormat="1" ht="0.75" customHeight="1" hidden="1">
      <c r="A76" s="55"/>
      <c r="B76" s="59"/>
      <c r="C76" s="59"/>
      <c r="D76" s="62"/>
      <c r="E76" s="62"/>
      <c r="F76" s="62"/>
      <c r="G76" s="62"/>
      <c r="H76" s="62"/>
      <c r="I76" s="62"/>
      <c r="J76" s="62"/>
      <c r="K76" s="63"/>
      <c r="L76" s="63"/>
      <c r="M76" s="63"/>
      <c r="N76" s="62"/>
      <c r="O76" s="62"/>
      <c r="P76" s="62"/>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c r="HH76" s="49"/>
      <c r="HI76" s="49"/>
      <c r="HJ76" s="49"/>
      <c r="HK76" s="49"/>
      <c r="HL76" s="49"/>
      <c r="HM76" s="49"/>
      <c r="HN76" s="49"/>
      <c r="HO76" s="49"/>
      <c r="HP76" s="49"/>
      <c r="HQ76" s="49"/>
      <c r="HR76" s="49"/>
      <c r="HS76" s="49"/>
      <c r="HT76" s="49"/>
      <c r="HU76" s="49"/>
      <c r="HV76" s="49"/>
      <c r="HW76" s="49"/>
      <c r="HX76" s="49"/>
      <c r="HY76" s="49"/>
      <c r="HZ76" s="49"/>
      <c r="IA76" s="49"/>
    </row>
    <row r="77" spans="1:235" s="92" customFormat="1" ht="38.25" customHeight="1">
      <c r="A77" s="82" t="s">
        <v>342</v>
      </c>
      <c r="B77" s="88"/>
      <c r="C77" s="88"/>
      <c r="D77" s="89">
        <f>(D81*D83)</f>
        <v>6352700</v>
      </c>
      <c r="E77" s="89"/>
      <c r="F77" s="89">
        <f>(F83*F81)</f>
        <v>6352700</v>
      </c>
      <c r="G77" s="89">
        <f>(G83*G81)</f>
        <v>9599999.9985</v>
      </c>
      <c r="H77" s="89"/>
      <c r="I77" s="89"/>
      <c r="J77" s="89">
        <f>G77+H77</f>
        <v>9599999.9985</v>
      </c>
      <c r="K77" s="95"/>
      <c r="L77" s="95"/>
      <c r="M77" s="95"/>
      <c r="N77" s="89">
        <f>(N81*N83)</f>
        <v>11700000</v>
      </c>
      <c r="O77" s="89"/>
      <c r="P77" s="89">
        <f>(P81*P83)</f>
        <v>11700000</v>
      </c>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91"/>
      <c r="GB77" s="91"/>
      <c r="GC77" s="91"/>
      <c r="GD77" s="91"/>
      <c r="GE77" s="91"/>
      <c r="GF77" s="91"/>
      <c r="GG77" s="91"/>
      <c r="GH77" s="91"/>
      <c r="GI77" s="91"/>
      <c r="GJ77" s="91"/>
      <c r="GK77" s="91"/>
      <c r="GL77" s="91"/>
      <c r="GM77" s="91"/>
      <c r="GN77" s="91"/>
      <c r="GO77" s="91"/>
      <c r="GP77" s="91"/>
      <c r="GQ77" s="91"/>
      <c r="GR77" s="91"/>
      <c r="GS77" s="91"/>
      <c r="GT77" s="91"/>
      <c r="GU77" s="91"/>
      <c r="GV77" s="91"/>
      <c r="GW77" s="91"/>
      <c r="GX77" s="91"/>
      <c r="GY77" s="91"/>
      <c r="GZ77" s="91"/>
      <c r="HA77" s="91"/>
      <c r="HB77" s="91"/>
      <c r="HC77" s="91"/>
      <c r="HD77" s="91"/>
      <c r="HE77" s="91"/>
      <c r="HF77" s="91"/>
      <c r="HG77" s="91"/>
      <c r="HH77" s="91"/>
      <c r="HI77" s="91"/>
      <c r="HJ77" s="91"/>
      <c r="HK77" s="91"/>
      <c r="HL77" s="91"/>
      <c r="HM77" s="91"/>
      <c r="HN77" s="91"/>
      <c r="HO77" s="91"/>
      <c r="HP77" s="91"/>
      <c r="HQ77" s="91"/>
      <c r="HR77" s="91"/>
      <c r="HS77" s="91"/>
      <c r="HT77" s="91"/>
      <c r="HU77" s="91"/>
      <c r="HV77" s="91"/>
      <c r="HW77" s="91"/>
      <c r="HX77" s="91"/>
      <c r="HY77" s="91"/>
      <c r="HZ77" s="91"/>
      <c r="IA77" s="91"/>
    </row>
    <row r="78" spans="1:16" ht="12">
      <c r="A78" s="54" t="s">
        <v>4</v>
      </c>
      <c r="B78" s="61"/>
      <c r="C78" s="61"/>
      <c r="D78" s="62"/>
      <c r="E78" s="62"/>
      <c r="F78" s="62"/>
      <c r="G78" s="62"/>
      <c r="H78" s="62"/>
      <c r="I78" s="62"/>
      <c r="J78" s="62"/>
      <c r="K78" s="63"/>
      <c r="L78" s="63"/>
      <c r="M78" s="63"/>
      <c r="N78" s="62"/>
      <c r="O78" s="62"/>
      <c r="P78" s="62"/>
    </row>
    <row r="79" spans="1:16" ht="33" customHeight="1">
      <c r="A79" s="55" t="s">
        <v>93</v>
      </c>
      <c r="B79" s="59"/>
      <c r="C79" s="59"/>
      <c r="D79" s="62">
        <v>500000</v>
      </c>
      <c r="E79" s="62"/>
      <c r="F79" s="62">
        <f>D79</f>
        <v>500000</v>
      </c>
      <c r="G79" s="62">
        <f>D79</f>
        <v>500000</v>
      </c>
      <c r="H79" s="62"/>
      <c r="I79" s="62"/>
      <c r="J79" s="62">
        <f>G79</f>
        <v>500000</v>
      </c>
      <c r="K79" s="63"/>
      <c r="L79" s="63"/>
      <c r="M79" s="63"/>
      <c r="N79" s="62">
        <f>D79</f>
        <v>500000</v>
      </c>
      <c r="O79" s="62"/>
      <c r="P79" s="62">
        <f>N79</f>
        <v>500000</v>
      </c>
    </row>
    <row r="80" spans="1:16" ht="12">
      <c r="A80" s="54" t="s">
        <v>5</v>
      </c>
      <c r="B80" s="61"/>
      <c r="C80" s="61"/>
      <c r="D80" s="62"/>
      <c r="E80" s="62"/>
      <c r="F80" s="62"/>
      <c r="G80" s="62"/>
      <c r="H80" s="62"/>
      <c r="I80" s="62"/>
      <c r="J80" s="62"/>
      <c r="K80" s="63"/>
      <c r="L80" s="63"/>
      <c r="M80" s="63"/>
      <c r="N80" s="62"/>
      <c r="O80" s="62"/>
      <c r="P80" s="62"/>
    </row>
    <row r="81" spans="1:16" ht="34.5" customHeight="1">
      <c r="A81" s="55" t="s">
        <v>94</v>
      </c>
      <c r="B81" s="59"/>
      <c r="C81" s="59"/>
      <c r="D81" s="14">
        <v>15881.75</v>
      </c>
      <c r="E81" s="62"/>
      <c r="F81" s="62">
        <f>D81</f>
        <v>15881.75</v>
      </c>
      <c r="G81" s="62">
        <v>21333.33333</v>
      </c>
      <c r="H81" s="62"/>
      <c r="I81" s="62"/>
      <c r="J81" s="62">
        <f>G81</f>
        <v>21333.33333</v>
      </c>
      <c r="K81" s="63"/>
      <c r="L81" s="63"/>
      <c r="M81" s="63"/>
      <c r="N81" s="62">
        <v>23400</v>
      </c>
      <c r="O81" s="62"/>
      <c r="P81" s="62">
        <f>N81</f>
        <v>23400</v>
      </c>
    </row>
    <row r="82" spans="1:16" ht="12">
      <c r="A82" s="54" t="s">
        <v>7</v>
      </c>
      <c r="B82" s="61"/>
      <c r="C82" s="61"/>
      <c r="D82" s="62"/>
      <c r="E82" s="62"/>
      <c r="F82" s="62"/>
      <c r="G82" s="62"/>
      <c r="H82" s="62"/>
      <c r="I82" s="62"/>
      <c r="J82" s="62"/>
      <c r="K82" s="63"/>
      <c r="L82" s="63"/>
      <c r="M82" s="63"/>
      <c r="N82" s="62"/>
      <c r="O82" s="62"/>
      <c r="P82" s="62"/>
    </row>
    <row r="83" spans="1:16" ht="33.75">
      <c r="A83" s="55" t="s">
        <v>95</v>
      </c>
      <c r="B83" s="59"/>
      <c r="C83" s="59"/>
      <c r="D83" s="62">
        <v>400</v>
      </c>
      <c r="E83" s="62"/>
      <c r="F83" s="62">
        <f>D83</f>
        <v>400</v>
      </c>
      <c r="G83" s="62">
        <v>450</v>
      </c>
      <c r="H83" s="62"/>
      <c r="I83" s="62"/>
      <c r="J83" s="62">
        <f>G83</f>
        <v>450</v>
      </c>
      <c r="K83" s="63"/>
      <c r="L83" s="63"/>
      <c r="M83" s="63"/>
      <c r="N83" s="62">
        <v>500</v>
      </c>
      <c r="O83" s="62"/>
      <c r="P83" s="62">
        <f>N83</f>
        <v>500</v>
      </c>
    </row>
    <row r="84" spans="1:16" ht="12">
      <c r="A84" s="54" t="s">
        <v>6</v>
      </c>
      <c r="B84" s="61"/>
      <c r="C84" s="61"/>
      <c r="D84" s="62"/>
      <c r="E84" s="62"/>
      <c r="F84" s="62"/>
      <c r="G84" s="62"/>
      <c r="H84" s="62"/>
      <c r="I84" s="62"/>
      <c r="J84" s="62"/>
      <c r="K84" s="63"/>
      <c r="L84" s="63"/>
      <c r="M84" s="63"/>
      <c r="N84" s="62"/>
      <c r="O84" s="62"/>
      <c r="P84" s="62"/>
    </row>
    <row r="85" spans="1:16" ht="45">
      <c r="A85" s="55" t="s">
        <v>96</v>
      </c>
      <c r="B85" s="59"/>
      <c r="C85" s="59"/>
      <c r="D85" s="62">
        <f>D81/D79*100</f>
        <v>3.1763500000000002</v>
      </c>
      <c r="E85" s="62"/>
      <c r="F85" s="62">
        <f>F81/F79*100</f>
        <v>3.1763500000000002</v>
      </c>
      <c r="G85" s="62">
        <f>G81/G79*100</f>
        <v>4.266666666000001</v>
      </c>
      <c r="H85" s="62"/>
      <c r="I85" s="62"/>
      <c r="J85" s="62">
        <f>J81/J79*100</f>
        <v>4.266666666000001</v>
      </c>
      <c r="K85" s="63"/>
      <c r="L85" s="63"/>
      <c r="M85" s="63"/>
      <c r="N85" s="62">
        <f>N81/N79*100</f>
        <v>4.68</v>
      </c>
      <c r="O85" s="62"/>
      <c r="P85" s="62">
        <f>P81/P79*100</f>
        <v>4.68</v>
      </c>
    </row>
    <row r="86" spans="1:235" s="92" customFormat="1" ht="39" customHeight="1">
      <c r="A86" s="82" t="s">
        <v>343</v>
      </c>
      <c r="B86" s="88"/>
      <c r="C86" s="88"/>
      <c r="D86" s="89"/>
      <c r="E86" s="89">
        <f>(E91*E94)+(E92*E95)</f>
        <v>32417800</v>
      </c>
      <c r="F86" s="89">
        <f>E86</f>
        <v>32417800</v>
      </c>
      <c r="G86" s="89"/>
      <c r="H86" s="89">
        <f>(H91*H94)+(H92*H95)-600781.39+599.89</f>
        <v>56164110</v>
      </c>
      <c r="I86" s="89"/>
      <c r="J86" s="89">
        <f>H86</f>
        <v>56164110</v>
      </c>
      <c r="K86" s="89">
        <f aca="true" t="shared" si="6" ref="K86:P86">(K91*K94)+(K92*K95)</f>
        <v>0</v>
      </c>
      <c r="L86" s="89">
        <f t="shared" si="6"/>
        <v>0</v>
      </c>
      <c r="M86" s="89">
        <f t="shared" si="6"/>
        <v>0</v>
      </c>
      <c r="N86" s="89"/>
      <c r="O86" s="89">
        <f>(O91*O94)+(O92*O95)</f>
        <v>97600000</v>
      </c>
      <c r="P86" s="89">
        <f t="shared" si="6"/>
        <v>97600000</v>
      </c>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row>
    <row r="87" spans="1:16" ht="12">
      <c r="A87" s="54" t="s">
        <v>4</v>
      </c>
      <c r="B87" s="59"/>
      <c r="C87" s="59"/>
      <c r="D87" s="62"/>
      <c r="E87" s="62"/>
      <c r="F87" s="62"/>
      <c r="G87" s="62"/>
      <c r="H87" s="62"/>
      <c r="I87" s="62"/>
      <c r="J87" s="64"/>
      <c r="K87" s="63"/>
      <c r="L87" s="63"/>
      <c r="M87" s="63"/>
      <c r="N87" s="62"/>
      <c r="O87" s="62"/>
      <c r="P87" s="62"/>
    </row>
    <row r="88" spans="1:16" ht="33.75">
      <c r="A88" s="55" t="s">
        <v>220</v>
      </c>
      <c r="B88" s="59"/>
      <c r="C88" s="59"/>
      <c r="D88" s="62"/>
      <c r="E88" s="62">
        <v>380000</v>
      </c>
      <c r="F88" s="62">
        <f>E88</f>
        <v>380000</v>
      </c>
      <c r="G88" s="62"/>
      <c r="H88" s="62">
        <f>E88</f>
        <v>380000</v>
      </c>
      <c r="I88" s="62"/>
      <c r="J88" s="64">
        <f aca="true" t="shared" si="7" ref="J88:J94">H88</f>
        <v>380000</v>
      </c>
      <c r="K88" s="63"/>
      <c r="L88" s="63"/>
      <c r="M88" s="63"/>
      <c r="N88" s="62"/>
      <c r="O88" s="62">
        <f>H88</f>
        <v>380000</v>
      </c>
      <c r="P88" s="64">
        <f>O88</f>
        <v>380000</v>
      </c>
    </row>
    <row r="89" spans="1:16" ht="29.25" customHeight="1">
      <c r="A89" s="55" t="s">
        <v>221</v>
      </c>
      <c r="B89" s="59"/>
      <c r="C89" s="59"/>
      <c r="D89" s="62"/>
      <c r="E89" s="62">
        <v>76000</v>
      </c>
      <c r="F89" s="62">
        <f>E89</f>
        <v>76000</v>
      </c>
      <c r="G89" s="62"/>
      <c r="H89" s="62">
        <f>E89</f>
        <v>76000</v>
      </c>
      <c r="I89" s="62"/>
      <c r="J89" s="64">
        <f>H89</f>
        <v>76000</v>
      </c>
      <c r="K89" s="63"/>
      <c r="L89" s="63"/>
      <c r="M89" s="63"/>
      <c r="N89" s="62"/>
      <c r="O89" s="62">
        <f>H89</f>
        <v>76000</v>
      </c>
      <c r="P89" s="64">
        <f>O89</f>
        <v>76000</v>
      </c>
    </row>
    <row r="90" spans="1:235" s="113" customFormat="1" ht="12">
      <c r="A90" s="182" t="s">
        <v>5</v>
      </c>
      <c r="B90" s="110"/>
      <c r="C90" s="110"/>
      <c r="D90" s="114"/>
      <c r="E90" s="114"/>
      <c r="F90" s="114"/>
      <c r="G90" s="114"/>
      <c r="H90" s="114"/>
      <c r="I90" s="114"/>
      <c r="J90" s="183"/>
      <c r="K90" s="111"/>
      <c r="L90" s="111"/>
      <c r="M90" s="111"/>
      <c r="N90" s="114"/>
      <c r="O90" s="114"/>
      <c r="P90" s="114"/>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112"/>
      <c r="FF90" s="112"/>
      <c r="FG90" s="112"/>
      <c r="FH90" s="112"/>
      <c r="FI90" s="112"/>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2"/>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2"/>
      <c r="HL90" s="112"/>
      <c r="HM90" s="112"/>
      <c r="HN90" s="112"/>
      <c r="HO90" s="112"/>
      <c r="HP90" s="112"/>
      <c r="HQ90" s="112"/>
      <c r="HR90" s="112"/>
      <c r="HS90" s="112"/>
      <c r="HT90" s="112"/>
      <c r="HU90" s="112"/>
      <c r="HV90" s="112"/>
      <c r="HW90" s="112"/>
      <c r="HX90" s="112"/>
      <c r="HY90" s="112"/>
      <c r="HZ90" s="112"/>
      <c r="IA90" s="112"/>
    </row>
    <row r="91" spans="1:235" s="113" customFormat="1" ht="34.5" customHeight="1">
      <c r="A91" s="109" t="s">
        <v>222</v>
      </c>
      <c r="B91" s="110"/>
      <c r="C91" s="110"/>
      <c r="D91" s="114"/>
      <c r="E91" s="114">
        <f>65000+5294.5</f>
        <v>70294.5</v>
      </c>
      <c r="F91" s="114">
        <f>E91</f>
        <v>70294.5</v>
      </c>
      <c r="G91" s="114"/>
      <c r="H91" s="114">
        <v>109798.02</v>
      </c>
      <c r="I91" s="114"/>
      <c r="J91" s="183">
        <f t="shared" si="7"/>
        <v>109798.02</v>
      </c>
      <c r="K91" s="111"/>
      <c r="L91" s="111"/>
      <c r="M91" s="111"/>
      <c r="N91" s="114"/>
      <c r="O91" s="114">
        <v>171200</v>
      </c>
      <c r="P91" s="183">
        <f>O91</f>
        <v>171200</v>
      </c>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2"/>
      <c r="EH91" s="112"/>
      <c r="EI91" s="112"/>
      <c r="EJ91" s="112"/>
      <c r="EK91" s="112"/>
      <c r="EL91" s="112"/>
      <c r="EM91" s="112"/>
      <c r="EN91" s="112"/>
      <c r="EO91" s="112"/>
      <c r="EP91" s="112"/>
      <c r="EQ91" s="112"/>
      <c r="ER91" s="112"/>
      <c r="ES91" s="112"/>
      <c r="ET91" s="112"/>
      <c r="EU91" s="112"/>
      <c r="EV91" s="112"/>
      <c r="EW91" s="112"/>
      <c r="EX91" s="112"/>
      <c r="EY91" s="112"/>
      <c r="EZ91" s="112"/>
      <c r="FA91" s="112"/>
      <c r="FB91" s="112"/>
      <c r="FC91" s="112"/>
      <c r="FD91" s="112"/>
      <c r="FE91" s="112"/>
      <c r="FF91" s="112"/>
      <c r="FG91" s="112"/>
      <c r="FH91" s="112"/>
      <c r="FI91" s="112"/>
      <c r="FJ91" s="112"/>
      <c r="FK91" s="112"/>
      <c r="FL91" s="112"/>
      <c r="FM91" s="112"/>
      <c r="FN91" s="112"/>
      <c r="FO91" s="112"/>
      <c r="FP91" s="112"/>
      <c r="FQ91" s="112"/>
      <c r="FR91" s="112"/>
      <c r="FS91" s="112"/>
      <c r="FT91" s="112"/>
      <c r="FU91" s="112"/>
      <c r="FV91" s="112"/>
      <c r="FW91" s="112"/>
      <c r="FX91" s="112"/>
      <c r="FY91" s="112"/>
      <c r="FZ91" s="112"/>
      <c r="GA91" s="112"/>
      <c r="GB91" s="112"/>
      <c r="GC91" s="112"/>
      <c r="GD91" s="112"/>
      <c r="GE91" s="112"/>
      <c r="GF91" s="112"/>
      <c r="GG91" s="112"/>
      <c r="GH91" s="112"/>
      <c r="GI91" s="112"/>
      <c r="GJ91" s="112"/>
      <c r="GK91" s="112"/>
      <c r="GL91" s="112"/>
      <c r="GM91" s="112"/>
      <c r="GN91" s="112"/>
      <c r="GO91" s="112"/>
      <c r="GP91" s="112"/>
      <c r="GQ91" s="112"/>
      <c r="GR91" s="112"/>
      <c r="GS91" s="112"/>
      <c r="GT91" s="112"/>
      <c r="GU91" s="112"/>
      <c r="GV91" s="112"/>
      <c r="GW91" s="112"/>
      <c r="GX91" s="112"/>
      <c r="GY91" s="112"/>
      <c r="GZ91" s="112"/>
      <c r="HA91" s="112"/>
      <c r="HB91" s="112"/>
      <c r="HC91" s="112"/>
      <c r="HD91" s="112"/>
      <c r="HE91" s="112"/>
      <c r="HF91" s="112"/>
      <c r="HG91" s="112"/>
      <c r="HH91" s="112"/>
      <c r="HI91" s="112"/>
      <c r="HJ91" s="112"/>
      <c r="HK91" s="112"/>
      <c r="HL91" s="112"/>
      <c r="HM91" s="112"/>
      <c r="HN91" s="112"/>
      <c r="HO91" s="112"/>
      <c r="HP91" s="112"/>
      <c r="HQ91" s="112"/>
      <c r="HR91" s="112"/>
      <c r="HS91" s="112"/>
      <c r="HT91" s="112"/>
      <c r="HU91" s="112"/>
      <c r="HV91" s="112"/>
      <c r="HW91" s="112"/>
      <c r="HX91" s="112"/>
      <c r="HY91" s="112"/>
      <c r="HZ91" s="112"/>
      <c r="IA91" s="112"/>
    </row>
    <row r="92" spans="1:235" s="113" customFormat="1" ht="26.25" customHeight="1">
      <c r="A92" s="109" t="s">
        <v>223</v>
      </c>
      <c r="B92" s="110"/>
      <c r="C92" s="110"/>
      <c r="D92" s="114"/>
      <c r="E92" s="114">
        <v>10750</v>
      </c>
      <c r="F92" s="114">
        <f>E92</f>
        <v>10750</v>
      </c>
      <c r="G92" s="114"/>
      <c r="H92" s="114">
        <v>16344.85</v>
      </c>
      <c r="I92" s="114"/>
      <c r="J92" s="183">
        <f>H92</f>
        <v>16344.85</v>
      </c>
      <c r="K92" s="111"/>
      <c r="L92" s="111"/>
      <c r="M92" s="111"/>
      <c r="N92" s="114"/>
      <c r="O92" s="114">
        <v>24000</v>
      </c>
      <c r="P92" s="183">
        <f>O92</f>
        <v>24000</v>
      </c>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2"/>
      <c r="CT92" s="112"/>
      <c r="CU92" s="112"/>
      <c r="CV92" s="112"/>
      <c r="CW92" s="112"/>
      <c r="CX92" s="112"/>
      <c r="CY92" s="112"/>
      <c r="CZ92" s="112"/>
      <c r="DA92" s="112"/>
      <c r="DB92" s="112"/>
      <c r="DC92" s="112"/>
      <c r="DD92" s="112"/>
      <c r="DE92" s="112"/>
      <c r="DF92" s="112"/>
      <c r="DG92" s="112"/>
      <c r="DH92" s="112"/>
      <c r="DI92" s="112"/>
      <c r="DJ92" s="112"/>
      <c r="DK92" s="112"/>
      <c r="DL92" s="112"/>
      <c r="DM92" s="112"/>
      <c r="DN92" s="112"/>
      <c r="DO92" s="112"/>
      <c r="DP92" s="112"/>
      <c r="DQ92" s="112"/>
      <c r="DR92" s="112"/>
      <c r="DS92" s="112"/>
      <c r="DT92" s="112"/>
      <c r="DU92" s="112"/>
      <c r="DV92" s="112"/>
      <c r="DW92" s="112"/>
      <c r="DX92" s="112"/>
      <c r="DY92" s="112"/>
      <c r="DZ92" s="112"/>
      <c r="EA92" s="112"/>
      <c r="EB92" s="112"/>
      <c r="EC92" s="112"/>
      <c r="ED92" s="112"/>
      <c r="EE92" s="112"/>
      <c r="EF92" s="112"/>
      <c r="EG92" s="112"/>
      <c r="EH92" s="112"/>
      <c r="EI92" s="112"/>
      <c r="EJ92" s="112"/>
      <c r="EK92" s="112"/>
      <c r="EL92" s="112"/>
      <c r="EM92" s="112"/>
      <c r="EN92" s="112"/>
      <c r="EO92" s="112"/>
      <c r="EP92" s="112"/>
      <c r="EQ92" s="112"/>
      <c r="ER92" s="112"/>
      <c r="ES92" s="112"/>
      <c r="ET92" s="112"/>
      <c r="EU92" s="112"/>
      <c r="EV92" s="112"/>
      <c r="EW92" s="112"/>
      <c r="EX92" s="112"/>
      <c r="EY92" s="112"/>
      <c r="EZ92" s="112"/>
      <c r="FA92" s="112"/>
      <c r="FB92" s="112"/>
      <c r="FC92" s="112"/>
      <c r="FD92" s="112"/>
      <c r="FE92" s="112"/>
      <c r="FF92" s="112"/>
      <c r="FG92" s="112"/>
      <c r="FH92" s="112"/>
      <c r="FI92" s="112"/>
      <c r="FJ92" s="112"/>
      <c r="FK92" s="112"/>
      <c r="FL92" s="112"/>
      <c r="FM92" s="112"/>
      <c r="FN92" s="112"/>
      <c r="FO92" s="112"/>
      <c r="FP92" s="112"/>
      <c r="FQ92" s="112"/>
      <c r="FR92" s="112"/>
      <c r="FS92" s="112"/>
      <c r="FT92" s="112"/>
      <c r="FU92" s="112"/>
      <c r="FV92" s="112"/>
      <c r="FW92" s="112"/>
      <c r="FX92" s="112"/>
      <c r="FY92" s="112"/>
      <c r="FZ92" s="112"/>
      <c r="GA92" s="112"/>
      <c r="GB92" s="112"/>
      <c r="GC92" s="112"/>
      <c r="GD92" s="112"/>
      <c r="GE92" s="112"/>
      <c r="GF92" s="112"/>
      <c r="GG92" s="112"/>
      <c r="GH92" s="112"/>
      <c r="GI92" s="112"/>
      <c r="GJ92" s="112"/>
      <c r="GK92" s="112"/>
      <c r="GL92" s="112"/>
      <c r="GM92" s="112"/>
      <c r="GN92" s="112"/>
      <c r="GO92" s="112"/>
      <c r="GP92" s="112"/>
      <c r="GQ92" s="112"/>
      <c r="GR92" s="112"/>
      <c r="GS92" s="112"/>
      <c r="GT92" s="112"/>
      <c r="GU92" s="112"/>
      <c r="GV92" s="112"/>
      <c r="GW92" s="112"/>
      <c r="GX92" s="112"/>
      <c r="GY92" s="112"/>
      <c r="GZ92" s="112"/>
      <c r="HA92" s="112"/>
      <c r="HB92" s="112"/>
      <c r="HC92" s="112"/>
      <c r="HD92" s="112"/>
      <c r="HE92" s="112"/>
      <c r="HF92" s="112"/>
      <c r="HG92" s="112"/>
      <c r="HH92" s="112"/>
      <c r="HI92" s="112"/>
      <c r="HJ92" s="112"/>
      <c r="HK92" s="112"/>
      <c r="HL92" s="112"/>
      <c r="HM92" s="112"/>
      <c r="HN92" s="112"/>
      <c r="HO92" s="112"/>
      <c r="HP92" s="112"/>
      <c r="HQ92" s="112"/>
      <c r="HR92" s="112"/>
      <c r="HS92" s="112"/>
      <c r="HT92" s="112"/>
      <c r="HU92" s="112"/>
      <c r="HV92" s="112"/>
      <c r="HW92" s="112"/>
      <c r="HX92" s="112"/>
      <c r="HY92" s="112"/>
      <c r="HZ92" s="112"/>
      <c r="IA92" s="112"/>
    </row>
    <row r="93" spans="1:235" s="113" customFormat="1" ht="12">
      <c r="A93" s="182" t="s">
        <v>7</v>
      </c>
      <c r="B93" s="110"/>
      <c r="C93" s="110"/>
      <c r="D93" s="114"/>
      <c r="E93" s="114"/>
      <c r="F93" s="114"/>
      <c r="G93" s="114"/>
      <c r="H93" s="114"/>
      <c r="I93" s="114"/>
      <c r="J93" s="183"/>
      <c r="K93" s="111"/>
      <c r="L93" s="111"/>
      <c r="M93" s="111"/>
      <c r="N93" s="114"/>
      <c r="O93" s="114"/>
      <c r="P93" s="114"/>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2"/>
      <c r="EE93" s="112"/>
      <c r="EF93" s="112"/>
      <c r="EG93" s="112"/>
      <c r="EH93" s="112"/>
      <c r="EI93" s="112"/>
      <c r="EJ93" s="112"/>
      <c r="EK93" s="112"/>
      <c r="EL93" s="112"/>
      <c r="EM93" s="112"/>
      <c r="EN93" s="112"/>
      <c r="EO93" s="112"/>
      <c r="EP93" s="112"/>
      <c r="EQ93" s="112"/>
      <c r="ER93" s="112"/>
      <c r="ES93" s="112"/>
      <c r="ET93" s="112"/>
      <c r="EU93" s="112"/>
      <c r="EV93" s="112"/>
      <c r="EW93" s="112"/>
      <c r="EX93" s="112"/>
      <c r="EY93" s="112"/>
      <c r="EZ93" s="112"/>
      <c r="FA93" s="112"/>
      <c r="FB93" s="112"/>
      <c r="FC93" s="112"/>
      <c r="FD93" s="112"/>
      <c r="FE93" s="112"/>
      <c r="FF93" s="112"/>
      <c r="FG93" s="112"/>
      <c r="FH93" s="112"/>
      <c r="FI93" s="112"/>
      <c r="FJ93" s="112"/>
      <c r="FK93" s="112"/>
      <c r="FL93" s="112"/>
      <c r="FM93" s="112"/>
      <c r="FN93" s="112"/>
      <c r="FO93" s="112"/>
      <c r="FP93" s="112"/>
      <c r="FQ93" s="112"/>
      <c r="FR93" s="112"/>
      <c r="FS93" s="112"/>
      <c r="FT93" s="112"/>
      <c r="FU93" s="112"/>
      <c r="FV93" s="112"/>
      <c r="FW93" s="112"/>
      <c r="FX93" s="112"/>
      <c r="FY93" s="112"/>
      <c r="FZ93" s="112"/>
      <c r="GA93" s="112"/>
      <c r="GB93" s="112"/>
      <c r="GC93" s="112"/>
      <c r="GD93" s="112"/>
      <c r="GE93" s="112"/>
      <c r="GF93" s="112"/>
      <c r="GG93" s="112"/>
      <c r="GH93" s="112"/>
      <c r="GI93" s="112"/>
      <c r="GJ93" s="112"/>
      <c r="GK93" s="112"/>
      <c r="GL93" s="112"/>
      <c r="GM93" s="112"/>
      <c r="GN93" s="112"/>
      <c r="GO93" s="112"/>
      <c r="GP93" s="112"/>
      <c r="GQ93" s="112"/>
      <c r="GR93" s="112"/>
      <c r="GS93" s="112"/>
      <c r="GT93" s="112"/>
      <c r="GU93" s="112"/>
      <c r="GV93" s="112"/>
      <c r="GW93" s="112"/>
      <c r="GX93" s="112"/>
      <c r="GY93" s="112"/>
      <c r="GZ93" s="112"/>
      <c r="HA93" s="112"/>
      <c r="HB93" s="112"/>
      <c r="HC93" s="112"/>
      <c r="HD93" s="112"/>
      <c r="HE93" s="112"/>
      <c r="HF93" s="112"/>
      <c r="HG93" s="112"/>
      <c r="HH93" s="112"/>
      <c r="HI93" s="112"/>
      <c r="HJ93" s="112"/>
      <c r="HK93" s="112"/>
      <c r="HL93" s="112"/>
      <c r="HM93" s="112"/>
      <c r="HN93" s="112"/>
      <c r="HO93" s="112"/>
      <c r="HP93" s="112"/>
      <c r="HQ93" s="112"/>
      <c r="HR93" s="112"/>
      <c r="HS93" s="112"/>
      <c r="HT93" s="112"/>
      <c r="HU93" s="112"/>
      <c r="HV93" s="112"/>
      <c r="HW93" s="112"/>
      <c r="HX93" s="112"/>
      <c r="HY93" s="112"/>
      <c r="HZ93" s="112"/>
      <c r="IA93" s="112"/>
    </row>
    <row r="94" spans="1:235" s="113" customFormat="1" ht="22.5" customHeight="1">
      <c r="A94" s="109" t="s">
        <v>226</v>
      </c>
      <c r="B94" s="110"/>
      <c r="C94" s="110"/>
      <c r="D94" s="114"/>
      <c r="E94" s="114">
        <v>400</v>
      </c>
      <c r="F94" s="114">
        <f>E94</f>
        <v>400</v>
      </c>
      <c r="G94" s="114"/>
      <c r="H94" s="114">
        <v>450</v>
      </c>
      <c r="I94" s="114"/>
      <c r="J94" s="183">
        <f t="shared" si="7"/>
        <v>450</v>
      </c>
      <c r="K94" s="111"/>
      <c r="L94" s="111"/>
      <c r="M94" s="111"/>
      <c r="N94" s="114"/>
      <c r="O94" s="114">
        <v>500</v>
      </c>
      <c r="P94" s="183">
        <v>500</v>
      </c>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c r="EJ94" s="112"/>
      <c r="EK94" s="112"/>
      <c r="EL94" s="112"/>
      <c r="EM94" s="112"/>
      <c r="EN94" s="112"/>
      <c r="EO94" s="112"/>
      <c r="EP94" s="112"/>
      <c r="EQ94" s="112"/>
      <c r="ER94" s="112"/>
      <c r="ES94" s="112"/>
      <c r="ET94" s="112"/>
      <c r="EU94" s="112"/>
      <c r="EV94" s="112"/>
      <c r="EW94" s="112"/>
      <c r="EX94" s="112"/>
      <c r="EY94" s="112"/>
      <c r="EZ94" s="112"/>
      <c r="FA94" s="112"/>
      <c r="FB94" s="112"/>
      <c r="FC94" s="112"/>
      <c r="FD94" s="112"/>
      <c r="FE94" s="112"/>
      <c r="FF94" s="112"/>
      <c r="FG94" s="112"/>
      <c r="FH94" s="112"/>
      <c r="FI94" s="112"/>
      <c r="FJ94" s="112"/>
      <c r="FK94" s="112"/>
      <c r="FL94" s="112"/>
      <c r="FM94" s="112"/>
      <c r="FN94" s="112"/>
      <c r="FO94" s="112"/>
      <c r="FP94" s="112"/>
      <c r="FQ94" s="112"/>
      <c r="FR94" s="112"/>
      <c r="FS94" s="112"/>
      <c r="FT94" s="112"/>
      <c r="FU94" s="112"/>
      <c r="FV94" s="112"/>
      <c r="FW94" s="112"/>
      <c r="FX94" s="112"/>
      <c r="FY94" s="112"/>
      <c r="FZ94" s="112"/>
      <c r="GA94" s="112"/>
      <c r="GB94" s="112"/>
      <c r="GC94" s="112"/>
      <c r="GD94" s="112"/>
      <c r="GE94" s="112"/>
      <c r="GF94" s="112"/>
      <c r="GG94" s="112"/>
      <c r="GH94" s="112"/>
      <c r="GI94" s="112"/>
      <c r="GJ94" s="112"/>
      <c r="GK94" s="112"/>
      <c r="GL94" s="112"/>
      <c r="GM94" s="112"/>
      <c r="GN94" s="112"/>
      <c r="GO94" s="112"/>
      <c r="GP94" s="112"/>
      <c r="GQ94" s="112"/>
      <c r="GR94" s="112"/>
      <c r="GS94" s="112"/>
      <c r="GT94" s="112"/>
      <c r="GU94" s="112"/>
      <c r="GV94" s="112"/>
      <c r="GW94" s="112"/>
      <c r="GX94" s="112"/>
      <c r="GY94" s="112"/>
      <c r="GZ94" s="112"/>
      <c r="HA94" s="112"/>
      <c r="HB94" s="112"/>
      <c r="HC94" s="112"/>
      <c r="HD94" s="112"/>
      <c r="HE94" s="112"/>
      <c r="HF94" s="112"/>
      <c r="HG94" s="112"/>
      <c r="HH94" s="112"/>
      <c r="HI94" s="112"/>
      <c r="HJ94" s="112"/>
      <c r="HK94" s="112"/>
      <c r="HL94" s="112"/>
      <c r="HM94" s="112"/>
      <c r="HN94" s="112"/>
      <c r="HO94" s="112"/>
      <c r="HP94" s="112"/>
      <c r="HQ94" s="112"/>
      <c r="HR94" s="112"/>
      <c r="HS94" s="112"/>
      <c r="HT94" s="112"/>
      <c r="HU94" s="112"/>
      <c r="HV94" s="112"/>
      <c r="HW94" s="112"/>
      <c r="HX94" s="112"/>
      <c r="HY94" s="112"/>
      <c r="HZ94" s="112"/>
      <c r="IA94" s="112"/>
    </row>
    <row r="95" spans="1:235" s="113" customFormat="1" ht="22.5" customHeight="1">
      <c r="A95" s="109" t="s">
        <v>227</v>
      </c>
      <c r="B95" s="110"/>
      <c r="C95" s="110"/>
      <c r="D95" s="114"/>
      <c r="E95" s="114">
        <v>400</v>
      </c>
      <c r="F95" s="114">
        <f>E95</f>
        <v>400</v>
      </c>
      <c r="G95" s="114"/>
      <c r="H95" s="114">
        <v>450</v>
      </c>
      <c r="I95" s="114"/>
      <c r="J95" s="183">
        <f>H95</f>
        <v>450</v>
      </c>
      <c r="K95" s="111"/>
      <c r="L95" s="111"/>
      <c r="M95" s="111"/>
      <c r="N95" s="114"/>
      <c r="O95" s="114">
        <v>500</v>
      </c>
      <c r="P95" s="183">
        <f>O95</f>
        <v>500</v>
      </c>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c r="EH95" s="112"/>
      <c r="EI95" s="112"/>
      <c r="EJ95" s="112"/>
      <c r="EK95" s="112"/>
      <c r="EL95" s="112"/>
      <c r="EM95" s="112"/>
      <c r="EN95" s="112"/>
      <c r="EO95" s="112"/>
      <c r="EP95" s="112"/>
      <c r="EQ95" s="112"/>
      <c r="ER95" s="112"/>
      <c r="ES95" s="112"/>
      <c r="ET95" s="112"/>
      <c r="EU95" s="112"/>
      <c r="EV95" s="112"/>
      <c r="EW95" s="112"/>
      <c r="EX95" s="112"/>
      <c r="EY95" s="112"/>
      <c r="EZ95" s="112"/>
      <c r="FA95" s="112"/>
      <c r="FB95" s="112"/>
      <c r="FC95" s="112"/>
      <c r="FD95" s="112"/>
      <c r="FE95" s="112"/>
      <c r="FF95" s="112"/>
      <c r="FG95" s="112"/>
      <c r="FH95" s="112"/>
      <c r="FI95" s="112"/>
      <c r="FJ95" s="112"/>
      <c r="FK95" s="112"/>
      <c r="FL95" s="112"/>
      <c r="FM95" s="112"/>
      <c r="FN95" s="112"/>
      <c r="FO95" s="112"/>
      <c r="FP95" s="112"/>
      <c r="FQ95" s="112"/>
      <c r="FR95" s="112"/>
      <c r="FS95" s="112"/>
      <c r="FT95" s="112"/>
      <c r="FU95" s="112"/>
      <c r="FV95" s="112"/>
      <c r="FW95" s="112"/>
      <c r="FX95" s="112"/>
      <c r="FY95" s="112"/>
      <c r="FZ95" s="112"/>
      <c r="GA95" s="112"/>
      <c r="GB95" s="112"/>
      <c r="GC95" s="112"/>
      <c r="GD95" s="112"/>
      <c r="GE95" s="112"/>
      <c r="GF95" s="112"/>
      <c r="GG95" s="112"/>
      <c r="GH95" s="112"/>
      <c r="GI95" s="112"/>
      <c r="GJ95" s="112"/>
      <c r="GK95" s="112"/>
      <c r="GL95" s="112"/>
      <c r="GM95" s="112"/>
      <c r="GN95" s="112"/>
      <c r="GO95" s="112"/>
      <c r="GP95" s="112"/>
      <c r="GQ95" s="112"/>
      <c r="GR95" s="112"/>
      <c r="GS95" s="112"/>
      <c r="GT95" s="112"/>
      <c r="GU95" s="112"/>
      <c r="GV95" s="112"/>
      <c r="GW95" s="112"/>
      <c r="GX95" s="112"/>
      <c r="GY95" s="112"/>
      <c r="GZ95" s="112"/>
      <c r="HA95" s="112"/>
      <c r="HB95" s="112"/>
      <c r="HC95" s="112"/>
      <c r="HD95" s="112"/>
      <c r="HE95" s="112"/>
      <c r="HF95" s="112"/>
      <c r="HG95" s="112"/>
      <c r="HH95" s="112"/>
      <c r="HI95" s="112"/>
      <c r="HJ95" s="112"/>
      <c r="HK95" s="112"/>
      <c r="HL95" s="112"/>
      <c r="HM95" s="112"/>
      <c r="HN95" s="112"/>
      <c r="HO95" s="112"/>
      <c r="HP95" s="112"/>
      <c r="HQ95" s="112"/>
      <c r="HR95" s="112"/>
      <c r="HS95" s="112"/>
      <c r="HT95" s="112"/>
      <c r="HU95" s="112"/>
      <c r="HV95" s="112"/>
      <c r="HW95" s="112"/>
      <c r="HX95" s="112"/>
      <c r="HY95" s="112"/>
      <c r="HZ95" s="112"/>
      <c r="IA95" s="112"/>
    </row>
    <row r="96" spans="1:235" s="113" customFormat="1" ht="12">
      <c r="A96" s="182" t="s">
        <v>6</v>
      </c>
      <c r="B96" s="110"/>
      <c r="C96" s="110"/>
      <c r="D96" s="114"/>
      <c r="E96" s="114"/>
      <c r="F96" s="114"/>
      <c r="G96" s="114"/>
      <c r="H96" s="114"/>
      <c r="I96" s="114"/>
      <c r="J96" s="183"/>
      <c r="K96" s="111"/>
      <c r="L96" s="111"/>
      <c r="M96" s="111"/>
      <c r="N96" s="114"/>
      <c r="O96" s="114"/>
      <c r="P96" s="114"/>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c r="DT96" s="112"/>
      <c r="DU96" s="112"/>
      <c r="DV96" s="112"/>
      <c r="DW96" s="112"/>
      <c r="DX96" s="112"/>
      <c r="DY96" s="112"/>
      <c r="DZ96" s="112"/>
      <c r="EA96" s="112"/>
      <c r="EB96" s="112"/>
      <c r="EC96" s="112"/>
      <c r="ED96" s="112"/>
      <c r="EE96" s="112"/>
      <c r="EF96" s="112"/>
      <c r="EG96" s="112"/>
      <c r="EH96" s="112"/>
      <c r="EI96" s="112"/>
      <c r="EJ96" s="112"/>
      <c r="EK96" s="112"/>
      <c r="EL96" s="112"/>
      <c r="EM96" s="112"/>
      <c r="EN96" s="112"/>
      <c r="EO96" s="112"/>
      <c r="EP96" s="112"/>
      <c r="EQ96" s="112"/>
      <c r="ER96" s="112"/>
      <c r="ES96" s="112"/>
      <c r="ET96" s="112"/>
      <c r="EU96" s="112"/>
      <c r="EV96" s="112"/>
      <c r="EW96" s="112"/>
      <c r="EX96" s="112"/>
      <c r="EY96" s="112"/>
      <c r="EZ96" s="112"/>
      <c r="FA96" s="112"/>
      <c r="FB96" s="112"/>
      <c r="FC96" s="112"/>
      <c r="FD96" s="112"/>
      <c r="FE96" s="112"/>
      <c r="FF96" s="112"/>
      <c r="FG96" s="112"/>
      <c r="FH96" s="112"/>
      <c r="FI96" s="112"/>
      <c r="FJ96" s="112"/>
      <c r="FK96" s="112"/>
      <c r="FL96" s="112"/>
      <c r="FM96" s="112"/>
      <c r="FN96" s="112"/>
      <c r="FO96" s="112"/>
      <c r="FP96" s="112"/>
      <c r="FQ96" s="112"/>
      <c r="FR96" s="112"/>
      <c r="FS96" s="112"/>
      <c r="FT96" s="112"/>
      <c r="FU96" s="112"/>
      <c r="FV96" s="112"/>
      <c r="FW96" s="112"/>
      <c r="FX96" s="112"/>
      <c r="FY96" s="112"/>
      <c r="FZ96" s="112"/>
      <c r="GA96" s="112"/>
      <c r="GB96" s="112"/>
      <c r="GC96" s="112"/>
      <c r="GD96" s="112"/>
      <c r="GE96" s="112"/>
      <c r="GF96" s="112"/>
      <c r="GG96" s="112"/>
      <c r="GH96" s="112"/>
      <c r="GI96" s="112"/>
      <c r="GJ96" s="112"/>
      <c r="GK96" s="112"/>
      <c r="GL96" s="112"/>
      <c r="GM96" s="112"/>
      <c r="GN96" s="112"/>
      <c r="GO96" s="112"/>
      <c r="GP96" s="112"/>
      <c r="GQ96" s="112"/>
      <c r="GR96" s="112"/>
      <c r="GS96" s="112"/>
      <c r="GT96" s="112"/>
      <c r="GU96" s="112"/>
      <c r="GV96" s="112"/>
      <c r="GW96" s="112"/>
      <c r="GX96" s="112"/>
      <c r="GY96" s="112"/>
      <c r="GZ96" s="112"/>
      <c r="HA96" s="112"/>
      <c r="HB96" s="112"/>
      <c r="HC96" s="112"/>
      <c r="HD96" s="112"/>
      <c r="HE96" s="112"/>
      <c r="HF96" s="112"/>
      <c r="HG96" s="112"/>
      <c r="HH96" s="112"/>
      <c r="HI96" s="112"/>
      <c r="HJ96" s="112"/>
      <c r="HK96" s="112"/>
      <c r="HL96" s="112"/>
      <c r="HM96" s="112"/>
      <c r="HN96" s="112"/>
      <c r="HO96" s="112"/>
      <c r="HP96" s="112"/>
      <c r="HQ96" s="112"/>
      <c r="HR96" s="112"/>
      <c r="HS96" s="112"/>
      <c r="HT96" s="112"/>
      <c r="HU96" s="112"/>
      <c r="HV96" s="112"/>
      <c r="HW96" s="112"/>
      <c r="HX96" s="112"/>
      <c r="HY96" s="112"/>
      <c r="HZ96" s="112"/>
      <c r="IA96" s="112"/>
    </row>
    <row r="97" spans="1:235" s="113" customFormat="1" ht="38.25" customHeight="1">
      <c r="A97" s="109" t="s">
        <v>224</v>
      </c>
      <c r="B97" s="110"/>
      <c r="C97" s="110"/>
      <c r="D97" s="114"/>
      <c r="E97" s="114">
        <f>E91/E88*100</f>
        <v>18.498552631578946</v>
      </c>
      <c r="F97" s="114">
        <f aca="true" t="shared" si="8" ref="F97:P97">F91/F88*100</f>
        <v>18.498552631578946</v>
      </c>
      <c r="G97" s="114"/>
      <c r="H97" s="114">
        <f t="shared" si="8"/>
        <v>28.894215789473687</v>
      </c>
      <c r="I97" s="114"/>
      <c r="J97" s="114">
        <f t="shared" si="8"/>
        <v>28.894215789473687</v>
      </c>
      <c r="K97" s="114" t="e">
        <f t="shared" si="8"/>
        <v>#DIV/0!</v>
      </c>
      <c r="L97" s="114" t="e">
        <f t="shared" si="8"/>
        <v>#DIV/0!</v>
      </c>
      <c r="M97" s="114" t="e">
        <f t="shared" si="8"/>
        <v>#DIV/0!</v>
      </c>
      <c r="N97" s="114"/>
      <c r="O97" s="114">
        <f t="shared" si="8"/>
        <v>45.05263157894737</v>
      </c>
      <c r="P97" s="114">
        <f t="shared" si="8"/>
        <v>45.05263157894737</v>
      </c>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112"/>
      <c r="DG97" s="112"/>
      <c r="DH97" s="112"/>
      <c r="DI97" s="112"/>
      <c r="DJ97" s="112"/>
      <c r="DK97" s="112"/>
      <c r="DL97" s="112"/>
      <c r="DM97" s="112"/>
      <c r="DN97" s="112"/>
      <c r="DO97" s="112"/>
      <c r="DP97" s="112"/>
      <c r="DQ97" s="112"/>
      <c r="DR97" s="112"/>
      <c r="DS97" s="112"/>
      <c r="DT97" s="112"/>
      <c r="DU97" s="112"/>
      <c r="DV97" s="112"/>
      <c r="DW97" s="112"/>
      <c r="DX97" s="112"/>
      <c r="DY97" s="112"/>
      <c r="DZ97" s="112"/>
      <c r="EA97" s="112"/>
      <c r="EB97" s="112"/>
      <c r="EC97" s="112"/>
      <c r="ED97" s="112"/>
      <c r="EE97" s="112"/>
      <c r="EF97" s="112"/>
      <c r="EG97" s="112"/>
      <c r="EH97" s="112"/>
      <c r="EI97" s="112"/>
      <c r="EJ97" s="112"/>
      <c r="EK97" s="112"/>
      <c r="EL97" s="112"/>
      <c r="EM97" s="112"/>
      <c r="EN97" s="112"/>
      <c r="EO97" s="112"/>
      <c r="EP97" s="112"/>
      <c r="EQ97" s="112"/>
      <c r="ER97" s="112"/>
      <c r="ES97" s="112"/>
      <c r="ET97" s="112"/>
      <c r="EU97" s="112"/>
      <c r="EV97" s="112"/>
      <c r="EW97" s="112"/>
      <c r="EX97" s="112"/>
      <c r="EY97" s="112"/>
      <c r="EZ97" s="112"/>
      <c r="FA97" s="112"/>
      <c r="FB97" s="112"/>
      <c r="FC97" s="112"/>
      <c r="FD97" s="112"/>
      <c r="FE97" s="112"/>
      <c r="FF97" s="112"/>
      <c r="FG97" s="112"/>
      <c r="FH97" s="112"/>
      <c r="FI97" s="112"/>
      <c r="FJ97" s="112"/>
      <c r="FK97" s="112"/>
      <c r="FL97" s="112"/>
      <c r="FM97" s="112"/>
      <c r="FN97" s="112"/>
      <c r="FO97" s="112"/>
      <c r="FP97" s="112"/>
      <c r="FQ97" s="112"/>
      <c r="FR97" s="112"/>
      <c r="FS97" s="112"/>
      <c r="FT97" s="112"/>
      <c r="FU97" s="112"/>
      <c r="FV97" s="112"/>
      <c r="FW97" s="112"/>
      <c r="FX97" s="112"/>
      <c r="FY97" s="112"/>
      <c r="FZ97" s="112"/>
      <c r="GA97" s="112"/>
      <c r="GB97" s="112"/>
      <c r="GC97" s="112"/>
      <c r="GD97" s="112"/>
      <c r="GE97" s="112"/>
      <c r="GF97" s="112"/>
      <c r="GG97" s="112"/>
      <c r="GH97" s="112"/>
      <c r="GI97" s="112"/>
      <c r="GJ97" s="112"/>
      <c r="GK97" s="112"/>
      <c r="GL97" s="112"/>
      <c r="GM97" s="112"/>
      <c r="GN97" s="112"/>
      <c r="GO97" s="112"/>
      <c r="GP97" s="112"/>
      <c r="GQ97" s="112"/>
      <c r="GR97" s="112"/>
      <c r="GS97" s="112"/>
      <c r="GT97" s="112"/>
      <c r="GU97" s="112"/>
      <c r="GV97" s="112"/>
      <c r="GW97" s="112"/>
      <c r="GX97" s="112"/>
      <c r="GY97" s="112"/>
      <c r="GZ97" s="112"/>
      <c r="HA97" s="112"/>
      <c r="HB97" s="112"/>
      <c r="HC97" s="112"/>
      <c r="HD97" s="112"/>
      <c r="HE97" s="112"/>
      <c r="HF97" s="112"/>
      <c r="HG97" s="112"/>
      <c r="HH97" s="112"/>
      <c r="HI97" s="112"/>
      <c r="HJ97" s="112"/>
      <c r="HK97" s="112"/>
      <c r="HL97" s="112"/>
      <c r="HM97" s="112"/>
      <c r="HN97" s="112"/>
      <c r="HO97" s="112"/>
      <c r="HP97" s="112"/>
      <c r="HQ97" s="112"/>
      <c r="HR97" s="112"/>
      <c r="HS97" s="112"/>
      <c r="HT97" s="112"/>
      <c r="HU97" s="112"/>
      <c r="HV97" s="112"/>
      <c r="HW97" s="112"/>
      <c r="HX97" s="112"/>
      <c r="HY97" s="112"/>
      <c r="HZ97" s="112"/>
      <c r="IA97" s="112"/>
    </row>
    <row r="98" spans="1:16" ht="38.25" customHeight="1">
      <c r="A98" s="55" t="s">
        <v>225</v>
      </c>
      <c r="B98" s="59"/>
      <c r="C98" s="59"/>
      <c r="D98" s="62"/>
      <c r="E98" s="62">
        <f>E92/E89*100</f>
        <v>14.144736842105262</v>
      </c>
      <c r="F98" s="62">
        <f aca="true" t="shared" si="9" ref="F98:P98">F92/F89*100</f>
        <v>14.144736842105262</v>
      </c>
      <c r="G98" s="62"/>
      <c r="H98" s="62">
        <f t="shared" si="9"/>
        <v>21.50638157894737</v>
      </c>
      <c r="I98" s="62"/>
      <c r="J98" s="62">
        <f t="shared" si="9"/>
        <v>21.50638157894737</v>
      </c>
      <c r="K98" s="62" t="e">
        <f t="shared" si="9"/>
        <v>#DIV/0!</v>
      </c>
      <c r="L98" s="62" t="e">
        <f t="shared" si="9"/>
        <v>#DIV/0!</v>
      </c>
      <c r="M98" s="62" t="e">
        <f t="shared" si="9"/>
        <v>#DIV/0!</v>
      </c>
      <c r="N98" s="62"/>
      <c r="O98" s="62">
        <f t="shared" si="9"/>
        <v>31.57894736842105</v>
      </c>
      <c r="P98" s="62">
        <f t="shared" si="9"/>
        <v>31.57894736842105</v>
      </c>
    </row>
    <row r="99" spans="1:235" s="92" customFormat="1" ht="33.75">
      <c r="A99" s="82" t="s">
        <v>344</v>
      </c>
      <c r="B99" s="88"/>
      <c r="C99" s="88"/>
      <c r="D99" s="89">
        <f>D101</f>
        <v>37000</v>
      </c>
      <c r="E99" s="89"/>
      <c r="F99" s="89">
        <f>D99</f>
        <v>37000</v>
      </c>
      <c r="G99" s="89">
        <f>G101</f>
        <v>200000</v>
      </c>
      <c r="H99" s="89"/>
      <c r="I99" s="89"/>
      <c r="J99" s="89">
        <f>G99</f>
        <v>200000</v>
      </c>
      <c r="K99" s="89"/>
      <c r="L99" s="89"/>
      <c r="M99" s="89"/>
      <c r="N99" s="89">
        <f>N105*N103</f>
        <v>110000</v>
      </c>
      <c r="O99" s="89"/>
      <c r="P99" s="89">
        <f>N99+O99</f>
        <v>110000</v>
      </c>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c r="EZ99" s="91"/>
      <c r="FA99" s="91"/>
      <c r="FB99" s="91"/>
      <c r="FC99" s="91"/>
      <c r="FD99" s="91"/>
      <c r="FE99" s="91"/>
      <c r="FF99" s="91"/>
      <c r="FG99" s="91"/>
      <c r="FH99" s="91"/>
      <c r="FI99" s="91"/>
      <c r="FJ99" s="91"/>
      <c r="FK99" s="91"/>
      <c r="FL99" s="91"/>
      <c r="FM99" s="91"/>
      <c r="FN99" s="91"/>
      <c r="FO99" s="91"/>
      <c r="FP99" s="91"/>
      <c r="FQ99" s="91"/>
      <c r="FR99" s="91"/>
      <c r="FS99" s="91"/>
      <c r="FT99" s="91"/>
      <c r="FU99" s="91"/>
      <c r="FV99" s="91"/>
      <c r="FW99" s="91"/>
      <c r="FX99" s="91"/>
      <c r="FY99" s="91"/>
      <c r="FZ99" s="91"/>
      <c r="GA99" s="91"/>
      <c r="GB99" s="91"/>
      <c r="GC99" s="91"/>
      <c r="GD99" s="91"/>
      <c r="GE99" s="91"/>
      <c r="GF99" s="91"/>
      <c r="GG99" s="91"/>
      <c r="GH99" s="91"/>
      <c r="GI99" s="91"/>
      <c r="GJ99" s="91"/>
      <c r="GK99" s="91"/>
      <c r="GL99" s="91"/>
      <c r="GM99" s="91"/>
      <c r="GN99" s="91"/>
      <c r="GO99" s="91"/>
      <c r="GP99" s="91"/>
      <c r="GQ99" s="91"/>
      <c r="GR99" s="91"/>
      <c r="GS99" s="91"/>
      <c r="GT99" s="91"/>
      <c r="GU99" s="91"/>
      <c r="GV99" s="91"/>
      <c r="GW99" s="91"/>
      <c r="GX99" s="91"/>
      <c r="GY99" s="91"/>
      <c r="GZ99" s="91"/>
      <c r="HA99" s="91"/>
      <c r="HB99" s="91"/>
      <c r="HC99" s="91"/>
      <c r="HD99" s="91"/>
      <c r="HE99" s="91"/>
      <c r="HF99" s="91"/>
      <c r="HG99" s="91"/>
      <c r="HH99" s="91"/>
      <c r="HI99" s="91"/>
      <c r="HJ99" s="91"/>
      <c r="HK99" s="91"/>
      <c r="HL99" s="91"/>
      <c r="HM99" s="91"/>
      <c r="HN99" s="91"/>
      <c r="HO99" s="91"/>
      <c r="HP99" s="91"/>
      <c r="HQ99" s="91"/>
      <c r="HR99" s="91"/>
      <c r="HS99" s="91"/>
      <c r="HT99" s="91"/>
      <c r="HU99" s="91"/>
      <c r="HV99" s="91"/>
      <c r="HW99" s="91"/>
      <c r="HX99" s="91"/>
      <c r="HY99" s="91"/>
      <c r="HZ99" s="91"/>
      <c r="IA99" s="91"/>
    </row>
    <row r="100" spans="1:16" ht="11.25">
      <c r="A100" s="54" t="s">
        <v>4</v>
      </c>
      <c r="B100" s="59"/>
      <c r="C100" s="59"/>
      <c r="D100" s="62"/>
      <c r="E100" s="62"/>
      <c r="F100" s="62"/>
      <c r="G100" s="62"/>
      <c r="H100" s="62"/>
      <c r="I100" s="62"/>
      <c r="J100" s="62"/>
      <c r="K100" s="62"/>
      <c r="L100" s="62"/>
      <c r="M100" s="62"/>
      <c r="N100" s="62"/>
      <c r="O100" s="62"/>
      <c r="P100" s="62"/>
    </row>
    <row r="101" spans="1:16" ht="27" customHeight="1">
      <c r="A101" s="55" t="s">
        <v>249</v>
      </c>
      <c r="B101" s="59"/>
      <c r="C101" s="59"/>
      <c r="D101" s="14">
        <v>37000</v>
      </c>
      <c r="E101" s="62"/>
      <c r="F101" s="62">
        <f>D101</f>
        <v>37000</v>
      </c>
      <c r="G101" s="14">
        <v>200000</v>
      </c>
      <c r="H101" s="62"/>
      <c r="I101" s="62"/>
      <c r="J101" s="62">
        <f>G101</f>
        <v>200000</v>
      </c>
      <c r="K101" s="62"/>
      <c r="L101" s="62"/>
      <c r="M101" s="62"/>
      <c r="N101" s="62">
        <v>110000</v>
      </c>
      <c r="O101" s="62"/>
      <c r="P101" s="62">
        <f>N101+O101</f>
        <v>110000</v>
      </c>
    </row>
    <row r="102" spans="1:16" ht="11.25">
      <c r="A102" s="54" t="s">
        <v>5</v>
      </c>
      <c r="B102" s="59"/>
      <c r="C102" s="59"/>
      <c r="D102" s="62"/>
      <c r="E102" s="62"/>
      <c r="F102" s="62"/>
      <c r="G102" s="62"/>
      <c r="H102" s="62"/>
      <c r="I102" s="62"/>
      <c r="J102" s="62"/>
      <c r="K102" s="62"/>
      <c r="L102" s="62"/>
      <c r="M102" s="62"/>
      <c r="N102" s="62"/>
      <c r="O102" s="62"/>
      <c r="P102" s="62"/>
    </row>
    <row r="103" spans="1:16" ht="25.5" customHeight="1">
      <c r="A103" s="55" t="s">
        <v>250</v>
      </c>
      <c r="B103" s="59"/>
      <c r="C103" s="59"/>
      <c r="D103" s="62">
        <v>1</v>
      </c>
      <c r="E103" s="62"/>
      <c r="F103" s="62">
        <f>D103</f>
        <v>1</v>
      </c>
      <c r="G103" s="62">
        <v>3</v>
      </c>
      <c r="H103" s="62"/>
      <c r="I103" s="62"/>
      <c r="J103" s="62">
        <f>G103</f>
        <v>3</v>
      </c>
      <c r="K103" s="62"/>
      <c r="L103" s="62"/>
      <c r="M103" s="62"/>
      <c r="N103" s="62">
        <v>2</v>
      </c>
      <c r="O103" s="62"/>
      <c r="P103" s="62">
        <f>N103+O103</f>
        <v>2</v>
      </c>
    </row>
    <row r="104" spans="1:16" ht="11.25">
      <c r="A104" s="54" t="s">
        <v>7</v>
      </c>
      <c r="B104" s="59"/>
      <c r="C104" s="59"/>
      <c r="D104" s="62"/>
      <c r="E104" s="62"/>
      <c r="F104" s="62"/>
      <c r="G104" s="62"/>
      <c r="H104" s="62"/>
      <c r="I104" s="62"/>
      <c r="J104" s="62"/>
      <c r="K104" s="62"/>
      <c r="L104" s="62"/>
      <c r="M104" s="62"/>
      <c r="N104" s="62"/>
      <c r="O104" s="62"/>
      <c r="P104" s="62"/>
    </row>
    <row r="105" spans="1:16" ht="23.25" customHeight="1">
      <c r="A105" s="55" t="s">
        <v>251</v>
      </c>
      <c r="B105" s="59"/>
      <c r="C105" s="59"/>
      <c r="D105" s="62">
        <f>D101/D103</f>
        <v>37000</v>
      </c>
      <c r="E105" s="62"/>
      <c r="F105" s="62">
        <f>D105</f>
        <v>37000</v>
      </c>
      <c r="G105" s="62">
        <f>G101/G103</f>
        <v>66666.66666666667</v>
      </c>
      <c r="H105" s="62"/>
      <c r="I105" s="62"/>
      <c r="J105" s="62">
        <f>G105</f>
        <v>66666.66666666667</v>
      </c>
      <c r="K105" s="62"/>
      <c r="L105" s="62"/>
      <c r="M105" s="62"/>
      <c r="N105" s="62">
        <f>N101/N103</f>
        <v>55000</v>
      </c>
      <c r="O105" s="62"/>
      <c r="P105" s="62">
        <f>N105+O105</f>
        <v>55000</v>
      </c>
    </row>
    <row r="106" spans="1:235" s="92" customFormat="1" ht="31.5" customHeight="1">
      <c r="A106" s="82" t="s">
        <v>345</v>
      </c>
      <c r="B106" s="88"/>
      <c r="C106" s="88"/>
      <c r="D106" s="89"/>
      <c r="E106" s="89">
        <f>E110*E112</f>
        <v>5000000</v>
      </c>
      <c r="F106" s="89">
        <f>E106</f>
        <v>5000000</v>
      </c>
      <c r="G106" s="89"/>
      <c r="H106" s="89">
        <f>H110*H112</f>
        <v>10000000</v>
      </c>
      <c r="I106" s="89"/>
      <c r="J106" s="89">
        <f>H106</f>
        <v>10000000</v>
      </c>
      <c r="K106" s="95"/>
      <c r="L106" s="95"/>
      <c r="M106" s="95"/>
      <c r="N106" s="89"/>
      <c r="O106" s="89">
        <f>O110*O112</f>
        <v>7200000</v>
      </c>
      <c r="P106" s="89">
        <f>O106</f>
        <v>7200000</v>
      </c>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1"/>
      <c r="FU106" s="91"/>
      <c r="FV106" s="91"/>
      <c r="FW106" s="91"/>
      <c r="FX106" s="91"/>
      <c r="FY106" s="91"/>
      <c r="FZ106" s="91"/>
      <c r="GA106" s="91"/>
      <c r="GB106" s="91"/>
      <c r="GC106" s="91"/>
      <c r="GD106" s="91"/>
      <c r="GE106" s="91"/>
      <c r="GF106" s="91"/>
      <c r="GG106" s="91"/>
      <c r="GH106" s="91"/>
      <c r="GI106" s="91"/>
      <c r="GJ106" s="91"/>
      <c r="GK106" s="91"/>
      <c r="GL106" s="91"/>
      <c r="GM106" s="91"/>
      <c r="GN106" s="91"/>
      <c r="GO106" s="91"/>
      <c r="GP106" s="91"/>
      <c r="GQ106" s="91"/>
      <c r="GR106" s="91"/>
      <c r="GS106" s="91"/>
      <c r="GT106" s="91"/>
      <c r="GU106" s="91"/>
      <c r="GV106" s="91"/>
      <c r="GW106" s="91"/>
      <c r="GX106" s="91"/>
      <c r="GY106" s="91"/>
      <c r="GZ106" s="91"/>
      <c r="HA106" s="91"/>
      <c r="HB106" s="91"/>
      <c r="HC106" s="91"/>
      <c r="HD106" s="91"/>
      <c r="HE106" s="91"/>
      <c r="HF106" s="91"/>
      <c r="HG106" s="91"/>
      <c r="HH106" s="91"/>
      <c r="HI106" s="91"/>
      <c r="HJ106" s="91"/>
      <c r="HK106" s="91"/>
      <c r="HL106" s="91"/>
      <c r="HM106" s="91"/>
      <c r="HN106" s="91"/>
      <c r="HO106" s="91"/>
      <c r="HP106" s="91"/>
      <c r="HQ106" s="91"/>
      <c r="HR106" s="91"/>
      <c r="HS106" s="91"/>
      <c r="HT106" s="91"/>
      <c r="HU106" s="91"/>
      <c r="HV106" s="91"/>
      <c r="HW106" s="91"/>
      <c r="HX106" s="91"/>
      <c r="HY106" s="91"/>
      <c r="HZ106" s="91"/>
      <c r="IA106" s="91"/>
    </row>
    <row r="107" spans="1:16" ht="12">
      <c r="A107" s="54" t="s">
        <v>4</v>
      </c>
      <c r="B107" s="59"/>
      <c r="C107" s="59"/>
      <c r="D107" s="62"/>
      <c r="E107" s="62"/>
      <c r="F107" s="62"/>
      <c r="G107" s="62"/>
      <c r="H107" s="62"/>
      <c r="I107" s="62"/>
      <c r="J107" s="64"/>
      <c r="K107" s="63"/>
      <c r="L107" s="63"/>
      <c r="M107" s="63"/>
      <c r="N107" s="62"/>
      <c r="O107" s="62"/>
      <c r="P107" s="62"/>
    </row>
    <row r="108" spans="1:16" ht="20.25" customHeight="1">
      <c r="A108" s="55" t="s">
        <v>99</v>
      </c>
      <c r="B108" s="59"/>
      <c r="C108" s="59"/>
      <c r="D108" s="62"/>
      <c r="E108" s="62">
        <v>5000000</v>
      </c>
      <c r="F108" s="64">
        <f>E108</f>
        <v>5000000</v>
      </c>
      <c r="G108" s="62"/>
      <c r="H108" s="62">
        <v>10000000</v>
      </c>
      <c r="I108" s="62"/>
      <c r="J108" s="64">
        <f>H108</f>
        <v>10000000</v>
      </c>
      <c r="K108" s="63"/>
      <c r="L108" s="63"/>
      <c r="M108" s="63"/>
      <c r="N108" s="62"/>
      <c r="O108" s="62">
        <v>7200000</v>
      </c>
      <c r="P108" s="64">
        <f>O108</f>
        <v>7200000</v>
      </c>
    </row>
    <row r="109" spans="1:16" ht="12">
      <c r="A109" s="54" t="s">
        <v>5</v>
      </c>
      <c r="B109" s="59"/>
      <c r="C109" s="59"/>
      <c r="D109" s="62"/>
      <c r="E109" s="62"/>
      <c r="F109" s="64"/>
      <c r="G109" s="62"/>
      <c r="H109" s="62"/>
      <c r="I109" s="62"/>
      <c r="J109" s="64"/>
      <c r="K109" s="63"/>
      <c r="L109" s="63"/>
      <c r="M109" s="63"/>
      <c r="N109" s="62"/>
      <c r="O109" s="62"/>
      <c r="P109" s="64"/>
    </row>
    <row r="110" spans="1:16" ht="21" customHeight="1">
      <c r="A110" s="55" t="s">
        <v>100</v>
      </c>
      <c r="B110" s="59"/>
      <c r="C110" s="59"/>
      <c r="D110" s="62"/>
      <c r="E110" s="62">
        <v>1</v>
      </c>
      <c r="F110" s="64">
        <f>E110</f>
        <v>1</v>
      </c>
      <c r="G110" s="62"/>
      <c r="H110" s="62">
        <v>2</v>
      </c>
      <c r="I110" s="62"/>
      <c r="J110" s="64">
        <v>2</v>
      </c>
      <c r="K110" s="63"/>
      <c r="L110" s="63"/>
      <c r="M110" s="63"/>
      <c r="N110" s="62"/>
      <c r="O110" s="62">
        <v>1</v>
      </c>
      <c r="P110" s="64">
        <f>O110</f>
        <v>1</v>
      </c>
    </row>
    <row r="111" spans="1:16" ht="12">
      <c r="A111" s="54" t="s">
        <v>7</v>
      </c>
      <c r="B111" s="59"/>
      <c r="C111" s="59"/>
      <c r="D111" s="62"/>
      <c r="E111" s="62"/>
      <c r="F111" s="64"/>
      <c r="G111" s="62"/>
      <c r="H111" s="62"/>
      <c r="I111" s="62"/>
      <c r="J111" s="64"/>
      <c r="K111" s="63"/>
      <c r="L111" s="63"/>
      <c r="M111" s="63"/>
      <c r="N111" s="62"/>
      <c r="O111" s="62"/>
      <c r="P111" s="64"/>
    </row>
    <row r="112" spans="1:16" ht="27" customHeight="1">
      <c r="A112" s="55" t="s">
        <v>101</v>
      </c>
      <c r="B112" s="59"/>
      <c r="C112" s="59"/>
      <c r="D112" s="62"/>
      <c r="E112" s="62">
        <f>E108/E110</f>
        <v>5000000</v>
      </c>
      <c r="F112" s="64">
        <f>E112</f>
        <v>5000000</v>
      </c>
      <c r="G112" s="62"/>
      <c r="H112" s="62">
        <f>H108/H110</f>
        <v>5000000</v>
      </c>
      <c r="I112" s="62"/>
      <c r="J112" s="64">
        <f>H112</f>
        <v>5000000</v>
      </c>
      <c r="K112" s="63"/>
      <c r="L112" s="63"/>
      <c r="M112" s="63"/>
      <c r="N112" s="62"/>
      <c r="O112" s="62">
        <f>O108/O110</f>
        <v>7200000</v>
      </c>
      <c r="P112" s="64">
        <f>P108/P110</f>
        <v>7200000</v>
      </c>
    </row>
    <row r="113" spans="1:235" s="92" customFormat="1" ht="48" customHeight="1">
      <c r="A113" s="82" t="s">
        <v>346</v>
      </c>
      <c r="B113" s="88"/>
      <c r="C113" s="88"/>
      <c r="D113" s="89">
        <f>(D121*D128)+(D122*D129)+(D123*D130)+(D124*D131)+(D125*D132)+(D133*D122*D134)</f>
        <v>2368300</v>
      </c>
      <c r="E113" s="89">
        <f aca="true" t="shared" si="10" ref="E113:O113">(E121*E128)+(E122*E129)+(E123*E130)+(E124*E131)+(E125*E132)+(E133*E122*E134)</f>
        <v>3200000</v>
      </c>
      <c r="F113" s="89">
        <f>D113+E113</f>
        <v>5568300</v>
      </c>
      <c r="G113" s="89">
        <f>(G121*G128)+(G122*G129)+(G123*G130)+(G124*G131)+(G125*G132)+(G133*G122*G134)</f>
        <v>2855639.7894428</v>
      </c>
      <c r="H113" s="89">
        <f t="shared" si="10"/>
        <v>1200000</v>
      </c>
      <c r="I113" s="89"/>
      <c r="J113" s="89">
        <f>G113+H113</f>
        <v>4055639.7894428</v>
      </c>
      <c r="K113" s="89">
        <f t="shared" si="10"/>
        <v>0</v>
      </c>
      <c r="L113" s="89">
        <f t="shared" si="10"/>
        <v>0</v>
      </c>
      <c r="M113" s="89">
        <f t="shared" si="10"/>
        <v>0</v>
      </c>
      <c r="N113" s="89">
        <f>(N121*N128)+(N122*N129)+(N123*N130)+(N124*N131)+(N125*N132)+(N133*N122*N134)+3000</f>
        <v>3387999.99998</v>
      </c>
      <c r="O113" s="89">
        <f t="shared" si="10"/>
        <v>2250000</v>
      </c>
      <c r="P113" s="89">
        <f>N113+O113</f>
        <v>5637999.99998</v>
      </c>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91"/>
      <c r="FV113" s="91"/>
      <c r="FW113" s="91"/>
      <c r="FX113" s="91"/>
      <c r="FY113" s="91"/>
      <c r="FZ113" s="91"/>
      <c r="GA113" s="91"/>
      <c r="GB113" s="91"/>
      <c r="GC113" s="91"/>
      <c r="GD113" s="91"/>
      <c r="GE113" s="91"/>
      <c r="GF113" s="91"/>
      <c r="GG113" s="91"/>
      <c r="GH113" s="91"/>
      <c r="GI113" s="91"/>
      <c r="GJ113" s="91"/>
      <c r="GK113" s="91"/>
      <c r="GL113" s="91"/>
      <c r="GM113" s="91"/>
      <c r="GN113" s="91"/>
      <c r="GO113" s="91"/>
      <c r="GP113" s="91"/>
      <c r="GQ113" s="91"/>
      <c r="GR113" s="91"/>
      <c r="GS113" s="91"/>
      <c r="GT113" s="91"/>
      <c r="GU113" s="91"/>
      <c r="GV113" s="91"/>
      <c r="GW113" s="91"/>
      <c r="GX113" s="91"/>
      <c r="GY113" s="91"/>
      <c r="GZ113" s="91"/>
      <c r="HA113" s="91"/>
      <c r="HB113" s="91"/>
      <c r="HC113" s="91"/>
      <c r="HD113" s="91"/>
      <c r="HE113" s="91"/>
      <c r="HF113" s="91"/>
      <c r="HG113" s="91"/>
      <c r="HH113" s="91"/>
      <c r="HI113" s="91"/>
      <c r="HJ113" s="91"/>
      <c r="HK113" s="91"/>
      <c r="HL113" s="91"/>
      <c r="HM113" s="91"/>
      <c r="HN113" s="91"/>
      <c r="HO113" s="91"/>
      <c r="HP113" s="91"/>
      <c r="HQ113" s="91"/>
      <c r="HR113" s="91"/>
      <c r="HS113" s="91"/>
      <c r="HT113" s="91"/>
      <c r="HU113" s="91"/>
      <c r="HV113" s="91"/>
      <c r="HW113" s="91"/>
      <c r="HX113" s="91"/>
      <c r="HY113" s="91"/>
      <c r="HZ113" s="91"/>
      <c r="IA113" s="91"/>
    </row>
    <row r="114" spans="1:235" s="50" customFormat="1" ht="12">
      <c r="A114" s="54" t="s">
        <v>4</v>
      </c>
      <c r="B114" s="61"/>
      <c r="C114" s="61"/>
      <c r="D114" s="62"/>
      <c r="E114" s="62"/>
      <c r="F114" s="62"/>
      <c r="G114" s="62"/>
      <c r="H114" s="62"/>
      <c r="I114" s="62"/>
      <c r="J114" s="62"/>
      <c r="K114" s="63"/>
      <c r="L114" s="63"/>
      <c r="M114" s="63"/>
      <c r="N114" s="62"/>
      <c r="O114" s="62"/>
      <c r="P114" s="62"/>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row>
    <row r="115" spans="1:235" s="50" customFormat="1" ht="12">
      <c r="A115" s="55" t="s">
        <v>102</v>
      </c>
      <c r="B115" s="59"/>
      <c r="C115" s="59"/>
      <c r="D115" s="62">
        <v>56</v>
      </c>
      <c r="E115" s="62"/>
      <c r="F115" s="62">
        <f>D115</f>
        <v>56</v>
      </c>
      <c r="G115" s="62">
        <v>42</v>
      </c>
      <c r="H115" s="62"/>
      <c r="I115" s="62"/>
      <c r="J115" s="62">
        <f>G115</f>
        <v>42</v>
      </c>
      <c r="K115" s="63"/>
      <c r="L115" s="63"/>
      <c r="M115" s="63"/>
      <c r="N115" s="62">
        <v>67</v>
      </c>
      <c r="O115" s="62"/>
      <c r="P115" s="62">
        <f>N115</f>
        <v>67</v>
      </c>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row>
    <row r="116" spans="1:235" s="50" customFormat="1" ht="12">
      <c r="A116" s="55" t="s">
        <v>8</v>
      </c>
      <c r="B116" s="59"/>
      <c r="C116" s="59"/>
      <c r="D116" s="62">
        <v>37000</v>
      </c>
      <c r="E116" s="62"/>
      <c r="F116" s="62">
        <f>D116</f>
        <v>37000</v>
      </c>
      <c r="G116" s="62">
        <v>37400</v>
      </c>
      <c r="H116" s="62"/>
      <c r="I116" s="62"/>
      <c r="J116" s="62">
        <f>G116</f>
        <v>37400</v>
      </c>
      <c r="K116" s="63"/>
      <c r="L116" s="63"/>
      <c r="M116" s="63"/>
      <c r="N116" s="62">
        <v>37400</v>
      </c>
      <c r="O116" s="62"/>
      <c r="P116" s="62">
        <f>N116</f>
        <v>37400</v>
      </c>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row>
    <row r="117" spans="1:235" s="50" customFormat="1" ht="33.75">
      <c r="A117" s="55" t="s">
        <v>108</v>
      </c>
      <c r="B117" s="59"/>
      <c r="C117" s="59"/>
      <c r="D117" s="62">
        <v>37400</v>
      </c>
      <c r="E117" s="62"/>
      <c r="F117" s="62">
        <v>37400</v>
      </c>
      <c r="G117" s="62">
        <v>37400</v>
      </c>
      <c r="H117" s="62"/>
      <c r="I117" s="62"/>
      <c r="J117" s="62">
        <v>37400</v>
      </c>
      <c r="K117" s="63"/>
      <c r="L117" s="63"/>
      <c r="M117" s="63"/>
      <c r="N117" s="62">
        <v>37400</v>
      </c>
      <c r="O117" s="62"/>
      <c r="P117" s="62">
        <v>37400</v>
      </c>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row>
    <row r="118" spans="1:235" s="52" customFormat="1" ht="22.5">
      <c r="A118" s="21" t="s">
        <v>72</v>
      </c>
      <c r="B118" s="7"/>
      <c r="C118" s="7"/>
      <c r="D118" s="14">
        <v>73500</v>
      </c>
      <c r="E118" s="14"/>
      <c r="F118" s="14">
        <f>D118</f>
        <v>73500</v>
      </c>
      <c r="G118" s="14">
        <v>81756</v>
      </c>
      <c r="H118" s="14"/>
      <c r="I118" s="14"/>
      <c r="J118" s="14">
        <f>G118</f>
        <v>81756</v>
      </c>
      <c r="K118" s="16"/>
      <c r="L118" s="16"/>
      <c r="M118" s="16"/>
      <c r="N118" s="14">
        <v>89932</v>
      </c>
      <c r="O118" s="14"/>
      <c r="P118" s="14">
        <f>N118</f>
        <v>89932</v>
      </c>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c r="EV118" s="51"/>
      <c r="EW118" s="51"/>
      <c r="EX118" s="51"/>
      <c r="EY118" s="51"/>
      <c r="EZ118" s="51"/>
      <c r="FA118" s="51"/>
      <c r="FB118" s="51"/>
      <c r="FC118" s="51"/>
      <c r="FD118" s="51"/>
      <c r="FE118" s="51"/>
      <c r="FF118" s="51"/>
      <c r="FG118" s="51"/>
      <c r="FH118" s="51"/>
      <c r="FI118" s="51"/>
      <c r="FJ118" s="51"/>
      <c r="FK118" s="51"/>
      <c r="FL118" s="51"/>
      <c r="FM118" s="51"/>
      <c r="FN118" s="51"/>
      <c r="FO118" s="51"/>
      <c r="FP118" s="51"/>
      <c r="FQ118" s="51"/>
      <c r="FR118" s="51"/>
      <c r="FS118" s="51"/>
      <c r="FT118" s="51"/>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1"/>
      <c r="GR118" s="51"/>
      <c r="GS118" s="51"/>
      <c r="GT118" s="51"/>
      <c r="GU118" s="51"/>
      <c r="GV118" s="51"/>
      <c r="GW118" s="51"/>
      <c r="GX118" s="51"/>
      <c r="GY118" s="51"/>
      <c r="GZ118" s="51"/>
      <c r="HA118" s="51"/>
      <c r="HB118" s="51"/>
      <c r="HC118" s="51"/>
      <c r="HD118" s="51"/>
      <c r="HE118" s="51"/>
      <c r="HF118" s="51"/>
      <c r="HG118" s="51"/>
      <c r="HH118" s="51"/>
      <c r="HI118" s="51"/>
      <c r="HJ118" s="51"/>
      <c r="HK118" s="51"/>
      <c r="HL118" s="51"/>
      <c r="HM118" s="51"/>
      <c r="HN118" s="51"/>
      <c r="HO118" s="51"/>
      <c r="HP118" s="51"/>
      <c r="HQ118" s="51"/>
      <c r="HR118" s="51"/>
      <c r="HS118" s="51"/>
      <c r="HT118" s="51"/>
      <c r="HU118" s="51"/>
      <c r="HV118" s="51"/>
      <c r="HW118" s="51"/>
      <c r="HX118" s="51"/>
      <c r="HY118" s="51"/>
      <c r="HZ118" s="51"/>
      <c r="IA118" s="51"/>
    </row>
    <row r="119" spans="1:241" s="49" customFormat="1" ht="12" customHeight="1">
      <c r="A119" s="54" t="s">
        <v>5</v>
      </c>
      <c r="B119" s="61"/>
      <c r="C119" s="61"/>
      <c r="D119" s="62"/>
      <c r="E119" s="62"/>
      <c r="F119" s="62"/>
      <c r="G119" s="62"/>
      <c r="H119" s="62"/>
      <c r="I119" s="62"/>
      <c r="J119" s="62"/>
      <c r="K119" s="63"/>
      <c r="L119" s="63"/>
      <c r="M119" s="63"/>
      <c r="N119" s="62"/>
      <c r="O119" s="62"/>
      <c r="P119" s="62"/>
      <c r="IB119" s="50"/>
      <c r="IC119" s="50"/>
      <c r="ID119" s="50"/>
      <c r="IE119" s="50"/>
      <c r="IF119" s="50"/>
      <c r="IG119" s="50"/>
    </row>
    <row r="120" spans="1:241" s="49" customFormat="1" ht="22.5">
      <c r="A120" s="55" t="s">
        <v>14</v>
      </c>
      <c r="B120" s="59"/>
      <c r="C120" s="59"/>
      <c r="D120" s="62"/>
      <c r="E120" s="62"/>
      <c r="F120" s="62">
        <f>D120</f>
        <v>0</v>
      </c>
      <c r="G120" s="62"/>
      <c r="H120" s="62"/>
      <c r="I120" s="62"/>
      <c r="J120" s="62">
        <f>G120</f>
        <v>0</v>
      </c>
      <c r="K120" s="63"/>
      <c r="L120" s="63"/>
      <c r="M120" s="63"/>
      <c r="N120" s="62"/>
      <c r="O120" s="62"/>
      <c r="P120" s="62">
        <f>N120</f>
        <v>0</v>
      </c>
      <c r="IB120" s="50"/>
      <c r="IC120" s="50"/>
      <c r="ID120" s="50"/>
      <c r="IE120" s="50"/>
      <c r="IF120" s="50"/>
      <c r="IG120" s="50"/>
    </row>
    <row r="121" spans="1:241" s="49" customFormat="1" ht="27.75" customHeight="1">
      <c r="A121" s="55" t="s">
        <v>103</v>
      </c>
      <c r="B121" s="59"/>
      <c r="C121" s="61"/>
      <c r="D121" s="62"/>
      <c r="E121" s="62">
        <v>8</v>
      </c>
      <c r="F121" s="62">
        <f>E121</f>
        <v>8</v>
      </c>
      <c r="G121" s="62"/>
      <c r="H121" s="62">
        <v>3</v>
      </c>
      <c r="I121" s="62"/>
      <c r="J121" s="62">
        <v>3</v>
      </c>
      <c r="K121" s="63"/>
      <c r="L121" s="63"/>
      <c r="M121" s="63"/>
      <c r="N121" s="62"/>
      <c r="O121" s="62">
        <v>5</v>
      </c>
      <c r="P121" s="62">
        <f>O121</f>
        <v>5</v>
      </c>
      <c r="IB121" s="50"/>
      <c r="IC121" s="50"/>
      <c r="ID121" s="50"/>
      <c r="IE121" s="50"/>
      <c r="IF121" s="50"/>
      <c r="IG121" s="50"/>
    </row>
    <row r="122" spans="1:241" s="49" customFormat="1" ht="27" customHeight="1">
      <c r="A122" s="55" t="s">
        <v>104</v>
      </c>
      <c r="B122" s="59"/>
      <c r="C122" s="61"/>
      <c r="D122" s="62">
        <v>56</v>
      </c>
      <c r="E122" s="62"/>
      <c r="F122" s="62">
        <f>D122</f>
        <v>56</v>
      </c>
      <c r="G122" s="62">
        <v>42</v>
      </c>
      <c r="H122" s="62"/>
      <c r="I122" s="62"/>
      <c r="J122" s="62">
        <f>G122</f>
        <v>42</v>
      </c>
      <c r="K122" s="63"/>
      <c r="L122" s="63"/>
      <c r="M122" s="63"/>
      <c r="N122" s="62">
        <v>67</v>
      </c>
      <c r="O122" s="62"/>
      <c r="P122" s="62">
        <f>N122</f>
        <v>67</v>
      </c>
      <c r="IB122" s="50"/>
      <c r="IC122" s="50"/>
      <c r="ID122" s="50"/>
      <c r="IE122" s="50"/>
      <c r="IF122" s="50"/>
      <c r="IG122" s="50"/>
    </row>
    <row r="123" spans="1:241" s="49" customFormat="1" ht="22.5">
      <c r="A123" s="55" t="s">
        <v>42</v>
      </c>
      <c r="B123" s="59"/>
      <c r="C123" s="61"/>
      <c r="D123" s="62">
        <v>300</v>
      </c>
      <c r="E123" s="62"/>
      <c r="F123" s="62">
        <f>D123</f>
        <v>300</v>
      </c>
      <c r="G123" s="62">
        <v>300</v>
      </c>
      <c r="H123" s="62"/>
      <c r="I123" s="62"/>
      <c r="J123" s="62">
        <f>G123</f>
        <v>300</v>
      </c>
      <c r="K123" s="63"/>
      <c r="L123" s="63"/>
      <c r="M123" s="63"/>
      <c r="N123" s="62">
        <v>300</v>
      </c>
      <c r="O123" s="62"/>
      <c r="P123" s="62">
        <v>300</v>
      </c>
      <c r="IB123" s="50"/>
      <c r="IC123" s="50"/>
      <c r="ID123" s="50"/>
      <c r="IE123" s="50"/>
      <c r="IF123" s="50"/>
      <c r="IG123" s="50"/>
    </row>
    <row r="124" spans="1:241" s="49" customFormat="1" ht="22.5">
      <c r="A124" s="55" t="s">
        <v>46</v>
      </c>
      <c r="B124" s="59"/>
      <c r="C124" s="61"/>
      <c r="D124" s="62">
        <v>300</v>
      </c>
      <c r="E124" s="62"/>
      <c r="F124" s="62">
        <f>D124</f>
        <v>300</v>
      </c>
      <c r="G124" s="62">
        <v>300</v>
      </c>
      <c r="H124" s="62"/>
      <c r="I124" s="62"/>
      <c r="J124" s="62">
        <v>300</v>
      </c>
      <c r="K124" s="63"/>
      <c r="L124" s="63"/>
      <c r="M124" s="63"/>
      <c r="N124" s="62">
        <v>300</v>
      </c>
      <c r="O124" s="62"/>
      <c r="P124" s="62">
        <f>N124</f>
        <v>300</v>
      </c>
      <c r="IB124" s="50"/>
      <c r="IC124" s="50"/>
      <c r="ID124" s="50"/>
      <c r="IE124" s="50"/>
      <c r="IF124" s="50"/>
      <c r="IG124" s="50"/>
    </row>
    <row r="125" spans="1:241" s="49" customFormat="1" ht="22.5">
      <c r="A125" s="55" t="s">
        <v>13</v>
      </c>
      <c r="B125" s="59"/>
      <c r="C125" s="61"/>
      <c r="D125" s="62">
        <v>37400</v>
      </c>
      <c r="E125" s="62"/>
      <c r="F125" s="62">
        <f aca="true" t="shared" si="11" ref="F125:F140">D125</f>
        <v>37400</v>
      </c>
      <c r="G125" s="62">
        <v>37400</v>
      </c>
      <c r="H125" s="62"/>
      <c r="I125" s="62"/>
      <c r="J125" s="62">
        <f>G125</f>
        <v>37400</v>
      </c>
      <c r="K125" s="63"/>
      <c r="L125" s="63"/>
      <c r="M125" s="63"/>
      <c r="N125" s="62">
        <v>37400</v>
      </c>
      <c r="O125" s="62"/>
      <c r="P125" s="62">
        <f>N125</f>
        <v>37400</v>
      </c>
      <c r="IB125" s="50"/>
      <c r="IC125" s="50"/>
      <c r="ID125" s="50"/>
      <c r="IE125" s="50"/>
      <c r="IF125" s="50"/>
      <c r="IG125" s="50"/>
    </row>
    <row r="126" spans="1:241" s="49" customFormat="1" ht="12">
      <c r="A126" s="54" t="s">
        <v>7</v>
      </c>
      <c r="B126" s="61"/>
      <c r="C126" s="61"/>
      <c r="D126" s="62"/>
      <c r="E126" s="62"/>
      <c r="F126" s="62">
        <f t="shared" si="11"/>
        <v>0</v>
      </c>
      <c r="G126" s="62"/>
      <c r="H126" s="62"/>
      <c r="I126" s="62"/>
      <c r="J126" s="62"/>
      <c r="K126" s="63"/>
      <c r="L126" s="63"/>
      <c r="M126" s="63"/>
      <c r="N126" s="62"/>
      <c r="O126" s="62"/>
      <c r="P126" s="62"/>
      <c r="IB126" s="50"/>
      <c r="IC126" s="50"/>
      <c r="ID126" s="50"/>
      <c r="IE126" s="50"/>
      <c r="IF126" s="50"/>
      <c r="IG126" s="50"/>
    </row>
    <row r="127" spans="1:241" s="49" customFormat="1" ht="22.5" customHeight="1">
      <c r="A127" s="55" t="s">
        <v>16</v>
      </c>
      <c r="B127" s="59"/>
      <c r="C127" s="59"/>
      <c r="D127" s="62"/>
      <c r="E127" s="62"/>
      <c r="F127" s="62">
        <f t="shared" si="11"/>
        <v>0</v>
      </c>
      <c r="G127" s="62"/>
      <c r="H127" s="62"/>
      <c r="I127" s="62"/>
      <c r="J127" s="62">
        <f>G127</f>
        <v>0</v>
      </c>
      <c r="K127" s="63"/>
      <c r="L127" s="63"/>
      <c r="M127" s="63"/>
      <c r="N127" s="62"/>
      <c r="O127" s="62"/>
      <c r="P127" s="62">
        <f>N127</f>
        <v>0</v>
      </c>
      <c r="IB127" s="50"/>
      <c r="IC127" s="50"/>
      <c r="ID127" s="50"/>
      <c r="IE127" s="50"/>
      <c r="IF127" s="50"/>
      <c r="IG127" s="50"/>
    </row>
    <row r="128" spans="1:241" s="49" customFormat="1" ht="27" customHeight="1">
      <c r="A128" s="21" t="s">
        <v>105</v>
      </c>
      <c r="B128" s="7"/>
      <c r="C128" s="7"/>
      <c r="D128" s="14"/>
      <c r="E128" s="14">
        <v>400000</v>
      </c>
      <c r="F128" s="14">
        <f>E128</f>
        <v>400000</v>
      </c>
      <c r="G128" s="14"/>
      <c r="H128" s="14">
        <v>400000</v>
      </c>
      <c r="I128" s="14"/>
      <c r="J128" s="14">
        <f>H128</f>
        <v>400000</v>
      </c>
      <c r="K128" s="16"/>
      <c r="L128" s="16"/>
      <c r="M128" s="16"/>
      <c r="N128" s="14"/>
      <c r="O128" s="14">
        <v>450000</v>
      </c>
      <c r="P128" s="14">
        <f>O128</f>
        <v>450000</v>
      </c>
      <c r="IB128" s="50"/>
      <c r="IC128" s="50"/>
      <c r="ID128" s="50"/>
      <c r="IE128" s="50"/>
      <c r="IF128" s="50"/>
      <c r="IG128" s="50"/>
    </row>
    <row r="129" spans="1:241" s="49" customFormat="1" ht="22.5">
      <c r="A129" s="55" t="s">
        <v>106</v>
      </c>
      <c r="B129" s="59"/>
      <c r="C129" s="59"/>
      <c r="D129" s="62">
        <v>10000</v>
      </c>
      <c r="E129" s="62"/>
      <c r="F129" s="62">
        <f t="shared" si="11"/>
        <v>10000</v>
      </c>
      <c r="G129" s="62">
        <v>23980.9523809</v>
      </c>
      <c r="H129" s="62"/>
      <c r="I129" s="62"/>
      <c r="J129" s="62">
        <f aca="true" t="shared" si="12" ref="J129:J134">G129</f>
        <v>23980.9523809</v>
      </c>
      <c r="K129" s="63"/>
      <c r="L129" s="63"/>
      <c r="M129" s="63"/>
      <c r="N129" s="62">
        <v>17021.75194</v>
      </c>
      <c r="O129" s="62"/>
      <c r="P129" s="62">
        <f aca="true" t="shared" si="13" ref="P129:P134">N129</f>
        <v>17021.75194</v>
      </c>
      <c r="IB129" s="50"/>
      <c r="IC129" s="50"/>
      <c r="ID129" s="50"/>
      <c r="IE129" s="50"/>
      <c r="IF129" s="50"/>
      <c r="IG129" s="50"/>
    </row>
    <row r="130" spans="1:241" s="49" customFormat="1" ht="27" customHeight="1">
      <c r="A130" s="55" t="s">
        <v>43</v>
      </c>
      <c r="B130" s="59"/>
      <c r="C130" s="59"/>
      <c r="D130" s="62">
        <v>300</v>
      </c>
      <c r="E130" s="62"/>
      <c r="F130" s="62">
        <f>D130</f>
        <v>300</v>
      </c>
      <c r="G130" s="62">
        <v>300</v>
      </c>
      <c r="H130" s="62"/>
      <c r="I130" s="62"/>
      <c r="J130" s="62">
        <f t="shared" si="12"/>
        <v>300</v>
      </c>
      <c r="K130" s="63"/>
      <c r="L130" s="63"/>
      <c r="M130" s="63"/>
      <c r="N130" s="62">
        <v>350</v>
      </c>
      <c r="O130" s="62"/>
      <c r="P130" s="62">
        <f t="shared" si="13"/>
        <v>350</v>
      </c>
      <c r="IB130" s="50"/>
      <c r="IC130" s="50"/>
      <c r="ID130" s="50"/>
      <c r="IE130" s="50"/>
      <c r="IF130" s="50"/>
      <c r="IG130" s="50"/>
    </row>
    <row r="131" spans="1:241" s="49" customFormat="1" ht="27" customHeight="1">
      <c r="A131" s="55" t="s">
        <v>19</v>
      </c>
      <c r="B131" s="59"/>
      <c r="C131" s="59"/>
      <c r="D131" s="62">
        <v>300</v>
      </c>
      <c r="E131" s="62"/>
      <c r="F131" s="62">
        <f t="shared" si="11"/>
        <v>300</v>
      </c>
      <c r="G131" s="62">
        <v>300</v>
      </c>
      <c r="H131" s="62"/>
      <c r="I131" s="62"/>
      <c r="J131" s="62">
        <f t="shared" si="12"/>
        <v>300</v>
      </c>
      <c r="K131" s="63"/>
      <c r="L131" s="63"/>
      <c r="M131" s="63"/>
      <c r="N131" s="62">
        <v>350</v>
      </c>
      <c r="O131" s="62"/>
      <c r="P131" s="62">
        <f t="shared" si="13"/>
        <v>350</v>
      </c>
      <c r="IB131" s="50"/>
      <c r="IC131" s="50"/>
      <c r="ID131" s="50"/>
      <c r="IE131" s="50"/>
      <c r="IF131" s="50"/>
      <c r="IG131" s="50"/>
    </row>
    <row r="132" spans="1:241" s="49" customFormat="1" ht="22.5">
      <c r="A132" s="55" t="s">
        <v>15</v>
      </c>
      <c r="B132" s="59"/>
      <c r="C132" s="59"/>
      <c r="D132" s="62">
        <v>40</v>
      </c>
      <c r="E132" s="62"/>
      <c r="F132" s="62">
        <f t="shared" si="11"/>
        <v>40</v>
      </c>
      <c r="G132" s="62">
        <v>40</v>
      </c>
      <c r="H132" s="62"/>
      <c r="I132" s="62"/>
      <c r="J132" s="62">
        <f t="shared" si="12"/>
        <v>40</v>
      </c>
      <c r="K132" s="63"/>
      <c r="L132" s="63"/>
      <c r="M132" s="63"/>
      <c r="N132" s="62">
        <v>50</v>
      </c>
      <c r="O132" s="62"/>
      <c r="P132" s="62">
        <f t="shared" si="13"/>
        <v>50</v>
      </c>
      <c r="S132" s="49">
        <f>1277*64*1.65</f>
        <v>134851.19999999998</v>
      </c>
      <c r="IB132" s="50"/>
      <c r="IC132" s="50"/>
      <c r="ID132" s="50"/>
      <c r="IE132" s="50"/>
      <c r="IF132" s="50"/>
      <c r="IG132" s="50"/>
    </row>
    <row r="133" spans="1:241" s="49" customFormat="1" ht="22.5">
      <c r="A133" s="55" t="s">
        <v>73</v>
      </c>
      <c r="B133" s="59"/>
      <c r="C133" s="59"/>
      <c r="D133" s="62">
        <v>1312.5</v>
      </c>
      <c r="E133" s="62"/>
      <c r="F133" s="62">
        <f>D133</f>
        <v>1312.5</v>
      </c>
      <c r="G133" s="62">
        <v>2488.30865</v>
      </c>
      <c r="H133" s="62"/>
      <c r="I133" s="62"/>
      <c r="J133" s="62">
        <f t="shared" si="12"/>
        <v>2488.30865</v>
      </c>
      <c r="K133" s="63"/>
      <c r="L133" s="63"/>
      <c r="M133" s="63"/>
      <c r="N133" s="62">
        <v>1342</v>
      </c>
      <c r="O133" s="62"/>
      <c r="P133" s="62">
        <f t="shared" si="13"/>
        <v>1342</v>
      </c>
      <c r="S133" s="49">
        <f>21572/4</f>
        <v>5393</v>
      </c>
      <c r="IB133" s="50"/>
      <c r="IC133" s="50"/>
      <c r="ID133" s="50"/>
      <c r="IE133" s="50"/>
      <c r="IF133" s="50"/>
      <c r="IG133" s="50"/>
    </row>
    <row r="134" spans="1:241" s="49" customFormat="1" ht="22.5">
      <c r="A134" s="21" t="s">
        <v>74</v>
      </c>
      <c r="B134" s="7"/>
      <c r="C134" s="7"/>
      <c r="D134" s="14">
        <v>1.8</v>
      </c>
      <c r="E134" s="14"/>
      <c r="F134" s="14">
        <f>D134</f>
        <v>1.8</v>
      </c>
      <c r="G134" s="14">
        <v>1.65</v>
      </c>
      <c r="H134" s="14"/>
      <c r="I134" s="14"/>
      <c r="J134" s="14">
        <f t="shared" si="12"/>
        <v>1.65</v>
      </c>
      <c r="K134" s="16"/>
      <c r="L134" s="16"/>
      <c r="M134" s="16"/>
      <c r="N134" s="14">
        <v>1.83</v>
      </c>
      <c r="O134" s="14"/>
      <c r="P134" s="14">
        <f t="shared" si="13"/>
        <v>1.83</v>
      </c>
      <c r="IB134" s="50"/>
      <c r="IC134" s="50"/>
      <c r="ID134" s="50"/>
      <c r="IE134" s="50"/>
      <c r="IF134" s="50"/>
      <c r="IG134" s="50"/>
    </row>
    <row r="135" spans="1:241" s="49" customFormat="1" ht="12">
      <c r="A135" s="54" t="s">
        <v>6</v>
      </c>
      <c r="B135" s="61"/>
      <c r="C135" s="61"/>
      <c r="D135" s="62"/>
      <c r="E135" s="62"/>
      <c r="F135" s="62"/>
      <c r="G135" s="62"/>
      <c r="H135" s="62"/>
      <c r="I135" s="62"/>
      <c r="J135" s="62"/>
      <c r="K135" s="63"/>
      <c r="L135" s="63"/>
      <c r="M135" s="63"/>
      <c r="N135" s="62"/>
      <c r="O135" s="62"/>
      <c r="P135" s="62"/>
      <c r="IB135" s="50"/>
      <c r="IC135" s="50"/>
      <c r="ID135" s="50"/>
      <c r="IE135" s="50"/>
      <c r="IF135" s="50"/>
      <c r="IG135" s="50"/>
    </row>
    <row r="136" spans="1:241" s="49" customFormat="1" ht="22.5" customHeight="1">
      <c r="A136" s="55" t="s">
        <v>45</v>
      </c>
      <c r="B136" s="59"/>
      <c r="C136" s="59"/>
      <c r="D136" s="62"/>
      <c r="E136" s="62"/>
      <c r="F136" s="62">
        <f t="shared" si="11"/>
        <v>0</v>
      </c>
      <c r="G136" s="62"/>
      <c r="H136" s="62"/>
      <c r="I136" s="62"/>
      <c r="J136" s="62"/>
      <c r="K136" s="63"/>
      <c r="L136" s="63"/>
      <c r="M136" s="63"/>
      <c r="N136" s="62"/>
      <c r="O136" s="62"/>
      <c r="P136" s="62"/>
      <c r="IB136" s="50"/>
      <c r="IC136" s="50"/>
      <c r="ID136" s="50"/>
      <c r="IE136" s="50"/>
      <c r="IF136" s="50"/>
      <c r="IG136" s="50"/>
    </row>
    <row r="137" spans="1:241" s="49" customFormat="1" ht="30.75" customHeight="1">
      <c r="A137" s="55" t="s">
        <v>107</v>
      </c>
      <c r="B137" s="59"/>
      <c r="C137" s="59"/>
      <c r="D137" s="62">
        <v>100</v>
      </c>
      <c r="E137" s="62"/>
      <c r="F137" s="62">
        <f t="shared" si="11"/>
        <v>100</v>
      </c>
      <c r="G137" s="62">
        <v>100</v>
      </c>
      <c r="H137" s="62"/>
      <c r="I137" s="62"/>
      <c r="J137" s="62">
        <v>100</v>
      </c>
      <c r="K137" s="63"/>
      <c r="L137" s="63"/>
      <c r="M137" s="63"/>
      <c r="N137" s="62">
        <v>100</v>
      </c>
      <c r="O137" s="62"/>
      <c r="P137" s="62">
        <v>100</v>
      </c>
      <c r="IB137" s="50"/>
      <c r="IC137" s="50"/>
      <c r="ID137" s="50"/>
      <c r="IE137" s="50"/>
      <c r="IF137" s="50"/>
      <c r="IG137" s="50"/>
    </row>
    <row r="138" spans="1:241" s="49" customFormat="1" ht="22.5" customHeight="1">
      <c r="A138" s="55" t="s">
        <v>47</v>
      </c>
      <c r="B138" s="59"/>
      <c r="C138" s="59"/>
      <c r="D138" s="62"/>
      <c r="E138" s="62"/>
      <c r="F138" s="62">
        <f t="shared" si="11"/>
        <v>0</v>
      </c>
      <c r="G138" s="62"/>
      <c r="H138" s="62"/>
      <c r="I138" s="62"/>
      <c r="J138" s="62"/>
      <c r="K138" s="63"/>
      <c r="L138" s="63"/>
      <c r="M138" s="63"/>
      <c r="N138" s="62"/>
      <c r="O138" s="62"/>
      <c r="P138" s="62"/>
      <c r="IB138" s="50"/>
      <c r="IC138" s="50"/>
      <c r="ID138" s="50"/>
      <c r="IE138" s="50"/>
      <c r="IF138" s="50"/>
      <c r="IG138" s="50"/>
    </row>
    <row r="139" spans="1:241" s="49" customFormat="1" ht="23.25" customHeight="1">
      <c r="A139" s="55" t="s">
        <v>21</v>
      </c>
      <c r="B139" s="59"/>
      <c r="C139" s="59"/>
      <c r="D139" s="62">
        <v>100</v>
      </c>
      <c r="E139" s="62"/>
      <c r="F139" s="62">
        <f t="shared" si="11"/>
        <v>100</v>
      </c>
      <c r="G139" s="62">
        <v>100</v>
      </c>
      <c r="H139" s="62"/>
      <c r="I139" s="62"/>
      <c r="J139" s="62">
        <v>100</v>
      </c>
      <c r="K139" s="63"/>
      <c r="L139" s="63"/>
      <c r="M139" s="63"/>
      <c r="N139" s="62">
        <v>100</v>
      </c>
      <c r="O139" s="62"/>
      <c r="P139" s="62">
        <v>100</v>
      </c>
      <c r="IB139" s="50"/>
      <c r="IC139" s="50"/>
      <c r="ID139" s="50"/>
      <c r="IE139" s="50"/>
      <c r="IF139" s="50"/>
      <c r="IG139" s="50"/>
    </row>
    <row r="140" spans="1:241" s="49" customFormat="1" ht="30" customHeight="1">
      <c r="A140" s="55" t="s">
        <v>57</v>
      </c>
      <c r="B140" s="59"/>
      <c r="C140" s="59"/>
      <c r="D140" s="62">
        <v>100</v>
      </c>
      <c r="E140" s="62"/>
      <c r="F140" s="62">
        <f t="shared" si="11"/>
        <v>100</v>
      </c>
      <c r="G140" s="62">
        <f>G125/G117*100</f>
        <v>100</v>
      </c>
      <c r="H140" s="62"/>
      <c r="I140" s="62"/>
      <c r="J140" s="62">
        <f>J125/J117*100</f>
        <v>100</v>
      </c>
      <c r="K140" s="63"/>
      <c r="L140" s="63"/>
      <c r="M140" s="63"/>
      <c r="N140" s="62">
        <f>N125/N117*100</f>
        <v>100</v>
      </c>
      <c r="O140" s="62"/>
      <c r="P140" s="62">
        <f>P125/P117*100</f>
        <v>100</v>
      </c>
      <c r="IB140" s="50"/>
      <c r="IC140" s="50"/>
      <c r="ID140" s="50"/>
      <c r="IE140" s="50"/>
      <c r="IF140" s="50"/>
      <c r="IG140" s="50"/>
    </row>
    <row r="141" spans="1:241" s="91" customFormat="1" ht="24" customHeight="1">
      <c r="A141" s="82" t="s">
        <v>347</v>
      </c>
      <c r="B141" s="88"/>
      <c r="C141" s="88"/>
      <c r="D141" s="89">
        <f>(D152*D158)+(D153*D159)+(D155*D161)+(D154*D160)+(D156*D163)+100</f>
        <v>10575000</v>
      </c>
      <c r="E141" s="89">
        <f>(E152*E158)+(E153*E159)+(E155*E161)+(E154*E160)+(E156*E163)+4.4</f>
        <v>6200000.000000001</v>
      </c>
      <c r="F141" s="89">
        <f>D141+E141</f>
        <v>16775000</v>
      </c>
      <c r="G141" s="89">
        <f>(G152*G158)+(G153*G159)+(G155*G161)+(G154*G160)+(G156*G163)</f>
        <v>18319999.999072</v>
      </c>
      <c r="H141" s="89">
        <f>(H152*H158)+(H153*H159)+(H155*H161)+(H154*H160)+(H156*H163)+6.2-774.52+1700000+100000</f>
        <v>11800000</v>
      </c>
      <c r="I141" s="89"/>
      <c r="J141" s="89">
        <f>G141+H141</f>
        <v>30119999.999072</v>
      </c>
      <c r="K141" s="89">
        <f>(K152*K158)+(K153*K159)+(K155*K161)+(K154*K160)+(K156*K163)+100</f>
        <v>100</v>
      </c>
      <c r="L141" s="89">
        <f>(L152*L158)+(L153*L159)+(L155*L161)+(L154*L160)+(L156*L163)+100</f>
        <v>100</v>
      </c>
      <c r="M141" s="89">
        <f>(M152*M158)+(M153*M159)+(M155*M161)+(M154*M160)+(M156*M163)+100</f>
        <v>100</v>
      </c>
      <c r="N141" s="89">
        <f>(N152*N158)+(N153*N159)+(N155*N161)+(N154*N160)+(N156*N163)-358935.2</f>
        <v>33000000</v>
      </c>
      <c r="O141" s="89">
        <f>(O152*O158)+(O153*O159)+(O155*O161)+(O154*O160)+(O156*O163)</f>
        <v>11000000.0019</v>
      </c>
      <c r="P141" s="89">
        <f>N141+O141</f>
        <v>44000000.0019</v>
      </c>
      <c r="IB141" s="92"/>
      <c r="IC141" s="92"/>
      <c r="ID141" s="92"/>
      <c r="IE141" s="92"/>
      <c r="IF141" s="92"/>
      <c r="IG141" s="92"/>
    </row>
    <row r="142" spans="1:241" s="1" customFormat="1" ht="0.75" customHeight="1">
      <c r="A142" s="23" t="s">
        <v>48</v>
      </c>
      <c r="B142" s="15"/>
      <c r="C142" s="15"/>
      <c r="D142" s="14" t="e">
        <f>#REF!*D158+D155*D160+D154*D161</f>
        <v>#REF!</v>
      </c>
      <c r="E142" s="14" t="e">
        <f>#REF!*E158+E155*E160+E154*E161</f>
        <v>#REF!</v>
      </c>
      <c r="F142" s="14" t="e">
        <f>#REF!*F158+F155*F160+F154*F161</f>
        <v>#REF!</v>
      </c>
      <c r="G142" s="14" t="e">
        <f>#REF!*G158+G155*G160+G154*G161</f>
        <v>#REF!</v>
      </c>
      <c r="H142" s="14"/>
      <c r="I142" s="14"/>
      <c r="J142" s="14" t="e">
        <f>#REF!*J158+J155*J160+J154*J161</f>
        <v>#REF!</v>
      </c>
      <c r="K142" s="11"/>
      <c r="L142" s="11"/>
      <c r="M142" s="11"/>
      <c r="N142" s="14" t="e">
        <f>#REF!*N158+N155*N160+N154*N161</f>
        <v>#REF!</v>
      </c>
      <c r="O142" s="14"/>
      <c r="P142" s="14" t="e">
        <f>#REF!*P158+P155*P160+P154*P161</f>
        <v>#REF!</v>
      </c>
      <c r="IB142"/>
      <c r="IC142"/>
      <c r="ID142"/>
      <c r="IE142"/>
      <c r="IF142"/>
      <c r="IG142"/>
    </row>
    <row r="143" spans="1:241" s="1" customFormat="1" ht="12">
      <c r="A143" s="54" t="s">
        <v>4</v>
      </c>
      <c r="B143" s="61"/>
      <c r="C143" s="61"/>
      <c r="D143" s="129"/>
      <c r="E143" s="129"/>
      <c r="F143" s="129"/>
      <c r="G143" s="129"/>
      <c r="H143" s="129"/>
      <c r="I143" s="129"/>
      <c r="J143" s="129"/>
      <c r="K143" s="63"/>
      <c r="L143" s="63"/>
      <c r="M143" s="63"/>
      <c r="N143" s="129"/>
      <c r="O143" s="129"/>
      <c r="P143" s="129"/>
      <c r="IB143"/>
      <c r="IC143"/>
      <c r="ID143"/>
      <c r="IE143"/>
      <c r="IF143"/>
      <c r="IG143"/>
    </row>
    <row r="144" spans="1:241" s="1" customFormat="1" ht="21" customHeight="1">
      <c r="A144" s="55" t="s">
        <v>109</v>
      </c>
      <c r="B144" s="59"/>
      <c r="C144" s="59"/>
      <c r="D144" s="62">
        <v>600.663</v>
      </c>
      <c r="E144" s="62"/>
      <c r="F144" s="62">
        <f>D144</f>
        <v>600.663</v>
      </c>
      <c r="G144" s="62">
        <f>D144</f>
        <v>600.663</v>
      </c>
      <c r="H144" s="62"/>
      <c r="I144" s="62"/>
      <c r="J144" s="62">
        <f>G144</f>
        <v>600.663</v>
      </c>
      <c r="K144" s="63"/>
      <c r="L144" s="63"/>
      <c r="M144" s="63"/>
      <c r="N144" s="62">
        <f>J144</f>
        <v>600.663</v>
      </c>
      <c r="O144" s="62"/>
      <c r="P144" s="62">
        <f>N144</f>
        <v>600.663</v>
      </c>
      <c r="IB144"/>
      <c r="IC144"/>
      <c r="ID144"/>
      <c r="IE144"/>
      <c r="IF144"/>
      <c r="IG144"/>
    </row>
    <row r="145" spans="1:241" s="1" customFormat="1" ht="27" customHeight="1">
      <c r="A145" s="55" t="s">
        <v>110</v>
      </c>
      <c r="B145" s="59"/>
      <c r="C145" s="59"/>
      <c r="D145" s="62"/>
      <c r="E145" s="62">
        <v>427.5</v>
      </c>
      <c r="F145" s="62">
        <f>E145</f>
        <v>427.5</v>
      </c>
      <c r="G145" s="62"/>
      <c r="H145" s="62">
        <v>427.5</v>
      </c>
      <c r="I145" s="62"/>
      <c r="J145" s="62">
        <f>H145</f>
        <v>427.5</v>
      </c>
      <c r="K145" s="63"/>
      <c r="L145" s="63"/>
      <c r="M145" s="63"/>
      <c r="N145" s="62"/>
      <c r="O145" s="62">
        <v>427.5</v>
      </c>
      <c r="P145" s="62">
        <f>O145</f>
        <v>427.5</v>
      </c>
      <c r="IB145"/>
      <c r="IC145"/>
      <c r="ID145"/>
      <c r="IE145"/>
      <c r="IF145"/>
      <c r="IG145"/>
    </row>
    <row r="146" spans="1:241" s="1" customFormat="1" ht="30.75" customHeight="1">
      <c r="A146" s="55" t="s">
        <v>111</v>
      </c>
      <c r="B146" s="59"/>
      <c r="C146" s="59"/>
      <c r="D146" s="62">
        <v>97.9</v>
      </c>
      <c r="E146" s="62"/>
      <c r="F146" s="62">
        <f>D146</f>
        <v>97.9</v>
      </c>
      <c r="G146" s="62">
        <v>97.9</v>
      </c>
      <c r="H146" s="62"/>
      <c r="I146" s="62"/>
      <c r="J146" s="62">
        <f>G146</f>
        <v>97.9</v>
      </c>
      <c r="K146" s="63"/>
      <c r="L146" s="63"/>
      <c r="M146" s="63"/>
      <c r="N146" s="62">
        <v>97.9</v>
      </c>
      <c r="O146" s="62"/>
      <c r="P146" s="62">
        <f>N146</f>
        <v>97.9</v>
      </c>
      <c r="IB146"/>
      <c r="IC146"/>
      <c r="ID146"/>
      <c r="IE146"/>
      <c r="IF146"/>
      <c r="IG146"/>
    </row>
    <row r="147" spans="1:241" s="1" customFormat="1" ht="25.5" customHeight="1">
      <c r="A147" s="55" t="s">
        <v>112</v>
      </c>
      <c r="B147" s="59"/>
      <c r="C147" s="59"/>
      <c r="D147" s="62">
        <v>15870</v>
      </c>
      <c r="E147" s="62"/>
      <c r="F147" s="62">
        <f>D147</f>
        <v>15870</v>
      </c>
      <c r="G147" s="62">
        <v>15920</v>
      </c>
      <c r="H147" s="62"/>
      <c r="I147" s="62"/>
      <c r="J147" s="62">
        <f aca="true" t="shared" si="14" ref="J147:J165">G147</f>
        <v>15920</v>
      </c>
      <c r="K147" s="63"/>
      <c r="L147" s="63"/>
      <c r="M147" s="63"/>
      <c r="N147" s="62">
        <v>15920</v>
      </c>
      <c r="O147" s="62"/>
      <c r="P147" s="62">
        <f aca="true" t="shared" si="15" ref="P147:P165">N147</f>
        <v>15920</v>
      </c>
      <c r="IB147"/>
      <c r="IC147"/>
      <c r="ID147"/>
      <c r="IE147"/>
      <c r="IF147"/>
      <c r="IG147"/>
    </row>
    <row r="148" spans="1:241" s="1" customFormat="1" ht="22.5">
      <c r="A148" s="55" t="s">
        <v>113</v>
      </c>
      <c r="B148" s="59"/>
      <c r="C148" s="59"/>
      <c r="D148" s="62">
        <v>8286</v>
      </c>
      <c r="E148" s="62"/>
      <c r="F148" s="62">
        <f>D148</f>
        <v>8286</v>
      </c>
      <c r="G148" s="62">
        <f>F148</f>
        <v>8286</v>
      </c>
      <c r="H148" s="62"/>
      <c r="I148" s="62"/>
      <c r="J148" s="62">
        <f t="shared" si="14"/>
        <v>8286</v>
      </c>
      <c r="K148" s="63"/>
      <c r="L148" s="63"/>
      <c r="M148" s="63"/>
      <c r="N148" s="62">
        <f>G148</f>
        <v>8286</v>
      </c>
      <c r="O148" s="62"/>
      <c r="P148" s="62">
        <f t="shared" si="15"/>
        <v>8286</v>
      </c>
      <c r="IB148"/>
      <c r="IC148"/>
      <c r="ID148"/>
      <c r="IE148"/>
      <c r="IF148"/>
      <c r="IG148"/>
    </row>
    <row r="149" spans="1:241" s="1" customFormat="1" ht="29.25" customHeight="1">
      <c r="A149" s="55" t="s">
        <v>114</v>
      </c>
      <c r="B149" s="59"/>
      <c r="C149" s="59"/>
      <c r="D149" s="62">
        <v>7800</v>
      </c>
      <c r="E149" s="62"/>
      <c r="F149" s="62">
        <f>D149</f>
        <v>7800</v>
      </c>
      <c r="G149" s="62">
        <f>F149</f>
        <v>7800</v>
      </c>
      <c r="H149" s="62"/>
      <c r="I149" s="62"/>
      <c r="J149" s="62">
        <f>G149</f>
        <v>7800</v>
      </c>
      <c r="K149" s="63"/>
      <c r="L149" s="63"/>
      <c r="M149" s="63"/>
      <c r="N149" s="62">
        <v>7800</v>
      </c>
      <c r="O149" s="62"/>
      <c r="P149" s="62">
        <f>N149</f>
        <v>7800</v>
      </c>
      <c r="IB149"/>
      <c r="IC149"/>
      <c r="ID149"/>
      <c r="IE149"/>
      <c r="IF149"/>
      <c r="IG149"/>
    </row>
    <row r="150" spans="1:241" s="1" customFormat="1" ht="12">
      <c r="A150" s="54" t="s">
        <v>5</v>
      </c>
      <c r="B150" s="61"/>
      <c r="C150" s="61"/>
      <c r="D150" s="129"/>
      <c r="E150" s="129"/>
      <c r="F150" s="62"/>
      <c r="G150" s="129"/>
      <c r="H150" s="129"/>
      <c r="I150" s="129"/>
      <c r="J150" s="62">
        <f t="shared" si="14"/>
        <v>0</v>
      </c>
      <c r="K150" s="63"/>
      <c r="L150" s="63"/>
      <c r="M150" s="63"/>
      <c r="N150" s="129"/>
      <c r="O150" s="129"/>
      <c r="P150" s="62">
        <f t="shared" si="15"/>
        <v>0</v>
      </c>
      <c r="IB150"/>
      <c r="IC150"/>
      <c r="ID150"/>
      <c r="IE150"/>
      <c r="IF150"/>
      <c r="IG150"/>
    </row>
    <row r="151" spans="1:241" s="1" customFormat="1" ht="22.5" customHeight="1">
      <c r="A151" s="55" t="s">
        <v>24</v>
      </c>
      <c r="B151" s="59"/>
      <c r="C151" s="59"/>
      <c r="D151" s="62"/>
      <c r="E151" s="62"/>
      <c r="F151" s="62"/>
      <c r="G151" s="62"/>
      <c r="H151" s="62"/>
      <c r="I151" s="62"/>
      <c r="J151" s="62">
        <f t="shared" si="14"/>
        <v>0</v>
      </c>
      <c r="K151" s="63"/>
      <c r="L151" s="63"/>
      <c r="M151" s="63"/>
      <c r="N151" s="62"/>
      <c r="O151" s="62"/>
      <c r="P151" s="62">
        <f t="shared" si="15"/>
        <v>0</v>
      </c>
      <c r="IB151"/>
      <c r="IC151"/>
      <c r="ID151"/>
      <c r="IE151"/>
      <c r="IF151"/>
      <c r="IG151"/>
    </row>
    <row r="152" spans="1:241" s="1" customFormat="1" ht="29.25" customHeight="1">
      <c r="A152" s="55" t="s">
        <v>115</v>
      </c>
      <c r="B152" s="59"/>
      <c r="C152" s="59"/>
      <c r="D152" s="62">
        <v>3</v>
      </c>
      <c r="E152" s="62"/>
      <c r="F152" s="62">
        <f>D152</f>
        <v>3</v>
      </c>
      <c r="G152" s="62">
        <v>4</v>
      </c>
      <c r="H152" s="62"/>
      <c r="I152" s="62"/>
      <c r="J152" s="62">
        <f>G152</f>
        <v>4</v>
      </c>
      <c r="K152" s="63"/>
      <c r="L152" s="63"/>
      <c r="M152" s="63"/>
      <c r="N152" s="62">
        <v>5</v>
      </c>
      <c r="O152" s="62"/>
      <c r="P152" s="62">
        <f>N152</f>
        <v>5</v>
      </c>
      <c r="IB152"/>
      <c r="IC152"/>
      <c r="ID152"/>
      <c r="IE152"/>
      <c r="IF152"/>
      <c r="IG152"/>
    </row>
    <row r="153" spans="1:241" s="1" customFormat="1" ht="30" customHeight="1">
      <c r="A153" s="55" t="s">
        <v>116</v>
      </c>
      <c r="B153" s="59"/>
      <c r="C153" s="59"/>
      <c r="D153" s="62"/>
      <c r="E153" s="62">
        <v>18.8</v>
      </c>
      <c r="F153" s="62">
        <f>E153</f>
        <v>18.8</v>
      </c>
      <c r="G153" s="62"/>
      <c r="H153" s="62">
        <v>27.84</v>
      </c>
      <c r="I153" s="62"/>
      <c r="J153" s="62">
        <f>H153</f>
        <v>27.84</v>
      </c>
      <c r="K153" s="63"/>
      <c r="L153" s="63"/>
      <c r="M153" s="63"/>
      <c r="N153" s="62"/>
      <c r="O153" s="62">
        <v>27.3</v>
      </c>
      <c r="P153" s="62">
        <f>O153</f>
        <v>27.3</v>
      </c>
      <c r="IB153"/>
      <c r="IC153"/>
      <c r="ID153"/>
      <c r="IE153"/>
      <c r="IF153"/>
      <c r="IG153"/>
    </row>
    <row r="154" spans="1:241" s="1" customFormat="1" ht="26.25" customHeight="1">
      <c r="A154" s="55" t="s">
        <v>157</v>
      </c>
      <c r="B154" s="59"/>
      <c r="C154" s="59"/>
      <c r="D154" s="62">
        <v>15870</v>
      </c>
      <c r="E154" s="62"/>
      <c r="F154" s="62">
        <f>D154</f>
        <v>15870</v>
      </c>
      <c r="G154" s="62">
        <f>G147</f>
        <v>15920</v>
      </c>
      <c r="H154" s="62"/>
      <c r="I154" s="62"/>
      <c r="J154" s="62">
        <f>G154</f>
        <v>15920</v>
      </c>
      <c r="K154" s="63"/>
      <c r="L154" s="63"/>
      <c r="M154" s="63"/>
      <c r="N154" s="62">
        <f>N147</f>
        <v>15920</v>
      </c>
      <c r="O154" s="62"/>
      <c r="P154" s="62">
        <f>N154</f>
        <v>15920</v>
      </c>
      <c r="IB154"/>
      <c r="IC154"/>
      <c r="ID154"/>
      <c r="IE154"/>
      <c r="IF154"/>
      <c r="IG154"/>
    </row>
    <row r="155" spans="1:241" s="1" customFormat="1" ht="24.75" customHeight="1">
      <c r="A155" s="55" t="s">
        <v>117</v>
      </c>
      <c r="B155" s="59"/>
      <c r="C155" s="59"/>
      <c r="D155" s="62">
        <v>800</v>
      </c>
      <c r="E155" s="62"/>
      <c r="F155" s="62">
        <f aca="true" t="shared" si="16" ref="F155:F165">D155</f>
        <v>800</v>
      </c>
      <c r="G155" s="62">
        <v>900</v>
      </c>
      <c r="H155" s="62"/>
      <c r="I155" s="62"/>
      <c r="J155" s="62">
        <f t="shared" si="14"/>
        <v>900</v>
      </c>
      <c r="K155" s="63"/>
      <c r="L155" s="63"/>
      <c r="M155" s="63"/>
      <c r="N155" s="62">
        <f>1000+400</f>
        <v>1400</v>
      </c>
      <c r="O155" s="62"/>
      <c r="P155" s="62">
        <f t="shared" si="15"/>
        <v>1400</v>
      </c>
      <c r="IB155"/>
      <c r="IC155"/>
      <c r="ID155"/>
      <c r="IE155"/>
      <c r="IF155"/>
      <c r="IG155"/>
    </row>
    <row r="156" spans="1:241" s="1" customFormat="1" ht="24.75" customHeight="1">
      <c r="A156" s="55" t="s">
        <v>118</v>
      </c>
      <c r="B156" s="59"/>
      <c r="C156" s="59"/>
      <c r="D156" s="62">
        <v>7800000</v>
      </c>
      <c r="E156" s="62"/>
      <c r="F156" s="62">
        <f>D156</f>
        <v>7800000</v>
      </c>
      <c r="G156" s="62">
        <v>8316720</v>
      </c>
      <c r="H156" s="62"/>
      <c r="I156" s="62"/>
      <c r="J156" s="62">
        <f>G156</f>
        <v>8316720</v>
      </c>
      <c r="K156" s="63"/>
      <c r="L156" s="63"/>
      <c r="M156" s="63"/>
      <c r="N156" s="62">
        <v>8726223</v>
      </c>
      <c r="O156" s="62"/>
      <c r="P156" s="62">
        <f>N156</f>
        <v>8726223</v>
      </c>
      <c r="IB156"/>
      <c r="IC156"/>
      <c r="ID156"/>
      <c r="IE156"/>
      <c r="IF156"/>
      <c r="IG156"/>
    </row>
    <row r="157" spans="1:241" s="1" customFormat="1" ht="12">
      <c r="A157" s="54" t="s">
        <v>7</v>
      </c>
      <c r="B157" s="61"/>
      <c r="C157" s="61"/>
      <c r="D157" s="129"/>
      <c r="E157" s="129"/>
      <c r="F157" s="62">
        <f t="shared" si="16"/>
        <v>0</v>
      </c>
      <c r="G157" s="129"/>
      <c r="H157" s="129"/>
      <c r="I157" s="129"/>
      <c r="J157" s="62">
        <f t="shared" si="14"/>
        <v>0</v>
      </c>
      <c r="K157" s="63"/>
      <c r="L157" s="63"/>
      <c r="M157" s="63"/>
      <c r="N157" s="129"/>
      <c r="O157" s="129"/>
      <c r="P157" s="62">
        <f t="shared" si="15"/>
        <v>0</v>
      </c>
      <c r="IB157"/>
      <c r="IC157"/>
      <c r="ID157"/>
      <c r="IE157"/>
      <c r="IF157"/>
      <c r="IG157"/>
    </row>
    <row r="158" spans="1:241" s="1" customFormat="1" ht="33.75">
      <c r="A158" s="55" t="s">
        <v>119</v>
      </c>
      <c r="B158" s="59"/>
      <c r="C158" s="59"/>
      <c r="D158" s="62">
        <v>74500</v>
      </c>
      <c r="E158" s="62"/>
      <c r="F158" s="62">
        <f>D158</f>
        <v>74500</v>
      </c>
      <c r="G158" s="62">
        <v>85000</v>
      </c>
      <c r="H158" s="62"/>
      <c r="I158" s="62"/>
      <c r="J158" s="62">
        <f>G158</f>
        <v>85000</v>
      </c>
      <c r="K158" s="63"/>
      <c r="L158" s="63"/>
      <c r="M158" s="63"/>
      <c r="N158" s="62">
        <v>100000</v>
      </c>
      <c r="O158" s="62"/>
      <c r="P158" s="62">
        <f>N158</f>
        <v>100000</v>
      </c>
      <c r="IB158"/>
      <c r="IC158"/>
      <c r="ID158"/>
      <c r="IE158"/>
      <c r="IF158"/>
      <c r="IG158"/>
    </row>
    <row r="159" spans="1:241" s="1" customFormat="1" ht="33.75">
      <c r="A159" s="55" t="s">
        <v>120</v>
      </c>
      <c r="B159" s="59"/>
      <c r="C159" s="59"/>
      <c r="D159" s="62"/>
      <c r="E159" s="62">
        <v>329787</v>
      </c>
      <c r="F159" s="62">
        <f>E159</f>
        <v>329787</v>
      </c>
      <c r="G159" s="62"/>
      <c r="H159" s="62">
        <v>359223</v>
      </c>
      <c r="I159" s="62"/>
      <c r="J159" s="62">
        <f>H159</f>
        <v>359223</v>
      </c>
      <c r="K159" s="63"/>
      <c r="L159" s="63"/>
      <c r="M159" s="63"/>
      <c r="N159" s="62"/>
      <c r="O159" s="62">
        <v>402930.403</v>
      </c>
      <c r="P159" s="62">
        <f>O159</f>
        <v>402930.403</v>
      </c>
      <c r="IB159"/>
      <c r="IC159"/>
      <c r="ID159"/>
      <c r="IE159"/>
      <c r="IF159"/>
      <c r="IG159"/>
    </row>
    <row r="160" spans="1:241" s="1" customFormat="1" ht="23.25" customHeight="1">
      <c r="A160" s="55" t="s">
        <v>121</v>
      </c>
      <c r="B160" s="59"/>
      <c r="C160" s="59"/>
      <c r="D160" s="62">
        <v>220</v>
      </c>
      <c r="E160" s="62"/>
      <c r="F160" s="62">
        <f>D160</f>
        <v>220</v>
      </c>
      <c r="G160" s="62">
        <v>250.6763316</v>
      </c>
      <c r="H160" s="62"/>
      <c r="I160" s="62"/>
      <c r="J160" s="62">
        <f>G160</f>
        <v>250.6763316</v>
      </c>
      <c r="K160" s="63"/>
      <c r="L160" s="63"/>
      <c r="M160" s="63"/>
      <c r="N160" s="62">
        <v>300</v>
      </c>
      <c r="O160" s="62"/>
      <c r="P160" s="62">
        <f>N160</f>
        <v>300</v>
      </c>
      <c r="IB160"/>
      <c r="IC160"/>
      <c r="ID160"/>
      <c r="IE160"/>
      <c r="IF160"/>
      <c r="IG160"/>
    </row>
    <row r="161" spans="1:241" s="1" customFormat="1" ht="22.5">
      <c r="A161" s="55" t="s">
        <v>122</v>
      </c>
      <c r="B161" s="59"/>
      <c r="C161" s="59"/>
      <c r="D161" s="62">
        <v>3700</v>
      </c>
      <c r="E161" s="62"/>
      <c r="F161" s="62">
        <f t="shared" si="16"/>
        <v>3700</v>
      </c>
      <c r="G161" s="62">
        <v>4085</v>
      </c>
      <c r="H161" s="62"/>
      <c r="I161" s="62"/>
      <c r="J161" s="62">
        <f t="shared" si="14"/>
        <v>4085</v>
      </c>
      <c r="K161" s="63"/>
      <c r="L161" s="63"/>
      <c r="M161" s="63"/>
      <c r="N161" s="62">
        <v>5100</v>
      </c>
      <c r="O161" s="62"/>
      <c r="P161" s="62">
        <f t="shared" si="15"/>
        <v>5100</v>
      </c>
      <c r="IB161"/>
      <c r="IC161"/>
      <c r="ID161"/>
      <c r="IE161"/>
      <c r="IF161"/>
      <c r="IG161"/>
    </row>
    <row r="162" spans="1:241" s="1" customFormat="1" ht="22.5">
      <c r="A162" s="55" t="s">
        <v>71</v>
      </c>
      <c r="B162" s="59"/>
      <c r="C162" s="59"/>
      <c r="D162" s="62">
        <f>D156/D154-0.49</f>
        <v>491.0033837429111</v>
      </c>
      <c r="E162" s="62"/>
      <c r="F162" s="62">
        <f>D162</f>
        <v>491.0033837429111</v>
      </c>
      <c r="G162" s="62">
        <f>G156/G154</f>
        <v>522.4070351758794</v>
      </c>
      <c r="H162" s="62"/>
      <c r="I162" s="62"/>
      <c r="J162" s="62">
        <f>G162</f>
        <v>522.4070351758794</v>
      </c>
      <c r="K162" s="63"/>
      <c r="L162" s="63"/>
      <c r="M162" s="63"/>
      <c r="N162" s="62">
        <f>N156/N154</f>
        <v>548.1295854271357</v>
      </c>
      <c r="O162" s="62"/>
      <c r="P162" s="62">
        <f>N162</f>
        <v>548.1295854271357</v>
      </c>
      <c r="IB162"/>
      <c r="IC162"/>
      <c r="ID162"/>
      <c r="IE162"/>
      <c r="IF162"/>
      <c r="IG162"/>
    </row>
    <row r="163" spans="1:241" s="1" customFormat="1" ht="33.75">
      <c r="A163" s="55" t="s">
        <v>123</v>
      </c>
      <c r="B163" s="59"/>
      <c r="C163" s="59"/>
      <c r="D163" s="62">
        <v>0.5</v>
      </c>
      <c r="E163" s="62"/>
      <c r="F163" s="62">
        <f>D163</f>
        <v>0.5</v>
      </c>
      <c r="G163" s="62">
        <v>1.24</v>
      </c>
      <c r="H163" s="62"/>
      <c r="I163" s="62"/>
      <c r="J163" s="62">
        <f>G163</f>
        <v>1.24</v>
      </c>
      <c r="K163" s="63"/>
      <c r="L163" s="63"/>
      <c r="M163" s="63"/>
      <c r="N163" s="62">
        <v>2.4</v>
      </c>
      <c r="O163" s="62"/>
      <c r="P163" s="62">
        <f>N163</f>
        <v>2.4</v>
      </c>
      <c r="IB163"/>
      <c r="IC163"/>
      <c r="ID163"/>
      <c r="IE163"/>
      <c r="IF163"/>
      <c r="IG163"/>
    </row>
    <row r="164" spans="1:241" s="1" customFormat="1" ht="12">
      <c r="A164" s="54" t="s">
        <v>6</v>
      </c>
      <c r="B164" s="61"/>
      <c r="C164" s="61"/>
      <c r="D164" s="129"/>
      <c r="E164" s="129"/>
      <c r="F164" s="62">
        <f t="shared" si="16"/>
        <v>0</v>
      </c>
      <c r="G164" s="129"/>
      <c r="H164" s="129"/>
      <c r="I164" s="129"/>
      <c r="J164" s="62">
        <f t="shared" si="14"/>
        <v>0</v>
      </c>
      <c r="K164" s="63"/>
      <c r="L164" s="63"/>
      <c r="M164" s="63"/>
      <c r="N164" s="129"/>
      <c r="O164" s="129"/>
      <c r="P164" s="62">
        <f t="shared" si="15"/>
        <v>0</v>
      </c>
      <c r="IB164"/>
      <c r="IC164"/>
      <c r="ID164"/>
      <c r="IE164"/>
      <c r="IF164"/>
      <c r="IG164"/>
    </row>
    <row r="165" spans="1:241" s="1" customFormat="1" ht="33.75" customHeight="1">
      <c r="A165" s="55" t="s">
        <v>25</v>
      </c>
      <c r="B165" s="59"/>
      <c r="C165" s="59"/>
      <c r="D165" s="62"/>
      <c r="E165" s="62"/>
      <c r="F165" s="62">
        <f t="shared" si="16"/>
        <v>0</v>
      </c>
      <c r="G165" s="62"/>
      <c r="H165" s="62"/>
      <c r="I165" s="62"/>
      <c r="J165" s="62">
        <f t="shared" si="14"/>
        <v>0</v>
      </c>
      <c r="K165" s="63"/>
      <c r="L165" s="63"/>
      <c r="M165" s="63"/>
      <c r="N165" s="62"/>
      <c r="O165" s="62"/>
      <c r="P165" s="62">
        <f t="shared" si="15"/>
        <v>0</v>
      </c>
      <c r="IB165"/>
      <c r="IC165"/>
      <c r="ID165"/>
      <c r="IE165"/>
      <c r="IF165"/>
      <c r="IG165"/>
    </row>
    <row r="166" spans="1:241" s="1" customFormat="1" ht="33.75">
      <c r="A166" s="55" t="s">
        <v>125</v>
      </c>
      <c r="B166" s="59"/>
      <c r="C166" s="59"/>
      <c r="D166" s="62"/>
      <c r="E166" s="62">
        <f>E153/E145*100</f>
        <v>4.39766081871345</v>
      </c>
      <c r="F166" s="62">
        <f>E166</f>
        <v>4.39766081871345</v>
      </c>
      <c r="G166" s="62"/>
      <c r="H166" s="62">
        <f>H153/H145*100</f>
        <v>6.512280701754386</v>
      </c>
      <c r="I166" s="62"/>
      <c r="J166" s="62">
        <f>H166</f>
        <v>6.512280701754386</v>
      </c>
      <c r="K166" s="63"/>
      <c r="L166" s="63"/>
      <c r="M166" s="63"/>
      <c r="N166" s="62"/>
      <c r="O166" s="62">
        <f>O153/O145*100</f>
        <v>6.385964912280702</v>
      </c>
      <c r="P166" s="62">
        <f>O166</f>
        <v>6.385964912280702</v>
      </c>
      <c r="IB166"/>
      <c r="IC166"/>
      <c r="ID166"/>
      <c r="IE166"/>
      <c r="IF166"/>
      <c r="IG166"/>
    </row>
    <row r="167" spans="1:241" s="1" customFormat="1" ht="36" customHeight="1">
      <c r="A167" s="55" t="s">
        <v>124</v>
      </c>
      <c r="B167" s="59"/>
      <c r="C167" s="59"/>
      <c r="D167" s="62">
        <f>D152/D146*100</f>
        <v>3.0643513789581203</v>
      </c>
      <c r="E167" s="62"/>
      <c r="F167" s="62">
        <f>D167</f>
        <v>3.0643513789581203</v>
      </c>
      <c r="G167" s="62">
        <f>G152/G146*100</f>
        <v>4.085801838610827</v>
      </c>
      <c r="H167" s="62"/>
      <c r="I167" s="62"/>
      <c r="J167" s="62">
        <f>G167</f>
        <v>4.085801838610827</v>
      </c>
      <c r="K167" s="63"/>
      <c r="L167" s="63"/>
      <c r="M167" s="63"/>
      <c r="N167" s="62">
        <f>N152/N146*100</f>
        <v>5.107252298263534</v>
      </c>
      <c r="O167" s="62"/>
      <c r="P167" s="62">
        <f>N167</f>
        <v>5.107252298263534</v>
      </c>
      <c r="IB167"/>
      <c r="IC167"/>
      <c r="ID167"/>
      <c r="IE167"/>
      <c r="IF167"/>
      <c r="IG167"/>
    </row>
    <row r="168" spans="1:241" s="1" customFormat="1" ht="24" customHeight="1">
      <c r="A168" s="55" t="s">
        <v>126</v>
      </c>
      <c r="B168" s="59"/>
      <c r="C168" s="59"/>
      <c r="D168" s="62">
        <f>D155/D148*100</f>
        <v>9.654839488293506</v>
      </c>
      <c r="E168" s="62"/>
      <c r="F168" s="62">
        <f>D168</f>
        <v>9.654839488293506</v>
      </c>
      <c r="G168" s="62">
        <f>G155/G148*100</f>
        <v>10.861694424330196</v>
      </c>
      <c r="H168" s="62"/>
      <c r="I168" s="62"/>
      <c r="J168" s="62">
        <f>G168</f>
        <v>10.861694424330196</v>
      </c>
      <c r="K168" s="63"/>
      <c r="L168" s="63"/>
      <c r="M168" s="63"/>
      <c r="N168" s="62">
        <f>N155/N148*100</f>
        <v>16.895969104513636</v>
      </c>
      <c r="O168" s="62"/>
      <c r="P168" s="62">
        <f>N168</f>
        <v>16.895969104513636</v>
      </c>
      <c r="IB168"/>
      <c r="IC168"/>
      <c r="ID168"/>
      <c r="IE168"/>
      <c r="IF168"/>
      <c r="IG168"/>
    </row>
    <row r="169" spans="1:241" s="91" customFormat="1" ht="38.25" customHeight="1">
      <c r="A169" s="82" t="s">
        <v>348</v>
      </c>
      <c r="B169" s="88"/>
      <c r="C169" s="88"/>
      <c r="D169" s="89">
        <f>(D181*D192)+(D182*D193)+(D183*D194)+(D185*D196)+(D186*D197)+(D198*D187)+(D189*D200)+1079.17+(D188*D199)+(D190*D201)+396.52</f>
        <v>7377800</v>
      </c>
      <c r="E169" s="89">
        <f>E184*E195+200</f>
        <v>102500</v>
      </c>
      <c r="F169" s="89">
        <f>D169+E169</f>
        <v>7480300</v>
      </c>
      <c r="G169" s="89">
        <f>(G181*G192)+(G182*G193)+(G183*G194)+(G185*G196)+(G186*G197)+(G198*G187)+(G189*G200)+(G190*G201)</f>
        <v>9363200.00388926</v>
      </c>
      <c r="H169" s="89">
        <f>H184*H195+H182*H193</f>
        <v>82500</v>
      </c>
      <c r="I169" s="89"/>
      <c r="J169" s="89">
        <f>G169+H169</f>
        <v>9445700.00388926</v>
      </c>
      <c r="K169" s="89">
        <f>(K181*K192)+(K182*K193)+(K183*K194)+(K185*K196)+(K186*K197)+(K198*K187)+(K189*K200)-1036.73</f>
        <v>-1036.73</v>
      </c>
      <c r="L169" s="89">
        <f>(L181*L192)+(L182*L193)+(L183*L194)+(L185*L196)+(L186*L197)+(L198*L187)+(L189*L200)-1036.73</f>
        <v>-1036.73</v>
      </c>
      <c r="M169" s="89">
        <f>(M181*M192)+(M182*M193)+(M183*M194)+(M185*M196)+(M186*M197)+(M198*M187)+(M189*M200)-1036.73</f>
        <v>-1036.73</v>
      </c>
      <c r="N169" s="89">
        <f>(N181*N192)+(N182*N193)+(N183*N194)+(N185*N196)+(N186*N197)+(N198*N187)+(N189*N200)+(N190*N201)+12.8</f>
        <v>12686899.999990236</v>
      </c>
      <c r="O169" s="89">
        <f>O184*O195</f>
        <v>99000</v>
      </c>
      <c r="P169" s="89">
        <f>N169+O169</f>
        <v>12785899.999990236</v>
      </c>
      <c r="IB169" s="92"/>
      <c r="IC169" s="92"/>
      <c r="ID169" s="92"/>
      <c r="IE169" s="92"/>
      <c r="IF169" s="92"/>
      <c r="IG169" s="92"/>
    </row>
    <row r="170" spans="1:241" s="1" customFormat="1" ht="30.75" customHeight="1" hidden="1">
      <c r="A170" s="22" t="s">
        <v>49</v>
      </c>
      <c r="B170" s="12"/>
      <c r="C170" s="12"/>
      <c r="D170" s="13" t="e">
        <f>D181*D194+E182*#REF!+D185*#REF!+#REF!*#REF!+#REF!*E196+#REF!*D198+#REF!*D193+E186*E197</f>
        <v>#REF!</v>
      </c>
      <c r="E170" s="13" t="e">
        <f>E181*E194+#REF!*#REF!+E185*#REF!+#REF!*#REF!+#REF!*#REF!+#REF!*E198+#REF!*E193+#REF!*#REF!</f>
        <v>#REF!</v>
      </c>
      <c r="F170" s="13" t="e">
        <f>F181*F194+F182*#REF!+F185*#REF!+#REF!*#REF!+#REF!*F196+#REF!*F198+#REF!*F193+F186*F197</f>
        <v>#REF!</v>
      </c>
      <c r="G170" s="13" t="e">
        <f>G181*G194+H182*#REF!+G185*#REF!+#REF!*#REF!+#REF!*H196+#REF!*G198+#REF!*G193+H186*H197</f>
        <v>#REF!</v>
      </c>
      <c r="H170" s="13" t="e">
        <f>H181*H194+#REF!*#REF!+H185*#REF!+#REF!*#REF!+#REF!*#REF!+#REF!*H198+#REF!*H193+#REF!*#REF!</f>
        <v>#REF!</v>
      </c>
      <c r="I170" s="13"/>
      <c r="J170" s="13" t="e">
        <f>J181*J194+J182*#REF!+J185*#REF!+#REF!*#REF!+#REF!*J196+#REF!*J198+#REF!*J193+J186*J197</f>
        <v>#REF!</v>
      </c>
      <c r="K170" s="16"/>
      <c r="L170" s="16"/>
      <c r="M170" s="16"/>
      <c r="N170" s="13" t="e">
        <f>N181*N194+O182*#REF!+N185*#REF!+#REF!*#REF!+#REF!*O196+#REF!*N198+#REF!*N193+O186*N197</f>
        <v>#REF!</v>
      </c>
      <c r="O170" s="13" t="e">
        <f>O181*O194+#REF!*#REF!+O185*#REF!+#REF!*#REF!+#REF!*#REF!+#REF!*O198+#REF!*O193+#REF!*O197</f>
        <v>#REF!</v>
      </c>
      <c r="P170" s="13" t="e">
        <f>P181*P194+P182*#REF!+P185*#REF!+#REF!*#REF!+#REF!*P196+#REF!*P198+#REF!*P193+P186*P197</f>
        <v>#REF!</v>
      </c>
      <c r="IB170"/>
      <c r="IC170"/>
      <c r="ID170"/>
      <c r="IE170"/>
      <c r="IF170"/>
      <c r="IG170"/>
    </row>
    <row r="171" spans="1:241" s="1" customFormat="1" ht="12">
      <c r="A171" s="54" t="s">
        <v>4</v>
      </c>
      <c r="B171" s="61"/>
      <c r="C171" s="61"/>
      <c r="D171" s="129"/>
      <c r="E171" s="129"/>
      <c r="F171" s="129"/>
      <c r="G171" s="129"/>
      <c r="H171" s="129"/>
      <c r="I171" s="129"/>
      <c r="J171" s="129"/>
      <c r="K171" s="63"/>
      <c r="L171" s="63"/>
      <c r="M171" s="63"/>
      <c r="N171" s="129"/>
      <c r="O171" s="129"/>
      <c r="P171" s="129"/>
      <c r="IB171"/>
      <c r="IC171"/>
      <c r="ID171"/>
      <c r="IE171"/>
      <c r="IF171"/>
      <c r="IG171"/>
    </row>
    <row r="172" spans="1:241" s="1" customFormat="1" ht="34.5" customHeight="1">
      <c r="A172" s="55" t="s">
        <v>127</v>
      </c>
      <c r="B172" s="59"/>
      <c r="C172" s="59"/>
      <c r="D172" s="62">
        <v>76.23</v>
      </c>
      <c r="E172" s="62"/>
      <c r="F172" s="62">
        <f aca="true" t="shared" si="17" ref="F172:F179">D172</f>
        <v>76.23</v>
      </c>
      <c r="G172" s="62">
        <f>F172</f>
        <v>76.23</v>
      </c>
      <c r="H172" s="62"/>
      <c r="I172" s="62"/>
      <c r="J172" s="62">
        <f>G172</f>
        <v>76.23</v>
      </c>
      <c r="K172" s="63"/>
      <c r="L172" s="63"/>
      <c r="M172" s="63"/>
      <c r="N172" s="62">
        <f>G172</f>
        <v>76.23</v>
      </c>
      <c r="O172" s="62"/>
      <c r="P172" s="62">
        <f>N172</f>
        <v>76.23</v>
      </c>
      <c r="IB172"/>
      <c r="IC172"/>
      <c r="ID172"/>
      <c r="IE172"/>
      <c r="IF172"/>
      <c r="IG172"/>
    </row>
    <row r="173" spans="1:241" s="1" customFormat="1" ht="22.5">
      <c r="A173" s="55" t="s">
        <v>128</v>
      </c>
      <c r="B173" s="59"/>
      <c r="C173" s="59"/>
      <c r="D173" s="62">
        <v>4850</v>
      </c>
      <c r="E173" s="62"/>
      <c r="F173" s="62">
        <f t="shared" si="17"/>
        <v>4850</v>
      </c>
      <c r="G173" s="62">
        <f>F173</f>
        <v>4850</v>
      </c>
      <c r="H173" s="62"/>
      <c r="I173" s="62"/>
      <c r="J173" s="62">
        <f>G173</f>
        <v>4850</v>
      </c>
      <c r="K173" s="63"/>
      <c r="L173" s="63"/>
      <c r="M173" s="63"/>
      <c r="N173" s="62">
        <v>4850</v>
      </c>
      <c r="O173" s="62"/>
      <c r="P173" s="62">
        <f>N173</f>
        <v>4850</v>
      </c>
      <c r="IB173"/>
      <c r="IC173"/>
      <c r="ID173"/>
      <c r="IE173"/>
      <c r="IF173"/>
      <c r="IG173"/>
    </row>
    <row r="174" spans="1:241" s="1" customFormat="1" ht="22.5">
      <c r="A174" s="55" t="s">
        <v>129</v>
      </c>
      <c r="B174" s="59"/>
      <c r="C174" s="59"/>
      <c r="D174" s="62">
        <v>2005</v>
      </c>
      <c r="E174" s="62"/>
      <c r="F174" s="62">
        <f t="shared" si="17"/>
        <v>2005</v>
      </c>
      <c r="G174" s="62">
        <f>F174</f>
        <v>2005</v>
      </c>
      <c r="H174" s="62"/>
      <c r="I174" s="62"/>
      <c r="J174" s="62">
        <f>G174</f>
        <v>2005</v>
      </c>
      <c r="K174" s="63"/>
      <c r="L174" s="63"/>
      <c r="M174" s="63"/>
      <c r="N174" s="62">
        <v>2005</v>
      </c>
      <c r="O174" s="62"/>
      <c r="P174" s="62">
        <f>N174</f>
        <v>2005</v>
      </c>
      <c r="IB174"/>
      <c r="IC174"/>
      <c r="ID174"/>
      <c r="IE174"/>
      <c r="IF174"/>
      <c r="IG174"/>
    </row>
    <row r="175" spans="1:241" s="1" customFormat="1" ht="24.75" customHeight="1">
      <c r="A175" s="55" t="s">
        <v>212</v>
      </c>
      <c r="B175" s="59"/>
      <c r="C175" s="59"/>
      <c r="D175" s="62"/>
      <c r="E175" s="62">
        <v>5396</v>
      </c>
      <c r="F175" s="62">
        <f>E175</f>
        <v>5396</v>
      </c>
      <c r="G175" s="62"/>
      <c r="H175" s="62">
        <f>E175</f>
        <v>5396</v>
      </c>
      <c r="I175" s="62"/>
      <c r="J175" s="62">
        <f>H175</f>
        <v>5396</v>
      </c>
      <c r="K175" s="63"/>
      <c r="L175" s="63"/>
      <c r="M175" s="63"/>
      <c r="N175" s="62"/>
      <c r="O175" s="62">
        <f>H175</f>
        <v>5396</v>
      </c>
      <c r="P175" s="62">
        <f>O175</f>
        <v>5396</v>
      </c>
      <c r="IB175"/>
      <c r="IC175"/>
      <c r="ID175"/>
      <c r="IE175"/>
      <c r="IF175"/>
      <c r="IG175"/>
    </row>
    <row r="176" spans="1:241" s="1" customFormat="1" ht="25.5" customHeight="1">
      <c r="A176" s="55" t="s">
        <v>146</v>
      </c>
      <c r="B176" s="59"/>
      <c r="C176" s="59"/>
      <c r="D176" s="62">
        <v>230</v>
      </c>
      <c r="E176" s="62"/>
      <c r="F176" s="62">
        <f t="shared" si="17"/>
        <v>230</v>
      </c>
      <c r="G176" s="62">
        <v>250</v>
      </c>
      <c r="H176" s="62"/>
      <c r="I176" s="62"/>
      <c r="J176" s="62">
        <f>G176</f>
        <v>250</v>
      </c>
      <c r="K176" s="63"/>
      <c r="L176" s="63"/>
      <c r="M176" s="63"/>
      <c r="N176" s="62">
        <v>270</v>
      </c>
      <c r="O176" s="62"/>
      <c r="P176" s="62">
        <f>N176</f>
        <v>270</v>
      </c>
      <c r="IB176"/>
      <c r="IC176"/>
      <c r="ID176"/>
      <c r="IE176"/>
      <c r="IF176"/>
      <c r="IG176"/>
    </row>
    <row r="177" spans="1:241" s="1" customFormat="1" ht="29.25" customHeight="1">
      <c r="A177" s="55" t="s">
        <v>130</v>
      </c>
      <c r="B177" s="59"/>
      <c r="C177" s="59"/>
      <c r="D177" s="62">
        <v>76.26</v>
      </c>
      <c r="E177" s="62"/>
      <c r="F177" s="62">
        <f t="shared" si="17"/>
        <v>76.26</v>
      </c>
      <c r="G177" s="62">
        <f>F177</f>
        <v>76.26</v>
      </c>
      <c r="H177" s="62"/>
      <c r="I177" s="62"/>
      <c r="J177" s="62">
        <f>G177</f>
        <v>76.26</v>
      </c>
      <c r="K177" s="63"/>
      <c r="L177" s="63"/>
      <c r="M177" s="63"/>
      <c r="N177" s="62">
        <f>J177</f>
        <v>76.26</v>
      </c>
      <c r="O177" s="62"/>
      <c r="P177" s="62">
        <f>N177</f>
        <v>76.26</v>
      </c>
      <c r="IB177"/>
      <c r="IC177"/>
      <c r="ID177"/>
      <c r="IE177"/>
      <c r="IF177"/>
      <c r="IG177"/>
    </row>
    <row r="178" spans="1:241" s="1" customFormat="1" ht="31.5" customHeight="1">
      <c r="A178" s="55" t="s">
        <v>78</v>
      </c>
      <c r="B178" s="59"/>
      <c r="C178" s="59"/>
      <c r="D178" s="62">
        <v>280000</v>
      </c>
      <c r="E178" s="62"/>
      <c r="F178" s="62">
        <f t="shared" si="17"/>
        <v>280000</v>
      </c>
      <c r="G178" s="62"/>
      <c r="H178" s="62"/>
      <c r="I178" s="62"/>
      <c r="J178" s="62"/>
      <c r="K178" s="63"/>
      <c r="L178" s="63"/>
      <c r="M178" s="63"/>
      <c r="N178" s="62"/>
      <c r="O178" s="62"/>
      <c r="P178" s="62"/>
      <c r="IB178"/>
      <c r="IC178"/>
      <c r="ID178"/>
      <c r="IE178"/>
      <c r="IF178"/>
      <c r="IG178"/>
    </row>
    <row r="179" spans="1:241" s="112" customFormat="1" ht="29.25" customHeight="1">
      <c r="A179" s="109" t="s">
        <v>228</v>
      </c>
      <c r="B179" s="110"/>
      <c r="C179" s="110"/>
      <c r="D179" s="114">
        <v>11.549</v>
      </c>
      <c r="E179" s="114"/>
      <c r="F179" s="114">
        <f t="shared" si="17"/>
        <v>11.549</v>
      </c>
      <c r="G179" s="114">
        <v>11.549</v>
      </c>
      <c r="H179" s="114"/>
      <c r="I179" s="114">
        <f>G179</f>
        <v>11.549</v>
      </c>
      <c r="J179" s="114"/>
      <c r="K179" s="111"/>
      <c r="L179" s="111"/>
      <c r="M179" s="111"/>
      <c r="N179" s="114">
        <v>11.55</v>
      </c>
      <c r="O179" s="114"/>
      <c r="P179" s="114">
        <f>N179</f>
        <v>11.55</v>
      </c>
      <c r="IB179" s="113"/>
      <c r="IC179" s="113"/>
      <c r="ID179" s="113"/>
      <c r="IE179" s="113"/>
      <c r="IF179" s="113"/>
      <c r="IG179" s="113"/>
    </row>
    <row r="180" spans="1:241" s="1" customFormat="1" ht="12">
      <c r="A180" s="54" t="s">
        <v>5</v>
      </c>
      <c r="B180" s="61"/>
      <c r="C180" s="61"/>
      <c r="D180" s="129"/>
      <c r="E180" s="129"/>
      <c r="F180" s="129"/>
      <c r="G180" s="129"/>
      <c r="H180" s="129"/>
      <c r="I180" s="129"/>
      <c r="J180" s="62"/>
      <c r="K180" s="63"/>
      <c r="L180" s="63"/>
      <c r="M180" s="63"/>
      <c r="N180" s="129"/>
      <c r="O180" s="129"/>
      <c r="P180" s="62"/>
      <c r="IB180"/>
      <c r="IC180"/>
      <c r="ID180"/>
      <c r="IE180"/>
      <c r="IF180"/>
      <c r="IG180"/>
    </row>
    <row r="181" spans="1:241" s="1" customFormat="1" ht="28.5" customHeight="1">
      <c r="A181" s="55" t="s">
        <v>131</v>
      </c>
      <c r="B181" s="59"/>
      <c r="C181" s="59"/>
      <c r="D181" s="62">
        <v>76.23</v>
      </c>
      <c r="E181" s="62"/>
      <c r="F181" s="62">
        <f>D181</f>
        <v>76.23</v>
      </c>
      <c r="G181" s="62">
        <f>F181</f>
        <v>76.23</v>
      </c>
      <c r="H181" s="62"/>
      <c r="I181" s="62"/>
      <c r="J181" s="62">
        <f aca="true" t="shared" si="18" ref="J181:J187">G181</f>
        <v>76.23</v>
      </c>
      <c r="K181" s="63"/>
      <c r="L181" s="63"/>
      <c r="M181" s="63"/>
      <c r="N181" s="62">
        <f>J181</f>
        <v>76.23</v>
      </c>
      <c r="O181" s="62"/>
      <c r="P181" s="62">
        <f aca="true" t="shared" si="19" ref="P181:P187">N181</f>
        <v>76.23</v>
      </c>
      <c r="IB181"/>
      <c r="IC181"/>
      <c r="ID181"/>
      <c r="IE181"/>
      <c r="IF181"/>
      <c r="IG181"/>
    </row>
    <row r="182" spans="1:241" s="112" customFormat="1" ht="22.5">
      <c r="A182" s="109" t="s">
        <v>132</v>
      </c>
      <c r="B182" s="110"/>
      <c r="C182" s="110"/>
      <c r="D182" s="114">
        <f>520+17</f>
        <v>537</v>
      </c>
      <c r="E182" s="114"/>
      <c r="F182" s="114">
        <f aca="true" t="shared" si="20" ref="F182:F190">D182</f>
        <v>537</v>
      </c>
      <c r="G182" s="114">
        <f>565+18+58+100+1</f>
        <v>742</v>
      </c>
      <c r="H182" s="114"/>
      <c r="I182" s="114"/>
      <c r="J182" s="114">
        <f t="shared" si="18"/>
        <v>742</v>
      </c>
      <c r="K182" s="111"/>
      <c r="L182" s="111"/>
      <c r="M182" s="111"/>
      <c r="N182" s="114">
        <v>751</v>
      </c>
      <c r="O182" s="114"/>
      <c r="P182" s="114">
        <f t="shared" si="19"/>
        <v>751</v>
      </c>
      <c r="IB182" s="113"/>
      <c r="IC182" s="113"/>
      <c r="ID182" s="113"/>
      <c r="IE182" s="113"/>
      <c r="IF182" s="113"/>
      <c r="IG182" s="113"/>
    </row>
    <row r="183" spans="1:241" s="112" customFormat="1" ht="26.25" customHeight="1">
      <c r="A183" s="109" t="s">
        <v>133</v>
      </c>
      <c r="B183" s="110"/>
      <c r="C183" s="110"/>
      <c r="D183" s="114">
        <v>366</v>
      </c>
      <c r="E183" s="114"/>
      <c r="F183" s="114">
        <f t="shared" si="20"/>
        <v>366</v>
      </c>
      <c r="G183" s="114">
        <v>505</v>
      </c>
      <c r="H183" s="114"/>
      <c r="I183" s="114"/>
      <c r="J183" s="114">
        <f t="shared" si="18"/>
        <v>505</v>
      </c>
      <c r="K183" s="111"/>
      <c r="L183" s="111"/>
      <c r="M183" s="111"/>
      <c r="N183" s="114">
        <v>825</v>
      </c>
      <c r="O183" s="114"/>
      <c r="P183" s="114">
        <f t="shared" si="19"/>
        <v>825</v>
      </c>
      <c r="IB183" s="113"/>
      <c r="IC183" s="113"/>
      <c r="ID183" s="113"/>
      <c r="IE183" s="113"/>
      <c r="IF183" s="113"/>
      <c r="IG183" s="113"/>
    </row>
    <row r="184" spans="1:241" s="1" customFormat="1" ht="26.25" customHeight="1">
      <c r="A184" s="55" t="s">
        <v>213</v>
      </c>
      <c r="B184" s="59"/>
      <c r="C184" s="59"/>
      <c r="D184" s="62"/>
      <c r="E184" s="62">
        <f>150+36</f>
        <v>186</v>
      </c>
      <c r="F184" s="62">
        <f>E184</f>
        <v>186</v>
      </c>
      <c r="G184" s="62"/>
      <c r="H184" s="62">
        <v>150</v>
      </c>
      <c r="I184" s="62"/>
      <c r="J184" s="62">
        <f>H184</f>
        <v>150</v>
      </c>
      <c r="K184" s="63"/>
      <c r="L184" s="63"/>
      <c r="M184" s="63"/>
      <c r="N184" s="62"/>
      <c r="O184" s="62">
        <v>180</v>
      </c>
      <c r="P184" s="62">
        <f>O184</f>
        <v>180</v>
      </c>
      <c r="IB184"/>
      <c r="IC184"/>
      <c r="ID184"/>
      <c r="IE184"/>
      <c r="IF184"/>
      <c r="IG184"/>
    </row>
    <row r="185" spans="1:241" s="1" customFormat="1" ht="22.5">
      <c r="A185" s="55" t="s">
        <v>145</v>
      </c>
      <c r="B185" s="59"/>
      <c r="C185" s="59"/>
      <c r="D185" s="62">
        <v>222</v>
      </c>
      <c r="E185" s="62"/>
      <c r="F185" s="62">
        <f t="shared" si="20"/>
        <v>222</v>
      </c>
      <c r="G185" s="62">
        <v>243</v>
      </c>
      <c r="H185" s="62"/>
      <c r="I185" s="62"/>
      <c r="J185" s="62">
        <f t="shared" si="18"/>
        <v>243</v>
      </c>
      <c r="K185" s="63"/>
      <c r="L185" s="63"/>
      <c r="M185" s="63"/>
      <c r="N185" s="62">
        <v>268</v>
      </c>
      <c r="O185" s="62"/>
      <c r="P185" s="62">
        <f t="shared" si="19"/>
        <v>268</v>
      </c>
      <c r="IB185"/>
      <c r="IC185"/>
      <c r="ID185"/>
      <c r="IE185"/>
      <c r="IF185"/>
      <c r="IG185"/>
    </row>
    <row r="186" spans="1:241" s="1" customFormat="1" ht="22.5">
      <c r="A186" s="55" t="s">
        <v>134</v>
      </c>
      <c r="B186" s="59"/>
      <c r="C186" s="59"/>
      <c r="D186" s="62">
        <v>76.26</v>
      </c>
      <c r="E186" s="62"/>
      <c r="F186" s="62">
        <f t="shared" si="20"/>
        <v>76.26</v>
      </c>
      <c r="G186" s="62">
        <v>76.26</v>
      </c>
      <c r="H186" s="62"/>
      <c r="I186" s="62"/>
      <c r="J186" s="62">
        <f t="shared" si="18"/>
        <v>76.26</v>
      </c>
      <c r="K186" s="63"/>
      <c r="L186" s="63"/>
      <c r="M186" s="63"/>
      <c r="N186" s="62">
        <f>J186</f>
        <v>76.26</v>
      </c>
      <c r="O186" s="62"/>
      <c r="P186" s="62">
        <f t="shared" si="19"/>
        <v>76.26</v>
      </c>
      <c r="IB186"/>
      <c r="IC186"/>
      <c r="ID186"/>
      <c r="IE186"/>
      <c r="IF186"/>
      <c r="IG186"/>
    </row>
    <row r="187" spans="1:241" s="1" customFormat="1" ht="24" customHeight="1">
      <c r="A187" s="55" t="s">
        <v>135</v>
      </c>
      <c r="B187" s="59"/>
      <c r="C187" s="59"/>
      <c r="D187" s="62">
        <v>49006</v>
      </c>
      <c r="E187" s="62"/>
      <c r="F187" s="62">
        <f t="shared" si="20"/>
        <v>49006</v>
      </c>
      <c r="G187" s="62">
        <f>F187</f>
        <v>49006</v>
      </c>
      <c r="H187" s="62"/>
      <c r="I187" s="62"/>
      <c r="J187" s="62">
        <f t="shared" si="18"/>
        <v>49006</v>
      </c>
      <c r="K187" s="63"/>
      <c r="L187" s="63"/>
      <c r="M187" s="63"/>
      <c r="N187" s="62">
        <f>J187</f>
        <v>49006</v>
      </c>
      <c r="O187" s="62"/>
      <c r="P187" s="62">
        <f t="shared" si="19"/>
        <v>49006</v>
      </c>
      <c r="IB187"/>
      <c r="IC187"/>
      <c r="ID187"/>
      <c r="IE187"/>
      <c r="IF187"/>
      <c r="IG187"/>
    </row>
    <row r="188" spans="1:241" s="1" customFormat="1" ht="24" customHeight="1">
      <c r="A188" s="55" t="s">
        <v>215</v>
      </c>
      <c r="B188" s="59"/>
      <c r="C188" s="59"/>
      <c r="D188" s="62">
        <v>25</v>
      </c>
      <c r="E188" s="62"/>
      <c r="F188" s="62">
        <f t="shared" si="20"/>
        <v>25</v>
      </c>
      <c r="G188" s="62"/>
      <c r="H188" s="62"/>
      <c r="I188" s="62"/>
      <c r="J188" s="62"/>
      <c r="K188" s="63"/>
      <c r="L188" s="63"/>
      <c r="M188" s="63"/>
      <c r="N188" s="62"/>
      <c r="O188" s="62"/>
      <c r="P188" s="62"/>
      <c r="IB188"/>
      <c r="IC188"/>
      <c r="ID188"/>
      <c r="IE188"/>
      <c r="IF188"/>
      <c r="IG188"/>
    </row>
    <row r="189" spans="1:241" s="1" customFormat="1" ht="28.5" customHeight="1">
      <c r="A189" s="55" t="s">
        <v>77</v>
      </c>
      <c r="B189" s="59"/>
      <c r="C189" s="59"/>
      <c r="D189" s="62">
        <v>4</v>
      </c>
      <c r="E189" s="62"/>
      <c r="F189" s="62">
        <f t="shared" si="20"/>
        <v>4</v>
      </c>
      <c r="G189" s="62"/>
      <c r="H189" s="62"/>
      <c r="I189" s="62"/>
      <c r="J189" s="62"/>
      <c r="K189" s="63"/>
      <c r="L189" s="63"/>
      <c r="M189" s="63"/>
      <c r="N189" s="62"/>
      <c r="O189" s="62"/>
      <c r="P189" s="62"/>
      <c r="IB189"/>
      <c r="IC189"/>
      <c r="ID189"/>
      <c r="IE189"/>
      <c r="IF189"/>
      <c r="IG189"/>
    </row>
    <row r="190" spans="1:241" s="112" customFormat="1" ht="28.5" customHeight="1">
      <c r="A190" s="109" t="s">
        <v>229</v>
      </c>
      <c r="B190" s="110"/>
      <c r="C190" s="110"/>
      <c r="D190" s="114">
        <v>11.549</v>
      </c>
      <c r="E190" s="114"/>
      <c r="F190" s="114">
        <f t="shared" si="20"/>
        <v>11.549</v>
      </c>
      <c r="G190" s="114">
        <v>11.549</v>
      </c>
      <c r="H190" s="114"/>
      <c r="I190" s="114"/>
      <c r="J190" s="114">
        <v>11.55</v>
      </c>
      <c r="K190" s="111"/>
      <c r="L190" s="111"/>
      <c r="M190" s="111"/>
      <c r="N190" s="114">
        <v>11.55</v>
      </c>
      <c r="O190" s="114"/>
      <c r="P190" s="114">
        <v>11.55</v>
      </c>
      <c r="IB190" s="113"/>
      <c r="IC190" s="113"/>
      <c r="ID190" s="113"/>
      <c r="IE190" s="113"/>
      <c r="IF190" s="113"/>
      <c r="IG190" s="113"/>
    </row>
    <row r="191" spans="1:241" s="1" customFormat="1" ht="12">
      <c r="A191" s="54" t="s">
        <v>7</v>
      </c>
      <c r="B191" s="61"/>
      <c r="C191" s="61"/>
      <c r="D191" s="129"/>
      <c r="E191" s="129"/>
      <c r="F191" s="62"/>
      <c r="G191" s="129"/>
      <c r="H191" s="129"/>
      <c r="I191" s="129"/>
      <c r="J191" s="62"/>
      <c r="K191" s="63"/>
      <c r="L191" s="63"/>
      <c r="M191" s="63"/>
      <c r="N191" s="129"/>
      <c r="O191" s="129"/>
      <c r="P191" s="62"/>
      <c r="IB191"/>
      <c r="IC191"/>
      <c r="ID191"/>
      <c r="IE191"/>
      <c r="IF191"/>
      <c r="IG191"/>
    </row>
    <row r="192" spans="1:241" s="1" customFormat="1" ht="33.75">
      <c r="A192" s="55" t="s">
        <v>136</v>
      </c>
      <c r="B192" s="61"/>
      <c r="C192" s="61"/>
      <c r="D192" s="62">
        <v>34763</v>
      </c>
      <c r="E192" s="129"/>
      <c r="F192" s="62">
        <f>D192</f>
        <v>34763</v>
      </c>
      <c r="G192" s="62">
        <v>41725</v>
      </c>
      <c r="H192" s="129"/>
      <c r="I192" s="129"/>
      <c r="J192" s="62">
        <f aca="true" t="shared" si="21" ref="J192:J198">G192</f>
        <v>41725</v>
      </c>
      <c r="K192" s="63"/>
      <c r="L192" s="63"/>
      <c r="M192" s="63"/>
      <c r="N192" s="62">
        <v>52693</v>
      </c>
      <c r="O192" s="129"/>
      <c r="P192" s="62">
        <f aca="true" t="shared" si="22" ref="P192:P201">N192</f>
        <v>52693</v>
      </c>
      <c r="IB192"/>
      <c r="IC192"/>
      <c r="ID192"/>
      <c r="IE192"/>
      <c r="IF192"/>
      <c r="IG192"/>
    </row>
    <row r="193" spans="1:241" s="1" customFormat="1" ht="22.5">
      <c r="A193" s="55" t="s">
        <v>137</v>
      </c>
      <c r="B193" s="59"/>
      <c r="C193" s="59"/>
      <c r="D193" s="62">
        <v>1500</v>
      </c>
      <c r="E193" s="62"/>
      <c r="F193" s="62">
        <f>D193</f>
        <v>1500</v>
      </c>
      <c r="G193" s="62">
        <v>2500.45458853</v>
      </c>
      <c r="H193" s="62"/>
      <c r="I193" s="62"/>
      <c r="J193" s="62">
        <f t="shared" si="21"/>
        <v>2500.45458853</v>
      </c>
      <c r="K193" s="63"/>
      <c r="L193" s="63"/>
      <c r="M193" s="63"/>
      <c r="N193" s="62">
        <v>2926.53262316</v>
      </c>
      <c r="O193" s="62"/>
      <c r="P193" s="62">
        <f t="shared" si="22"/>
        <v>2926.53262316</v>
      </c>
      <c r="IB193"/>
      <c r="IC193"/>
      <c r="ID193"/>
      <c r="IE193"/>
      <c r="IF193"/>
      <c r="IG193"/>
    </row>
    <row r="194" spans="1:241" s="1" customFormat="1" ht="22.5">
      <c r="A194" s="55" t="s">
        <v>138</v>
      </c>
      <c r="B194" s="59"/>
      <c r="C194" s="59"/>
      <c r="D194" s="62">
        <v>320</v>
      </c>
      <c r="E194" s="62"/>
      <c r="F194" s="62">
        <f aca="true" t="shared" si="23" ref="F194:F201">D194</f>
        <v>320</v>
      </c>
      <c r="G194" s="62">
        <v>420</v>
      </c>
      <c r="H194" s="62"/>
      <c r="I194" s="62"/>
      <c r="J194" s="62">
        <f t="shared" si="21"/>
        <v>420</v>
      </c>
      <c r="K194" s="63"/>
      <c r="L194" s="63"/>
      <c r="M194" s="63"/>
      <c r="N194" s="62">
        <v>550</v>
      </c>
      <c r="O194" s="62"/>
      <c r="P194" s="62">
        <f t="shared" si="22"/>
        <v>550</v>
      </c>
      <c r="IB194"/>
      <c r="IC194"/>
      <c r="ID194"/>
      <c r="IE194"/>
      <c r="IF194"/>
      <c r="IG194"/>
    </row>
    <row r="195" spans="1:241" s="1" customFormat="1" ht="27" customHeight="1">
      <c r="A195" s="55" t="s">
        <v>214</v>
      </c>
      <c r="B195" s="59"/>
      <c r="C195" s="59"/>
      <c r="D195" s="62"/>
      <c r="E195" s="62">
        <v>550</v>
      </c>
      <c r="F195" s="62">
        <f>E195</f>
        <v>550</v>
      </c>
      <c r="G195" s="62"/>
      <c r="H195" s="62">
        <v>550</v>
      </c>
      <c r="I195" s="62"/>
      <c r="J195" s="62">
        <f>H195</f>
        <v>550</v>
      </c>
      <c r="K195" s="63"/>
      <c r="L195" s="63"/>
      <c r="M195" s="63"/>
      <c r="N195" s="62"/>
      <c r="O195" s="62">
        <v>550</v>
      </c>
      <c r="P195" s="62">
        <f>O195</f>
        <v>550</v>
      </c>
      <c r="IB195"/>
      <c r="IC195"/>
      <c r="ID195"/>
      <c r="IE195"/>
      <c r="IF195"/>
      <c r="IG195"/>
    </row>
    <row r="196" spans="1:241" s="1" customFormat="1" ht="22.5">
      <c r="A196" s="55" t="s">
        <v>139</v>
      </c>
      <c r="B196" s="59"/>
      <c r="C196" s="59"/>
      <c r="D196" s="62">
        <v>5100</v>
      </c>
      <c r="E196" s="62"/>
      <c r="F196" s="62">
        <f t="shared" si="23"/>
        <v>5100</v>
      </c>
      <c r="G196" s="62">
        <v>5600</v>
      </c>
      <c r="H196" s="62"/>
      <c r="I196" s="62"/>
      <c r="J196" s="62">
        <f t="shared" si="21"/>
        <v>5600</v>
      </c>
      <c r="K196" s="63"/>
      <c r="L196" s="63"/>
      <c r="M196" s="63"/>
      <c r="N196" s="62">
        <v>6950</v>
      </c>
      <c r="O196" s="62"/>
      <c r="P196" s="62">
        <f t="shared" si="22"/>
        <v>6950</v>
      </c>
      <c r="IB196"/>
      <c r="IC196"/>
      <c r="ID196"/>
      <c r="IE196"/>
      <c r="IF196"/>
      <c r="IG196"/>
    </row>
    <row r="197" spans="1:241" s="1" customFormat="1" ht="22.5">
      <c r="A197" s="55" t="s">
        <v>140</v>
      </c>
      <c r="B197" s="59"/>
      <c r="C197" s="59"/>
      <c r="D197" s="62">
        <v>26850</v>
      </c>
      <c r="E197" s="62"/>
      <c r="F197" s="62">
        <f t="shared" si="23"/>
        <v>26850</v>
      </c>
      <c r="G197" s="62">
        <v>32317</v>
      </c>
      <c r="H197" s="62"/>
      <c r="I197" s="62"/>
      <c r="J197" s="62">
        <f t="shared" si="21"/>
        <v>32317</v>
      </c>
      <c r="K197" s="63"/>
      <c r="L197" s="63"/>
      <c r="M197" s="63"/>
      <c r="N197" s="114">
        <v>46499</v>
      </c>
      <c r="O197" s="62"/>
      <c r="P197" s="62">
        <f t="shared" si="22"/>
        <v>46499</v>
      </c>
      <c r="IB197"/>
      <c r="IC197"/>
      <c r="ID197"/>
      <c r="IE197"/>
      <c r="IF197"/>
      <c r="IG197"/>
    </row>
    <row r="198" spans="1:241" s="1" customFormat="1" ht="22.5">
      <c r="A198" s="55" t="s">
        <v>141</v>
      </c>
      <c r="B198" s="59"/>
      <c r="C198" s="59"/>
      <c r="D198" s="62">
        <v>4.39</v>
      </c>
      <c r="E198" s="62"/>
      <c r="F198" s="62">
        <f t="shared" si="23"/>
        <v>4.39</v>
      </c>
      <c r="G198" s="62">
        <v>5.26</v>
      </c>
      <c r="H198" s="62"/>
      <c r="I198" s="62"/>
      <c r="J198" s="62">
        <f t="shared" si="21"/>
        <v>5.26</v>
      </c>
      <c r="K198" s="63"/>
      <c r="L198" s="63"/>
      <c r="M198" s="63"/>
      <c r="N198" s="62">
        <v>10.9039723707</v>
      </c>
      <c r="O198" s="62"/>
      <c r="P198" s="62">
        <f t="shared" si="22"/>
        <v>10.9039723707</v>
      </c>
      <c r="IB198"/>
      <c r="IC198"/>
      <c r="ID198"/>
      <c r="IE198"/>
      <c r="IF198"/>
      <c r="IG198"/>
    </row>
    <row r="199" spans="1:241" s="1" customFormat="1" ht="27" customHeight="1">
      <c r="A199" s="55" t="s">
        <v>216</v>
      </c>
      <c r="B199" s="59"/>
      <c r="C199" s="59"/>
      <c r="D199" s="62">
        <v>3988</v>
      </c>
      <c r="E199" s="62"/>
      <c r="F199" s="62">
        <f t="shared" si="23"/>
        <v>3988</v>
      </c>
      <c r="G199" s="62"/>
      <c r="H199" s="62"/>
      <c r="I199" s="62"/>
      <c r="J199" s="62"/>
      <c r="K199" s="63"/>
      <c r="L199" s="63"/>
      <c r="M199" s="63"/>
      <c r="N199" s="62"/>
      <c r="O199" s="62"/>
      <c r="P199" s="62"/>
      <c r="IB199"/>
      <c r="IC199"/>
      <c r="ID199"/>
      <c r="IE199"/>
      <c r="IF199"/>
      <c r="IG199"/>
    </row>
    <row r="200" spans="1:241" s="1" customFormat="1" ht="33.75" customHeight="1">
      <c r="A200" s="55" t="s">
        <v>79</v>
      </c>
      <c r="B200" s="59"/>
      <c r="C200" s="59"/>
      <c r="D200" s="62">
        <v>70000</v>
      </c>
      <c r="E200" s="62"/>
      <c r="F200" s="62">
        <f t="shared" si="23"/>
        <v>70000</v>
      </c>
      <c r="G200" s="62"/>
      <c r="H200" s="62"/>
      <c r="I200" s="62"/>
      <c r="J200" s="62"/>
      <c r="K200" s="63"/>
      <c r="L200" s="63"/>
      <c r="M200" s="63"/>
      <c r="N200" s="62"/>
      <c r="O200" s="62"/>
      <c r="P200" s="62"/>
      <c r="IB200"/>
      <c r="IC200"/>
      <c r="ID200"/>
      <c r="IE200"/>
      <c r="IF200"/>
      <c r="IG200"/>
    </row>
    <row r="201" spans="1:241" s="112" customFormat="1" ht="33.75" customHeight="1">
      <c r="A201" s="109" t="s">
        <v>230</v>
      </c>
      <c r="B201" s="110"/>
      <c r="C201" s="110"/>
      <c r="D201" s="114">
        <v>2520</v>
      </c>
      <c r="E201" s="114"/>
      <c r="F201" s="114">
        <f t="shared" si="23"/>
        <v>2520</v>
      </c>
      <c r="G201" s="114">
        <v>2770.8</v>
      </c>
      <c r="H201" s="114"/>
      <c r="I201" s="114">
        <f>G201</f>
        <v>2770.8</v>
      </c>
      <c r="J201" s="114"/>
      <c r="K201" s="111"/>
      <c r="L201" s="111"/>
      <c r="M201" s="111"/>
      <c r="N201" s="114">
        <v>6541.125541</v>
      </c>
      <c r="O201" s="114"/>
      <c r="P201" s="62">
        <f t="shared" si="22"/>
        <v>6541.125541</v>
      </c>
      <c r="IB201" s="113"/>
      <c r="IC201" s="113"/>
      <c r="ID201" s="113"/>
      <c r="IE201" s="113"/>
      <c r="IF201" s="113"/>
      <c r="IG201" s="113"/>
    </row>
    <row r="202" spans="1:241" s="1" customFormat="1" ht="12">
      <c r="A202" s="54" t="s">
        <v>6</v>
      </c>
      <c r="B202" s="61"/>
      <c r="C202" s="61"/>
      <c r="D202" s="129"/>
      <c r="E202" s="129"/>
      <c r="F202" s="62"/>
      <c r="G202" s="129"/>
      <c r="H202" s="129"/>
      <c r="I202" s="129"/>
      <c r="J202" s="62"/>
      <c r="K202" s="63"/>
      <c r="L202" s="63"/>
      <c r="M202" s="63"/>
      <c r="N202" s="129"/>
      <c r="O202" s="129"/>
      <c r="P202" s="62"/>
      <c r="IB202"/>
      <c r="IC202"/>
      <c r="ID202"/>
      <c r="IE202"/>
      <c r="IF202"/>
      <c r="IG202"/>
    </row>
    <row r="203" spans="1:241" s="1" customFormat="1" ht="23.25" customHeight="1">
      <c r="A203" s="55" t="s">
        <v>142</v>
      </c>
      <c r="B203" s="59"/>
      <c r="C203" s="59"/>
      <c r="D203" s="62">
        <f>D181/D172*100</f>
        <v>100</v>
      </c>
      <c r="E203" s="62"/>
      <c r="F203" s="62">
        <f aca="true" t="shared" si="24" ref="F203:G205">F181/F172*100</f>
        <v>100</v>
      </c>
      <c r="G203" s="62">
        <f t="shared" si="24"/>
        <v>100</v>
      </c>
      <c r="H203" s="62"/>
      <c r="I203" s="62"/>
      <c r="J203" s="62">
        <f aca="true" t="shared" si="25" ref="J203:N205">J181/J172*100</f>
        <v>100</v>
      </c>
      <c r="K203" s="62" t="e">
        <f t="shared" si="25"/>
        <v>#DIV/0!</v>
      </c>
      <c r="L203" s="62" t="e">
        <f t="shared" si="25"/>
        <v>#DIV/0!</v>
      </c>
      <c r="M203" s="62" t="e">
        <f t="shared" si="25"/>
        <v>#DIV/0!</v>
      </c>
      <c r="N203" s="62">
        <f t="shared" si="25"/>
        <v>100</v>
      </c>
      <c r="O203" s="62"/>
      <c r="P203" s="62">
        <f>P181/P172*100</f>
        <v>100</v>
      </c>
      <c r="IB203"/>
      <c r="IC203"/>
      <c r="ID203"/>
      <c r="IE203"/>
      <c r="IF203"/>
      <c r="IG203"/>
    </row>
    <row r="204" spans="1:241" s="1" customFormat="1" ht="41.25" customHeight="1">
      <c r="A204" s="55" t="s">
        <v>143</v>
      </c>
      <c r="B204" s="59"/>
      <c r="C204" s="59"/>
      <c r="D204" s="62">
        <f>D182/D173*100</f>
        <v>11.072164948453608</v>
      </c>
      <c r="E204" s="62"/>
      <c r="F204" s="62">
        <f t="shared" si="24"/>
        <v>11.072164948453608</v>
      </c>
      <c r="G204" s="62">
        <f t="shared" si="24"/>
        <v>15.298969072164947</v>
      </c>
      <c r="H204" s="62"/>
      <c r="I204" s="62"/>
      <c r="J204" s="62">
        <f t="shared" si="25"/>
        <v>15.298969072164947</v>
      </c>
      <c r="K204" s="62" t="e">
        <f t="shared" si="25"/>
        <v>#DIV/0!</v>
      </c>
      <c r="L204" s="62" t="e">
        <f t="shared" si="25"/>
        <v>#DIV/0!</v>
      </c>
      <c r="M204" s="62" t="e">
        <f t="shared" si="25"/>
        <v>#DIV/0!</v>
      </c>
      <c r="N204" s="62">
        <f t="shared" si="25"/>
        <v>15.484536082474227</v>
      </c>
      <c r="O204" s="62"/>
      <c r="P204" s="62">
        <f>P182/P173*100</f>
        <v>15.484536082474227</v>
      </c>
      <c r="IB204"/>
      <c r="IC204"/>
      <c r="ID204"/>
      <c r="IE204"/>
      <c r="IF204"/>
      <c r="IG204"/>
    </row>
    <row r="205" spans="1:241" s="1" customFormat="1" ht="35.25" customHeight="1">
      <c r="A205" s="55" t="s">
        <v>144</v>
      </c>
      <c r="B205" s="59"/>
      <c r="C205" s="59"/>
      <c r="D205" s="62">
        <f>D183/D174*100</f>
        <v>18.25436408977556</v>
      </c>
      <c r="E205" s="62"/>
      <c r="F205" s="62">
        <f t="shared" si="24"/>
        <v>18.25436408977556</v>
      </c>
      <c r="G205" s="62">
        <f t="shared" si="24"/>
        <v>25.187032418952622</v>
      </c>
      <c r="H205" s="62"/>
      <c r="I205" s="62"/>
      <c r="J205" s="62">
        <f t="shared" si="25"/>
        <v>25.187032418952622</v>
      </c>
      <c r="K205" s="62" t="e">
        <f t="shared" si="25"/>
        <v>#DIV/0!</v>
      </c>
      <c r="L205" s="62" t="e">
        <f t="shared" si="25"/>
        <v>#DIV/0!</v>
      </c>
      <c r="M205" s="62" t="e">
        <f t="shared" si="25"/>
        <v>#DIV/0!</v>
      </c>
      <c r="N205" s="62">
        <f t="shared" si="25"/>
        <v>41.14713216957606</v>
      </c>
      <c r="O205" s="62"/>
      <c r="P205" s="62">
        <f>P183/P174*100</f>
        <v>41.14713216957606</v>
      </c>
      <c r="IB205"/>
      <c r="IC205"/>
      <c r="ID205"/>
      <c r="IE205"/>
      <c r="IF205"/>
      <c r="IG205"/>
    </row>
    <row r="206" spans="1:241" s="91" customFormat="1" ht="45">
      <c r="A206" s="82" t="s">
        <v>354</v>
      </c>
      <c r="B206" s="88"/>
      <c r="C206" s="88"/>
      <c r="D206" s="89">
        <f>(D209*D230)+(D218*D232)+(D219*D233)+(D220*D240)+11.5</f>
        <v>6400000</v>
      </c>
      <c r="E206" s="89"/>
      <c r="F206" s="89">
        <f>(F209*F230)+(F218*F232)+(F219*F233)+(F220*F240)+11.5</f>
        <v>6400000</v>
      </c>
      <c r="G206" s="89">
        <f>(G209*G230)+(G218*G232)+(G219*G233)+(G220*G240)+G227*G241+G224*G239+G222*G234</f>
        <v>10062499.99975</v>
      </c>
      <c r="H206" s="89">
        <f>H221*H235</f>
        <v>120000</v>
      </c>
      <c r="I206" s="89"/>
      <c r="J206" s="89">
        <f>G206+H206</f>
        <v>10182499.99975</v>
      </c>
      <c r="K206" s="89">
        <f>(K209*K230)+(K218*K232)+(K219*K233)+(K220*K240)+11.5</f>
        <v>11.5</v>
      </c>
      <c r="L206" s="89">
        <f>(L209*L230)+(L218*L232)+(L219*L233)+(L220*L240)+11.5</f>
        <v>11.5</v>
      </c>
      <c r="M206" s="89">
        <f>(M209*M230)+(M218*M232)+(M219*M233)+(M220*M240)+11.5</f>
        <v>11.5</v>
      </c>
      <c r="N206" s="89">
        <f>(N209*N230)+(N218*N232)+(N219*N233)+(N220*N240)+(N223*N237)+(N222*N234)+(N224*N239)+N227*N241</f>
        <v>12767399.996035548</v>
      </c>
      <c r="O206" s="89">
        <f>O221*O235+O228*O242</f>
        <v>7384000</v>
      </c>
      <c r="P206" s="89">
        <f>N206+O206</f>
        <v>20151399.996035546</v>
      </c>
      <c r="IB206" s="92"/>
      <c r="IC206" s="92"/>
      <c r="ID206" s="92"/>
      <c r="IE206" s="92"/>
      <c r="IF206" s="92"/>
      <c r="IG206" s="92"/>
    </row>
    <row r="207" spans="1:241" s="1" customFormat="1" ht="30.75" customHeight="1" hidden="1">
      <c r="A207" s="22" t="s">
        <v>50</v>
      </c>
      <c r="B207" s="12"/>
      <c r="C207" s="12"/>
      <c r="D207" s="13" t="e">
        <f>D219*#REF!*12+#REF!*D233*12+D218*D232+D217*D230+#REF!*#REF!</f>
        <v>#REF!</v>
      </c>
      <c r="E207" s="13"/>
      <c r="F207" s="13" t="e">
        <f>F219*#REF!*12+#REF!*F233*12+F218*F232+F217*F230+#REF!*#REF!</f>
        <v>#REF!</v>
      </c>
      <c r="G207" s="13" t="e">
        <f>G219*#REF!*12+#REF!*G233*12+G218*G232+G217*G230+#REF!*#REF!</f>
        <v>#REF!</v>
      </c>
      <c r="H207" s="13" t="e">
        <f>H219*#REF!*12+#REF!*H233*12+H218*H232+H217*H230+#REF!*#REF!</f>
        <v>#REF!</v>
      </c>
      <c r="I207" s="13"/>
      <c r="J207" s="13" t="e">
        <f>J219*#REF!*12+#REF!*J233*12+J218*J232+J217*J230+#REF!*#REF!</f>
        <v>#REF!</v>
      </c>
      <c r="K207" s="16"/>
      <c r="L207" s="16"/>
      <c r="M207" s="16"/>
      <c r="N207" s="13" t="e">
        <f>N219*#REF!*12+#REF!*N233*12+N218*N232+N217*N230+#REF!*#REF!</f>
        <v>#REF!</v>
      </c>
      <c r="O207" s="13" t="e">
        <f>O219*#REF!*12+#REF!*O233*12+O218*O232+O217*O230+#REF!*#REF!</f>
        <v>#REF!</v>
      </c>
      <c r="P207" s="13" t="e">
        <f>P219*#REF!*12+#REF!*P233*12+P218*P232+P217*P230+#REF!*#REF!</f>
        <v>#REF!</v>
      </c>
      <c r="IB207"/>
      <c r="IC207"/>
      <c r="ID207"/>
      <c r="IE207"/>
      <c r="IF207"/>
      <c r="IG207"/>
    </row>
    <row r="208" spans="1:241" s="1" customFormat="1" ht="12">
      <c r="A208" s="54" t="s">
        <v>4</v>
      </c>
      <c r="B208" s="61"/>
      <c r="C208" s="61"/>
      <c r="D208" s="129"/>
      <c r="E208" s="129"/>
      <c r="F208" s="129"/>
      <c r="G208" s="129"/>
      <c r="H208" s="129"/>
      <c r="I208" s="129"/>
      <c r="J208" s="62"/>
      <c r="K208" s="63"/>
      <c r="L208" s="63"/>
      <c r="M208" s="63"/>
      <c r="N208" s="129"/>
      <c r="O208" s="129"/>
      <c r="P208" s="62"/>
      <c r="IB208"/>
      <c r="IC208"/>
      <c r="ID208"/>
      <c r="IE208"/>
      <c r="IF208"/>
      <c r="IG208"/>
    </row>
    <row r="209" spans="1:241" s="1" customFormat="1" ht="22.5">
      <c r="A209" s="55" t="s">
        <v>148</v>
      </c>
      <c r="B209" s="59"/>
      <c r="C209" s="59"/>
      <c r="D209" s="62">
        <v>93.1</v>
      </c>
      <c r="E209" s="62"/>
      <c r="F209" s="62">
        <f>D209</f>
        <v>93.1</v>
      </c>
      <c r="G209" s="62">
        <f>F209</f>
        <v>93.1</v>
      </c>
      <c r="H209" s="62"/>
      <c r="I209" s="62"/>
      <c r="J209" s="62">
        <f>G209</f>
        <v>93.1</v>
      </c>
      <c r="K209" s="63"/>
      <c r="L209" s="63"/>
      <c r="M209" s="63"/>
      <c r="N209" s="62">
        <f>J209</f>
        <v>93.1</v>
      </c>
      <c r="O209" s="62"/>
      <c r="P209" s="62">
        <f>N209</f>
        <v>93.1</v>
      </c>
      <c r="IB209"/>
      <c r="IC209"/>
      <c r="ID209"/>
      <c r="IE209"/>
      <c r="IF209"/>
      <c r="IG209"/>
    </row>
    <row r="210" spans="1:241" s="1" customFormat="1" ht="12">
      <c r="A210" s="55" t="s">
        <v>28</v>
      </c>
      <c r="B210" s="59"/>
      <c r="C210" s="59"/>
      <c r="D210" s="62">
        <v>1</v>
      </c>
      <c r="E210" s="62"/>
      <c r="F210" s="62">
        <v>1</v>
      </c>
      <c r="G210" s="62">
        <v>1</v>
      </c>
      <c r="H210" s="62"/>
      <c r="I210" s="62"/>
      <c r="J210" s="62">
        <f>G210</f>
        <v>1</v>
      </c>
      <c r="K210" s="63"/>
      <c r="L210" s="63"/>
      <c r="M210" s="63"/>
      <c r="N210" s="62">
        <v>1</v>
      </c>
      <c r="O210" s="62"/>
      <c r="P210" s="62">
        <f>N210</f>
        <v>1</v>
      </c>
      <c r="IB210"/>
      <c r="IC210"/>
      <c r="ID210"/>
      <c r="IE210"/>
      <c r="IF210"/>
      <c r="IG210"/>
    </row>
    <row r="211" spans="1:241" s="1" customFormat="1" ht="13.5" customHeight="1">
      <c r="A211" s="55" t="s">
        <v>147</v>
      </c>
      <c r="B211" s="59"/>
      <c r="C211" s="59"/>
      <c r="D211" s="62">
        <v>1</v>
      </c>
      <c r="E211" s="62"/>
      <c r="F211" s="62">
        <v>1</v>
      </c>
      <c r="G211" s="62">
        <v>1</v>
      </c>
      <c r="H211" s="62"/>
      <c r="I211" s="62"/>
      <c r="J211" s="62">
        <f>G211</f>
        <v>1</v>
      </c>
      <c r="K211" s="63"/>
      <c r="L211" s="63"/>
      <c r="M211" s="63"/>
      <c r="N211" s="62">
        <v>2</v>
      </c>
      <c r="O211" s="62"/>
      <c r="P211" s="62">
        <f>N211</f>
        <v>2</v>
      </c>
      <c r="IB211"/>
      <c r="IC211"/>
      <c r="ID211"/>
      <c r="IE211"/>
      <c r="IF211"/>
      <c r="IG211"/>
    </row>
    <row r="212" spans="1:241" s="1" customFormat="1" ht="24.75" customHeight="1">
      <c r="A212" s="55" t="s">
        <v>80</v>
      </c>
      <c r="B212" s="59"/>
      <c r="C212" s="59"/>
      <c r="D212" s="62">
        <v>50000</v>
      </c>
      <c r="E212" s="62"/>
      <c r="F212" s="62">
        <f>D212</f>
        <v>50000</v>
      </c>
      <c r="G212" s="62">
        <f>50000-50000</f>
        <v>0</v>
      </c>
      <c r="H212" s="62"/>
      <c r="I212" s="62"/>
      <c r="J212" s="62"/>
      <c r="K212" s="63"/>
      <c r="L212" s="63"/>
      <c r="M212" s="63"/>
      <c r="N212" s="62"/>
      <c r="O212" s="62"/>
      <c r="P212" s="62"/>
      <c r="IB212"/>
      <c r="IC212"/>
      <c r="ID212"/>
      <c r="IE212"/>
      <c r="IF212"/>
      <c r="IG212"/>
    </row>
    <row r="213" spans="1:241" s="1" customFormat="1" ht="22.5" hidden="1">
      <c r="A213" s="55" t="s">
        <v>282</v>
      </c>
      <c r="B213" s="59"/>
      <c r="C213" s="59"/>
      <c r="D213" s="62"/>
      <c r="E213" s="62"/>
      <c r="F213" s="62"/>
      <c r="G213" s="62"/>
      <c r="H213" s="62">
        <v>1</v>
      </c>
      <c r="I213" s="62"/>
      <c r="J213" s="62">
        <v>1</v>
      </c>
      <c r="K213" s="63"/>
      <c r="L213" s="63"/>
      <c r="M213" s="63"/>
      <c r="N213" s="62"/>
      <c r="O213" s="62"/>
      <c r="P213" s="62"/>
      <c r="IB213"/>
      <c r="IC213"/>
      <c r="ID213"/>
      <c r="IE213"/>
      <c r="IF213"/>
      <c r="IG213"/>
    </row>
    <row r="214" spans="1:241" s="1" customFormat="1" ht="14.25" customHeight="1">
      <c r="A214" s="55" t="s">
        <v>29</v>
      </c>
      <c r="B214" s="59"/>
      <c r="C214" s="59"/>
      <c r="D214" s="62">
        <v>1300</v>
      </c>
      <c r="E214" s="62"/>
      <c r="F214" s="62">
        <v>1300</v>
      </c>
      <c r="G214" s="62">
        <v>916</v>
      </c>
      <c r="H214" s="62"/>
      <c r="I214" s="62"/>
      <c r="J214" s="62">
        <f aca="true" t="shared" si="26" ref="J214:J219">G214</f>
        <v>916</v>
      </c>
      <c r="K214" s="63"/>
      <c r="L214" s="63"/>
      <c r="M214" s="63"/>
      <c r="N214" s="62">
        <v>916</v>
      </c>
      <c r="O214" s="62"/>
      <c r="P214" s="62">
        <f aca="true" t="shared" si="27" ref="P214:P219">N214</f>
        <v>916</v>
      </c>
      <c r="IB214"/>
      <c r="IC214"/>
      <c r="ID214"/>
      <c r="IE214"/>
      <c r="IF214"/>
      <c r="IG214"/>
    </row>
    <row r="215" spans="1:241" s="1" customFormat="1" ht="22.5">
      <c r="A215" s="55" t="s">
        <v>30</v>
      </c>
      <c r="B215" s="59"/>
      <c r="C215" s="59"/>
      <c r="D215" s="62">
        <v>40</v>
      </c>
      <c r="E215" s="62"/>
      <c r="F215" s="62">
        <v>40</v>
      </c>
      <c r="G215" s="62">
        <v>40</v>
      </c>
      <c r="H215" s="62"/>
      <c r="I215" s="62"/>
      <c r="J215" s="62">
        <f t="shared" si="26"/>
        <v>40</v>
      </c>
      <c r="K215" s="63"/>
      <c r="L215" s="63"/>
      <c r="M215" s="63"/>
      <c r="N215" s="62">
        <v>40</v>
      </c>
      <c r="O215" s="62"/>
      <c r="P215" s="62">
        <f t="shared" si="27"/>
        <v>40</v>
      </c>
      <c r="IB215"/>
      <c r="IC215"/>
      <c r="ID215"/>
      <c r="IE215"/>
      <c r="IF215"/>
      <c r="IG215"/>
    </row>
    <row r="216" spans="1:241" s="1" customFormat="1" ht="12">
      <c r="A216" s="54" t="s">
        <v>5</v>
      </c>
      <c r="B216" s="61"/>
      <c r="C216" s="61"/>
      <c r="D216" s="129"/>
      <c r="E216" s="129"/>
      <c r="F216" s="129"/>
      <c r="G216" s="129"/>
      <c r="H216" s="129"/>
      <c r="I216" s="129"/>
      <c r="J216" s="62">
        <f t="shared" si="26"/>
        <v>0</v>
      </c>
      <c r="K216" s="63"/>
      <c r="L216" s="63"/>
      <c r="M216" s="63"/>
      <c r="N216" s="129"/>
      <c r="O216" s="129"/>
      <c r="P216" s="62">
        <f t="shared" si="27"/>
        <v>0</v>
      </c>
      <c r="IB216"/>
      <c r="IC216"/>
      <c r="ID216"/>
      <c r="IE216"/>
      <c r="IF216"/>
      <c r="IG216"/>
    </row>
    <row r="217" spans="1:241" s="1" customFormat="1" ht="22.5">
      <c r="A217" s="55" t="s">
        <v>149</v>
      </c>
      <c r="B217" s="59"/>
      <c r="C217" s="59"/>
      <c r="D217" s="62">
        <f>D209</f>
        <v>93.1</v>
      </c>
      <c r="E217" s="62"/>
      <c r="F217" s="62">
        <f>D217</f>
        <v>93.1</v>
      </c>
      <c r="G217" s="62">
        <f>G209</f>
        <v>93.1</v>
      </c>
      <c r="H217" s="62"/>
      <c r="I217" s="62"/>
      <c r="J217" s="62">
        <f t="shared" si="26"/>
        <v>93.1</v>
      </c>
      <c r="K217" s="63"/>
      <c r="L217" s="63"/>
      <c r="M217" s="63"/>
      <c r="N217" s="62">
        <f>N209</f>
        <v>93.1</v>
      </c>
      <c r="O217" s="62"/>
      <c r="P217" s="62">
        <f t="shared" si="27"/>
        <v>93.1</v>
      </c>
      <c r="IB217"/>
      <c r="IC217"/>
      <c r="ID217"/>
      <c r="IE217"/>
      <c r="IF217"/>
      <c r="IG217"/>
    </row>
    <row r="218" spans="1:241" s="1" customFormat="1" ht="22.5">
      <c r="A218" s="55" t="s">
        <v>317</v>
      </c>
      <c r="B218" s="59"/>
      <c r="C218" s="59"/>
      <c r="D218" s="62">
        <v>600</v>
      </c>
      <c r="E218" s="62"/>
      <c r="F218" s="62">
        <f>D218</f>
        <v>600</v>
      </c>
      <c r="G218" s="62">
        <v>700</v>
      </c>
      <c r="H218" s="62"/>
      <c r="I218" s="62"/>
      <c r="J218" s="62">
        <f t="shared" si="26"/>
        <v>700</v>
      </c>
      <c r="K218" s="63"/>
      <c r="L218" s="63"/>
      <c r="M218" s="63"/>
      <c r="N218" s="62">
        <v>800</v>
      </c>
      <c r="O218" s="62"/>
      <c r="P218" s="62">
        <f t="shared" si="27"/>
        <v>800</v>
      </c>
      <c r="IB218"/>
      <c r="IC218"/>
      <c r="ID218"/>
      <c r="IE218"/>
      <c r="IF218"/>
      <c r="IG218"/>
    </row>
    <row r="219" spans="1:241" s="1" customFormat="1" ht="21.75" customHeight="1">
      <c r="A219" s="55" t="s">
        <v>150</v>
      </c>
      <c r="B219" s="59"/>
      <c r="C219" s="59"/>
      <c r="D219" s="62">
        <v>1</v>
      </c>
      <c r="E219" s="62"/>
      <c r="F219" s="62">
        <v>1</v>
      </c>
      <c r="G219" s="62">
        <v>1</v>
      </c>
      <c r="H219" s="62"/>
      <c r="I219" s="62"/>
      <c r="J219" s="62">
        <f t="shared" si="26"/>
        <v>1</v>
      </c>
      <c r="K219" s="63"/>
      <c r="L219" s="63"/>
      <c r="M219" s="63"/>
      <c r="N219" s="62">
        <v>2</v>
      </c>
      <c r="O219" s="62"/>
      <c r="P219" s="62">
        <f t="shared" si="27"/>
        <v>2</v>
      </c>
      <c r="IB219"/>
      <c r="IC219"/>
      <c r="ID219"/>
      <c r="IE219"/>
      <c r="IF219"/>
      <c r="IG219"/>
    </row>
    <row r="220" spans="1:241" s="1" customFormat="1" ht="30.75" customHeight="1">
      <c r="A220" s="55" t="s">
        <v>77</v>
      </c>
      <c r="B220" s="59"/>
      <c r="C220" s="59"/>
      <c r="D220" s="62">
        <v>1</v>
      </c>
      <c r="E220" s="62"/>
      <c r="F220" s="62">
        <v>1</v>
      </c>
      <c r="G220" s="62"/>
      <c r="H220" s="62"/>
      <c r="I220" s="62"/>
      <c r="J220" s="62"/>
      <c r="K220" s="63"/>
      <c r="L220" s="63"/>
      <c r="M220" s="63"/>
      <c r="N220" s="62">
        <v>1</v>
      </c>
      <c r="O220" s="62"/>
      <c r="P220" s="62">
        <v>1</v>
      </c>
      <c r="IB220"/>
      <c r="IC220"/>
      <c r="ID220"/>
      <c r="IE220"/>
      <c r="IF220"/>
      <c r="IG220"/>
    </row>
    <row r="221" spans="1:241" s="1" customFormat="1" ht="30.75" customHeight="1">
      <c r="A221" s="55" t="s">
        <v>282</v>
      </c>
      <c r="B221" s="59"/>
      <c r="C221" s="59"/>
      <c r="D221" s="62"/>
      <c r="E221" s="62"/>
      <c r="F221" s="62"/>
      <c r="G221" s="62"/>
      <c r="H221" s="62">
        <v>1</v>
      </c>
      <c r="I221" s="62"/>
      <c r="J221" s="62">
        <v>1</v>
      </c>
      <c r="K221" s="63"/>
      <c r="L221" s="63"/>
      <c r="M221" s="63"/>
      <c r="N221" s="62"/>
      <c r="O221" s="62">
        <v>1</v>
      </c>
      <c r="P221" s="62">
        <f>O221</f>
        <v>1</v>
      </c>
      <c r="IB221"/>
      <c r="IC221"/>
      <c r="ID221"/>
      <c r="IE221"/>
      <c r="IF221"/>
      <c r="IG221"/>
    </row>
    <row r="222" spans="1:241" s="1" customFormat="1" ht="19.5" customHeight="1">
      <c r="A222" s="55" t="s">
        <v>31</v>
      </c>
      <c r="B222" s="59"/>
      <c r="C222" s="59"/>
      <c r="D222" s="62">
        <v>65</v>
      </c>
      <c r="E222" s="62"/>
      <c r="F222" s="62">
        <v>65</v>
      </c>
      <c r="G222" s="62">
        <v>55</v>
      </c>
      <c r="H222" s="62"/>
      <c r="I222" s="62"/>
      <c r="J222" s="62">
        <f>G222</f>
        <v>55</v>
      </c>
      <c r="K222" s="63"/>
      <c r="L222" s="63"/>
      <c r="M222" s="63"/>
      <c r="N222" s="62">
        <v>63</v>
      </c>
      <c r="O222" s="62"/>
      <c r="P222" s="62">
        <f>N222</f>
        <v>63</v>
      </c>
      <c r="IB222"/>
      <c r="IC222"/>
      <c r="ID222"/>
      <c r="IE222"/>
      <c r="IF222"/>
      <c r="IG222"/>
    </row>
    <row r="223" spans="1:241" s="1" customFormat="1" ht="22.5" customHeight="1">
      <c r="A223" s="55" t="s">
        <v>32</v>
      </c>
      <c r="B223" s="59"/>
      <c r="C223" s="59"/>
      <c r="D223" s="62">
        <v>34</v>
      </c>
      <c r="E223" s="62"/>
      <c r="F223" s="62">
        <v>34</v>
      </c>
      <c r="G223" s="62">
        <v>34</v>
      </c>
      <c r="H223" s="62"/>
      <c r="I223" s="62"/>
      <c r="J223" s="62">
        <f>G223</f>
        <v>34</v>
      </c>
      <c r="K223" s="63"/>
      <c r="L223" s="63"/>
      <c r="M223" s="63"/>
      <c r="N223" s="62">
        <v>64</v>
      </c>
      <c r="O223" s="62"/>
      <c r="P223" s="62">
        <f>N223</f>
        <v>64</v>
      </c>
      <c r="IB223"/>
      <c r="IC223"/>
      <c r="ID223"/>
      <c r="IE223"/>
      <c r="IF223"/>
      <c r="IG223"/>
    </row>
    <row r="224" spans="1:241" s="1" customFormat="1" ht="22.5" customHeight="1">
      <c r="A224" s="55" t="s">
        <v>33</v>
      </c>
      <c r="B224" s="59"/>
      <c r="C224" s="59"/>
      <c r="D224" s="62">
        <v>30</v>
      </c>
      <c r="E224" s="62"/>
      <c r="F224" s="62">
        <v>30</v>
      </c>
      <c r="G224" s="62">
        <v>37</v>
      </c>
      <c r="H224" s="62"/>
      <c r="I224" s="62"/>
      <c r="J224" s="62">
        <f>G224</f>
        <v>37</v>
      </c>
      <c r="K224" s="63"/>
      <c r="L224" s="63"/>
      <c r="M224" s="63"/>
      <c r="N224" s="62">
        <v>40</v>
      </c>
      <c r="O224" s="62"/>
      <c r="P224" s="62">
        <f>N224</f>
        <v>40</v>
      </c>
      <c r="IB224"/>
      <c r="IC224"/>
      <c r="ID224"/>
      <c r="IE224"/>
      <c r="IF224"/>
      <c r="IG224"/>
    </row>
    <row r="225" spans="1:241" s="1" customFormat="1" ht="12" customHeight="1">
      <c r="A225" s="55" t="s">
        <v>26</v>
      </c>
      <c r="B225" s="59"/>
      <c r="C225" s="59"/>
      <c r="D225" s="62">
        <v>347</v>
      </c>
      <c r="E225" s="62"/>
      <c r="F225" s="62">
        <v>347</v>
      </c>
      <c r="G225" s="62">
        <v>125</v>
      </c>
      <c r="H225" s="62"/>
      <c r="I225" s="62"/>
      <c r="J225" s="62">
        <f>G225</f>
        <v>125</v>
      </c>
      <c r="K225" s="63"/>
      <c r="L225" s="63"/>
      <c r="M225" s="63"/>
      <c r="N225" s="62">
        <v>125</v>
      </c>
      <c r="O225" s="62"/>
      <c r="P225" s="62">
        <f>N225</f>
        <v>125</v>
      </c>
      <c r="IB225"/>
      <c r="IC225"/>
      <c r="ID225"/>
      <c r="IE225"/>
      <c r="IF225"/>
      <c r="IG225"/>
    </row>
    <row r="226" spans="1:241" s="1" customFormat="1" ht="22.5" customHeight="1">
      <c r="A226" s="55" t="s">
        <v>34</v>
      </c>
      <c r="B226" s="59"/>
      <c r="C226" s="59"/>
      <c r="D226" s="62"/>
      <c r="E226" s="62"/>
      <c r="F226" s="62"/>
      <c r="G226" s="62">
        <v>984.5</v>
      </c>
      <c r="H226" s="62"/>
      <c r="I226" s="62"/>
      <c r="J226" s="62">
        <v>984.5</v>
      </c>
      <c r="K226" s="63"/>
      <c r="L226" s="63"/>
      <c r="M226" s="63"/>
      <c r="N226" s="62">
        <v>984.5</v>
      </c>
      <c r="O226" s="62"/>
      <c r="P226" s="62">
        <v>984.5</v>
      </c>
      <c r="IB226"/>
      <c r="IC226"/>
      <c r="ID226"/>
      <c r="IE226"/>
      <c r="IF226"/>
      <c r="IG226"/>
    </row>
    <row r="227" spans="1:241" s="1" customFormat="1" ht="22.5" customHeight="1">
      <c r="A227" s="55" t="s">
        <v>353</v>
      </c>
      <c r="B227" s="59"/>
      <c r="C227" s="59"/>
      <c r="D227" s="62"/>
      <c r="E227" s="62"/>
      <c r="F227" s="62"/>
      <c r="G227" s="62">
        <v>8500</v>
      </c>
      <c r="H227" s="62"/>
      <c r="I227" s="62"/>
      <c r="J227" s="62"/>
      <c r="K227" s="63"/>
      <c r="L227" s="63"/>
      <c r="M227" s="63"/>
      <c r="N227" s="62">
        <v>9715</v>
      </c>
      <c r="O227" s="62"/>
      <c r="P227" s="62"/>
      <c r="IB227"/>
      <c r="IC227"/>
      <c r="ID227"/>
      <c r="IE227"/>
      <c r="IF227"/>
      <c r="IG227"/>
    </row>
    <row r="228" spans="1:241" s="1" customFormat="1" ht="22.5" customHeight="1">
      <c r="A228" s="55" t="s">
        <v>349</v>
      </c>
      <c r="B228" s="59"/>
      <c r="C228" s="59"/>
      <c r="D228" s="62"/>
      <c r="E228" s="62"/>
      <c r="F228" s="62"/>
      <c r="G228" s="62"/>
      <c r="H228" s="62"/>
      <c r="I228" s="62"/>
      <c r="J228" s="62"/>
      <c r="K228" s="63"/>
      <c r="L228" s="63"/>
      <c r="M228" s="63"/>
      <c r="N228" s="62"/>
      <c r="O228" s="62">
        <v>14420</v>
      </c>
      <c r="P228" s="62">
        <f>O228</f>
        <v>14420</v>
      </c>
      <c r="IB228"/>
      <c r="IC228"/>
      <c r="ID228"/>
      <c r="IE228"/>
      <c r="IF228"/>
      <c r="IG228"/>
    </row>
    <row r="229" spans="1:241" s="1" customFormat="1" ht="12">
      <c r="A229" s="54" t="s">
        <v>7</v>
      </c>
      <c r="B229" s="61"/>
      <c r="C229" s="61"/>
      <c r="D229" s="129"/>
      <c r="E229" s="129"/>
      <c r="F229" s="129"/>
      <c r="G229" s="129"/>
      <c r="H229" s="129"/>
      <c r="I229" s="129"/>
      <c r="J229" s="62"/>
      <c r="K229" s="63"/>
      <c r="L229" s="63"/>
      <c r="M229" s="63"/>
      <c r="N229" s="129"/>
      <c r="O229" s="129"/>
      <c r="P229" s="62"/>
      <c r="IB229"/>
      <c r="IC229"/>
      <c r="ID229"/>
      <c r="IE229"/>
      <c r="IF229"/>
      <c r="IG229"/>
    </row>
    <row r="230" spans="1:241" s="1" customFormat="1" ht="22.5">
      <c r="A230" s="55" t="s">
        <v>151</v>
      </c>
      <c r="B230" s="59"/>
      <c r="C230" s="59"/>
      <c r="D230" s="62">
        <v>48335</v>
      </c>
      <c r="E230" s="62"/>
      <c r="F230" s="62">
        <f>D230</f>
        <v>48335</v>
      </c>
      <c r="G230" s="62">
        <v>59076</v>
      </c>
      <c r="H230" s="62"/>
      <c r="I230" s="62"/>
      <c r="J230" s="62">
        <f>G230</f>
        <v>59076</v>
      </c>
      <c r="K230" s="63"/>
      <c r="L230" s="63"/>
      <c r="M230" s="63"/>
      <c r="N230" s="62">
        <v>70651.22767</v>
      </c>
      <c r="O230" s="62"/>
      <c r="P230" s="62">
        <f>N230</f>
        <v>70651.22767</v>
      </c>
      <c r="IB230"/>
      <c r="IC230"/>
      <c r="ID230"/>
      <c r="IE230"/>
      <c r="IF230"/>
      <c r="IG230"/>
    </row>
    <row r="231" spans="1:241" s="1" customFormat="1" ht="22.5" customHeight="1">
      <c r="A231" s="55" t="s">
        <v>56</v>
      </c>
      <c r="B231" s="59"/>
      <c r="C231" s="59"/>
      <c r="D231" s="62">
        <v>6000</v>
      </c>
      <c r="E231" s="62"/>
      <c r="F231" s="62">
        <f>D231</f>
        <v>6000</v>
      </c>
      <c r="G231" s="62">
        <v>10000</v>
      </c>
      <c r="H231" s="62"/>
      <c r="I231" s="62"/>
      <c r="J231" s="62">
        <f>G231</f>
        <v>10000</v>
      </c>
      <c r="K231" s="63"/>
      <c r="L231" s="63"/>
      <c r="M231" s="63"/>
      <c r="N231" s="62">
        <v>10000</v>
      </c>
      <c r="O231" s="62"/>
      <c r="P231" s="62">
        <f>N231</f>
        <v>10000</v>
      </c>
      <c r="IB231"/>
      <c r="IC231"/>
      <c r="ID231"/>
      <c r="IE231"/>
      <c r="IF231"/>
      <c r="IG231"/>
    </row>
    <row r="232" spans="1:241" s="1" customFormat="1" ht="24.75" customHeight="1">
      <c r="A232" s="55" t="s">
        <v>152</v>
      </c>
      <c r="B232" s="59"/>
      <c r="C232" s="59"/>
      <c r="D232" s="62">
        <v>2850</v>
      </c>
      <c r="E232" s="62"/>
      <c r="F232" s="62">
        <f>D232</f>
        <v>2850</v>
      </c>
      <c r="G232" s="62">
        <v>2943</v>
      </c>
      <c r="H232" s="62"/>
      <c r="I232" s="62"/>
      <c r="J232" s="62">
        <f>G232</f>
        <v>2943</v>
      </c>
      <c r="K232" s="63"/>
      <c r="L232" s="63"/>
      <c r="M232" s="63"/>
      <c r="N232" s="62">
        <v>3800</v>
      </c>
      <c r="O232" s="62"/>
      <c r="P232" s="62">
        <f>N232</f>
        <v>3800</v>
      </c>
      <c r="IB232"/>
      <c r="IC232"/>
      <c r="ID232"/>
      <c r="IE232"/>
      <c r="IF232"/>
      <c r="IG232"/>
    </row>
    <row r="233" spans="1:241" s="1" customFormat="1" ht="22.5">
      <c r="A233" s="55" t="s">
        <v>153</v>
      </c>
      <c r="B233" s="59"/>
      <c r="C233" s="59"/>
      <c r="D233" s="62">
        <v>140000</v>
      </c>
      <c r="E233" s="62"/>
      <c r="F233" s="62">
        <f>D233</f>
        <v>140000</v>
      </c>
      <c r="G233" s="62">
        <v>170000</v>
      </c>
      <c r="H233" s="62"/>
      <c r="I233" s="62"/>
      <c r="J233" s="62">
        <f>G233</f>
        <v>170000</v>
      </c>
      <c r="K233" s="63"/>
      <c r="L233" s="63"/>
      <c r="M233" s="63"/>
      <c r="N233" s="62">
        <v>100000</v>
      </c>
      <c r="O233" s="62"/>
      <c r="P233" s="62">
        <f>N233</f>
        <v>100000</v>
      </c>
      <c r="IB233"/>
      <c r="IC233"/>
      <c r="ID233"/>
      <c r="IE233"/>
      <c r="IF233"/>
      <c r="IG233"/>
    </row>
    <row r="234" spans="1:241" s="1" customFormat="1" ht="14.25" customHeight="1">
      <c r="A234" s="55" t="s">
        <v>351</v>
      </c>
      <c r="B234" s="59"/>
      <c r="C234" s="59"/>
      <c r="D234" s="62"/>
      <c r="E234" s="62"/>
      <c r="F234" s="62"/>
      <c r="G234" s="62">
        <v>1900</v>
      </c>
      <c r="H234" s="62"/>
      <c r="I234" s="62"/>
      <c r="J234" s="62">
        <f>G234</f>
        <v>1900</v>
      </c>
      <c r="K234" s="63"/>
      <c r="L234" s="63"/>
      <c r="M234" s="63"/>
      <c r="N234" s="62">
        <v>2200</v>
      </c>
      <c r="O234" s="62"/>
      <c r="P234" s="62">
        <f>N234</f>
        <v>2200</v>
      </c>
      <c r="IB234"/>
      <c r="IC234"/>
      <c r="ID234"/>
      <c r="IE234"/>
      <c r="IF234"/>
      <c r="IG234"/>
    </row>
    <row r="235" spans="1:241" s="1" customFormat="1" ht="22.5">
      <c r="A235" s="55" t="s">
        <v>283</v>
      </c>
      <c r="B235" s="59"/>
      <c r="C235" s="59"/>
      <c r="D235" s="62"/>
      <c r="E235" s="62"/>
      <c r="F235" s="62"/>
      <c r="G235" s="62"/>
      <c r="H235" s="62">
        <v>120000</v>
      </c>
      <c r="I235" s="62"/>
      <c r="J235" s="62"/>
      <c r="K235" s="63"/>
      <c r="L235" s="63"/>
      <c r="M235" s="63"/>
      <c r="N235" s="62"/>
      <c r="O235" s="62">
        <v>174000</v>
      </c>
      <c r="P235" s="62">
        <f>O235</f>
        <v>174000</v>
      </c>
      <c r="IB235"/>
      <c r="IC235"/>
      <c r="ID235"/>
      <c r="IE235"/>
      <c r="IF235"/>
      <c r="IG235"/>
    </row>
    <row r="236" spans="1:241" s="1" customFormat="1" ht="15" customHeight="1">
      <c r="A236" s="55" t="s">
        <v>27</v>
      </c>
      <c r="B236" s="59"/>
      <c r="C236" s="59"/>
      <c r="D236" s="62">
        <v>580</v>
      </c>
      <c r="E236" s="62"/>
      <c r="F236" s="62">
        <v>580</v>
      </c>
      <c r="G236" s="62">
        <v>663.1</v>
      </c>
      <c r="H236" s="62"/>
      <c r="I236" s="62"/>
      <c r="J236" s="62">
        <f>G236</f>
        <v>663.1</v>
      </c>
      <c r="K236" s="63"/>
      <c r="L236" s="63"/>
      <c r="M236" s="63"/>
      <c r="N236" s="62">
        <v>663.1</v>
      </c>
      <c r="O236" s="62"/>
      <c r="P236" s="62">
        <f>N236</f>
        <v>663.1</v>
      </c>
      <c r="IB236"/>
      <c r="IC236"/>
      <c r="ID236"/>
      <c r="IE236"/>
      <c r="IF236"/>
      <c r="IG236"/>
    </row>
    <row r="237" spans="1:241" s="1" customFormat="1" ht="22.5" customHeight="1">
      <c r="A237" s="55" t="s">
        <v>35</v>
      </c>
      <c r="B237" s="59"/>
      <c r="C237" s="59"/>
      <c r="D237" s="62">
        <v>778</v>
      </c>
      <c r="E237" s="62"/>
      <c r="F237" s="62">
        <v>778</v>
      </c>
      <c r="G237" s="62">
        <v>691.86</v>
      </c>
      <c r="H237" s="62"/>
      <c r="I237" s="62"/>
      <c r="J237" s="62">
        <f>G237</f>
        <v>691.86</v>
      </c>
      <c r="K237" s="63"/>
      <c r="L237" s="63"/>
      <c r="M237" s="63"/>
      <c r="N237" s="62">
        <v>705</v>
      </c>
      <c r="O237" s="62"/>
      <c r="P237" s="62">
        <f>N237</f>
        <v>705</v>
      </c>
      <c r="IB237"/>
      <c r="IC237"/>
      <c r="ID237"/>
      <c r="IE237"/>
      <c r="IF237"/>
      <c r="IG237"/>
    </row>
    <row r="238" spans="1:241" s="1" customFormat="1" ht="22.5" customHeight="1">
      <c r="A238" s="55" t="s">
        <v>36</v>
      </c>
      <c r="B238" s="59"/>
      <c r="C238" s="59"/>
      <c r="D238" s="62">
        <v>23.66</v>
      </c>
      <c r="E238" s="62"/>
      <c r="F238" s="62">
        <v>23.66</v>
      </c>
      <c r="G238" s="62">
        <v>22.01</v>
      </c>
      <c r="H238" s="62"/>
      <c r="I238" s="62"/>
      <c r="J238" s="62">
        <f>G238</f>
        <v>22.01</v>
      </c>
      <c r="K238" s="63"/>
      <c r="L238" s="63"/>
      <c r="M238" s="63"/>
      <c r="N238" s="62">
        <v>22.01</v>
      </c>
      <c r="O238" s="62"/>
      <c r="P238" s="62">
        <f>N238</f>
        <v>22.01</v>
      </c>
      <c r="IB238"/>
      <c r="IC238"/>
      <c r="ID238"/>
      <c r="IE238"/>
      <c r="IF238"/>
      <c r="IG238"/>
    </row>
    <row r="239" spans="1:241" s="1" customFormat="1" ht="22.5" customHeight="1">
      <c r="A239" s="55" t="s">
        <v>37</v>
      </c>
      <c r="B239" s="59"/>
      <c r="C239" s="59"/>
      <c r="D239" s="62">
        <v>329</v>
      </c>
      <c r="E239" s="62"/>
      <c r="F239" s="62">
        <v>329</v>
      </c>
      <c r="G239" s="62">
        <v>160.11</v>
      </c>
      <c r="H239" s="62"/>
      <c r="I239" s="62"/>
      <c r="J239" s="62">
        <f>G239</f>
        <v>160.11</v>
      </c>
      <c r="K239" s="63"/>
      <c r="L239" s="63"/>
      <c r="M239" s="63"/>
      <c r="N239" s="62">
        <v>160.11</v>
      </c>
      <c r="O239" s="62"/>
      <c r="P239" s="62">
        <f>N239</f>
        <v>160.11</v>
      </c>
      <c r="IB239"/>
      <c r="IC239"/>
      <c r="ID239"/>
      <c r="IE239"/>
      <c r="IF239"/>
      <c r="IG239"/>
    </row>
    <row r="240" spans="1:241" s="1" customFormat="1" ht="38.25" customHeight="1">
      <c r="A240" s="55" t="s">
        <v>81</v>
      </c>
      <c r="B240" s="59"/>
      <c r="C240" s="59"/>
      <c r="D240" s="62">
        <v>50000</v>
      </c>
      <c r="E240" s="62"/>
      <c r="F240" s="62">
        <f>D240</f>
        <v>50000</v>
      </c>
      <c r="G240" s="62"/>
      <c r="H240" s="62"/>
      <c r="I240" s="62"/>
      <c r="J240" s="62"/>
      <c r="K240" s="63"/>
      <c r="L240" s="63"/>
      <c r="M240" s="63"/>
      <c r="N240" s="62">
        <f>N212</f>
        <v>0</v>
      </c>
      <c r="O240" s="62"/>
      <c r="P240" s="62">
        <f>N240</f>
        <v>0</v>
      </c>
      <c r="IB240"/>
      <c r="IC240"/>
      <c r="ID240"/>
      <c r="IE240"/>
      <c r="IF240"/>
      <c r="IG240"/>
    </row>
    <row r="241" spans="1:241" s="1" customFormat="1" ht="24.75" customHeight="1">
      <c r="A241" s="55" t="s">
        <v>352</v>
      </c>
      <c r="B241" s="59"/>
      <c r="C241" s="59"/>
      <c r="D241" s="62"/>
      <c r="E241" s="62"/>
      <c r="F241" s="62"/>
      <c r="G241" s="62">
        <v>261.4118035</v>
      </c>
      <c r="H241" s="62"/>
      <c r="I241" s="62"/>
      <c r="J241" s="62"/>
      <c r="K241" s="63"/>
      <c r="L241" s="63"/>
      <c r="M241" s="63"/>
      <c r="N241" s="62">
        <v>284.06034997</v>
      </c>
      <c r="O241" s="62"/>
      <c r="P241" s="62"/>
      <c r="IB241"/>
      <c r="IC241"/>
      <c r="ID241"/>
      <c r="IE241"/>
      <c r="IF241"/>
      <c r="IG241"/>
    </row>
    <row r="242" spans="1:241" s="1" customFormat="1" ht="27.75" customHeight="1">
      <c r="A242" s="55" t="s">
        <v>350</v>
      </c>
      <c r="B242" s="59"/>
      <c r="C242" s="59"/>
      <c r="D242" s="62"/>
      <c r="E242" s="62"/>
      <c r="F242" s="62"/>
      <c r="G242" s="62"/>
      <c r="H242" s="62"/>
      <c r="I242" s="62"/>
      <c r="J242" s="62"/>
      <c r="K242" s="63"/>
      <c r="L242" s="63"/>
      <c r="M242" s="63"/>
      <c r="N242" s="62"/>
      <c r="O242" s="62">
        <v>500</v>
      </c>
      <c r="P242" s="62">
        <f>O242</f>
        <v>500</v>
      </c>
      <c r="IB242"/>
      <c r="IC242"/>
      <c r="ID242"/>
      <c r="IE242"/>
      <c r="IF242"/>
      <c r="IG242"/>
    </row>
    <row r="243" spans="1:241" s="1" customFormat="1" ht="12" customHeight="1">
      <c r="A243" s="54" t="s">
        <v>6</v>
      </c>
      <c r="B243" s="59"/>
      <c r="C243" s="59"/>
      <c r="D243" s="62"/>
      <c r="E243" s="62"/>
      <c r="F243" s="62"/>
      <c r="G243" s="62"/>
      <c r="H243" s="62"/>
      <c r="I243" s="62"/>
      <c r="J243" s="62"/>
      <c r="K243" s="63"/>
      <c r="L243" s="63"/>
      <c r="M243" s="63"/>
      <c r="N243" s="62"/>
      <c r="O243" s="62"/>
      <c r="P243" s="62"/>
      <c r="IB243"/>
      <c r="IC243"/>
      <c r="ID243"/>
      <c r="IE243"/>
      <c r="IF243"/>
      <c r="IG243"/>
    </row>
    <row r="244" spans="1:241" s="1" customFormat="1" ht="33.75">
      <c r="A244" s="55" t="s">
        <v>155</v>
      </c>
      <c r="B244" s="59"/>
      <c r="C244" s="59"/>
      <c r="D244" s="62">
        <f>D217/D209*100</f>
        <v>100</v>
      </c>
      <c r="E244" s="62"/>
      <c r="F244" s="62">
        <f>F217/F209*100</f>
        <v>100</v>
      </c>
      <c r="G244" s="62">
        <f>G217/G209*100</f>
        <v>100</v>
      </c>
      <c r="H244" s="62"/>
      <c r="I244" s="62"/>
      <c r="J244" s="62">
        <f>J217/J209*100</f>
        <v>100</v>
      </c>
      <c r="K244" s="62" t="e">
        <f>K217/K209*100</f>
        <v>#DIV/0!</v>
      </c>
      <c r="L244" s="62" t="e">
        <f>L217/L209*100</f>
        <v>#DIV/0!</v>
      </c>
      <c r="M244" s="62" t="e">
        <f>M217/M209*100</f>
        <v>#DIV/0!</v>
      </c>
      <c r="N244" s="62">
        <f>N217/N209*100</f>
        <v>100</v>
      </c>
      <c r="O244" s="62"/>
      <c r="P244" s="62">
        <f>P217/P209*100</f>
        <v>100</v>
      </c>
      <c r="IB244"/>
      <c r="IC244"/>
      <c r="ID244"/>
      <c r="IE244"/>
      <c r="IF244"/>
      <c r="IG244"/>
    </row>
    <row r="245" spans="1:241" s="1" customFormat="1" ht="29.25" customHeight="1">
      <c r="A245" s="55" t="s">
        <v>154</v>
      </c>
      <c r="B245" s="59"/>
      <c r="C245" s="59"/>
      <c r="D245" s="62"/>
      <c r="E245" s="62"/>
      <c r="F245" s="62"/>
      <c r="G245" s="62">
        <f>G232/D232*100</f>
        <v>103.26315789473684</v>
      </c>
      <c r="H245" s="62"/>
      <c r="I245" s="62"/>
      <c r="J245" s="62">
        <f>J232/F232*100</f>
        <v>103.26315789473684</v>
      </c>
      <c r="K245" s="63"/>
      <c r="L245" s="63"/>
      <c r="M245" s="63"/>
      <c r="N245" s="62">
        <f>N232/G232*100</f>
        <v>129.1199456337071</v>
      </c>
      <c r="O245" s="62"/>
      <c r="P245" s="62">
        <f>P232/J232*100</f>
        <v>129.1199456337071</v>
      </c>
      <c r="IB245"/>
      <c r="IC245"/>
      <c r="ID245"/>
      <c r="IE245"/>
      <c r="IF245"/>
      <c r="IG245"/>
    </row>
    <row r="246" spans="1:241" s="1" customFormat="1" ht="38.25" customHeight="1">
      <c r="A246" s="55" t="s">
        <v>156</v>
      </c>
      <c r="B246" s="59"/>
      <c r="C246" s="59"/>
      <c r="D246" s="62"/>
      <c r="E246" s="62"/>
      <c r="F246" s="62"/>
      <c r="G246" s="62">
        <f>G233/D233*100</f>
        <v>121.42857142857142</v>
      </c>
      <c r="H246" s="62"/>
      <c r="I246" s="62"/>
      <c r="J246" s="62">
        <f>J233/F233*100</f>
        <v>121.42857142857142</v>
      </c>
      <c r="K246" s="63"/>
      <c r="L246" s="63"/>
      <c r="M246" s="63"/>
      <c r="N246" s="62">
        <f>N233/G233*100</f>
        <v>58.82352941176471</v>
      </c>
      <c r="O246" s="62"/>
      <c r="P246" s="62">
        <f>P233/J233*100</f>
        <v>58.82352941176471</v>
      </c>
      <c r="IB246"/>
      <c r="IC246"/>
      <c r="ID246"/>
      <c r="IE246"/>
      <c r="IF246"/>
      <c r="IG246"/>
    </row>
    <row r="247" spans="1:241" s="91" customFormat="1" ht="22.5">
      <c r="A247" s="82" t="s">
        <v>355</v>
      </c>
      <c r="B247" s="88"/>
      <c r="C247" s="88"/>
      <c r="D247" s="89">
        <f>(D249*D254)+(D250*D255)+(D251*D256)-110.1</f>
        <v>1035000</v>
      </c>
      <c r="E247" s="89"/>
      <c r="F247" s="89">
        <f>(F249*F254)+(F250*F255)+(F251*F256)-110.1</f>
        <v>1035000</v>
      </c>
      <c r="G247" s="89">
        <f>(G249*G254)+(G250*G255)+(G251*G256)+G252*G257</f>
        <v>1505079.9953947999</v>
      </c>
      <c r="H247" s="89"/>
      <c r="I247" s="89"/>
      <c r="J247" s="89">
        <f>G247</f>
        <v>1505079.9953947999</v>
      </c>
      <c r="K247" s="89">
        <f>(K249*K254)+(K250*K255)+(K251*K256)-110.1</f>
        <v>-110.1</v>
      </c>
      <c r="L247" s="89">
        <f>(L249*L254)+(L250*L255)+(L251*L256)-110.1</f>
        <v>-110.1</v>
      </c>
      <c r="M247" s="89">
        <f>(M249*M254)+(M250*M255)+(M251*M256)-110.1</f>
        <v>-110.1</v>
      </c>
      <c r="N247" s="89">
        <f>(N249*N254)+(N250*N255)+(N252*N257)</f>
        <v>1769999.9999953748</v>
      </c>
      <c r="O247" s="89"/>
      <c r="P247" s="89">
        <f>N247</f>
        <v>1769999.9999953748</v>
      </c>
      <c r="IB247" s="92"/>
      <c r="IC247" s="92"/>
      <c r="ID247" s="92"/>
      <c r="IE247" s="92"/>
      <c r="IF247" s="92"/>
      <c r="IG247" s="92"/>
    </row>
    <row r="248" spans="1:241" s="1" customFormat="1" ht="11.25">
      <c r="A248" s="54" t="s">
        <v>5</v>
      </c>
      <c r="B248" s="61"/>
      <c r="C248" s="61"/>
      <c r="D248" s="129"/>
      <c r="E248" s="129"/>
      <c r="F248" s="129"/>
      <c r="G248" s="129"/>
      <c r="H248" s="129"/>
      <c r="I248" s="129"/>
      <c r="J248" s="129"/>
      <c r="K248" s="129"/>
      <c r="L248" s="129"/>
      <c r="M248" s="129"/>
      <c r="N248" s="129"/>
      <c r="O248" s="129"/>
      <c r="P248" s="129"/>
      <c r="IB248"/>
      <c r="IC248"/>
      <c r="ID248"/>
      <c r="IE248"/>
      <c r="IF248"/>
      <c r="IG248"/>
    </row>
    <row r="249" spans="1:241" s="1" customFormat="1" ht="22.5" customHeight="1">
      <c r="A249" s="55" t="s">
        <v>135</v>
      </c>
      <c r="B249" s="59"/>
      <c r="C249" s="59"/>
      <c r="D249" s="62">
        <v>167170</v>
      </c>
      <c r="E249" s="62"/>
      <c r="F249" s="62">
        <f>D249</f>
        <v>167170</v>
      </c>
      <c r="G249" s="62">
        <f>F249</f>
        <v>167170</v>
      </c>
      <c r="H249" s="62"/>
      <c r="I249" s="62"/>
      <c r="J249" s="62">
        <f>G249</f>
        <v>167170</v>
      </c>
      <c r="K249" s="63"/>
      <c r="L249" s="63"/>
      <c r="M249" s="63"/>
      <c r="N249" s="62">
        <f>G249</f>
        <v>167170</v>
      </c>
      <c r="O249" s="62"/>
      <c r="P249" s="62">
        <f>N249</f>
        <v>167170</v>
      </c>
      <c r="IB249"/>
      <c r="IC249"/>
      <c r="ID249"/>
      <c r="IE249"/>
      <c r="IF249"/>
      <c r="IG249"/>
    </row>
    <row r="250" spans="1:241" s="1" customFormat="1" ht="22.5" hidden="1">
      <c r="A250" s="55" t="s">
        <v>158</v>
      </c>
      <c r="B250" s="59"/>
      <c r="C250" s="59"/>
      <c r="D250" s="62">
        <v>160</v>
      </c>
      <c r="E250" s="62"/>
      <c r="F250" s="62">
        <f>D250</f>
        <v>160</v>
      </c>
      <c r="G250" s="62"/>
      <c r="H250" s="62"/>
      <c r="I250" s="62"/>
      <c r="J250" s="62"/>
      <c r="K250" s="63"/>
      <c r="L250" s="63"/>
      <c r="M250" s="63"/>
      <c r="N250" s="62"/>
      <c r="O250" s="62"/>
      <c r="P250" s="62"/>
      <c r="IB250"/>
      <c r="IC250"/>
      <c r="ID250"/>
      <c r="IE250"/>
      <c r="IF250"/>
      <c r="IG250"/>
    </row>
    <row r="251" spans="1:241" s="1" customFormat="1" ht="33" customHeight="1">
      <c r="A251" s="55" t="s">
        <v>328</v>
      </c>
      <c r="B251" s="59"/>
      <c r="C251" s="59"/>
      <c r="D251" s="62">
        <v>4600</v>
      </c>
      <c r="E251" s="62"/>
      <c r="F251" s="62">
        <f>D251</f>
        <v>4600</v>
      </c>
      <c r="G251" s="62">
        <v>4994</v>
      </c>
      <c r="H251" s="62"/>
      <c r="I251" s="62"/>
      <c r="J251" s="62">
        <f>G251</f>
        <v>4994</v>
      </c>
      <c r="K251" s="63"/>
      <c r="L251" s="63"/>
      <c r="M251" s="63"/>
      <c r="N251" s="62"/>
      <c r="O251" s="62"/>
      <c r="P251" s="62">
        <f>N251</f>
        <v>0</v>
      </c>
      <c r="IB251"/>
      <c r="IC251"/>
      <c r="ID251"/>
      <c r="IE251"/>
      <c r="IF251"/>
      <c r="IG251"/>
    </row>
    <row r="252" spans="1:241" s="1" customFormat="1" ht="45">
      <c r="A252" s="55" t="s">
        <v>321</v>
      </c>
      <c r="B252" s="59"/>
      <c r="C252" s="59"/>
      <c r="D252" s="62"/>
      <c r="E252" s="62"/>
      <c r="F252" s="62"/>
      <c r="G252" s="62">
        <v>2510</v>
      </c>
      <c r="H252" s="62"/>
      <c r="I252" s="62"/>
      <c r="J252" s="62">
        <f>G252</f>
        <v>2510</v>
      </c>
      <c r="K252" s="63"/>
      <c r="L252" s="63"/>
      <c r="M252" s="63"/>
      <c r="N252" s="62">
        <v>5431</v>
      </c>
      <c r="O252" s="62"/>
      <c r="P252" s="62"/>
      <c r="IB252"/>
      <c r="IC252"/>
      <c r="ID252"/>
      <c r="IE252"/>
      <c r="IF252"/>
      <c r="IG252"/>
    </row>
    <row r="253" spans="1:241" s="1" customFormat="1" ht="12">
      <c r="A253" s="54" t="s">
        <v>7</v>
      </c>
      <c r="B253" s="61"/>
      <c r="C253" s="61"/>
      <c r="D253" s="129"/>
      <c r="E253" s="129"/>
      <c r="F253" s="62"/>
      <c r="G253" s="129"/>
      <c r="H253" s="129"/>
      <c r="I253" s="129"/>
      <c r="J253" s="62"/>
      <c r="K253" s="63"/>
      <c r="L253" s="63"/>
      <c r="M253" s="63"/>
      <c r="N253" s="129"/>
      <c r="O253" s="129"/>
      <c r="P253" s="62"/>
      <c r="IB253"/>
      <c r="IC253"/>
      <c r="ID253"/>
      <c r="IE253"/>
      <c r="IF253"/>
      <c r="IG253"/>
    </row>
    <row r="254" spans="1:241" s="1" customFormat="1" ht="23.25" customHeight="1">
      <c r="A254" s="55" t="s">
        <v>141</v>
      </c>
      <c r="B254" s="59"/>
      <c r="C254" s="59"/>
      <c r="D254" s="62">
        <v>3.53</v>
      </c>
      <c r="E254" s="62"/>
      <c r="F254" s="62">
        <f>D254</f>
        <v>3.53</v>
      </c>
      <c r="G254" s="62">
        <v>4.22</v>
      </c>
      <c r="H254" s="62"/>
      <c r="I254" s="62"/>
      <c r="J254" s="62">
        <f>G254</f>
        <v>4.22</v>
      </c>
      <c r="K254" s="63"/>
      <c r="L254" s="63"/>
      <c r="M254" s="63"/>
      <c r="N254" s="62">
        <v>5.86229586648</v>
      </c>
      <c r="O254" s="62"/>
      <c r="P254" s="62">
        <f>N254</f>
        <v>5.86229586648</v>
      </c>
      <c r="IB254"/>
      <c r="IC254"/>
      <c r="ID254"/>
      <c r="IE254"/>
      <c r="IF254"/>
      <c r="IG254"/>
    </row>
    <row r="255" spans="1:241" s="1" customFormat="1" ht="12" hidden="1">
      <c r="A255" s="55" t="s">
        <v>159</v>
      </c>
      <c r="B255" s="59"/>
      <c r="C255" s="59"/>
      <c r="D255" s="62">
        <v>625</v>
      </c>
      <c r="E255" s="62"/>
      <c r="F255" s="62">
        <f>D255</f>
        <v>625</v>
      </c>
      <c r="G255" s="62"/>
      <c r="H255" s="62"/>
      <c r="I255" s="62"/>
      <c r="J255" s="62"/>
      <c r="K255" s="63"/>
      <c r="L255" s="63"/>
      <c r="M255" s="63"/>
      <c r="N255" s="62"/>
      <c r="O255" s="62"/>
      <c r="P255" s="62"/>
      <c r="IB255"/>
      <c r="IC255"/>
      <c r="ID255"/>
      <c r="IE255"/>
      <c r="IF255"/>
      <c r="IG255"/>
    </row>
    <row r="256" spans="1:241" s="1" customFormat="1" ht="36" customHeight="1">
      <c r="A256" s="55" t="s">
        <v>329</v>
      </c>
      <c r="B256" s="59"/>
      <c r="C256" s="59"/>
      <c r="D256" s="62">
        <v>75</v>
      </c>
      <c r="E256" s="62"/>
      <c r="F256" s="62">
        <f>D256</f>
        <v>75</v>
      </c>
      <c r="G256" s="62">
        <v>87.0129342</v>
      </c>
      <c r="H256" s="62"/>
      <c r="I256" s="62"/>
      <c r="J256" s="62">
        <f>G256</f>
        <v>87.0129342</v>
      </c>
      <c r="K256" s="63"/>
      <c r="L256" s="63"/>
      <c r="M256" s="63"/>
      <c r="N256" s="62"/>
      <c r="O256" s="62"/>
      <c r="P256" s="62">
        <f>N256</f>
        <v>0</v>
      </c>
      <c r="IB256"/>
      <c r="IC256"/>
      <c r="ID256"/>
      <c r="IE256"/>
      <c r="IF256"/>
      <c r="IG256"/>
    </row>
    <row r="257" spans="1:241" s="1" customFormat="1" ht="45">
      <c r="A257" s="55" t="s">
        <v>322</v>
      </c>
      <c r="B257" s="59"/>
      <c r="C257" s="59"/>
      <c r="D257" s="62"/>
      <c r="E257" s="62"/>
      <c r="F257" s="62"/>
      <c r="G257" s="62">
        <v>145.4502</v>
      </c>
      <c r="H257" s="62"/>
      <c r="I257" s="62"/>
      <c r="J257" s="62">
        <f>G257</f>
        <v>145.4502</v>
      </c>
      <c r="K257" s="63"/>
      <c r="L257" s="63"/>
      <c r="M257" s="63"/>
      <c r="N257" s="62">
        <v>145.461241023</v>
      </c>
      <c r="O257" s="62"/>
      <c r="P257" s="62"/>
      <c r="IB257"/>
      <c r="IC257"/>
      <c r="ID257"/>
      <c r="IE257"/>
      <c r="IF257"/>
      <c r="IG257"/>
    </row>
    <row r="258" spans="1:241" s="1" customFormat="1" ht="12">
      <c r="A258" s="54" t="s">
        <v>6</v>
      </c>
      <c r="B258" s="59"/>
      <c r="C258" s="59"/>
      <c r="D258" s="62"/>
      <c r="E258" s="62"/>
      <c r="F258" s="62"/>
      <c r="G258" s="62"/>
      <c r="H258" s="62"/>
      <c r="I258" s="62"/>
      <c r="J258" s="62"/>
      <c r="K258" s="63"/>
      <c r="L258" s="63"/>
      <c r="M258" s="63"/>
      <c r="N258" s="62"/>
      <c r="O258" s="62"/>
      <c r="P258" s="62"/>
      <c r="IB258"/>
      <c r="IC258"/>
      <c r="ID258"/>
      <c r="IE258"/>
      <c r="IF258"/>
      <c r="IG258"/>
    </row>
    <row r="259" spans="1:241" s="1" customFormat="1" ht="36" customHeight="1">
      <c r="A259" s="55" t="s">
        <v>160</v>
      </c>
      <c r="B259" s="59"/>
      <c r="C259" s="59"/>
      <c r="D259" s="62"/>
      <c r="E259" s="62"/>
      <c r="F259" s="62"/>
      <c r="G259" s="62">
        <f>G254/D254*100</f>
        <v>119.54674220963173</v>
      </c>
      <c r="H259" s="62"/>
      <c r="I259" s="62"/>
      <c r="J259" s="62">
        <f>G259</f>
        <v>119.54674220963173</v>
      </c>
      <c r="K259" s="63"/>
      <c r="L259" s="63"/>
      <c r="M259" s="63"/>
      <c r="N259" s="62">
        <f>N254/G254*100</f>
        <v>138.91696366066353</v>
      </c>
      <c r="O259" s="62"/>
      <c r="P259" s="62">
        <f>N259</f>
        <v>138.91696366066353</v>
      </c>
      <c r="IB259"/>
      <c r="IC259"/>
      <c r="ID259"/>
      <c r="IE259"/>
      <c r="IF259"/>
      <c r="IG259"/>
    </row>
    <row r="260" spans="1:241" s="1" customFormat="1" ht="51" customHeight="1">
      <c r="A260" s="55" t="s">
        <v>161</v>
      </c>
      <c r="B260" s="59"/>
      <c r="C260" s="59"/>
      <c r="D260" s="62"/>
      <c r="E260" s="62"/>
      <c r="F260" s="62"/>
      <c r="G260" s="62">
        <f>G256/D256*100</f>
        <v>116.0172456</v>
      </c>
      <c r="H260" s="62"/>
      <c r="I260" s="62"/>
      <c r="J260" s="62">
        <f>G260</f>
        <v>116.0172456</v>
      </c>
      <c r="K260" s="63"/>
      <c r="L260" s="63"/>
      <c r="M260" s="63"/>
      <c r="N260" s="62">
        <f>N256/G256*100</f>
        <v>0</v>
      </c>
      <c r="O260" s="62"/>
      <c r="P260" s="62">
        <f>N260</f>
        <v>0</v>
      </c>
      <c r="IB260"/>
      <c r="IC260"/>
      <c r="ID260"/>
      <c r="IE260"/>
      <c r="IF260"/>
      <c r="IG260"/>
    </row>
    <row r="261" spans="1:241" s="1" customFormat="1" ht="58.5" customHeight="1">
      <c r="A261" s="55" t="s">
        <v>323</v>
      </c>
      <c r="B261" s="59"/>
      <c r="C261" s="59"/>
      <c r="D261" s="62"/>
      <c r="E261" s="62"/>
      <c r="F261" s="62"/>
      <c r="G261" s="62"/>
      <c r="H261" s="62"/>
      <c r="I261" s="62"/>
      <c r="J261" s="62"/>
      <c r="K261" s="63"/>
      <c r="L261" s="63"/>
      <c r="M261" s="63"/>
      <c r="N261" s="62"/>
      <c r="O261" s="62"/>
      <c r="P261" s="62"/>
      <c r="IB261"/>
      <c r="IC261"/>
      <c r="ID261"/>
      <c r="IE261"/>
      <c r="IF261"/>
      <c r="IG261"/>
    </row>
    <row r="262" spans="1:241" s="91" customFormat="1" ht="22.5">
      <c r="A262" s="82" t="s">
        <v>356</v>
      </c>
      <c r="B262" s="88"/>
      <c r="C262" s="88"/>
      <c r="D262" s="89">
        <f>(D266*D273)+(D267*D274)+(D268*D277)-2</f>
        <v>2306500</v>
      </c>
      <c r="E262" s="89"/>
      <c r="F262" s="89">
        <f>D262</f>
        <v>2306500</v>
      </c>
      <c r="G262" s="89">
        <f>(G266*G273)+(G267*G274)+G268*G277+G269*G278-0.02+10000</f>
        <v>3781600</v>
      </c>
      <c r="H262" s="89"/>
      <c r="I262" s="89"/>
      <c r="J262" s="89">
        <f>G262</f>
        <v>3781600</v>
      </c>
      <c r="K262" s="89">
        <f>(K266*K273)+(K267*K274)</f>
        <v>0</v>
      </c>
      <c r="L262" s="89">
        <f>(L266*L273)+(L267*L274)</f>
        <v>0</v>
      </c>
      <c r="M262" s="89">
        <f>(M266*M273)+(M267*M274)</f>
        <v>0</v>
      </c>
      <c r="N262" s="89">
        <f>(N266*N273)+(N267*N274)+N268*N277+N269*N278-94.96</f>
        <v>5994000</v>
      </c>
      <c r="O262" s="89"/>
      <c r="P262" s="89">
        <f>N262+O262</f>
        <v>5994000</v>
      </c>
      <c r="IB262" s="92"/>
      <c r="IC262" s="92"/>
      <c r="ID262" s="92"/>
      <c r="IE262" s="92"/>
      <c r="IF262" s="92"/>
      <c r="IG262" s="92"/>
    </row>
    <row r="263" spans="1:241" s="1" customFormat="1" ht="22.5" customHeight="1" hidden="1">
      <c r="A263" s="22" t="s">
        <v>51</v>
      </c>
      <c r="B263" s="12"/>
      <c r="C263" s="12"/>
      <c r="D263" s="13">
        <f aca="true" t="shared" si="28" ref="D263:J263">D265*D272+D266*D273+D267*D274</f>
        <v>2238832</v>
      </c>
      <c r="E263" s="13">
        <f t="shared" si="28"/>
        <v>0</v>
      </c>
      <c r="F263" s="13">
        <f t="shared" si="28"/>
        <v>2238832</v>
      </c>
      <c r="G263" s="13">
        <f t="shared" si="28"/>
        <v>3457163.02</v>
      </c>
      <c r="H263" s="13">
        <f t="shared" si="28"/>
        <v>0</v>
      </c>
      <c r="I263" s="13"/>
      <c r="J263" s="13">
        <f t="shared" si="28"/>
        <v>3457163.02</v>
      </c>
      <c r="K263" s="16"/>
      <c r="L263" s="16"/>
      <c r="M263" s="16"/>
      <c r="N263" s="13">
        <f>N265*N272+N266*N273+N267*N274</f>
        <v>5690457.96</v>
      </c>
      <c r="O263" s="13">
        <f>O265*O272+O266*O273+O267*O274</f>
        <v>0</v>
      </c>
      <c r="P263" s="13">
        <f>P265*P272+P266*P273+P267*P274</f>
        <v>5690457.96</v>
      </c>
      <c r="IB263"/>
      <c r="IC263"/>
      <c r="ID263"/>
      <c r="IE263"/>
      <c r="IF263"/>
      <c r="IG263"/>
    </row>
    <row r="264" spans="1:241" s="1" customFormat="1" ht="12" customHeight="1">
      <c r="A264" s="54" t="s">
        <v>5</v>
      </c>
      <c r="B264" s="61"/>
      <c r="C264" s="61"/>
      <c r="D264" s="129"/>
      <c r="E264" s="129"/>
      <c r="F264" s="62"/>
      <c r="G264" s="129"/>
      <c r="H264" s="129"/>
      <c r="I264" s="129"/>
      <c r="J264" s="62"/>
      <c r="K264" s="63"/>
      <c r="L264" s="63"/>
      <c r="M264" s="63"/>
      <c r="N264" s="129"/>
      <c r="O264" s="129"/>
      <c r="P264" s="62"/>
      <c r="IB264"/>
      <c r="IC264"/>
      <c r="ID264"/>
      <c r="IE264"/>
      <c r="IF264"/>
      <c r="IG264"/>
    </row>
    <row r="265" spans="1:241" s="1" customFormat="1" ht="13.5" customHeight="1" hidden="1">
      <c r="A265" s="55" t="s">
        <v>38</v>
      </c>
      <c r="B265" s="59"/>
      <c r="C265" s="59"/>
      <c r="D265" s="62">
        <v>1220</v>
      </c>
      <c r="E265" s="62"/>
      <c r="F265" s="62">
        <f aca="true" t="shared" si="29" ref="F265:F274">D265</f>
        <v>1220</v>
      </c>
      <c r="G265" s="62">
        <v>1220</v>
      </c>
      <c r="H265" s="62"/>
      <c r="I265" s="62"/>
      <c r="J265" s="62">
        <f aca="true" t="shared" si="30" ref="J265:J276">G265</f>
        <v>1220</v>
      </c>
      <c r="K265" s="63"/>
      <c r="L265" s="63"/>
      <c r="M265" s="63"/>
      <c r="N265" s="62">
        <v>1220</v>
      </c>
      <c r="O265" s="62"/>
      <c r="P265" s="62">
        <f aca="true" t="shared" si="31" ref="P265:P278">N265</f>
        <v>1220</v>
      </c>
      <c r="IB265"/>
      <c r="IC265"/>
      <c r="ID265"/>
      <c r="IE265"/>
      <c r="IF265"/>
      <c r="IG265"/>
    </row>
    <row r="266" spans="1:241" s="1" customFormat="1" ht="22.5">
      <c r="A266" s="55" t="s">
        <v>162</v>
      </c>
      <c r="B266" s="59"/>
      <c r="C266" s="59"/>
      <c r="D266" s="62">
        <v>4</v>
      </c>
      <c r="E266" s="62"/>
      <c r="F266" s="62">
        <f t="shared" si="29"/>
        <v>4</v>
      </c>
      <c r="G266" s="114">
        <f>6</f>
        <v>6</v>
      </c>
      <c r="H266" s="62"/>
      <c r="I266" s="62"/>
      <c r="J266" s="62">
        <f t="shared" si="30"/>
        <v>6</v>
      </c>
      <c r="K266" s="63"/>
      <c r="L266" s="63"/>
      <c r="M266" s="63"/>
      <c r="N266" s="62">
        <v>7</v>
      </c>
      <c r="O266" s="62"/>
      <c r="P266" s="62">
        <f t="shared" si="31"/>
        <v>7</v>
      </c>
      <c r="IB266"/>
      <c r="IC266"/>
      <c r="ID266"/>
      <c r="IE266"/>
      <c r="IF266"/>
      <c r="IG266"/>
    </row>
    <row r="267" spans="1:241" s="1" customFormat="1" ht="22.5" customHeight="1">
      <c r="A267" s="55" t="s">
        <v>163</v>
      </c>
      <c r="B267" s="59"/>
      <c r="C267" s="59"/>
      <c r="D267" s="62">
        <v>6</v>
      </c>
      <c r="E267" s="62"/>
      <c r="F267" s="62">
        <f t="shared" si="29"/>
        <v>6</v>
      </c>
      <c r="G267" s="114">
        <f>D267</f>
        <v>6</v>
      </c>
      <c r="H267" s="62"/>
      <c r="I267" s="62"/>
      <c r="J267" s="62">
        <f t="shared" si="30"/>
        <v>6</v>
      </c>
      <c r="K267" s="63"/>
      <c r="L267" s="63"/>
      <c r="M267" s="63"/>
      <c r="N267" s="62">
        <v>6</v>
      </c>
      <c r="O267" s="62"/>
      <c r="P267" s="62">
        <f t="shared" si="31"/>
        <v>6</v>
      </c>
      <c r="IB267"/>
      <c r="IC267"/>
      <c r="ID267"/>
      <c r="IE267"/>
      <c r="IF267"/>
      <c r="IG267"/>
    </row>
    <row r="268" spans="1:241" s="1" customFormat="1" ht="22.5" customHeight="1">
      <c r="A268" s="21" t="s">
        <v>256</v>
      </c>
      <c r="B268" s="7"/>
      <c r="C268" s="7"/>
      <c r="D268" s="14">
        <v>100</v>
      </c>
      <c r="E268" s="14"/>
      <c r="F268" s="14">
        <f t="shared" si="29"/>
        <v>100</v>
      </c>
      <c r="G268" s="114">
        <v>200</v>
      </c>
      <c r="H268" s="62"/>
      <c r="I268" s="62"/>
      <c r="J268" s="62">
        <v>200</v>
      </c>
      <c r="K268" s="63"/>
      <c r="L268" s="63"/>
      <c r="M268" s="63"/>
      <c r="N268" s="62">
        <v>166</v>
      </c>
      <c r="O268" s="62"/>
      <c r="P268" s="62">
        <f t="shared" si="31"/>
        <v>166</v>
      </c>
      <c r="IB268"/>
      <c r="IC268"/>
      <c r="ID268"/>
      <c r="IE268"/>
      <c r="IF268"/>
      <c r="IG268"/>
    </row>
    <row r="269" spans="1:241" s="1" customFormat="1" ht="24.75" customHeight="1">
      <c r="A269" s="21" t="s">
        <v>284</v>
      </c>
      <c r="B269" s="7"/>
      <c r="C269" s="7"/>
      <c r="D269" s="14"/>
      <c r="E269" s="14"/>
      <c r="F269" s="14"/>
      <c r="G269" s="114">
        <v>500</v>
      </c>
      <c r="H269" s="62"/>
      <c r="I269" s="62"/>
      <c r="J269" s="62">
        <v>500</v>
      </c>
      <c r="K269" s="63"/>
      <c r="L269" s="63"/>
      <c r="M269" s="63"/>
      <c r="N269" s="62">
        <v>400</v>
      </c>
      <c r="O269" s="62"/>
      <c r="P269" s="62">
        <f t="shared" si="31"/>
        <v>400</v>
      </c>
      <c r="IB269"/>
      <c r="IC269"/>
      <c r="ID269"/>
      <c r="IE269"/>
      <c r="IF269"/>
      <c r="IG269"/>
    </row>
    <row r="270" spans="1:241" s="1" customFormat="1" ht="22.5" customHeight="1" hidden="1">
      <c r="A270" s="21" t="s">
        <v>284</v>
      </c>
      <c r="B270" s="7"/>
      <c r="C270" s="7"/>
      <c r="D270" s="14"/>
      <c r="E270" s="14"/>
      <c r="F270" s="14"/>
      <c r="G270" s="114">
        <v>500</v>
      </c>
      <c r="H270" s="62"/>
      <c r="I270" s="62"/>
      <c r="J270" s="62">
        <v>500</v>
      </c>
      <c r="K270" s="63"/>
      <c r="L270" s="63"/>
      <c r="M270" s="63"/>
      <c r="N270" s="62"/>
      <c r="O270" s="62"/>
      <c r="P270" s="62"/>
      <c r="IB270"/>
      <c r="IC270"/>
      <c r="ID270"/>
      <c r="IE270"/>
      <c r="IF270"/>
      <c r="IG270"/>
    </row>
    <row r="271" spans="1:241" s="1" customFormat="1" ht="12" customHeight="1">
      <c r="A271" s="54" t="s">
        <v>7</v>
      </c>
      <c r="B271" s="61"/>
      <c r="C271" s="61"/>
      <c r="D271" s="129"/>
      <c r="E271" s="129"/>
      <c r="F271" s="62"/>
      <c r="G271" s="169"/>
      <c r="H271" s="129"/>
      <c r="I271" s="129"/>
      <c r="J271" s="62"/>
      <c r="K271" s="63"/>
      <c r="L271" s="63"/>
      <c r="M271" s="63"/>
      <c r="N271" s="129"/>
      <c r="O271" s="129"/>
      <c r="P271" s="62"/>
      <c r="IB271"/>
      <c r="IC271"/>
      <c r="ID271"/>
      <c r="IE271"/>
      <c r="IF271"/>
      <c r="IG271"/>
    </row>
    <row r="272" spans="1:241" s="1" customFormat="1" ht="22.5" customHeight="1" hidden="1">
      <c r="A272" s="55" t="s">
        <v>55</v>
      </c>
      <c r="B272" s="59"/>
      <c r="C272" s="59"/>
      <c r="D272" s="62">
        <v>26.5</v>
      </c>
      <c r="E272" s="62"/>
      <c r="F272" s="62">
        <f t="shared" si="29"/>
        <v>26.5</v>
      </c>
      <c r="G272" s="114">
        <v>29.15</v>
      </c>
      <c r="H272" s="62"/>
      <c r="I272" s="62"/>
      <c r="J272" s="62">
        <f t="shared" si="30"/>
        <v>29.15</v>
      </c>
      <c r="K272" s="63"/>
      <c r="L272" s="63"/>
      <c r="M272" s="63"/>
      <c r="N272" s="62">
        <v>29.15</v>
      </c>
      <c r="O272" s="62"/>
      <c r="P272" s="62">
        <f t="shared" si="31"/>
        <v>29.15</v>
      </c>
      <c r="IB272"/>
      <c r="IC272"/>
      <c r="ID272"/>
      <c r="IE272"/>
      <c r="IF272"/>
      <c r="IG272"/>
    </row>
    <row r="273" spans="1:241" s="1" customFormat="1" ht="22.5" customHeight="1">
      <c r="A273" s="55" t="s">
        <v>164</v>
      </c>
      <c r="B273" s="59"/>
      <c r="C273" s="59"/>
      <c r="D273" s="62">
        <v>256250</v>
      </c>
      <c r="E273" s="62"/>
      <c r="F273" s="62">
        <f>D273</f>
        <v>256250</v>
      </c>
      <c r="G273" s="114">
        <v>339600</v>
      </c>
      <c r="H273" s="62"/>
      <c r="I273" s="62"/>
      <c r="J273" s="62">
        <f t="shared" si="30"/>
        <v>339600</v>
      </c>
      <c r="K273" s="63"/>
      <c r="L273" s="63"/>
      <c r="M273" s="63"/>
      <c r="N273" s="62">
        <v>499985</v>
      </c>
      <c r="O273" s="62"/>
      <c r="P273" s="62">
        <f t="shared" si="31"/>
        <v>499985</v>
      </c>
      <c r="IB273"/>
      <c r="IC273"/>
      <c r="ID273"/>
      <c r="IE273"/>
      <c r="IF273"/>
      <c r="IG273"/>
    </row>
    <row r="274" spans="1:241" s="1" customFormat="1" ht="22.5" customHeight="1">
      <c r="A274" s="55" t="s">
        <v>165</v>
      </c>
      <c r="B274" s="59"/>
      <c r="C274" s="59"/>
      <c r="D274" s="62">
        <v>196917</v>
      </c>
      <c r="E274" s="62"/>
      <c r="F274" s="62">
        <f t="shared" si="29"/>
        <v>196917</v>
      </c>
      <c r="G274" s="114">
        <v>230666.67</v>
      </c>
      <c r="H274" s="62"/>
      <c r="I274" s="62"/>
      <c r="J274" s="62">
        <f t="shared" si="30"/>
        <v>230666.67</v>
      </c>
      <c r="K274" s="63"/>
      <c r="L274" s="63"/>
      <c r="M274" s="63"/>
      <c r="N274" s="62">
        <v>359166.66</v>
      </c>
      <c r="O274" s="62"/>
      <c r="P274" s="62">
        <f t="shared" si="31"/>
        <v>359166.66</v>
      </c>
      <c r="IB274"/>
      <c r="IC274"/>
      <c r="ID274"/>
      <c r="IE274"/>
      <c r="IF274"/>
      <c r="IG274"/>
    </row>
    <row r="275" spans="1:241" s="1" customFormat="1" ht="12" customHeight="1" hidden="1">
      <c r="A275" s="54" t="s">
        <v>6</v>
      </c>
      <c r="B275" s="61"/>
      <c r="C275" s="61"/>
      <c r="D275" s="129"/>
      <c r="E275" s="129"/>
      <c r="F275" s="129"/>
      <c r="G275" s="169"/>
      <c r="H275" s="129"/>
      <c r="I275" s="129"/>
      <c r="J275" s="62">
        <f t="shared" si="30"/>
        <v>0</v>
      </c>
      <c r="K275" s="63"/>
      <c r="L275" s="63"/>
      <c r="M275" s="63"/>
      <c r="N275" s="129"/>
      <c r="O275" s="129"/>
      <c r="P275" s="62">
        <f t="shared" si="31"/>
        <v>0</v>
      </c>
      <c r="IB275"/>
      <c r="IC275"/>
      <c r="ID275"/>
      <c r="IE275"/>
      <c r="IF275"/>
      <c r="IG275"/>
    </row>
    <row r="276" spans="1:241" s="1" customFormat="1" ht="33.75" customHeight="1" hidden="1">
      <c r="A276" s="55" t="s">
        <v>39</v>
      </c>
      <c r="B276" s="59"/>
      <c r="C276" s="59"/>
      <c r="D276" s="62"/>
      <c r="E276" s="62"/>
      <c r="F276" s="62"/>
      <c r="G276" s="114"/>
      <c r="H276" s="62"/>
      <c r="I276" s="62"/>
      <c r="J276" s="62">
        <f t="shared" si="30"/>
        <v>0</v>
      </c>
      <c r="K276" s="63"/>
      <c r="L276" s="63"/>
      <c r="M276" s="63"/>
      <c r="N276" s="62"/>
      <c r="O276" s="62"/>
      <c r="P276" s="62">
        <f t="shared" si="31"/>
        <v>0</v>
      </c>
      <c r="IB276"/>
      <c r="IC276"/>
      <c r="ID276"/>
      <c r="IE276"/>
      <c r="IF276"/>
      <c r="IG276"/>
    </row>
    <row r="277" spans="1:241" s="1" customFormat="1" ht="32.25" customHeight="1">
      <c r="A277" s="21" t="s">
        <v>318</v>
      </c>
      <c r="B277" s="7"/>
      <c r="C277" s="7"/>
      <c r="D277" s="14">
        <v>1000</v>
      </c>
      <c r="E277" s="14"/>
      <c r="F277" s="14">
        <f>D277</f>
        <v>1000</v>
      </c>
      <c r="G277" s="114">
        <v>1000</v>
      </c>
      <c r="H277" s="62"/>
      <c r="I277" s="62"/>
      <c r="J277" s="62">
        <f>G277</f>
        <v>1000</v>
      </c>
      <c r="K277" s="63"/>
      <c r="L277" s="63"/>
      <c r="M277" s="63"/>
      <c r="N277" s="62">
        <v>1200</v>
      </c>
      <c r="O277" s="62"/>
      <c r="P277" s="62">
        <f t="shared" si="31"/>
        <v>1200</v>
      </c>
      <c r="IB277"/>
      <c r="IC277"/>
      <c r="ID277"/>
      <c r="IE277"/>
      <c r="IF277"/>
      <c r="IG277"/>
    </row>
    <row r="278" spans="1:241" s="1" customFormat="1" ht="33.75">
      <c r="A278" s="21" t="s">
        <v>285</v>
      </c>
      <c r="B278" s="7"/>
      <c r="C278" s="7"/>
      <c r="D278" s="14">
        <v>1000</v>
      </c>
      <c r="E278" s="14"/>
      <c r="F278" s="14">
        <f>D278</f>
        <v>1000</v>
      </c>
      <c r="G278" s="114">
        <v>300</v>
      </c>
      <c r="H278" s="62"/>
      <c r="I278" s="62"/>
      <c r="J278" s="62">
        <f>G278</f>
        <v>300</v>
      </c>
      <c r="K278" s="63"/>
      <c r="L278" s="63"/>
      <c r="M278" s="63"/>
      <c r="N278" s="62">
        <v>350</v>
      </c>
      <c r="O278" s="62"/>
      <c r="P278" s="62">
        <f t="shared" si="31"/>
        <v>350</v>
      </c>
      <c r="IB278"/>
      <c r="IC278"/>
      <c r="ID278"/>
      <c r="IE278"/>
      <c r="IF278"/>
      <c r="IG278"/>
    </row>
    <row r="279" spans="1:241" s="1" customFormat="1" ht="12">
      <c r="A279" s="54" t="s">
        <v>6</v>
      </c>
      <c r="B279" s="59"/>
      <c r="C279" s="59"/>
      <c r="D279" s="62"/>
      <c r="E279" s="62"/>
      <c r="F279" s="62"/>
      <c r="G279" s="62"/>
      <c r="H279" s="62"/>
      <c r="I279" s="62"/>
      <c r="J279" s="62"/>
      <c r="K279" s="63"/>
      <c r="L279" s="63"/>
      <c r="M279" s="63"/>
      <c r="N279" s="62"/>
      <c r="O279" s="62"/>
      <c r="P279" s="62"/>
      <c r="IB279"/>
      <c r="IC279"/>
      <c r="ID279"/>
      <c r="IE279"/>
      <c r="IF279"/>
      <c r="IG279"/>
    </row>
    <row r="280" spans="1:241" s="1" customFormat="1" ht="33.75">
      <c r="A280" s="55" t="s">
        <v>166</v>
      </c>
      <c r="B280" s="59"/>
      <c r="C280" s="59"/>
      <c r="D280" s="62"/>
      <c r="E280" s="62"/>
      <c r="F280" s="62"/>
      <c r="G280" s="62">
        <f>G273/F273*100</f>
        <v>132.5268292682927</v>
      </c>
      <c r="H280" s="62"/>
      <c r="I280" s="62"/>
      <c r="J280" s="62">
        <f>G280</f>
        <v>132.5268292682927</v>
      </c>
      <c r="K280" s="63"/>
      <c r="L280" s="63"/>
      <c r="M280" s="63"/>
      <c r="N280" s="62">
        <f>N273/J273*100</f>
        <v>147.22762073027093</v>
      </c>
      <c r="O280" s="62"/>
      <c r="P280" s="62">
        <f>N280</f>
        <v>147.22762073027093</v>
      </c>
      <c r="IB280"/>
      <c r="IC280"/>
      <c r="ID280"/>
      <c r="IE280"/>
      <c r="IF280"/>
      <c r="IG280"/>
    </row>
    <row r="281" spans="1:241" s="1" customFormat="1" ht="33.75">
      <c r="A281" s="55" t="s">
        <v>167</v>
      </c>
      <c r="B281" s="59"/>
      <c r="C281" s="59"/>
      <c r="D281" s="62"/>
      <c r="E281" s="62"/>
      <c r="F281" s="62"/>
      <c r="G281" s="62">
        <f>G274/D274*100</f>
        <v>117.13903319672755</v>
      </c>
      <c r="H281" s="62"/>
      <c r="I281" s="62"/>
      <c r="J281" s="62">
        <f>G281</f>
        <v>117.13903319672755</v>
      </c>
      <c r="K281" s="63"/>
      <c r="L281" s="63"/>
      <c r="M281" s="63"/>
      <c r="N281" s="62">
        <f>N274/G274*100</f>
        <v>155.70808734525883</v>
      </c>
      <c r="O281" s="62"/>
      <c r="P281" s="62">
        <f>N281</f>
        <v>155.70808734525883</v>
      </c>
      <c r="IB281"/>
      <c r="IC281"/>
      <c r="ID281"/>
      <c r="IE281"/>
      <c r="IF281"/>
      <c r="IG281"/>
    </row>
    <row r="282" spans="1:241" s="91" customFormat="1" ht="24" customHeight="1">
      <c r="A282" s="82" t="s">
        <v>357</v>
      </c>
      <c r="B282" s="88"/>
      <c r="C282" s="88"/>
      <c r="D282" s="89">
        <f>(D284*D287)+45</f>
        <v>400000</v>
      </c>
      <c r="E282" s="89"/>
      <c r="F282" s="89">
        <f>D282</f>
        <v>400000</v>
      </c>
      <c r="G282" s="89">
        <f>G284*G287+G285*G288</f>
        <v>479999.999999326</v>
      </c>
      <c r="H282" s="89"/>
      <c r="I282" s="89"/>
      <c r="J282" s="89">
        <f>G282</f>
        <v>479999.999999326</v>
      </c>
      <c r="K282" s="89">
        <f>(K284*K287)</f>
        <v>0</v>
      </c>
      <c r="L282" s="89">
        <f>(L284*L287)</f>
        <v>0</v>
      </c>
      <c r="M282" s="89">
        <f>(M284*M287)</f>
        <v>0</v>
      </c>
      <c r="N282" s="89">
        <f>(N284*N287)</f>
        <v>579999.9999983759</v>
      </c>
      <c r="O282" s="89">
        <f>(O284*O287)</f>
        <v>0</v>
      </c>
      <c r="P282" s="89">
        <f>N282</f>
        <v>579999.9999983759</v>
      </c>
      <c r="IB282" s="92"/>
      <c r="IC282" s="92"/>
      <c r="ID282" s="92"/>
      <c r="IE282" s="92"/>
      <c r="IF282" s="92"/>
      <c r="IG282" s="92"/>
    </row>
    <row r="283" spans="1:241" s="1" customFormat="1" ht="12">
      <c r="A283" s="54" t="s">
        <v>5</v>
      </c>
      <c r="B283" s="59"/>
      <c r="C283" s="59"/>
      <c r="D283" s="62"/>
      <c r="E283" s="62"/>
      <c r="F283" s="62"/>
      <c r="G283" s="62"/>
      <c r="H283" s="62"/>
      <c r="I283" s="62"/>
      <c r="J283" s="62"/>
      <c r="K283" s="63"/>
      <c r="L283" s="63"/>
      <c r="M283" s="63"/>
      <c r="N283" s="62"/>
      <c r="O283" s="62"/>
      <c r="P283" s="62"/>
      <c r="IB283"/>
      <c r="IC283"/>
      <c r="ID283"/>
      <c r="IE283"/>
      <c r="IF283"/>
      <c r="IG283"/>
    </row>
    <row r="284" spans="1:241" s="1" customFormat="1" ht="22.5">
      <c r="A284" s="55" t="s">
        <v>298</v>
      </c>
      <c r="B284" s="59"/>
      <c r="C284" s="59"/>
      <c r="D284" s="62">
        <v>2050</v>
      </c>
      <c r="E284" s="62"/>
      <c r="F284" s="62">
        <f>D284</f>
        <v>2050</v>
      </c>
      <c r="G284" s="62">
        <v>1427</v>
      </c>
      <c r="H284" s="62"/>
      <c r="I284" s="62"/>
      <c r="J284" s="62">
        <f>G284</f>
        <v>1427</v>
      </c>
      <c r="K284" s="63"/>
      <c r="L284" s="63"/>
      <c r="M284" s="63"/>
      <c r="N284" s="62">
        <v>2248</v>
      </c>
      <c r="O284" s="62"/>
      <c r="P284" s="62">
        <f>N284</f>
        <v>2248</v>
      </c>
      <c r="IB284"/>
      <c r="IC284"/>
      <c r="ID284"/>
      <c r="IE284"/>
      <c r="IF284"/>
      <c r="IG284"/>
    </row>
    <row r="285" spans="1:241" s="1" customFormat="1" ht="33.75">
      <c r="A285" s="55" t="s">
        <v>302</v>
      </c>
      <c r="B285" s="59"/>
      <c r="C285" s="59"/>
      <c r="D285" s="62"/>
      <c r="E285" s="62"/>
      <c r="F285" s="62"/>
      <c r="G285" s="62">
        <v>1</v>
      </c>
      <c r="H285" s="62"/>
      <c r="I285" s="62"/>
      <c r="J285" s="62">
        <v>1</v>
      </c>
      <c r="K285" s="63"/>
      <c r="L285" s="63"/>
      <c r="M285" s="63"/>
      <c r="N285" s="62"/>
      <c r="O285" s="62"/>
      <c r="P285" s="62"/>
      <c r="IB285"/>
      <c r="IC285"/>
      <c r="ID285"/>
      <c r="IE285"/>
      <c r="IF285"/>
      <c r="IG285"/>
    </row>
    <row r="286" spans="1:241" s="1" customFormat="1" ht="12">
      <c r="A286" s="54" t="s">
        <v>7</v>
      </c>
      <c r="B286" s="59"/>
      <c r="C286" s="59"/>
      <c r="D286" s="62"/>
      <c r="E286" s="62"/>
      <c r="F286" s="62"/>
      <c r="G286" s="62"/>
      <c r="H286" s="62"/>
      <c r="I286" s="62"/>
      <c r="J286" s="62"/>
      <c r="K286" s="63"/>
      <c r="L286" s="63"/>
      <c r="M286" s="63"/>
      <c r="N286" s="62"/>
      <c r="O286" s="62"/>
      <c r="P286" s="62"/>
      <c r="IB286"/>
      <c r="IC286"/>
      <c r="ID286"/>
      <c r="IE286"/>
      <c r="IF286"/>
      <c r="IG286"/>
    </row>
    <row r="287" spans="1:241" s="1" customFormat="1" ht="22.5">
      <c r="A287" s="55" t="s">
        <v>299</v>
      </c>
      <c r="B287" s="59"/>
      <c r="C287" s="59"/>
      <c r="D287" s="62">
        <v>195.1</v>
      </c>
      <c r="E287" s="62"/>
      <c r="F287" s="62">
        <f>D287</f>
        <v>195.1</v>
      </c>
      <c r="G287" s="62">
        <v>224.246671338</v>
      </c>
      <c r="H287" s="62"/>
      <c r="I287" s="62"/>
      <c r="J287" s="62">
        <f>G287</f>
        <v>224.246671338</v>
      </c>
      <c r="K287" s="63"/>
      <c r="L287" s="63"/>
      <c r="M287" s="63"/>
      <c r="N287" s="62">
        <v>258.007117437</v>
      </c>
      <c r="O287" s="62"/>
      <c r="P287" s="62">
        <f>N287</f>
        <v>258.007117437</v>
      </c>
      <c r="IB287"/>
      <c r="IC287"/>
      <c r="ID287"/>
      <c r="IE287"/>
      <c r="IF287"/>
      <c r="IG287"/>
    </row>
    <row r="288" spans="1:241" s="1" customFormat="1" ht="33.75">
      <c r="A288" s="55" t="s">
        <v>303</v>
      </c>
      <c r="B288" s="59"/>
      <c r="C288" s="59"/>
      <c r="D288" s="62"/>
      <c r="E288" s="62"/>
      <c r="F288" s="62"/>
      <c r="G288" s="62">
        <v>160000</v>
      </c>
      <c r="H288" s="62"/>
      <c r="I288" s="62"/>
      <c r="J288" s="62">
        <f>G288</f>
        <v>160000</v>
      </c>
      <c r="K288" s="63"/>
      <c r="L288" s="63"/>
      <c r="M288" s="63"/>
      <c r="N288" s="62"/>
      <c r="O288" s="62"/>
      <c r="P288" s="62"/>
      <c r="IB288"/>
      <c r="IC288"/>
      <c r="ID288"/>
      <c r="IE288"/>
      <c r="IF288"/>
      <c r="IG288"/>
    </row>
    <row r="289" spans="1:241" s="1" customFormat="1" ht="12">
      <c r="A289" s="54" t="s">
        <v>6</v>
      </c>
      <c r="B289" s="59"/>
      <c r="C289" s="59"/>
      <c r="D289" s="62"/>
      <c r="E289" s="62"/>
      <c r="F289" s="62"/>
      <c r="G289" s="62"/>
      <c r="H289" s="62"/>
      <c r="I289" s="62"/>
      <c r="J289" s="62"/>
      <c r="K289" s="63"/>
      <c r="L289" s="63"/>
      <c r="M289" s="63"/>
      <c r="N289" s="62"/>
      <c r="O289" s="62"/>
      <c r="P289" s="62"/>
      <c r="IB289"/>
      <c r="IC289"/>
      <c r="ID289"/>
      <c r="IE289"/>
      <c r="IF289"/>
      <c r="IG289"/>
    </row>
    <row r="290" spans="1:241" s="1" customFormat="1" ht="24.75" customHeight="1">
      <c r="A290" s="55" t="s">
        <v>300</v>
      </c>
      <c r="B290" s="59"/>
      <c r="C290" s="59"/>
      <c r="D290" s="62"/>
      <c r="E290" s="62"/>
      <c r="F290" s="62"/>
      <c r="G290" s="62">
        <f>G284/D284*100</f>
        <v>69.60975609756098</v>
      </c>
      <c r="H290" s="62"/>
      <c r="I290" s="62"/>
      <c r="J290" s="62">
        <f>G290</f>
        <v>69.60975609756098</v>
      </c>
      <c r="K290" s="63"/>
      <c r="L290" s="63"/>
      <c r="M290" s="63"/>
      <c r="N290" s="62">
        <f>N284/G284*100</f>
        <v>157.5332866152768</v>
      </c>
      <c r="O290" s="62"/>
      <c r="P290" s="62">
        <f>N290</f>
        <v>157.5332866152768</v>
      </c>
      <c r="IB290"/>
      <c r="IC290"/>
      <c r="ID290"/>
      <c r="IE290"/>
      <c r="IF290"/>
      <c r="IG290"/>
    </row>
    <row r="291" spans="1:241" s="1" customFormat="1" ht="33.75">
      <c r="A291" s="55" t="s">
        <v>301</v>
      </c>
      <c r="B291" s="59"/>
      <c r="C291" s="59"/>
      <c r="D291" s="62"/>
      <c r="E291" s="62"/>
      <c r="F291" s="62"/>
      <c r="G291" s="62">
        <f>G287/D287*100</f>
        <v>114.93934973757047</v>
      </c>
      <c r="H291" s="62"/>
      <c r="I291" s="62"/>
      <c r="J291" s="62">
        <f>G291</f>
        <v>114.93934973757047</v>
      </c>
      <c r="K291" s="63"/>
      <c r="L291" s="63"/>
      <c r="M291" s="63"/>
      <c r="N291" s="62">
        <f>N287/G287*100</f>
        <v>115.05504893230452</v>
      </c>
      <c r="O291" s="62"/>
      <c r="P291" s="62">
        <f>N291</f>
        <v>115.05504893230452</v>
      </c>
      <c r="IB291"/>
      <c r="IC291"/>
      <c r="ID291"/>
      <c r="IE291"/>
      <c r="IF291"/>
      <c r="IG291"/>
    </row>
    <row r="292" spans="1:241" s="101" customFormat="1" ht="27" customHeight="1">
      <c r="A292" s="82" t="s">
        <v>358</v>
      </c>
      <c r="B292" s="88"/>
      <c r="C292" s="88"/>
      <c r="D292" s="89"/>
      <c r="E292" s="89">
        <f>E294*E297</f>
        <v>4065000</v>
      </c>
      <c r="F292" s="89">
        <f>F294*F297</f>
        <v>4065000</v>
      </c>
      <c r="G292" s="89"/>
      <c r="H292" s="89">
        <v>4482000</v>
      </c>
      <c r="I292" s="89"/>
      <c r="J292" s="89">
        <v>4482000</v>
      </c>
      <c r="K292" s="89">
        <f>K294*K297-4</f>
        <v>-4</v>
      </c>
      <c r="L292" s="89">
        <f>L294*L297-4</f>
        <v>-4</v>
      </c>
      <c r="M292" s="89">
        <f>M294*M297-4</f>
        <v>-4</v>
      </c>
      <c r="N292" s="89"/>
      <c r="O292" s="205">
        <f>O294*O297+O295*O298</f>
        <v>19045000.002</v>
      </c>
      <c r="P292" s="205">
        <f>N292+O292</f>
        <v>19045000.002</v>
      </c>
      <c r="IB292" s="102"/>
      <c r="IC292" s="102"/>
      <c r="ID292" s="102"/>
      <c r="IE292" s="102"/>
      <c r="IF292" s="102"/>
      <c r="IG292" s="102"/>
    </row>
    <row r="293" spans="1:241" s="49" customFormat="1" ht="12">
      <c r="A293" s="54" t="s">
        <v>5</v>
      </c>
      <c r="B293" s="61"/>
      <c r="C293" s="61"/>
      <c r="D293" s="129"/>
      <c r="E293" s="129"/>
      <c r="F293" s="62"/>
      <c r="G293" s="129"/>
      <c r="H293" s="129"/>
      <c r="I293" s="129"/>
      <c r="J293" s="62"/>
      <c r="K293" s="63"/>
      <c r="L293" s="63"/>
      <c r="M293" s="63"/>
      <c r="N293" s="129"/>
      <c r="O293" s="129"/>
      <c r="P293" s="62"/>
      <c r="IB293" s="50"/>
      <c r="IC293" s="50"/>
      <c r="ID293" s="50"/>
      <c r="IE293" s="50"/>
      <c r="IF293" s="50"/>
      <c r="IG293" s="50"/>
    </row>
    <row r="294" spans="1:241" s="49" customFormat="1" ht="25.5" customHeight="1">
      <c r="A294" s="55" t="s">
        <v>168</v>
      </c>
      <c r="B294" s="59"/>
      <c r="C294" s="59"/>
      <c r="D294" s="62"/>
      <c r="E294" s="14">
        <v>24</v>
      </c>
      <c r="F294" s="62">
        <f>E294</f>
        <v>24</v>
      </c>
      <c r="G294" s="62"/>
      <c r="H294" s="62">
        <v>29</v>
      </c>
      <c r="I294" s="62"/>
      <c r="J294" s="62">
        <v>29</v>
      </c>
      <c r="K294" s="63"/>
      <c r="L294" s="63"/>
      <c r="M294" s="63"/>
      <c r="N294" s="62"/>
      <c r="O294" s="62">
        <v>14</v>
      </c>
      <c r="P294" s="62">
        <f>O294</f>
        <v>14</v>
      </c>
      <c r="IB294" s="50"/>
      <c r="IC294" s="50"/>
      <c r="ID294" s="50"/>
      <c r="IE294" s="50"/>
      <c r="IF294" s="50"/>
      <c r="IG294" s="50"/>
    </row>
    <row r="295" spans="1:241" s="49" customFormat="1" ht="25.5" customHeight="1">
      <c r="A295" s="55" t="s">
        <v>383</v>
      </c>
      <c r="B295" s="59"/>
      <c r="C295" s="59"/>
      <c r="D295" s="62"/>
      <c r="E295" s="14"/>
      <c r="F295" s="62"/>
      <c r="G295" s="62"/>
      <c r="H295" s="62"/>
      <c r="I295" s="62"/>
      <c r="J295" s="62"/>
      <c r="K295" s="63"/>
      <c r="L295" s="63"/>
      <c r="M295" s="63"/>
      <c r="N295" s="62"/>
      <c r="O295" s="62">
        <v>4</v>
      </c>
      <c r="P295" s="62">
        <f>O295</f>
        <v>4</v>
      </c>
      <c r="IB295" s="50"/>
      <c r="IC295" s="50"/>
      <c r="ID295" s="50"/>
      <c r="IE295" s="50"/>
      <c r="IF295" s="50"/>
      <c r="IG295" s="50"/>
    </row>
    <row r="296" spans="1:241" s="49" customFormat="1" ht="12">
      <c r="A296" s="54" t="s">
        <v>7</v>
      </c>
      <c r="B296" s="61"/>
      <c r="C296" s="61"/>
      <c r="D296" s="129"/>
      <c r="E296" s="129"/>
      <c r="F296" s="62"/>
      <c r="G296" s="129"/>
      <c r="H296" s="129"/>
      <c r="I296" s="129"/>
      <c r="J296" s="62"/>
      <c r="K296" s="63"/>
      <c r="L296" s="63"/>
      <c r="M296" s="63"/>
      <c r="N296" s="129"/>
      <c r="O296" s="129"/>
      <c r="P296" s="62"/>
      <c r="IB296" s="50"/>
      <c r="IC296" s="50"/>
      <c r="ID296" s="50"/>
      <c r="IE296" s="50"/>
      <c r="IF296" s="50"/>
      <c r="IG296" s="50"/>
    </row>
    <row r="297" spans="1:241" s="49" customFormat="1" ht="26.25" customHeight="1">
      <c r="A297" s="55" t="s">
        <v>169</v>
      </c>
      <c r="B297" s="59"/>
      <c r="C297" s="59"/>
      <c r="D297" s="62"/>
      <c r="E297" s="62">
        <v>169375</v>
      </c>
      <c r="F297" s="62">
        <f>E297</f>
        <v>169375</v>
      </c>
      <c r="G297" s="62"/>
      <c r="H297" s="62">
        <v>154553</v>
      </c>
      <c r="I297" s="62"/>
      <c r="J297" s="62">
        <v>154553</v>
      </c>
      <c r="K297" s="63"/>
      <c r="L297" s="63"/>
      <c r="M297" s="63"/>
      <c r="N297" s="62"/>
      <c r="O297" s="62">
        <v>1260357.143</v>
      </c>
      <c r="P297" s="62">
        <f>O297</f>
        <v>1260357.143</v>
      </c>
      <c r="IB297" s="50"/>
      <c r="IC297" s="50"/>
      <c r="ID297" s="50"/>
      <c r="IE297" s="50"/>
      <c r="IF297" s="50"/>
      <c r="IG297" s="50"/>
    </row>
    <row r="298" spans="1:241" s="49" customFormat="1" ht="26.25" customHeight="1">
      <c r="A298" s="55" t="s">
        <v>384</v>
      </c>
      <c r="B298" s="59"/>
      <c r="C298" s="59"/>
      <c r="D298" s="62"/>
      <c r="E298" s="62"/>
      <c r="F298" s="62"/>
      <c r="G298" s="62"/>
      <c r="H298" s="114"/>
      <c r="I298" s="62"/>
      <c r="J298" s="62"/>
      <c r="K298" s="63"/>
      <c r="L298" s="63"/>
      <c r="M298" s="63"/>
      <c r="N298" s="62"/>
      <c r="O298" s="62">
        <v>350000</v>
      </c>
      <c r="P298" s="62">
        <f>O298</f>
        <v>350000</v>
      </c>
      <c r="IB298" s="50"/>
      <c r="IC298" s="50"/>
      <c r="ID298" s="50"/>
      <c r="IE298" s="50"/>
      <c r="IF298" s="50"/>
      <c r="IG298" s="50"/>
    </row>
    <row r="299" spans="1:241" s="49" customFormat="1" ht="12">
      <c r="A299" s="54" t="s">
        <v>6</v>
      </c>
      <c r="B299" s="59"/>
      <c r="C299" s="59"/>
      <c r="D299" s="62"/>
      <c r="E299" s="62"/>
      <c r="F299" s="62"/>
      <c r="G299" s="62"/>
      <c r="H299" s="62"/>
      <c r="I299" s="62"/>
      <c r="J299" s="62"/>
      <c r="K299" s="63"/>
      <c r="L299" s="63"/>
      <c r="M299" s="63"/>
      <c r="N299" s="62"/>
      <c r="O299" s="62"/>
      <c r="P299" s="62"/>
      <c r="IB299" s="50"/>
      <c r="IC299" s="50"/>
      <c r="ID299" s="50"/>
      <c r="IE299" s="50"/>
      <c r="IF299" s="50"/>
      <c r="IG299" s="50"/>
    </row>
    <row r="300" spans="1:241" s="49" customFormat="1" ht="35.25" customHeight="1">
      <c r="A300" s="55" t="s">
        <v>170</v>
      </c>
      <c r="B300" s="59"/>
      <c r="C300" s="59"/>
      <c r="D300" s="62"/>
      <c r="E300" s="62"/>
      <c r="F300" s="62"/>
      <c r="G300" s="62"/>
      <c r="H300" s="62">
        <f>H297/E297*100</f>
        <v>91.2490036900369</v>
      </c>
      <c r="I300" s="62"/>
      <c r="J300" s="62">
        <v>58.5</v>
      </c>
      <c r="K300" s="63"/>
      <c r="L300" s="63"/>
      <c r="M300" s="63"/>
      <c r="N300" s="62"/>
      <c r="O300" s="62">
        <f>O297/H297*100</f>
        <v>815.4853953012882</v>
      </c>
      <c r="P300" s="62">
        <f>O300</f>
        <v>815.4853953012882</v>
      </c>
      <c r="IB300" s="50"/>
      <c r="IC300" s="50"/>
      <c r="ID300" s="50"/>
      <c r="IE300" s="50"/>
      <c r="IF300" s="50"/>
      <c r="IG300" s="50"/>
    </row>
    <row r="301" spans="1:235" s="85" customFormat="1" ht="15" customHeight="1">
      <c r="A301" s="199" t="s">
        <v>441</v>
      </c>
      <c r="B301" s="108"/>
      <c r="C301" s="108"/>
      <c r="D301" s="119"/>
      <c r="E301" s="119">
        <f>E303+E350</f>
        <v>27028000</v>
      </c>
      <c r="F301" s="119">
        <f>F303+F350</f>
        <v>27028000</v>
      </c>
      <c r="G301" s="119">
        <f>G303</f>
        <v>584999.9999982599</v>
      </c>
      <c r="H301" s="119">
        <f>H303+H350</f>
        <v>98971999.99997011</v>
      </c>
      <c r="I301" s="119"/>
      <c r="J301" s="119">
        <f>G301+H301</f>
        <v>99556999.99996836</v>
      </c>
      <c r="K301" s="119" t="e">
        <f>K303+K350</f>
        <v>#REF!</v>
      </c>
      <c r="L301" s="119" t="e">
        <f>L303+L350</f>
        <v>#REF!</v>
      </c>
      <c r="M301" s="119" t="e">
        <f>M303+M350</f>
        <v>#REF!</v>
      </c>
      <c r="N301" s="119">
        <f>N303</f>
        <v>0</v>
      </c>
      <c r="O301" s="119">
        <f>O303+O350</f>
        <v>91399999.99997799</v>
      </c>
      <c r="P301" s="119">
        <f>N301+O301</f>
        <v>91399999.99997799</v>
      </c>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c r="DG301" s="121"/>
      <c r="DH301" s="121"/>
      <c r="DI301" s="121"/>
      <c r="DJ301" s="121"/>
      <c r="DK301" s="121"/>
      <c r="DL301" s="121"/>
      <c r="DM301" s="121"/>
      <c r="DN301" s="121"/>
      <c r="DO301" s="121"/>
      <c r="DP301" s="121"/>
      <c r="DQ301" s="121"/>
      <c r="DR301" s="121"/>
      <c r="DS301" s="121"/>
      <c r="DT301" s="121"/>
      <c r="DU301" s="121"/>
      <c r="DV301" s="121"/>
      <c r="DW301" s="121"/>
      <c r="DX301" s="121"/>
      <c r="DY301" s="121"/>
      <c r="DZ301" s="121"/>
      <c r="EA301" s="121"/>
      <c r="EB301" s="121"/>
      <c r="EC301" s="121"/>
      <c r="ED301" s="121"/>
      <c r="EE301" s="121"/>
      <c r="EF301" s="121"/>
      <c r="EG301" s="121"/>
      <c r="EH301" s="121"/>
      <c r="EI301" s="121"/>
      <c r="EJ301" s="121"/>
      <c r="EK301" s="121"/>
      <c r="EL301" s="121"/>
      <c r="EM301" s="121"/>
      <c r="EN301" s="121"/>
      <c r="EO301" s="121"/>
      <c r="EP301" s="121"/>
      <c r="EQ301" s="121"/>
      <c r="ER301" s="121"/>
      <c r="ES301" s="121"/>
      <c r="ET301" s="121"/>
      <c r="EU301" s="121"/>
      <c r="EV301" s="121"/>
      <c r="EW301" s="121"/>
      <c r="EX301" s="121"/>
      <c r="EY301" s="121"/>
      <c r="EZ301" s="121"/>
      <c r="FA301" s="121"/>
      <c r="FB301" s="121"/>
      <c r="FC301" s="121"/>
      <c r="FD301" s="121"/>
      <c r="FE301" s="121"/>
      <c r="FF301" s="121"/>
      <c r="FG301" s="121"/>
      <c r="FH301" s="121"/>
      <c r="FI301" s="121"/>
      <c r="FJ301" s="121"/>
      <c r="FK301" s="121"/>
      <c r="FL301" s="121"/>
      <c r="FM301" s="121"/>
      <c r="FN301" s="121"/>
      <c r="FO301" s="121"/>
      <c r="FP301" s="121"/>
      <c r="FQ301" s="121"/>
      <c r="FR301" s="121"/>
      <c r="FS301" s="121"/>
      <c r="FT301" s="121"/>
      <c r="FU301" s="121"/>
      <c r="FV301" s="121"/>
      <c r="FW301" s="121"/>
      <c r="FX301" s="121"/>
      <c r="FY301" s="121"/>
      <c r="FZ301" s="121"/>
      <c r="GA301" s="121"/>
      <c r="GB301" s="121"/>
      <c r="GC301" s="121"/>
      <c r="GD301" s="121"/>
      <c r="GE301" s="121"/>
      <c r="GF301" s="121"/>
      <c r="GG301" s="121"/>
      <c r="GH301" s="121"/>
      <c r="GI301" s="121"/>
      <c r="GJ301" s="121"/>
      <c r="GK301" s="121"/>
      <c r="GL301" s="121"/>
      <c r="GM301" s="121"/>
      <c r="GN301" s="121"/>
      <c r="GO301" s="121"/>
      <c r="GP301" s="121"/>
      <c r="GQ301" s="121"/>
      <c r="GR301" s="121"/>
      <c r="GS301" s="121"/>
      <c r="GT301" s="121"/>
      <c r="GU301" s="121"/>
      <c r="GV301" s="121"/>
      <c r="GW301" s="121"/>
      <c r="GX301" s="121"/>
      <c r="GY301" s="121"/>
      <c r="GZ301" s="121"/>
      <c r="HA301" s="121"/>
      <c r="HB301" s="121"/>
      <c r="HC301" s="121"/>
      <c r="HD301" s="121"/>
      <c r="HE301" s="121"/>
      <c r="HF301" s="121"/>
      <c r="HG301" s="121"/>
      <c r="HH301" s="121"/>
      <c r="HI301" s="121"/>
      <c r="HJ301" s="121"/>
      <c r="HK301" s="121"/>
      <c r="HL301" s="121"/>
      <c r="HM301" s="121"/>
      <c r="HN301" s="121"/>
      <c r="HO301" s="121"/>
      <c r="HP301" s="121"/>
      <c r="HQ301" s="121"/>
      <c r="HR301" s="121"/>
      <c r="HS301" s="121"/>
      <c r="HT301" s="121"/>
      <c r="HU301" s="121"/>
      <c r="HV301" s="121"/>
      <c r="HW301" s="121"/>
      <c r="HX301" s="121"/>
      <c r="HY301" s="121"/>
      <c r="HZ301" s="121"/>
      <c r="IA301" s="121"/>
    </row>
    <row r="302" spans="1:16" ht="45" customHeight="1">
      <c r="A302" s="22" t="s">
        <v>171</v>
      </c>
      <c r="B302" s="7"/>
      <c r="C302" s="7"/>
      <c r="D302" s="17"/>
      <c r="E302" s="13"/>
      <c r="F302" s="13"/>
      <c r="G302" s="17"/>
      <c r="H302" s="13"/>
      <c r="I302" s="13"/>
      <c r="J302" s="13"/>
      <c r="K302" s="17" t="e">
        <f>H302/E302*100</f>
        <v>#DIV/0!</v>
      </c>
      <c r="L302" s="10"/>
      <c r="M302" s="10"/>
      <c r="N302" s="17"/>
      <c r="O302" s="13"/>
      <c r="P302" s="13"/>
    </row>
    <row r="303" spans="1:235" s="85" customFormat="1" ht="22.5" customHeight="1">
      <c r="A303" s="82" t="s">
        <v>191</v>
      </c>
      <c r="B303" s="77"/>
      <c r="C303" s="77"/>
      <c r="D303" s="78"/>
      <c r="E303" s="89">
        <f>E304+E320+E313+E341</f>
        <v>26028000</v>
      </c>
      <c r="F303" s="89">
        <f>F304+F320+F313+F341</f>
        <v>26028000</v>
      </c>
      <c r="G303" s="89">
        <f>G304+G320+G313</f>
        <v>584999.9999982599</v>
      </c>
      <c r="H303" s="89">
        <f>H304+H320+H313+H341</f>
        <v>91971999.99997011</v>
      </c>
      <c r="I303" s="89">
        <f>I304+I320+I313+I341</f>
        <v>0</v>
      </c>
      <c r="J303" s="89">
        <f>J304+J320+J313+J341</f>
        <v>92556999.99996836</v>
      </c>
      <c r="K303" s="89" t="e">
        <f>K304+K320+K313+K341+#REF!</f>
        <v>#REF!</v>
      </c>
      <c r="L303" s="89" t="e">
        <f>L304+L320+L313+L341+#REF!</f>
        <v>#REF!</v>
      </c>
      <c r="M303" s="89" t="e">
        <f>M304+M320+M313+M341+#REF!</f>
        <v>#REF!</v>
      </c>
      <c r="N303" s="89">
        <f>N304+N320+N313+N341</f>
        <v>0</v>
      </c>
      <c r="O303" s="89">
        <f>O304+O320+O313+O341</f>
        <v>74499999.99997799</v>
      </c>
      <c r="P303" s="89">
        <f>P304+P320+P313+P341</f>
        <v>74499999.99997799</v>
      </c>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121"/>
      <c r="BU303" s="121"/>
      <c r="BV303" s="121"/>
      <c r="BW303" s="121"/>
      <c r="BX303" s="121"/>
      <c r="BY303" s="121"/>
      <c r="BZ303" s="121"/>
      <c r="CA303" s="121"/>
      <c r="CB303" s="121"/>
      <c r="CC303" s="121"/>
      <c r="CD303" s="121"/>
      <c r="CE303" s="121"/>
      <c r="CF303" s="121"/>
      <c r="CG303" s="121"/>
      <c r="CH303" s="121"/>
      <c r="CI303" s="121"/>
      <c r="CJ303" s="121"/>
      <c r="CK303" s="121"/>
      <c r="CL303" s="121"/>
      <c r="CM303" s="121"/>
      <c r="CN303" s="121"/>
      <c r="CO303" s="121"/>
      <c r="CP303" s="121"/>
      <c r="CQ303" s="121"/>
      <c r="CR303" s="121"/>
      <c r="CS303" s="121"/>
      <c r="CT303" s="121"/>
      <c r="CU303" s="121"/>
      <c r="CV303" s="121"/>
      <c r="CW303" s="121"/>
      <c r="CX303" s="121"/>
      <c r="CY303" s="121"/>
      <c r="CZ303" s="121"/>
      <c r="DA303" s="121"/>
      <c r="DB303" s="121"/>
      <c r="DC303" s="121"/>
      <c r="DD303" s="121"/>
      <c r="DE303" s="121"/>
      <c r="DF303" s="121"/>
      <c r="DG303" s="121"/>
      <c r="DH303" s="121"/>
      <c r="DI303" s="121"/>
      <c r="DJ303" s="121"/>
      <c r="DK303" s="121"/>
      <c r="DL303" s="121"/>
      <c r="DM303" s="121"/>
      <c r="DN303" s="121"/>
      <c r="DO303" s="121"/>
      <c r="DP303" s="121"/>
      <c r="DQ303" s="121"/>
      <c r="DR303" s="121"/>
      <c r="DS303" s="121"/>
      <c r="DT303" s="121"/>
      <c r="DU303" s="121"/>
      <c r="DV303" s="121"/>
      <c r="DW303" s="121"/>
      <c r="DX303" s="121"/>
      <c r="DY303" s="121"/>
      <c r="DZ303" s="121"/>
      <c r="EA303" s="121"/>
      <c r="EB303" s="121"/>
      <c r="EC303" s="121"/>
      <c r="ED303" s="121"/>
      <c r="EE303" s="121"/>
      <c r="EF303" s="121"/>
      <c r="EG303" s="121"/>
      <c r="EH303" s="121"/>
      <c r="EI303" s="121"/>
      <c r="EJ303" s="121"/>
      <c r="EK303" s="121"/>
      <c r="EL303" s="121"/>
      <c r="EM303" s="121"/>
      <c r="EN303" s="121"/>
      <c r="EO303" s="121"/>
      <c r="EP303" s="121"/>
      <c r="EQ303" s="121"/>
      <c r="ER303" s="121"/>
      <c r="ES303" s="121"/>
      <c r="ET303" s="121"/>
      <c r="EU303" s="121"/>
      <c r="EV303" s="121"/>
      <c r="EW303" s="121"/>
      <c r="EX303" s="121"/>
      <c r="EY303" s="121"/>
      <c r="EZ303" s="121"/>
      <c r="FA303" s="121"/>
      <c r="FB303" s="121"/>
      <c r="FC303" s="121"/>
      <c r="FD303" s="121"/>
      <c r="FE303" s="121"/>
      <c r="FF303" s="121"/>
      <c r="FG303" s="121"/>
      <c r="FH303" s="121"/>
      <c r="FI303" s="121"/>
      <c r="FJ303" s="121"/>
      <c r="FK303" s="121"/>
      <c r="FL303" s="121"/>
      <c r="FM303" s="121"/>
      <c r="FN303" s="121"/>
      <c r="FO303" s="121"/>
      <c r="FP303" s="121"/>
      <c r="FQ303" s="121"/>
      <c r="FR303" s="121"/>
      <c r="FS303" s="121"/>
      <c r="FT303" s="121"/>
      <c r="FU303" s="121"/>
      <c r="FV303" s="121"/>
      <c r="FW303" s="121"/>
      <c r="FX303" s="121"/>
      <c r="FY303" s="121"/>
      <c r="FZ303" s="121"/>
      <c r="GA303" s="121"/>
      <c r="GB303" s="121"/>
      <c r="GC303" s="121"/>
      <c r="GD303" s="121"/>
      <c r="GE303" s="121"/>
      <c r="GF303" s="121"/>
      <c r="GG303" s="121"/>
      <c r="GH303" s="121"/>
      <c r="GI303" s="121"/>
      <c r="GJ303" s="121"/>
      <c r="GK303" s="121"/>
      <c r="GL303" s="121"/>
      <c r="GM303" s="121"/>
      <c r="GN303" s="121"/>
      <c r="GO303" s="121"/>
      <c r="GP303" s="121"/>
      <c r="GQ303" s="121"/>
      <c r="GR303" s="121"/>
      <c r="GS303" s="121"/>
      <c r="GT303" s="121"/>
      <c r="GU303" s="121"/>
      <c r="GV303" s="121"/>
      <c r="GW303" s="121"/>
      <c r="GX303" s="121"/>
      <c r="GY303" s="121"/>
      <c r="GZ303" s="121"/>
      <c r="HA303" s="121"/>
      <c r="HB303" s="121"/>
      <c r="HC303" s="121"/>
      <c r="HD303" s="121"/>
      <c r="HE303" s="121"/>
      <c r="HF303" s="121"/>
      <c r="HG303" s="121"/>
      <c r="HH303" s="121"/>
      <c r="HI303" s="121"/>
      <c r="HJ303" s="121"/>
      <c r="HK303" s="121"/>
      <c r="HL303" s="121"/>
      <c r="HM303" s="121"/>
      <c r="HN303" s="121"/>
      <c r="HO303" s="121"/>
      <c r="HP303" s="121"/>
      <c r="HQ303" s="121"/>
      <c r="HR303" s="121"/>
      <c r="HS303" s="121"/>
      <c r="HT303" s="121"/>
      <c r="HU303" s="121"/>
      <c r="HV303" s="121"/>
      <c r="HW303" s="121"/>
      <c r="HX303" s="121"/>
      <c r="HY303" s="121"/>
      <c r="HZ303" s="121"/>
      <c r="IA303" s="121"/>
    </row>
    <row r="304" spans="1:235" s="92" customFormat="1" ht="22.5">
      <c r="A304" s="82" t="s">
        <v>359</v>
      </c>
      <c r="B304" s="88"/>
      <c r="C304" s="88"/>
      <c r="D304" s="89"/>
      <c r="E304" s="89">
        <f>E308*E310-20</f>
        <v>2500000</v>
      </c>
      <c r="F304" s="89">
        <f>E304</f>
        <v>2500000</v>
      </c>
      <c r="G304" s="89"/>
      <c r="H304" s="89">
        <f>H308*H310</f>
        <v>19901999.999997</v>
      </c>
      <c r="I304" s="89"/>
      <c r="J304" s="89">
        <f>H304</f>
        <v>19901999.999997</v>
      </c>
      <c r="K304" s="89">
        <f>K308*K310</f>
        <v>79607.3631410829</v>
      </c>
      <c r="L304" s="89">
        <f>L308*L310</f>
        <v>0</v>
      </c>
      <c r="M304" s="89">
        <f>M308*M310</f>
        <v>0</v>
      </c>
      <c r="N304" s="89"/>
      <c r="O304" s="89">
        <f>O308*O310</f>
        <v>28289999.999988</v>
      </c>
      <c r="P304" s="89">
        <f>N304+O304</f>
        <v>28289999.999988</v>
      </c>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91"/>
      <c r="BC304" s="91"/>
      <c r="BD304" s="91"/>
      <c r="BE304" s="91"/>
      <c r="BF304" s="91"/>
      <c r="BG304" s="91"/>
      <c r="BH304" s="91"/>
      <c r="BI304" s="91"/>
      <c r="BJ304" s="91"/>
      <c r="BK304" s="91"/>
      <c r="BL304" s="91"/>
      <c r="BM304" s="91"/>
      <c r="BN304" s="91"/>
      <c r="BO304" s="91"/>
      <c r="BP304" s="91"/>
      <c r="BQ304" s="91"/>
      <c r="BR304" s="91"/>
      <c r="BS304" s="91"/>
      <c r="BT304" s="91"/>
      <c r="BU304" s="91"/>
      <c r="BV304" s="91"/>
      <c r="BW304" s="91"/>
      <c r="BX304" s="91"/>
      <c r="BY304" s="91"/>
      <c r="BZ304" s="91"/>
      <c r="CA304" s="91"/>
      <c r="CB304" s="91"/>
      <c r="CC304" s="91"/>
      <c r="CD304" s="91"/>
      <c r="CE304" s="91"/>
      <c r="CF304" s="91"/>
      <c r="CG304" s="91"/>
      <c r="CH304" s="91"/>
      <c r="CI304" s="91"/>
      <c r="CJ304" s="91"/>
      <c r="CK304" s="91"/>
      <c r="CL304" s="91"/>
      <c r="CM304" s="91"/>
      <c r="CN304" s="91"/>
      <c r="CO304" s="91"/>
      <c r="CP304" s="91"/>
      <c r="CQ304" s="91"/>
      <c r="CR304" s="91"/>
      <c r="CS304" s="91"/>
      <c r="CT304" s="91"/>
      <c r="CU304" s="91"/>
      <c r="CV304" s="91"/>
      <c r="CW304" s="91"/>
      <c r="CX304" s="91"/>
      <c r="CY304" s="91"/>
      <c r="CZ304" s="91"/>
      <c r="DA304" s="91"/>
      <c r="DB304" s="91"/>
      <c r="DC304" s="91"/>
      <c r="DD304" s="91"/>
      <c r="DE304" s="91"/>
      <c r="DF304" s="91"/>
      <c r="DG304" s="91"/>
      <c r="DH304" s="91"/>
      <c r="DI304" s="91"/>
      <c r="DJ304" s="91"/>
      <c r="DK304" s="91"/>
      <c r="DL304" s="91"/>
      <c r="DM304" s="91"/>
      <c r="DN304" s="91"/>
      <c r="DO304" s="91"/>
      <c r="DP304" s="91"/>
      <c r="DQ304" s="91"/>
      <c r="DR304" s="91"/>
      <c r="DS304" s="91"/>
      <c r="DT304" s="91"/>
      <c r="DU304" s="91"/>
      <c r="DV304" s="91"/>
      <c r="DW304" s="91"/>
      <c r="DX304" s="91"/>
      <c r="DY304" s="91"/>
      <c r="DZ304" s="91"/>
      <c r="EA304" s="91"/>
      <c r="EB304" s="91"/>
      <c r="EC304" s="91"/>
      <c r="ED304" s="91"/>
      <c r="EE304" s="91"/>
      <c r="EF304" s="91"/>
      <c r="EG304" s="91"/>
      <c r="EH304" s="91"/>
      <c r="EI304" s="91"/>
      <c r="EJ304" s="91"/>
      <c r="EK304" s="91"/>
      <c r="EL304" s="91"/>
      <c r="EM304" s="91"/>
      <c r="EN304" s="91"/>
      <c r="EO304" s="91"/>
      <c r="EP304" s="91"/>
      <c r="EQ304" s="91"/>
      <c r="ER304" s="91"/>
      <c r="ES304" s="91"/>
      <c r="ET304" s="91"/>
      <c r="EU304" s="91"/>
      <c r="EV304" s="91"/>
      <c r="EW304" s="91"/>
      <c r="EX304" s="91"/>
      <c r="EY304" s="91"/>
      <c r="EZ304" s="91"/>
      <c r="FA304" s="91"/>
      <c r="FB304" s="91"/>
      <c r="FC304" s="91"/>
      <c r="FD304" s="91"/>
      <c r="FE304" s="91"/>
      <c r="FF304" s="91"/>
      <c r="FG304" s="91"/>
      <c r="FH304" s="91"/>
      <c r="FI304" s="91"/>
      <c r="FJ304" s="91"/>
      <c r="FK304" s="91"/>
      <c r="FL304" s="91"/>
      <c r="FM304" s="91"/>
      <c r="FN304" s="91"/>
      <c r="FO304" s="91"/>
      <c r="FP304" s="91"/>
      <c r="FQ304" s="91"/>
      <c r="FR304" s="91"/>
      <c r="FS304" s="91"/>
      <c r="FT304" s="91"/>
      <c r="FU304" s="91"/>
      <c r="FV304" s="91"/>
      <c r="FW304" s="91"/>
      <c r="FX304" s="91"/>
      <c r="FY304" s="91"/>
      <c r="FZ304" s="91"/>
      <c r="GA304" s="91"/>
      <c r="GB304" s="91"/>
      <c r="GC304" s="91"/>
      <c r="GD304" s="91"/>
      <c r="GE304" s="91"/>
      <c r="GF304" s="91"/>
      <c r="GG304" s="91"/>
      <c r="GH304" s="91"/>
      <c r="GI304" s="91"/>
      <c r="GJ304" s="91"/>
      <c r="GK304" s="91"/>
      <c r="GL304" s="91"/>
      <c r="GM304" s="91"/>
      <c r="GN304" s="91"/>
      <c r="GO304" s="91"/>
      <c r="GP304" s="91"/>
      <c r="GQ304" s="91"/>
      <c r="GR304" s="91"/>
      <c r="GS304" s="91"/>
      <c r="GT304" s="91"/>
      <c r="GU304" s="91"/>
      <c r="GV304" s="91"/>
      <c r="GW304" s="91"/>
      <c r="GX304" s="91"/>
      <c r="GY304" s="91"/>
      <c r="GZ304" s="91"/>
      <c r="HA304" s="91"/>
      <c r="HB304" s="91"/>
      <c r="HC304" s="91"/>
      <c r="HD304" s="91"/>
      <c r="HE304" s="91"/>
      <c r="HF304" s="91"/>
      <c r="HG304" s="91"/>
      <c r="HH304" s="91"/>
      <c r="HI304" s="91"/>
      <c r="HJ304" s="91"/>
      <c r="HK304" s="91"/>
      <c r="HL304" s="91"/>
      <c r="HM304" s="91"/>
      <c r="HN304" s="91"/>
      <c r="HO304" s="91"/>
      <c r="HP304" s="91"/>
      <c r="HQ304" s="91"/>
      <c r="HR304" s="91"/>
      <c r="HS304" s="91"/>
      <c r="HT304" s="91"/>
      <c r="HU304" s="91"/>
      <c r="HV304" s="91"/>
      <c r="HW304" s="91"/>
      <c r="HX304" s="91"/>
      <c r="HY304" s="91"/>
      <c r="HZ304" s="91"/>
      <c r="IA304" s="91"/>
    </row>
    <row r="305" spans="1:16" ht="11.25">
      <c r="A305" s="20" t="s">
        <v>4</v>
      </c>
      <c r="B305" s="5"/>
      <c r="C305" s="5"/>
      <c r="D305" s="17"/>
      <c r="E305" s="13"/>
      <c r="F305" s="13"/>
      <c r="G305" s="17"/>
      <c r="H305" s="13"/>
      <c r="I305" s="13"/>
      <c r="J305" s="13"/>
      <c r="K305" s="17"/>
      <c r="L305" s="10"/>
      <c r="M305" s="10"/>
      <c r="N305" s="17"/>
      <c r="O305" s="13"/>
      <c r="P305" s="13"/>
    </row>
    <row r="306" spans="1:16" ht="22.5">
      <c r="A306" s="55" t="s">
        <v>172</v>
      </c>
      <c r="B306" s="59"/>
      <c r="C306" s="59"/>
      <c r="D306" s="62"/>
      <c r="E306" s="62">
        <v>1172</v>
      </c>
      <c r="F306" s="62">
        <f>E306</f>
        <v>1172</v>
      </c>
      <c r="G306" s="62"/>
      <c r="H306" s="62">
        <f>F306</f>
        <v>1172</v>
      </c>
      <c r="I306" s="62"/>
      <c r="J306" s="62">
        <f>H306</f>
        <v>1172</v>
      </c>
      <c r="K306" s="62"/>
      <c r="L306" s="64"/>
      <c r="M306" s="64"/>
      <c r="N306" s="62"/>
      <c r="O306" s="62">
        <f>H306</f>
        <v>1172</v>
      </c>
      <c r="P306" s="62">
        <f>O306</f>
        <v>1172</v>
      </c>
    </row>
    <row r="307" spans="1:16" ht="11.25">
      <c r="A307" s="54" t="s">
        <v>5</v>
      </c>
      <c r="B307" s="61"/>
      <c r="C307" s="61"/>
      <c r="D307" s="62"/>
      <c r="E307" s="129"/>
      <c r="F307" s="129"/>
      <c r="G307" s="62"/>
      <c r="H307" s="129"/>
      <c r="I307" s="129"/>
      <c r="J307" s="129"/>
      <c r="K307" s="62" t="e">
        <f>H307/E307*100</f>
        <v>#DIV/0!</v>
      </c>
      <c r="L307" s="129"/>
      <c r="M307" s="129"/>
      <c r="N307" s="62"/>
      <c r="O307" s="129"/>
      <c r="P307" s="129"/>
    </row>
    <row r="308" spans="1:16" ht="22.5">
      <c r="A308" s="55" t="s">
        <v>173</v>
      </c>
      <c r="B308" s="59"/>
      <c r="C308" s="59"/>
      <c r="D308" s="62"/>
      <c r="E308" s="62">
        <v>19</v>
      </c>
      <c r="F308" s="62">
        <f>E308</f>
        <v>19</v>
      </c>
      <c r="G308" s="62"/>
      <c r="H308" s="62">
        <f>132+3</f>
        <v>135</v>
      </c>
      <c r="I308" s="62"/>
      <c r="J308" s="62">
        <f>H308</f>
        <v>135</v>
      </c>
      <c r="K308" s="62">
        <f>H308/E308*100</f>
        <v>710.5263157894738</v>
      </c>
      <c r="L308" s="62"/>
      <c r="M308" s="62"/>
      <c r="N308" s="62"/>
      <c r="O308" s="62">
        <v>180</v>
      </c>
      <c r="P308" s="62">
        <f>O308</f>
        <v>180</v>
      </c>
    </row>
    <row r="309" spans="1:16" ht="11.25">
      <c r="A309" s="54" t="s">
        <v>7</v>
      </c>
      <c r="B309" s="61"/>
      <c r="C309" s="61"/>
      <c r="D309" s="62"/>
      <c r="E309" s="129"/>
      <c r="F309" s="129"/>
      <c r="G309" s="62"/>
      <c r="H309" s="129"/>
      <c r="I309" s="129"/>
      <c r="J309" s="129"/>
      <c r="K309" s="62" t="e">
        <f>H309/E309*100</f>
        <v>#DIV/0!</v>
      </c>
      <c r="L309" s="129"/>
      <c r="M309" s="129"/>
      <c r="N309" s="62"/>
      <c r="O309" s="129"/>
      <c r="P309" s="129"/>
    </row>
    <row r="310" spans="1:16" ht="24" customHeight="1">
      <c r="A310" s="55" t="s">
        <v>174</v>
      </c>
      <c r="B310" s="59"/>
      <c r="C310" s="59"/>
      <c r="D310" s="62"/>
      <c r="E310" s="62">
        <v>131580</v>
      </c>
      <c r="F310" s="62">
        <f>E310</f>
        <v>131580</v>
      </c>
      <c r="G310" s="62"/>
      <c r="H310" s="62">
        <f>147422.2222222</f>
        <v>147422.2222222</v>
      </c>
      <c r="I310" s="62"/>
      <c r="J310" s="62">
        <f>H310</f>
        <v>147422.2222222</v>
      </c>
      <c r="K310" s="62">
        <f>H310/E310*100</f>
        <v>112.03999256893147</v>
      </c>
      <c r="L310" s="62"/>
      <c r="M310" s="62"/>
      <c r="N310" s="62"/>
      <c r="O310" s="62">
        <v>157166.6666666</v>
      </c>
      <c r="P310" s="62">
        <f>O310</f>
        <v>157166.6666666</v>
      </c>
    </row>
    <row r="311" spans="1:16" ht="11.25">
      <c r="A311" s="54" t="s">
        <v>6</v>
      </c>
      <c r="B311" s="61"/>
      <c r="C311" s="61"/>
      <c r="D311" s="62"/>
      <c r="E311" s="62"/>
      <c r="F311" s="62"/>
      <c r="G311" s="62"/>
      <c r="H311" s="62"/>
      <c r="I311" s="62"/>
      <c r="J311" s="62"/>
      <c r="K311" s="62"/>
      <c r="L311" s="62"/>
      <c r="M311" s="62"/>
      <c r="N311" s="62"/>
      <c r="O311" s="62"/>
      <c r="P311" s="62"/>
    </row>
    <row r="312" spans="1:16" ht="50.25" customHeight="1">
      <c r="A312" s="55" t="s">
        <v>175</v>
      </c>
      <c r="B312" s="59"/>
      <c r="C312" s="59"/>
      <c r="D312" s="62"/>
      <c r="E312" s="62"/>
      <c r="F312" s="62"/>
      <c r="G312" s="62"/>
      <c r="H312" s="62">
        <f>H308/H306*100</f>
        <v>11.518771331058021</v>
      </c>
      <c r="I312" s="62"/>
      <c r="J312" s="62">
        <f>J308/J306*100</f>
        <v>11.518771331058021</v>
      </c>
      <c r="K312" s="62" t="e">
        <f>K308/K306*100</f>
        <v>#DIV/0!</v>
      </c>
      <c r="L312" s="62" t="e">
        <f>L308/L306*100</f>
        <v>#DIV/0!</v>
      </c>
      <c r="M312" s="62" t="e">
        <f>M308/M306*100</f>
        <v>#DIV/0!</v>
      </c>
      <c r="N312" s="62"/>
      <c r="O312" s="62">
        <f>O308/O306*100</f>
        <v>15.358361774744028</v>
      </c>
      <c r="P312" s="62">
        <f>P308/P306*100</f>
        <v>15.358361774744028</v>
      </c>
    </row>
    <row r="313" spans="1:235" s="92" customFormat="1" ht="29.25" customHeight="1">
      <c r="A313" s="82" t="s">
        <v>360</v>
      </c>
      <c r="B313" s="88"/>
      <c r="C313" s="88"/>
      <c r="D313" s="89"/>
      <c r="E313" s="89">
        <f>5000000</f>
        <v>5000000</v>
      </c>
      <c r="F313" s="89">
        <f>E313</f>
        <v>5000000</v>
      </c>
      <c r="G313" s="89"/>
      <c r="H313" s="89">
        <f>H317*H319</f>
        <v>32499999.999971997</v>
      </c>
      <c r="I313" s="89"/>
      <c r="J313" s="89">
        <f>H313</f>
        <v>32499999.999971997</v>
      </c>
      <c r="K313" s="89"/>
      <c r="L313" s="89"/>
      <c r="M313" s="89"/>
      <c r="N313" s="89"/>
      <c r="O313" s="89">
        <f>O317*O319</f>
        <v>46209999.999989994</v>
      </c>
      <c r="P313" s="89">
        <f>N313+O313</f>
        <v>46209999.999989994</v>
      </c>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91"/>
      <c r="BC313" s="91"/>
      <c r="BD313" s="91"/>
      <c r="BE313" s="91"/>
      <c r="BF313" s="91"/>
      <c r="BG313" s="91"/>
      <c r="BH313" s="91"/>
      <c r="BI313" s="91"/>
      <c r="BJ313" s="91"/>
      <c r="BK313" s="91"/>
      <c r="BL313" s="91"/>
      <c r="BM313" s="91"/>
      <c r="BN313" s="91"/>
      <c r="BO313" s="91"/>
      <c r="BP313" s="91"/>
      <c r="BQ313" s="91"/>
      <c r="BR313" s="91"/>
      <c r="BS313" s="91"/>
      <c r="BT313" s="91"/>
      <c r="BU313" s="91"/>
      <c r="BV313" s="91"/>
      <c r="BW313" s="91"/>
      <c r="BX313" s="91"/>
      <c r="BY313" s="91"/>
      <c r="BZ313" s="91"/>
      <c r="CA313" s="91"/>
      <c r="CB313" s="91"/>
      <c r="CC313" s="91"/>
      <c r="CD313" s="91"/>
      <c r="CE313" s="91"/>
      <c r="CF313" s="91"/>
      <c r="CG313" s="91"/>
      <c r="CH313" s="91"/>
      <c r="CI313" s="91"/>
      <c r="CJ313" s="91"/>
      <c r="CK313" s="91"/>
      <c r="CL313" s="91"/>
      <c r="CM313" s="91"/>
      <c r="CN313" s="91"/>
      <c r="CO313" s="91"/>
      <c r="CP313" s="91"/>
      <c r="CQ313" s="91"/>
      <c r="CR313" s="91"/>
      <c r="CS313" s="91"/>
      <c r="CT313" s="91"/>
      <c r="CU313" s="91"/>
      <c r="CV313" s="91"/>
      <c r="CW313" s="91"/>
      <c r="CX313" s="91"/>
      <c r="CY313" s="91"/>
      <c r="CZ313" s="91"/>
      <c r="DA313" s="91"/>
      <c r="DB313" s="91"/>
      <c r="DC313" s="91"/>
      <c r="DD313" s="91"/>
      <c r="DE313" s="91"/>
      <c r="DF313" s="91"/>
      <c r="DG313" s="91"/>
      <c r="DH313" s="91"/>
      <c r="DI313" s="91"/>
      <c r="DJ313" s="91"/>
      <c r="DK313" s="91"/>
      <c r="DL313" s="91"/>
      <c r="DM313" s="91"/>
      <c r="DN313" s="91"/>
      <c r="DO313" s="91"/>
      <c r="DP313" s="91"/>
      <c r="DQ313" s="91"/>
      <c r="DR313" s="91"/>
      <c r="DS313" s="91"/>
      <c r="DT313" s="91"/>
      <c r="DU313" s="91"/>
      <c r="DV313" s="91"/>
      <c r="DW313" s="91"/>
      <c r="DX313" s="91"/>
      <c r="DY313" s="91"/>
      <c r="DZ313" s="91"/>
      <c r="EA313" s="91"/>
      <c r="EB313" s="91"/>
      <c r="EC313" s="91"/>
      <c r="ED313" s="91"/>
      <c r="EE313" s="91"/>
      <c r="EF313" s="91"/>
      <c r="EG313" s="91"/>
      <c r="EH313" s="91"/>
      <c r="EI313" s="91"/>
      <c r="EJ313" s="91"/>
      <c r="EK313" s="91"/>
      <c r="EL313" s="91"/>
      <c r="EM313" s="91"/>
      <c r="EN313" s="91"/>
      <c r="EO313" s="91"/>
      <c r="EP313" s="91"/>
      <c r="EQ313" s="91"/>
      <c r="ER313" s="91"/>
      <c r="ES313" s="91"/>
      <c r="ET313" s="91"/>
      <c r="EU313" s="91"/>
      <c r="EV313" s="91"/>
      <c r="EW313" s="91"/>
      <c r="EX313" s="91"/>
      <c r="EY313" s="91"/>
      <c r="EZ313" s="91"/>
      <c r="FA313" s="91"/>
      <c r="FB313" s="91"/>
      <c r="FC313" s="91"/>
      <c r="FD313" s="91"/>
      <c r="FE313" s="91"/>
      <c r="FF313" s="91"/>
      <c r="FG313" s="91"/>
      <c r="FH313" s="91"/>
      <c r="FI313" s="91"/>
      <c r="FJ313" s="91"/>
      <c r="FK313" s="91"/>
      <c r="FL313" s="91"/>
      <c r="FM313" s="91"/>
      <c r="FN313" s="91"/>
      <c r="FO313" s="91"/>
      <c r="FP313" s="91"/>
      <c r="FQ313" s="91"/>
      <c r="FR313" s="91"/>
      <c r="FS313" s="91"/>
      <c r="FT313" s="91"/>
      <c r="FU313" s="91"/>
      <c r="FV313" s="91"/>
      <c r="FW313" s="91"/>
      <c r="FX313" s="91"/>
      <c r="FY313" s="91"/>
      <c r="FZ313" s="91"/>
      <c r="GA313" s="91"/>
      <c r="GB313" s="91"/>
      <c r="GC313" s="91"/>
      <c r="GD313" s="91"/>
      <c r="GE313" s="91"/>
      <c r="GF313" s="91"/>
      <c r="GG313" s="91"/>
      <c r="GH313" s="91"/>
      <c r="GI313" s="91"/>
      <c r="GJ313" s="91"/>
      <c r="GK313" s="91"/>
      <c r="GL313" s="91"/>
      <c r="GM313" s="91"/>
      <c r="GN313" s="91"/>
      <c r="GO313" s="91"/>
      <c r="GP313" s="91"/>
      <c r="GQ313" s="91"/>
      <c r="GR313" s="91"/>
      <c r="GS313" s="91"/>
      <c r="GT313" s="91"/>
      <c r="GU313" s="91"/>
      <c r="GV313" s="91"/>
      <c r="GW313" s="91"/>
      <c r="GX313" s="91"/>
      <c r="GY313" s="91"/>
      <c r="GZ313" s="91"/>
      <c r="HA313" s="91"/>
      <c r="HB313" s="91"/>
      <c r="HC313" s="91"/>
      <c r="HD313" s="91"/>
      <c r="HE313" s="91"/>
      <c r="HF313" s="91"/>
      <c r="HG313" s="91"/>
      <c r="HH313" s="91"/>
      <c r="HI313" s="91"/>
      <c r="HJ313" s="91"/>
      <c r="HK313" s="91"/>
      <c r="HL313" s="91"/>
      <c r="HM313" s="91"/>
      <c r="HN313" s="91"/>
      <c r="HO313" s="91"/>
      <c r="HP313" s="91"/>
      <c r="HQ313" s="91"/>
      <c r="HR313" s="91"/>
      <c r="HS313" s="91"/>
      <c r="HT313" s="91"/>
      <c r="HU313" s="91"/>
      <c r="HV313" s="91"/>
      <c r="HW313" s="91"/>
      <c r="HX313" s="91"/>
      <c r="HY313" s="91"/>
      <c r="HZ313" s="91"/>
      <c r="IA313" s="91"/>
    </row>
    <row r="314" spans="1:235" s="70" customFormat="1" ht="11.25">
      <c r="A314" s="20" t="s">
        <v>4</v>
      </c>
      <c r="B314" s="7"/>
      <c r="C314" s="7"/>
      <c r="D314" s="14"/>
      <c r="E314" s="14"/>
      <c r="F314" s="14"/>
      <c r="G314" s="14"/>
      <c r="H314" s="14"/>
      <c r="I314" s="14"/>
      <c r="J314" s="14"/>
      <c r="K314" s="14"/>
      <c r="L314" s="14"/>
      <c r="M314" s="14"/>
      <c r="N314" s="14"/>
      <c r="O314" s="14"/>
      <c r="P314" s="14"/>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c r="AR314" s="69"/>
      <c r="AS314" s="69"/>
      <c r="AT314" s="69"/>
      <c r="AU314" s="69"/>
      <c r="AV314" s="69"/>
      <c r="AW314" s="69"/>
      <c r="AX314" s="69"/>
      <c r="AY314" s="69"/>
      <c r="AZ314" s="69"/>
      <c r="BA314" s="69"/>
      <c r="BB314" s="69"/>
      <c r="BC314" s="69"/>
      <c r="BD314" s="69"/>
      <c r="BE314" s="69"/>
      <c r="BF314" s="69"/>
      <c r="BG314" s="69"/>
      <c r="BH314" s="69"/>
      <c r="BI314" s="69"/>
      <c r="BJ314" s="69"/>
      <c r="BK314" s="69"/>
      <c r="BL314" s="69"/>
      <c r="BM314" s="69"/>
      <c r="BN314" s="69"/>
      <c r="BO314" s="69"/>
      <c r="BP314" s="69"/>
      <c r="BQ314" s="69"/>
      <c r="BR314" s="69"/>
      <c r="BS314" s="69"/>
      <c r="BT314" s="69"/>
      <c r="BU314" s="69"/>
      <c r="BV314" s="69"/>
      <c r="BW314" s="69"/>
      <c r="BX314" s="69"/>
      <c r="BY314" s="69"/>
      <c r="BZ314" s="69"/>
      <c r="CA314" s="69"/>
      <c r="CB314" s="69"/>
      <c r="CC314" s="69"/>
      <c r="CD314" s="69"/>
      <c r="CE314" s="69"/>
      <c r="CF314" s="69"/>
      <c r="CG314" s="69"/>
      <c r="CH314" s="69"/>
      <c r="CI314" s="69"/>
      <c r="CJ314" s="69"/>
      <c r="CK314" s="69"/>
      <c r="CL314" s="69"/>
      <c r="CM314" s="69"/>
      <c r="CN314" s="69"/>
      <c r="CO314" s="69"/>
      <c r="CP314" s="69"/>
      <c r="CQ314" s="69"/>
      <c r="CR314" s="69"/>
      <c r="CS314" s="69"/>
      <c r="CT314" s="69"/>
      <c r="CU314" s="69"/>
      <c r="CV314" s="69"/>
      <c r="CW314" s="69"/>
      <c r="CX314" s="69"/>
      <c r="CY314" s="69"/>
      <c r="CZ314" s="69"/>
      <c r="DA314" s="69"/>
      <c r="DB314" s="69"/>
      <c r="DC314" s="69"/>
      <c r="DD314" s="69"/>
      <c r="DE314" s="69"/>
      <c r="DF314" s="69"/>
      <c r="DG314" s="69"/>
      <c r="DH314" s="69"/>
      <c r="DI314" s="69"/>
      <c r="DJ314" s="69"/>
      <c r="DK314" s="69"/>
      <c r="DL314" s="69"/>
      <c r="DM314" s="69"/>
      <c r="DN314" s="69"/>
      <c r="DO314" s="69"/>
      <c r="DP314" s="69"/>
      <c r="DQ314" s="69"/>
      <c r="DR314" s="69"/>
      <c r="DS314" s="69"/>
      <c r="DT314" s="69"/>
      <c r="DU314" s="69"/>
      <c r="DV314" s="69"/>
      <c r="DW314" s="69"/>
      <c r="DX314" s="69"/>
      <c r="DY314" s="69"/>
      <c r="DZ314" s="69"/>
      <c r="EA314" s="69"/>
      <c r="EB314" s="69"/>
      <c r="EC314" s="69"/>
      <c r="ED314" s="69"/>
      <c r="EE314" s="69"/>
      <c r="EF314" s="69"/>
      <c r="EG314" s="69"/>
      <c r="EH314" s="69"/>
      <c r="EI314" s="69"/>
      <c r="EJ314" s="69"/>
      <c r="EK314" s="69"/>
      <c r="EL314" s="69"/>
      <c r="EM314" s="69"/>
      <c r="EN314" s="69"/>
      <c r="EO314" s="69"/>
      <c r="EP314" s="69"/>
      <c r="EQ314" s="69"/>
      <c r="ER314" s="69"/>
      <c r="ES314" s="69"/>
      <c r="ET314" s="69"/>
      <c r="EU314" s="69"/>
      <c r="EV314" s="69"/>
      <c r="EW314" s="69"/>
      <c r="EX314" s="69"/>
      <c r="EY314" s="69"/>
      <c r="EZ314" s="69"/>
      <c r="FA314" s="69"/>
      <c r="FB314" s="69"/>
      <c r="FC314" s="69"/>
      <c r="FD314" s="69"/>
      <c r="FE314" s="69"/>
      <c r="FF314" s="69"/>
      <c r="FG314" s="69"/>
      <c r="FH314" s="69"/>
      <c r="FI314" s="69"/>
      <c r="FJ314" s="69"/>
      <c r="FK314" s="69"/>
      <c r="FL314" s="69"/>
      <c r="FM314" s="69"/>
      <c r="FN314" s="69"/>
      <c r="FO314" s="69"/>
      <c r="FP314" s="69"/>
      <c r="FQ314" s="69"/>
      <c r="FR314" s="69"/>
      <c r="FS314" s="69"/>
      <c r="FT314" s="69"/>
      <c r="FU314" s="69"/>
      <c r="FV314" s="69"/>
      <c r="FW314" s="69"/>
      <c r="FX314" s="69"/>
      <c r="FY314" s="69"/>
      <c r="FZ314" s="69"/>
      <c r="GA314" s="69"/>
      <c r="GB314" s="69"/>
      <c r="GC314" s="69"/>
      <c r="GD314" s="69"/>
      <c r="GE314" s="69"/>
      <c r="GF314" s="69"/>
      <c r="GG314" s="69"/>
      <c r="GH314" s="69"/>
      <c r="GI314" s="69"/>
      <c r="GJ314" s="69"/>
      <c r="GK314" s="69"/>
      <c r="GL314" s="69"/>
      <c r="GM314" s="69"/>
      <c r="GN314" s="69"/>
      <c r="GO314" s="69"/>
      <c r="GP314" s="69"/>
      <c r="GQ314" s="69"/>
      <c r="GR314" s="69"/>
      <c r="GS314" s="69"/>
      <c r="GT314" s="69"/>
      <c r="GU314" s="69"/>
      <c r="GV314" s="69"/>
      <c r="GW314" s="69"/>
      <c r="GX314" s="69"/>
      <c r="GY314" s="69"/>
      <c r="GZ314" s="69"/>
      <c r="HA314" s="69"/>
      <c r="HB314" s="69"/>
      <c r="HC314" s="69"/>
      <c r="HD314" s="69"/>
      <c r="HE314" s="69"/>
      <c r="HF314" s="69"/>
      <c r="HG314" s="69"/>
      <c r="HH314" s="69"/>
      <c r="HI314" s="69"/>
      <c r="HJ314" s="69"/>
      <c r="HK314" s="69"/>
      <c r="HL314" s="69"/>
      <c r="HM314" s="69"/>
      <c r="HN314" s="69"/>
      <c r="HO314" s="69"/>
      <c r="HP314" s="69"/>
      <c r="HQ314" s="69"/>
      <c r="HR314" s="69"/>
      <c r="HS314" s="69"/>
      <c r="HT314" s="69"/>
      <c r="HU314" s="69"/>
      <c r="HV314" s="69"/>
      <c r="HW314" s="69"/>
      <c r="HX314" s="69"/>
      <c r="HY314" s="69"/>
      <c r="HZ314" s="69"/>
      <c r="IA314" s="69"/>
    </row>
    <row r="315" spans="1:235" s="70" customFormat="1" ht="25.5" customHeight="1">
      <c r="A315" s="21" t="s">
        <v>254</v>
      </c>
      <c r="B315" s="7"/>
      <c r="C315" s="7"/>
      <c r="D315" s="14"/>
      <c r="E315" s="14">
        <f>(1511*70)/100</f>
        <v>1057.7</v>
      </c>
      <c r="F315" s="14">
        <f>E315</f>
        <v>1057.7</v>
      </c>
      <c r="G315" s="14"/>
      <c r="H315" s="14">
        <f>1058-35</f>
        <v>1023</v>
      </c>
      <c r="I315" s="14"/>
      <c r="J315" s="14">
        <f>H315</f>
        <v>1023</v>
      </c>
      <c r="K315" s="14"/>
      <c r="L315" s="14"/>
      <c r="M315" s="14"/>
      <c r="N315" s="14"/>
      <c r="O315" s="14">
        <f>1023-43</f>
        <v>980</v>
      </c>
      <c r="P315" s="14">
        <f>O315</f>
        <v>980</v>
      </c>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c r="AR315" s="69"/>
      <c r="AS315" s="69"/>
      <c r="AT315" s="69"/>
      <c r="AU315" s="69"/>
      <c r="AV315" s="69"/>
      <c r="AW315" s="69"/>
      <c r="AX315" s="69"/>
      <c r="AY315" s="69"/>
      <c r="AZ315" s="69"/>
      <c r="BA315" s="69"/>
      <c r="BB315" s="69"/>
      <c r="BC315" s="69"/>
      <c r="BD315" s="69"/>
      <c r="BE315" s="69"/>
      <c r="BF315" s="69"/>
      <c r="BG315" s="69"/>
      <c r="BH315" s="69"/>
      <c r="BI315" s="69"/>
      <c r="BJ315" s="69"/>
      <c r="BK315" s="69"/>
      <c r="BL315" s="69"/>
      <c r="BM315" s="69"/>
      <c r="BN315" s="69"/>
      <c r="BO315" s="69"/>
      <c r="BP315" s="69"/>
      <c r="BQ315" s="69"/>
      <c r="BR315" s="69"/>
      <c r="BS315" s="69"/>
      <c r="BT315" s="69"/>
      <c r="BU315" s="69"/>
      <c r="BV315" s="69"/>
      <c r="BW315" s="69"/>
      <c r="BX315" s="69"/>
      <c r="BY315" s="69"/>
      <c r="BZ315" s="69"/>
      <c r="CA315" s="69"/>
      <c r="CB315" s="69"/>
      <c r="CC315" s="69"/>
      <c r="CD315" s="69"/>
      <c r="CE315" s="69"/>
      <c r="CF315" s="69"/>
      <c r="CG315" s="69"/>
      <c r="CH315" s="69"/>
      <c r="CI315" s="69"/>
      <c r="CJ315" s="69"/>
      <c r="CK315" s="69"/>
      <c r="CL315" s="69"/>
      <c r="CM315" s="69"/>
      <c r="CN315" s="69"/>
      <c r="CO315" s="69"/>
      <c r="CP315" s="69"/>
      <c r="CQ315" s="69"/>
      <c r="CR315" s="69"/>
      <c r="CS315" s="69"/>
      <c r="CT315" s="69"/>
      <c r="CU315" s="69"/>
      <c r="CV315" s="69"/>
      <c r="CW315" s="69"/>
      <c r="CX315" s="69"/>
      <c r="CY315" s="69"/>
      <c r="CZ315" s="69"/>
      <c r="DA315" s="69"/>
      <c r="DB315" s="69"/>
      <c r="DC315" s="69"/>
      <c r="DD315" s="69"/>
      <c r="DE315" s="69"/>
      <c r="DF315" s="69"/>
      <c r="DG315" s="69"/>
      <c r="DH315" s="69"/>
      <c r="DI315" s="69"/>
      <c r="DJ315" s="69"/>
      <c r="DK315" s="69"/>
      <c r="DL315" s="69"/>
      <c r="DM315" s="69"/>
      <c r="DN315" s="69"/>
      <c r="DO315" s="69"/>
      <c r="DP315" s="69"/>
      <c r="DQ315" s="69"/>
      <c r="DR315" s="69"/>
      <c r="DS315" s="69"/>
      <c r="DT315" s="69"/>
      <c r="DU315" s="69"/>
      <c r="DV315" s="69"/>
      <c r="DW315" s="69"/>
      <c r="DX315" s="69"/>
      <c r="DY315" s="69"/>
      <c r="DZ315" s="69"/>
      <c r="EA315" s="69"/>
      <c r="EB315" s="69"/>
      <c r="EC315" s="69"/>
      <c r="ED315" s="69"/>
      <c r="EE315" s="69"/>
      <c r="EF315" s="69"/>
      <c r="EG315" s="69"/>
      <c r="EH315" s="69"/>
      <c r="EI315" s="69"/>
      <c r="EJ315" s="69"/>
      <c r="EK315" s="69"/>
      <c r="EL315" s="69"/>
      <c r="EM315" s="69"/>
      <c r="EN315" s="69"/>
      <c r="EO315" s="69"/>
      <c r="EP315" s="69"/>
      <c r="EQ315" s="69"/>
      <c r="ER315" s="69"/>
      <c r="ES315" s="69"/>
      <c r="ET315" s="69"/>
      <c r="EU315" s="69"/>
      <c r="EV315" s="69"/>
      <c r="EW315" s="69"/>
      <c r="EX315" s="69"/>
      <c r="EY315" s="69"/>
      <c r="EZ315" s="69"/>
      <c r="FA315" s="69"/>
      <c r="FB315" s="69"/>
      <c r="FC315" s="69"/>
      <c r="FD315" s="69"/>
      <c r="FE315" s="69"/>
      <c r="FF315" s="69"/>
      <c r="FG315" s="69"/>
      <c r="FH315" s="69"/>
      <c r="FI315" s="69"/>
      <c r="FJ315" s="69"/>
      <c r="FK315" s="69"/>
      <c r="FL315" s="69"/>
      <c r="FM315" s="69"/>
      <c r="FN315" s="69"/>
      <c r="FO315" s="69"/>
      <c r="FP315" s="69"/>
      <c r="FQ315" s="69"/>
      <c r="FR315" s="69"/>
      <c r="FS315" s="69"/>
      <c r="FT315" s="69"/>
      <c r="FU315" s="69"/>
      <c r="FV315" s="69"/>
      <c r="FW315" s="69"/>
      <c r="FX315" s="69"/>
      <c r="FY315" s="69"/>
      <c r="FZ315" s="69"/>
      <c r="GA315" s="69"/>
      <c r="GB315" s="69"/>
      <c r="GC315" s="69"/>
      <c r="GD315" s="69"/>
      <c r="GE315" s="69"/>
      <c r="GF315" s="69"/>
      <c r="GG315" s="69"/>
      <c r="GH315" s="69"/>
      <c r="GI315" s="69"/>
      <c r="GJ315" s="69"/>
      <c r="GK315" s="69"/>
      <c r="GL315" s="69"/>
      <c r="GM315" s="69"/>
      <c r="GN315" s="69"/>
      <c r="GO315" s="69"/>
      <c r="GP315" s="69"/>
      <c r="GQ315" s="69"/>
      <c r="GR315" s="69"/>
      <c r="GS315" s="69"/>
      <c r="GT315" s="69"/>
      <c r="GU315" s="69"/>
      <c r="GV315" s="69"/>
      <c r="GW315" s="69"/>
      <c r="GX315" s="69"/>
      <c r="GY315" s="69"/>
      <c r="GZ315" s="69"/>
      <c r="HA315" s="69"/>
      <c r="HB315" s="69"/>
      <c r="HC315" s="69"/>
      <c r="HD315" s="69"/>
      <c r="HE315" s="69"/>
      <c r="HF315" s="69"/>
      <c r="HG315" s="69"/>
      <c r="HH315" s="69"/>
      <c r="HI315" s="69"/>
      <c r="HJ315" s="69"/>
      <c r="HK315" s="69"/>
      <c r="HL315" s="69"/>
      <c r="HM315" s="69"/>
      <c r="HN315" s="69"/>
      <c r="HO315" s="69"/>
      <c r="HP315" s="69"/>
      <c r="HQ315" s="69"/>
      <c r="HR315" s="69"/>
      <c r="HS315" s="69"/>
      <c r="HT315" s="69"/>
      <c r="HU315" s="69"/>
      <c r="HV315" s="69"/>
      <c r="HW315" s="69"/>
      <c r="HX315" s="69"/>
      <c r="HY315" s="69"/>
      <c r="HZ315" s="69"/>
      <c r="IA315" s="69"/>
    </row>
    <row r="316" spans="1:235" s="70" customFormat="1" ht="11.25">
      <c r="A316" s="20" t="s">
        <v>5</v>
      </c>
      <c r="B316" s="7"/>
      <c r="C316" s="7"/>
      <c r="D316" s="14"/>
      <c r="E316" s="14"/>
      <c r="F316" s="14"/>
      <c r="G316" s="14"/>
      <c r="H316" s="14"/>
      <c r="I316" s="14"/>
      <c r="J316" s="14"/>
      <c r="K316" s="14"/>
      <c r="L316" s="14"/>
      <c r="M316" s="14"/>
      <c r="N316" s="14"/>
      <c r="O316" s="14"/>
      <c r="P316" s="14"/>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69"/>
      <c r="CT316" s="69"/>
      <c r="CU316" s="69"/>
      <c r="CV316" s="69"/>
      <c r="CW316" s="69"/>
      <c r="CX316" s="69"/>
      <c r="CY316" s="69"/>
      <c r="CZ316" s="69"/>
      <c r="DA316" s="69"/>
      <c r="DB316" s="69"/>
      <c r="DC316" s="69"/>
      <c r="DD316" s="69"/>
      <c r="DE316" s="69"/>
      <c r="DF316" s="69"/>
      <c r="DG316" s="69"/>
      <c r="DH316" s="69"/>
      <c r="DI316" s="69"/>
      <c r="DJ316" s="69"/>
      <c r="DK316" s="69"/>
      <c r="DL316" s="69"/>
      <c r="DM316" s="69"/>
      <c r="DN316" s="69"/>
      <c r="DO316" s="69"/>
      <c r="DP316" s="69"/>
      <c r="DQ316" s="69"/>
      <c r="DR316" s="69"/>
      <c r="DS316" s="69"/>
      <c r="DT316" s="69"/>
      <c r="DU316" s="69"/>
      <c r="DV316" s="69"/>
      <c r="DW316" s="69"/>
      <c r="DX316" s="69"/>
      <c r="DY316" s="69"/>
      <c r="DZ316" s="69"/>
      <c r="EA316" s="69"/>
      <c r="EB316" s="69"/>
      <c r="EC316" s="69"/>
      <c r="ED316" s="69"/>
      <c r="EE316" s="69"/>
      <c r="EF316" s="69"/>
      <c r="EG316" s="69"/>
      <c r="EH316" s="69"/>
      <c r="EI316" s="69"/>
      <c r="EJ316" s="69"/>
      <c r="EK316" s="69"/>
      <c r="EL316" s="69"/>
      <c r="EM316" s="69"/>
      <c r="EN316" s="69"/>
      <c r="EO316" s="69"/>
      <c r="EP316" s="69"/>
      <c r="EQ316" s="69"/>
      <c r="ER316" s="69"/>
      <c r="ES316" s="69"/>
      <c r="ET316" s="69"/>
      <c r="EU316" s="69"/>
      <c r="EV316" s="69"/>
      <c r="EW316" s="69"/>
      <c r="EX316" s="69"/>
      <c r="EY316" s="69"/>
      <c r="EZ316" s="69"/>
      <c r="FA316" s="69"/>
      <c r="FB316" s="69"/>
      <c r="FC316" s="69"/>
      <c r="FD316" s="69"/>
      <c r="FE316" s="69"/>
      <c r="FF316" s="69"/>
      <c r="FG316" s="69"/>
      <c r="FH316" s="69"/>
      <c r="FI316" s="69"/>
      <c r="FJ316" s="69"/>
      <c r="FK316" s="69"/>
      <c r="FL316" s="69"/>
      <c r="FM316" s="69"/>
      <c r="FN316" s="69"/>
      <c r="FO316" s="69"/>
      <c r="FP316" s="69"/>
      <c r="FQ316" s="69"/>
      <c r="FR316" s="69"/>
      <c r="FS316" s="69"/>
      <c r="FT316" s="69"/>
      <c r="FU316" s="69"/>
      <c r="FV316" s="69"/>
      <c r="FW316" s="69"/>
      <c r="FX316" s="69"/>
      <c r="FY316" s="69"/>
      <c r="FZ316" s="69"/>
      <c r="GA316" s="69"/>
      <c r="GB316" s="69"/>
      <c r="GC316" s="69"/>
      <c r="GD316" s="69"/>
      <c r="GE316" s="69"/>
      <c r="GF316" s="69"/>
      <c r="GG316" s="69"/>
      <c r="GH316" s="69"/>
      <c r="GI316" s="69"/>
      <c r="GJ316" s="69"/>
      <c r="GK316" s="69"/>
      <c r="GL316" s="69"/>
      <c r="GM316" s="69"/>
      <c r="GN316" s="69"/>
      <c r="GO316" s="69"/>
      <c r="GP316" s="69"/>
      <c r="GQ316" s="69"/>
      <c r="GR316" s="69"/>
      <c r="GS316" s="69"/>
      <c r="GT316" s="69"/>
      <c r="GU316" s="69"/>
      <c r="GV316" s="69"/>
      <c r="GW316" s="69"/>
      <c r="GX316" s="69"/>
      <c r="GY316" s="69"/>
      <c r="GZ316" s="69"/>
      <c r="HA316" s="69"/>
      <c r="HB316" s="69"/>
      <c r="HC316" s="69"/>
      <c r="HD316" s="69"/>
      <c r="HE316" s="69"/>
      <c r="HF316" s="69"/>
      <c r="HG316" s="69"/>
      <c r="HH316" s="69"/>
      <c r="HI316" s="69"/>
      <c r="HJ316" s="69"/>
      <c r="HK316" s="69"/>
      <c r="HL316" s="69"/>
      <c r="HM316" s="69"/>
      <c r="HN316" s="69"/>
      <c r="HO316" s="69"/>
      <c r="HP316" s="69"/>
      <c r="HQ316" s="69"/>
      <c r="HR316" s="69"/>
      <c r="HS316" s="69"/>
      <c r="HT316" s="69"/>
      <c r="HU316" s="69"/>
      <c r="HV316" s="69"/>
      <c r="HW316" s="69"/>
      <c r="HX316" s="69"/>
      <c r="HY316" s="69"/>
      <c r="HZ316" s="69"/>
      <c r="IA316" s="69"/>
    </row>
    <row r="317" spans="1:235" s="70" customFormat="1" ht="28.5" customHeight="1">
      <c r="A317" s="21" t="s">
        <v>255</v>
      </c>
      <c r="B317" s="7"/>
      <c r="C317" s="7"/>
      <c r="D317" s="14"/>
      <c r="E317" s="14">
        <v>35</v>
      </c>
      <c r="F317" s="14">
        <v>35</v>
      </c>
      <c r="G317" s="14"/>
      <c r="H317" s="14">
        <v>228</v>
      </c>
      <c r="I317" s="14"/>
      <c r="J317" s="14">
        <v>140</v>
      </c>
      <c r="K317" s="14"/>
      <c r="L317" s="14"/>
      <c r="M317" s="14"/>
      <c r="N317" s="14"/>
      <c r="O317" s="14">
        <v>300</v>
      </c>
      <c r="P317" s="14">
        <v>41</v>
      </c>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c r="CR317" s="69"/>
      <c r="CS317" s="69"/>
      <c r="CT317" s="69"/>
      <c r="CU317" s="69"/>
      <c r="CV317" s="69"/>
      <c r="CW317" s="69"/>
      <c r="CX317" s="69"/>
      <c r="CY317" s="69"/>
      <c r="CZ317" s="69"/>
      <c r="DA317" s="69"/>
      <c r="DB317" s="69"/>
      <c r="DC317" s="69"/>
      <c r="DD317" s="69"/>
      <c r="DE317" s="69"/>
      <c r="DF317" s="69"/>
      <c r="DG317" s="69"/>
      <c r="DH317" s="69"/>
      <c r="DI317" s="69"/>
      <c r="DJ317" s="69"/>
      <c r="DK317" s="69"/>
      <c r="DL317" s="69"/>
      <c r="DM317" s="69"/>
      <c r="DN317" s="69"/>
      <c r="DO317" s="69"/>
      <c r="DP317" s="69"/>
      <c r="DQ317" s="69"/>
      <c r="DR317" s="69"/>
      <c r="DS317" s="69"/>
      <c r="DT317" s="69"/>
      <c r="DU317" s="69"/>
      <c r="DV317" s="69"/>
      <c r="DW317" s="69"/>
      <c r="DX317" s="69"/>
      <c r="DY317" s="69"/>
      <c r="DZ317" s="69"/>
      <c r="EA317" s="69"/>
      <c r="EB317" s="69"/>
      <c r="EC317" s="69"/>
      <c r="ED317" s="69"/>
      <c r="EE317" s="69"/>
      <c r="EF317" s="69"/>
      <c r="EG317" s="69"/>
      <c r="EH317" s="69"/>
      <c r="EI317" s="69"/>
      <c r="EJ317" s="69"/>
      <c r="EK317" s="69"/>
      <c r="EL317" s="69"/>
      <c r="EM317" s="69"/>
      <c r="EN317" s="69"/>
      <c r="EO317" s="69"/>
      <c r="EP317" s="69"/>
      <c r="EQ317" s="69"/>
      <c r="ER317" s="69"/>
      <c r="ES317" s="69"/>
      <c r="ET317" s="69"/>
      <c r="EU317" s="69"/>
      <c r="EV317" s="69"/>
      <c r="EW317" s="69"/>
      <c r="EX317" s="69"/>
      <c r="EY317" s="69"/>
      <c r="EZ317" s="69"/>
      <c r="FA317" s="69"/>
      <c r="FB317" s="69"/>
      <c r="FC317" s="69"/>
      <c r="FD317" s="69"/>
      <c r="FE317" s="69"/>
      <c r="FF317" s="69"/>
      <c r="FG317" s="69"/>
      <c r="FH317" s="69"/>
      <c r="FI317" s="69"/>
      <c r="FJ317" s="69"/>
      <c r="FK317" s="69"/>
      <c r="FL317" s="69"/>
      <c r="FM317" s="69"/>
      <c r="FN317" s="69"/>
      <c r="FO317" s="69"/>
      <c r="FP317" s="69"/>
      <c r="FQ317" s="69"/>
      <c r="FR317" s="69"/>
      <c r="FS317" s="69"/>
      <c r="FT317" s="69"/>
      <c r="FU317" s="69"/>
      <c r="FV317" s="69"/>
      <c r="FW317" s="69"/>
      <c r="FX317" s="69"/>
      <c r="FY317" s="69"/>
      <c r="FZ317" s="69"/>
      <c r="GA317" s="69"/>
      <c r="GB317" s="69"/>
      <c r="GC317" s="69"/>
      <c r="GD317" s="69"/>
      <c r="GE317" s="69"/>
      <c r="GF317" s="69"/>
      <c r="GG317" s="69"/>
      <c r="GH317" s="69"/>
      <c r="GI317" s="69"/>
      <c r="GJ317" s="69"/>
      <c r="GK317" s="69"/>
      <c r="GL317" s="69"/>
      <c r="GM317" s="69"/>
      <c r="GN317" s="69"/>
      <c r="GO317" s="69"/>
      <c r="GP317" s="69"/>
      <c r="GQ317" s="69"/>
      <c r="GR317" s="69"/>
      <c r="GS317" s="69"/>
      <c r="GT317" s="69"/>
      <c r="GU317" s="69"/>
      <c r="GV317" s="69"/>
      <c r="GW317" s="69"/>
      <c r="GX317" s="69"/>
      <c r="GY317" s="69"/>
      <c r="GZ317" s="69"/>
      <c r="HA317" s="69"/>
      <c r="HB317" s="69"/>
      <c r="HC317" s="69"/>
      <c r="HD317" s="69"/>
      <c r="HE317" s="69"/>
      <c r="HF317" s="69"/>
      <c r="HG317" s="69"/>
      <c r="HH317" s="69"/>
      <c r="HI317" s="69"/>
      <c r="HJ317" s="69"/>
      <c r="HK317" s="69"/>
      <c r="HL317" s="69"/>
      <c r="HM317" s="69"/>
      <c r="HN317" s="69"/>
      <c r="HO317" s="69"/>
      <c r="HP317" s="69"/>
      <c r="HQ317" s="69"/>
      <c r="HR317" s="69"/>
      <c r="HS317" s="69"/>
      <c r="HT317" s="69"/>
      <c r="HU317" s="69"/>
      <c r="HV317" s="69"/>
      <c r="HW317" s="69"/>
      <c r="HX317" s="69"/>
      <c r="HY317" s="69"/>
      <c r="HZ317" s="69"/>
      <c r="IA317" s="69"/>
    </row>
    <row r="318" spans="1:235" s="70" customFormat="1" ht="11.25">
      <c r="A318" s="20" t="s">
        <v>7</v>
      </c>
      <c r="B318" s="7"/>
      <c r="C318" s="7"/>
      <c r="D318" s="14"/>
      <c r="E318" s="14"/>
      <c r="F318" s="14"/>
      <c r="G318" s="14"/>
      <c r="H318" s="14"/>
      <c r="I318" s="14"/>
      <c r="J318" s="14"/>
      <c r="K318" s="14"/>
      <c r="L318" s="14"/>
      <c r="M318" s="14"/>
      <c r="N318" s="14"/>
      <c r="O318" s="14"/>
      <c r="P318" s="14"/>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c r="CO318" s="69"/>
      <c r="CP318" s="69"/>
      <c r="CQ318" s="69"/>
      <c r="CR318" s="69"/>
      <c r="CS318" s="69"/>
      <c r="CT318" s="69"/>
      <c r="CU318" s="69"/>
      <c r="CV318" s="69"/>
      <c r="CW318" s="69"/>
      <c r="CX318" s="69"/>
      <c r="CY318" s="69"/>
      <c r="CZ318" s="69"/>
      <c r="DA318" s="69"/>
      <c r="DB318" s="69"/>
      <c r="DC318" s="69"/>
      <c r="DD318" s="69"/>
      <c r="DE318" s="69"/>
      <c r="DF318" s="69"/>
      <c r="DG318" s="69"/>
      <c r="DH318" s="69"/>
      <c r="DI318" s="69"/>
      <c r="DJ318" s="69"/>
      <c r="DK318" s="69"/>
      <c r="DL318" s="69"/>
      <c r="DM318" s="69"/>
      <c r="DN318" s="69"/>
      <c r="DO318" s="69"/>
      <c r="DP318" s="69"/>
      <c r="DQ318" s="69"/>
      <c r="DR318" s="69"/>
      <c r="DS318" s="69"/>
      <c r="DT318" s="69"/>
      <c r="DU318" s="69"/>
      <c r="DV318" s="69"/>
      <c r="DW318" s="69"/>
      <c r="DX318" s="69"/>
      <c r="DY318" s="69"/>
      <c r="DZ318" s="69"/>
      <c r="EA318" s="69"/>
      <c r="EB318" s="69"/>
      <c r="EC318" s="69"/>
      <c r="ED318" s="69"/>
      <c r="EE318" s="69"/>
      <c r="EF318" s="69"/>
      <c r="EG318" s="69"/>
      <c r="EH318" s="69"/>
      <c r="EI318" s="69"/>
      <c r="EJ318" s="69"/>
      <c r="EK318" s="69"/>
      <c r="EL318" s="69"/>
      <c r="EM318" s="69"/>
      <c r="EN318" s="69"/>
      <c r="EO318" s="69"/>
      <c r="EP318" s="69"/>
      <c r="EQ318" s="69"/>
      <c r="ER318" s="69"/>
      <c r="ES318" s="69"/>
      <c r="ET318" s="69"/>
      <c r="EU318" s="69"/>
      <c r="EV318" s="69"/>
      <c r="EW318" s="69"/>
      <c r="EX318" s="69"/>
      <c r="EY318" s="69"/>
      <c r="EZ318" s="69"/>
      <c r="FA318" s="69"/>
      <c r="FB318" s="69"/>
      <c r="FC318" s="69"/>
      <c r="FD318" s="69"/>
      <c r="FE318" s="69"/>
      <c r="FF318" s="69"/>
      <c r="FG318" s="69"/>
      <c r="FH318" s="69"/>
      <c r="FI318" s="69"/>
      <c r="FJ318" s="69"/>
      <c r="FK318" s="69"/>
      <c r="FL318" s="69"/>
      <c r="FM318" s="69"/>
      <c r="FN318" s="69"/>
      <c r="FO318" s="69"/>
      <c r="FP318" s="69"/>
      <c r="FQ318" s="69"/>
      <c r="FR318" s="69"/>
      <c r="FS318" s="69"/>
      <c r="FT318" s="69"/>
      <c r="FU318" s="69"/>
      <c r="FV318" s="69"/>
      <c r="FW318" s="69"/>
      <c r="FX318" s="69"/>
      <c r="FY318" s="69"/>
      <c r="FZ318" s="69"/>
      <c r="GA318" s="69"/>
      <c r="GB318" s="69"/>
      <c r="GC318" s="69"/>
      <c r="GD318" s="69"/>
      <c r="GE318" s="69"/>
      <c r="GF318" s="69"/>
      <c r="GG318" s="69"/>
      <c r="GH318" s="69"/>
      <c r="GI318" s="69"/>
      <c r="GJ318" s="69"/>
      <c r="GK318" s="69"/>
      <c r="GL318" s="69"/>
      <c r="GM318" s="69"/>
      <c r="GN318" s="69"/>
      <c r="GO318" s="69"/>
      <c r="GP318" s="69"/>
      <c r="GQ318" s="69"/>
      <c r="GR318" s="69"/>
      <c r="GS318" s="69"/>
      <c r="GT318" s="69"/>
      <c r="GU318" s="69"/>
      <c r="GV318" s="69"/>
      <c r="GW318" s="69"/>
      <c r="GX318" s="69"/>
      <c r="GY318" s="69"/>
      <c r="GZ318" s="69"/>
      <c r="HA318" s="69"/>
      <c r="HB318" s="69"/>
      <c r="HC318" s="69"/>
      <c r="HD318" s="69"/>
      <c r="HE318" s="69"/>
      <c r="HF318" s="69"/>
      <c r="HG318" s="69"/>
      <c r="HH318" s="69"/>
      <c r="HI318" s="69"/>
      <c r="HJ318" s="69"/>
      <c r="HK318" s="69"/>
      <c r="HL318" s="69"/>
      <c r="HM318" s="69"/>
      <c r="HN318" s="69"/>
      <c r="HO318" s="69"/>
      <c r="HP318" s="69"/>
      <c r="HQ318" s="69"/>
      <c r="HR318" s="69"/>
      <c r="HS318" s="69"/>
      <c r="HT318" s="69"/>
      <c r="HU318" s="69"/>
      <c r="HV318" s="69"/>
      <c r="HW318" s="69"/>
      <c r="HX318" s="69"/>
      <c r="HY318" s="69"/>
      <c r="HZ318" s="69"/>
      <c r="IA318" s="69"/>
    </row>
    <row r="319" spans="1:235" s="70" customFormat="1" ht="23.25" customHeight="1">
      <c r="A319" s="21" t="s">
        <v>174</v>
      </c>
      <c r="B319" s="7"/>
      <c r="C319" s="7"/>
      <c r="D319" s="14"/>
      <c r="E319" s="14">
        <f>E313/E317</f>
        <v>142857.14285714287</v>
      </c>
      <c r="F319" s="14">
        <f>E319</f>
        <v>142857.14285714287</v>
      </c>
      <c r="G319" s="14"/>
      <c r="H319" s="14">
        <v>142543.859649</v>
      </c>
      <c r="I319" s="14"/>
      <c r="J319" s="14">
        <f>H319</f>
        <v>142543.859649</v>
      </c>
      <c r="K319" s="14"/>
      <c r="L319" s="14"/>
      <c r="M319" s="14"/>
      <c r="N319" s="14"/>
      <c r="O319" s="14">
        <v>154033.3333333</v>
      </c>
      <c r="P319" s="14">
        <f>P313/P317</f>
        <v>1127073.1707314632</v>
      </c>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c r="CO319" s="69"/>
      <c r="CP319" s="69"/>
      <c r="CQ319" s="69"/>
      <c r="CR319" s="69"/>
      <c r="CS319" s="69"/>
      <c r="CT319" s="69"/>
      <c r="CU319" s="69"/>
      <c r="CV319" s="69"/>
      <c r="CW319" s="69"/>
      <c r="CX319" s="69"/>
      <c r="CY319" s="69"/>
      <c r="CZ319" s="69"/>
      <c r="DA319" s="69"/>
      <c r="DB319" s="69"/>
      <c r="DC319" s="69"/>
      <c r="DD319" s="69"/>
      <c r="DE319" s="69"/>
      <c r="DF319" s="69"/>
      <c r="DG319" s="69"/>
      <c r="DH319" s="69"/>
      <c r="DI319" s="69"/>
      <c r="DJ319" s="69"/>
      <c r="DK319" s="69"/>
      <c r="DL319" s="69"/>
      <c r="DM319" s="69"/>
      <c r="DN319" s="69"/>
      <c r="DO319" s="69"/>
      <c r="DP319" s="69"/>
      <c r="DQ319" s="69"/>
      <c r="DR319" s="69"/>
      <c r="DS319" s="69"/>
      <c r="DT319" s="69"/>
      <c r="DU319" s="69"/>
      <c r="DV319" s="69"/>
      <c r="DW319" s="69"/>
      <c r="DX319" s="69"/>
      <c r="DY319" s="69"/>
      <c r="DZ319" s="69"/>
      <c r="EA319" s="69"/>
      <c r="EB319" s="69"/>
      <c r="EC319" s="69"/>
      <c r="ED319" s="69"/>
      <c r="EE319" s="69"/>
      <c r="EF319" s="69"/>
      <c r="EG319" s="69"/>
      <c r="EH319" s="69"/>
      <c r="EI319" s="69"/>
      <c r="EJ319" s="69"/>
      <c r="EK319" s="69"/>
      <c r="EL319" s="69"/>
      <c r="EM319" s="69"/>
      <c r="EN319" s="69"/>
      <c r="EO319" s="69"/>
      <c r="EP319" s="69"/>
      <c r="EQ319" s="69"/>
      <c r="ER319" s="69"/>
      <c r="ES319" s="69"/>
      <c r="ET319" s="69"/>
      <c r="EU319" s="69"/>
      <c r="EV319" s="69"/>
      <c r="EW319" s="69"/>
      <c r="EX319" s="69"/>
      <c r="EY319" s="69"/>
      <c r="EZ319" s="69"/>
      <c r="FA319" s="69"/>
      <c r="FB319" s="69"/>
      <c r="FC319" s="69"/>
      <c r="FD319" s="69"/>
      <c r="FE319" s="69"/>
      <c r="FF319" s="69"/>
      <c r="FG319" s="69"/>
      <c r="FH319" s="69"/>
      <c r="FI319" s="69"/>
      <c r="FJ319" s="69"/>
      <c r="FK319" s="69"/>
      <c r="FL319" s="69"/>
      <c r="FM319" s="69"/>
      <c r="FN319" s="69"/>
      <c r="FO319" s="69"/>
      <c r="FP319" s="69"/>
      <c r="FQ319" s="69"/>
      <c r="FR319" s="69"/>
      <c r="FS319" s="69"/>
      <c r="FT319" s="69"/>
      <c r="FU319" s="69"/>
      <c r="FV319" s="69"/>
      <c r="FW319" s="69"/>
      <c r="FX319" s="69"/>
      <c r="FY319" s="69"/>
      <c r="FZ319" s="69"/>
      <c r="GA319" s="69"/>
      <c r="GB319" s="69"/>
      <c r="GC319" s="69"/>
      <c r="GD319" s="69"/>
      <c r="GE319" s="69"/>
      <c r="GF319" s="69"/>
      <c r="GG319" s="69"/>
      <c r="GH319" s="69"/>
      <c r="GI319" s="69"/>
      <c r="GJ319" s="69"/>
      <c r="GK319" s="69"/>
      <c r="GL319" s="69"/>
      <c r="GM319" s="69"/>
      <c r="GN319" s="69"/>
      <c r="GO319" s="69"/>
      <c r="GP319" s="69"/>
      <c r="GQ319" s="69"/>
      <c r="GR319" s="69"/>
      <c r="GS319" s="69"/>
      <c r="GT319" s="69"/>
      <c r="GU319" s="69"/>
      <c r="GV319" s="69"/>
      <c r="GW319" s="69"/>
      <c r="GX319" s="69"/>
      <c r="GY319" s="69"/>
      <c r="GZ319" s="69"/>
      <c r="HA319" s="69"/>
      <c r="HB319" s="69"/>
      <c r="HC319" s="69"/>
      <c r="HD319" s="69"/>
      <c r="HE319" s="69"/>
      <c r="HF319" s="69"/>
      <c r="HG319" s="69"/>
      <c r="HH319" s="69"/>
      <c r="HI319" s="69"/>
      <c r="HJ319" s="69"/>
      <c r="HK319" s="69"/>
      <c r="HL319" s="69"/>
      <c r="HM319" s="69"/>
      <c r="HN319" s="69"/>
      <c r="HO319" s="69"/>
      <c r="HP319" s="69"/>
      <c r="HQ319" s="69"/>
      <c r="HR319" s="69"/>
      <c r="HS319" s="69"/>
      <c r="HT319" s="69"/>
      <c r="HU319" s="69"/>
      <c r="HV319" s="69"/>
      <c r="HW319" s="69"/>
      <c r="HX319" s="69"/>
      <c r="HY319" s="69"/>
      <c r="HZ319" s="69"/>
      <c r="IA319" s="69"/>
    </row>
    <row r="320" spans="1:235" s="92" customFormat="1" ht="36.75" customHeight="1">
      <c r="A320" s="82" t="s">
        <v>362</v>
      </c>
      <c r="B320" s="88"/>
      <c r="C320" s="88"/>
      <c r="D320" s="89"/>
      <c r="E320" s="89">
        <f>(E327*E332)+(E328*E333)+(E329*E334)+(E330*E335)-1630000</f>
        <v>17148000</v>
      </c>
      <c r="F320" s="89">
        <f>(F327*F332)+(F328*F333)+(F329*F334)+(F330*F335)-1630000</f>
        <v>17148000</v>
      </c>
      <c r="G320" s="89">
        <f>G330*G335</f>
        <v>584999.9999982599</v>
      </c>
      <c r="H320" s="89">
        <f>(H327*H332)+(H328*H333)+(H329*H334)</f>
        <v>39320000.0000018</v>
      </c>
      <c r="I320" s="89"/>
      <c r="J320" s="89">
        <f>H320+G320</f>
        <v>39905000.00000006</v>
      </c>
      <c r="K320" s="89">
        <f>(K327*K332)+(K328*K333)+(K329*K334)+(K330*K335)</f>
        <v>0</v>
      </c>
      <c r="L320" s="89">
        <f>(L327*L332)+(L328*L333)+(L329*L334)+(L330*L335)</f>
        <v>0</v>
      </c>
      <c r="M320" s="89">
        <f>(M327*M332)+(M328*M333)+(M329*M334)+(M330*M335)</f>
        <v>0</v>
      </c>
      <c r="N320" s="89">
        <f>N330*N335</f>
        <v>0</v>
      </c>
      <c r="O320" s="89">
        <f>(O327*O332)+(O328*O333)+(O329*O334)+(O330*O335)</f>
        <v>0</v>
      </c>
      <c r="P320" s="89">
        <f>N320+O320</f>
        <v>0</v>
      </c>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91"/>
      <c r="AW320" s="91"/>
      <c r="AX320" s="91"/>
      <c r="AY320" s="91"/>
      <c r="AZ320" s="91"/>
      <c r="BA320" s="91"/>
      <c r="BB320" s="91"/>
      <c r="BC320" s="91"/>
      <c r="BD320" s="91"/>
      <c r="BE320" s="91"/>
      <c r="BF320" s="91"/>
      <c r="BG320" s="91"/>
      <c r="BH320" s="91"/>
      <c r="BI320" s="91"/>
      <c r="BJ320" s="91"/>
      <c r="BK320" s="91"/>
      <c r="BL320" s="91"/>
      <c r="BM320" s="91"/>
      <c r="BN320" s="91"/>
      <c r="BO320" s="91"/>
      <c r="BP320" s="91"/>
      <c r="BQ320" s="91"/>
      <c r="BR320" s="91"/>
      <c r="BS320" s="91"/>
      <c r="BT320" s="91"/>
      <c r="BU320" s="91"/>
      <c r="BV320" s="91"/>
      <c r="BW320" s="91"/>
      <c r="BX320" s="91"/>
      <c r="BY320" s="91"/>
      <c r="BZ320" s="91"/>
      <c r="CA320" s="91"/>
      <c r="CB320" s="91"/>
      <c r="CC320" s="91"/>
      <c r="CD320" s="91"/>
      <c r="CE320" s="91"/>
      <c r="CF320" s="91"/>
      <c r="CG320" s="91"/>
      <c r="CH320" s="91"/>
      <c r="CI320" s="91"/>
      <c r="CJ320" s="91"/>
      <c r="CK320" s="91"/>
      <c r="CL320" s="91"/>
      <c r="CM320" s="91"/>
      <c r="CN320" s="91"/>
      <c r="CO320" s="91"/>
      <c r="CP320" s="91"/>
      <c r="CQ320" s="91"/>
      <c r="CR320" s="91"/>
      <c r="CS320" s="91"/>
      <c r="CT320" s="91"/>
      <c r="CU320" s="91"/>
      <c r="CV320" s="91"/>
      <c r="CW320" s="91"/>
      <c r="CX320" s="91"/>
      <c r="CY320" s="91"/>
      <c r="CZ320" s="91"/>
      <c r="DA320" s="91"/>
      <c r="DB320" s="91"/>
      <c r="DC320" s="91"/>
      <c r="DD320" s="91"/>
      <c r="DE320" s="91"/>
      <c r="DF320" s="91"/>
      <c r="DG320" s="91"/>
      <c r="DH320" s="91"/>
      <c r="DI320" s="91"/>
      <c r="DJ320" s="91"/>
      <c r="DK320" s="91"/>
      <c r="DL320" s="91"/>
      <c r="DM320" s="91"/>
      <c r="DN320" s="91"/>
      <c r="DO320" s="91"/>
      <c r="DP320" s="91"/>
      <c r="DQ320" s="91"/>
      <c r="DR320" s="91"/>
      <c r="DS320" s="91"/>
      <c r="DT320" s="91"/>
      <c r="DU320" s="91"/>
      <c r="DV320" s="91"/>
      <c r="DW320" s="91"/>
      <c r="DX320" s="91"/>
      <c r="DY320" s="91"/>
      <c r="DZ320" s="91"/>
      <c r="EA320" s="91"/>
      <c r="EB320" s="91"/>
      <c r="EC320" s="91"/>
      <c r="ED320" s="91"/>
      <c r="EE320" s="91"/>
      <c r="EF320" s="91"/>
      <c r="EG320" s="91"/>
      <c r="EH320" s="91"/>
      <c r="EI320" s="91"/>
      <c r="EJ320" s="91"/>
      <c r="EK320" s="91"/>
      <c r="EL320" s="91"/>
      <c r="EM320" s="91"/>
      <c r="EN320" s="91"/>
      <c r="EO320" s="91"/>
      <c r="EP320" s="91"/>
      <c r="EQ320" s="91"/>
      <c r="ER320" s="91"/>
      <c r="ES320" s="91"/>
      <c r="ET320" s="91"/>
      <c r="EU320" s="91"/>
      <c r="EV320" s="91"/>
      <c r="EW320" s="91"/>
      <c r="EX320" s="91"/>
      <c r="EY320" s="91"/>
      <c r="EZ320" s="91"/>
      <c r="FA320" s="91"/>
      <c r="FB320" s="91"/>
      <c r="FC320" s="91"/>
      <c r="FD320" s="91"/>
      <c r="FE320" s="91"/>
      <c r="FF320" s="91"/>
      <c r="FG320" s="91"/>
      <c r="FH320" s="91"/>
      <c r="FI320" s="91"/>
      <c r="FJ320" s="91"/>
      <c r="FK320" s="91"/>
      <c r="FL320" s="91"/>
      <c r="FM320" s="91"/>
      <c r="FN320" s="91"/>
      <c r="FO320" s="91"/>
      <c r="FP320" s="91"/>
      <c r="FQ320" s="91"/>
      <c r="FR320" s="91"/>
      <c r="FS320" s="91"/>
      <c r="FT320" s="91"/>
      <c r="FU320" s="91"/>
      <c r="FV320" s="91"/>
      <c r="FW320" s="91"/>
      <c r="FX320" s="91"/>
      <c r="FY320" s="91"/>
      <c r="FZ320" s="91"/>
      <c r="GA320" s="91"/>
      <c r="GB320" s="91"/>
      <c r="GC320" s="91"/>
      <c r="GD320" s="91"/>
      <c r="GE320" s="91"/>
      <c r="GF320" s="91"/>
      <c r="GG320" s="91"/>
      <c r="GH320" s="91"/>
      <c r="GI320" s="91"/>
      <c r="GJ320" s="91"/>
      <c r="GK320" s="91"/>
      <c r="GL320" s="91"/>
      <c r="GM320" s="91"/>
      <c r="GN320" s="91"/>
      <c r="GO320" s="91"/>
      <c r="GP320" s="91"/>
      <c r="GQ320" s="91"/>
      <c r="GR320" s="91"/>
      <c r="GS320" s="91"/>
      <c r="GT320" s="91"/>
      <c r="GU320" s="91"/>
      <c r="GV320" s="91"/>
      <c r="GW320" s="91"/>
      <c r="GX320" s="91"/>
      <c r="GY320" s="91"/>
      <c r="GZ320" s="91"/>
      <c r="HA320" s="91"/>
      <c r="HB320" s="91"/>
      <c r="HC320" s="91"/>
      <c r="HD320" s="91"/>
      <c r="HE320" s="91"/>
      <c r="HF320" s="91"/>
      <c r="HG320" s="91"/>
      <c r="HH320" s="91"/>
      <c r="HI320" s="91"/>
      <c r="HJ320" s="91"/>
      <c r="HK320" s="91"/>
      <c r="HL320" s="91"/>
      <c r="HM320" s="91"/>
      <c r="HN320" s="91"/>
      <c r="HO320" s="91"/>
      <c r="HP320" s="91"/>
      <c r="HQ320" s="91"/>
      <c r="HR320" s="91"/>
      <c r="HS320" s="91"/>
      <c r="HT320" s="91"/>
      <c r="HU320" s="91"/>
      <c r="HV320" s="91"/>
      <c r="HW320" s="91"/>
      <c r="HX320" s="91"/>
      <c r="HY320" s="91"/>
      <c r="HZ320" s="91"/>
      <c r="IA320" s="91"/>
    </row>
    <row r="321" spans="1:16" ht="11.25">
      <c r="A321" s="54" t="s">
        <v>4</v>
      </c>
      <c r="B321" s="60"/>
      <c r="C321" s="60"/>
      <c r="D321" s="62"/>
      <c r="E321" s="64"/>
      <c r="F321" s="64"/>
      <c r="G321" s="62"/>
      <c r="H321" s="64"/>
      <c r="I321" s="64"/>
      <c r="J321" s="64"/>
      <c r="K321" s="64"/>
      <c r="L321" s="64"/>
      <c r="M321" s="64"/>
      <c r="N321" s="62"/>
      <c r="O321" s="64"/>
      <c r="P321" s="64"/>
    </row>
    <row r="322" spans="1:16" ht="16.5" customHeight="1">
      <c r="A322" s="55" t="s">
        <v>176</v>
      </c>
      <c r="B322" s="60"/>
      <c r="C322" s="60"/>
      <c r="D322" s="62"/>
      <c r="E322" s="62">
        <v>12</v>
      </c>
      <c r="F322" s="62">
        <f>E322</f>
        <v>12</v>
      </c>
      <c r="G322" s="62"/>
      <c r="H322" s="64"/>
      <c r="I322" s="64"/>
      <c r="J322" s="64"/>
      <c r="K322" s="64"/>
      <c r="L322" s="64"/>
      <c r="M322" s="64"/>
      <c r="N322" s="62"/>
      <c r="O322" s="64"/>
      <c r="P322" s="64"/>
    </row>
    <row r="323" spans="1:16" ht="22.5">
      <c r="A323" s="55" t="s">
        <v>177</v>
      </c>
      <c r="B323" s="60"/>
      <c r="C323" s="60"/>
      <c r="D323" s="62"/>
      <c r="E323" s="62">
        <v>700</v>
      </c>
      <c r="F323" s="62">
        <f>E323</f>
        <v>700</v>
      </c>
      <c r="G323" s="62"/>
      <c r="H323" s="62">
        <v>500</v>
      </c>
      <c r="I323" s="62"/>
      <c r="J323" s="62">
        <f>H323</f>
        <v>500</v>
      </c>
      <c r="K323" s="64"/>
      <c r="L323" s="64"/>
      <c r="M323" s="64"/>
      <c r="N323" s="62"/>
      <c r="O323" s="62"/>
      <c r="P323" s="62"/>
    </row>
    <row r="324" spans="1:16" ht="22.5">
      <c r="A324" s="55" t="s">
        <v>178</v>
      </c>
      <c r="B324" s="60"/>
      <c r="C324" s="60"/>
      <c r="D324" s="62"/>
      <c r="E324" s="62">
        <v>454</v>
      </c>
      <c r="F324" s="62">
        <v>454</v>
      </c>
      <c r="G324" s="62"/>
      <c r="H324" s="62">
        <v>500</v>
      </c>
      <c r="I324" s="64"/>
      <c r="J324" s="62">
        <f>H324</f>
        <v>500</v>
      </c>
      <c r="K324" s="64"/>
      <c r="L324" s="64"/>
      <c r="M324" s="64"/>
      <c r="N324" s="62"/>
      <c r="O324" s="62"/>
      <c r="P324" s="62"/>
    </row>
    <row r="325" spans="1:16" ht="28.5" customHeight="1">
      <c r="A325" s="55" t="s">
        <v>179</v>
      </c>
      <c r="B325" s="60"/>
      <c r="C325" s="60"/>
      <c r="D325" s="62"/>
      <c r="E325" s="62">
        <v>700</v>
      </c>
      <c r="F325" s="62">
        <f>E325</f>
        <v>700</v>
      </c>
      <c r="G325" s="62">
        <v>500</v>
      </c>
      <c r="H325" s="62"/>
      <c r="I325" s="62"/>
      <c r="J325" s="62">
        <f>G325</f>
        <v>500</v>
      </c>
      <c r="K325" s="62"/>
      <c r="L325" s="62"/>
      <c r="M325" s="62"/>
      <c r="N325" s="62"/>
      <c r="O325" s="62"/>
      <c r="P325" s="62"/>
    </row>
    <row r="326" spans="1:16" ht="11.25">
      <c r="A326" s="54" t="s">
        <v>5</v>
      </c>
      <c r="B326" s="61"/>
      <c r="C326" s="61"/>
      <c r="D326" s="62"/>
      <c r="E326" s="62"/>
      <c r="F326" s="62"/>
      <c r="G326" s="62"/>
      <c r="H326" s="129"/>
      <c r="I326" s="129"/>
      <c r="J326" s="129"/>
      <c r="K326" s="62" t="e">
        <f>H326/E326*100</f>
        <v>#DIV/0!</v>
      </c>
      <c r="L326" s="129"/>
      <c r="M326" s="129"/>
      <c r="N326" s="62"/>
      <c r="O326" s="129"/>
      <c r="P326" s="129"/>
    </row>
    <row r="327" spans="1:16" ht="16.5" customHeight="1">
      <c r="A327" s="55" t="s">
        <v>361</v>
      </c>
      <c r="B327" s="61"/>
      <c r="C327" s="61"/>
      <c r="D327" s="62"/>
      <c r="E327" s="62">
        <v>12</v>
      </c>
      <c r="F327" s="62">
        <f>E327</f>
        <v>12</v>
      </c>
      <c r="G327" s="62"/>
      <c r="H327" s="62">
        <v>20</v>
      </c>
      <c r="I327" s="62"/>
      <c r="J327" s="62">
        <v>20</v>
      </c>
      <c r="K327" s="62"/>
      <c r="L327" s="129"/>
      <c r="M327" s="129"/>
      <c r="N327" s="62"/>
      <c r="O327" s="129"/>
      <c r="P327" s="129"/>
    </row>
    <row r="328" spans="1:16" ht="22.5">
      <c r="A328" s="55" t="s">
        <v>186</v>
      </c>
      <c r="B328" s="61"/>
      <c r="C328" s="61"/>
      <c r="D328" s="62"/>
      <c r="E328" s="62">
        <v>200</v>
      </c>
      <c r="F328" s="62">
        <v>200</v>
      </c>
      <c r="G328" s="62"/>
      <c r="H328" s="62">
        <v>400</v>
      </c>
      <c r="I328" s="62"/>
      <c r="J328" s="62">
        <f>H328</f>
        <v>400</v>
      </c>
      <c r="K328" s="62"/>
      <c r="L328" s="62"/>
      <c r="M328" s="62"/>
      <c r="N328" s="62"/>
      <c r="O328" s="114"/>
      <c r="P328" s="62"/>
    </row>
    <row r="329" spans="1:16" ht="22.5">
      <c r="A329" s="55" t="s">
        <v>180</v>
      </c>
      <c r="B329" s="61"/>
      <c r="C329" s="61"/>
      <c r="D329" s="62"/>
      <c r="E329" s="62">
        <v>454</v>
      </c>
      <c r="F329" s="62">
        <f>E329</f>
        <v>454</v>
      </c>
      <c r="G329" s="62"/>
      <c r="H329" s="62">
        <v>460</v>
      </c>
      <c r="I329" s="62"/>
      <c r="J329" s="62">
        <v>460</v>
      </c>
      <c r="K329" s="62"/>
      <c r="L329" s="129"/>
      <c r="M329" s="129"/>
      <c r="N329" s="62"/>
      <c r="O329" s="114"/>
      <c r="P329" s="62"/>
    </row>
    <row r="330" spans="1:16" ht="33.75">
      <c r="A330" s="55" t="s">
        <v>181</v>
      </c>
      <c r="B330" s="61"/>
      <c r="C330" s="61"/>
      <c r="D330" s="62"/>
      <c r="E330" s="62">
        <v>200</v>
      </c>
      <c r="F330" s="62">
        <f>E330</f>
        <v>200</v>
      </c>
      <c r="G330" s="62">
        <v>374</v>
      </c>
      <c r="H330" s="62"/>
      <c r="I330" s="62"/>
      <c r="J330" s="62">
        <f>G330</f>
        <v>374</v>
      </c>
      <c r="K330" s="62"/>
      <c r="L330" s="62"/>
      <c r="M330" s="62"/>
      <c r="N330" s="114"/>
      <c r="O330" s="62"/>
      <c r="P330" s="62"/>
    </row>
    <row r="331" spans="1:16" ht="11.25">
      <c r="A331" s="54" t="s">
        <v>7</v>
      </c>
      <c r="B331" s="61"/>
      <c r="C331" s="61"/>
      <c r="D331" s="62"/>
      <c r="E331" s="129"/>
      <c r="F331" s="129"/>
      <c r="G331" s="62"/>
      <c r="H331" s="129"/>
      <c r="I331" s="129"/>
      <c r="J331" s="129"/>
      <c r="K331" s="62" t="e">
        <f>H331/E331*100</f>
        <v>#DIV/0!</v>
      </c>
      <c r="L331" s="129"/>
      <c r="M331" s="129"/>
      <c r="N331" s="114"/>
      <c r="O331" s="129"/>
      <c r="P331" s="129"/>
    </row>
    <row r="332" spans="1:16" ht="22.5">
      <c r="A332" s="55" t="s">
        <v>182</v>
      </c>
      <c r="B332" s="59"/>
      <c r="C332" s="59"/>
      <c r="D332" s="62"/>
      <c r="E332" s="62">
        <v>400000</v>
      </c>
      <c r="F332" s="62">
        <f>E332</f>
        <v>400000</v>
      </c>
      <c r="G332" s="62"/>
      <c r="H332" s="62">
        <v>250000</v>
      </c>
      <c r="I332" s="62"/>
      <c r="J332" s="62">
        <f>H332</f>
        <v>250000</v>
      </c>
      <c r="K332" s="62"/>
      <c r="L332" s="62"/>
      <c r="M332" s="62"/>
      <c r="N332" s="114"/>
      <c r="O332" s="62"/>
      <c r="P332" s="62"/>
    </row>
    <row r="333" spans="1:16" ht="22.5">
      <c r="A333" s="55" t="s">
        <v>183</v>
      </c>
      <c r="B333" s="59"/>
      <c r="C333" s="59"/>
      <c r="D333" s="62"/>
      <c r="E333" s="62">
        <v>52500</v>
      </c>
      <c r="F333" s="62">
        <f>E333</f>
        <v>52500</v>
      </c>
      <c r="G333" s="62"/>
      <c r="H333" s="62">
        <v>75000</v>
      </c>
      <c r="I333" s="62"/>
      <c r="J333" s="62">
        <f>H333</f>
        <v>75000</v>
      </c>
      <c r="K333" s="62"/>
      <c r="L333" s="62"/>
      <c r="M333" s="62"/>
      <c r="N333" s="114"/>
      <c r="O333" s="62"/>
      <c r="P333" s="62"/>
    </row>
    <row r="334" spans="1:16" ht="22.5">
      <c r="A334" s="55" t="s">
        <v>184</v>
      </c>
      <c r="B334" s="59"/>
      <c r="C334" s="59"/>
      <c r="D334" s="62"/>
      <c r="E334" s="62">
        <v>7000</v>
      </c>
      <c r="F334" s="62">
        <f>E334</f>
        <v>7000</v>
      </c>
      <c r="G334" s="62"/>
      <c r="H334" s="62">
        <v>9391.30434783</v>
      </c>
      <c r="I334" s="62"/>
      <c r="J334" s="62">
        <f>H334</f>
        <v>9391.30434783</v>
      </c>
      <c r="K334" s="62"/>
      <c r="L334" s="62"/>
      <c r="M334" s="62"/>
      <c r="N334" s="114"/>
      <c r="O334" s="62"/>
      <c r="P334" s="62"/>
    </row>
    <row r="335" spans="1:16" ht="33.75">
      <c r="A335" s="55" t="s">
        <v>185</v>
      </c>
      <c r="B335" s="59"/>
      <c r="C335" s="59"/>
      <c r="D335" s="62"/>
      <c r="E335" s="62">
        <v>1500</v>
      </c>
      <c r="F335" s="62">
        <f>E335</f>
        <v>1500</v>
      </c>
      <c r="G335" s="62">
        <v>1564.17112299</v>
      </c>
      <c r="H335" s="62"/>
      <c r="I335" s="62"/>
      <c r="J335" s="62">
        <f>G335</f>
        <v>1564.17112299</v>
      </c>
      <c r="K335" s="62"/>
      <c r="L335" s="62"/>
      <c r="M335" s="62"/>
      <c r="N335" s="114"/>
      <c r="O335" s="62"/>
      <c r="P335" s="62"/>
    </row>
    <row r="336" spans="1:16" ht="11.25">
      <c r="A336" s="54" t="s">
        <v>6</v>
      </c>
      <c r="B336" s="59"/>
      <c r="C336" s="59"/>
      <c r="D336" s="62"/>
      <c r="E336" s="62"/>
      <c r="F336" s="62"/>
      <c r="G336" s="62"/>
      <c r="H336" s="62"/>
      <c r="I336" s="62"/>
      <c r="J336" s="62"/>
      <c r="K336" s="62"/>
      <c r="L336" s="62"/>
      <c r="M336" s="62"/>
      <c r="N336" s="114"/>
      <c r="O336" s="62"/>
      <c r="P336" s="62"/>
    </row>
    <row r="337" spans="1:16" ht="33.75">
      <c r="A337" s="55" t="s">
        <v>187</v>
      </c>
      <c r="B337" s="59"/>
      <c r="C337" s="59"/>
      <c r="D337" s="62"/>
      <c r="E337" s="62">
        <f>E327/E322*100</f>
        <v>100</v>
      </c>
      <c r="F337" s="62">
        <f>E337</f>
        <v>100</v>
      </c>
      <c r="G337" s="62"/>
      <c r="H337" s="62"/>
      <c r="I337" s="62"/>
      <c r="J337" s="62"/>
      <c r="K337" s="62"/>
      <c r="L337" s="62"/>
      <c r="M337" s="62"/>
      <c r="N337" s="114"/>
      <c r="O337" s="62"/>
      <c r="P337" s="62"/>
    </row>
    <row r="338" spans="1:16" ht="45">
      <c r="A338" s="55" t="s">
        <v>188</v>
      </c>
      <c r="B338" s="59"/>
      <c r="C338" s="59"/>
      <c r="D338" s="62"/>
      <c r="E338" s="62">
        <f>E328/E323*100</f>
        <v>28.57142857142857</v>
      </c>
      <c r="F338" s="62">
        <f aca="true" t="shared" si="32" ref="F338:M338">F328/F323*100</f>
        <v>28.57142857142857</v>
      </c>
      <c r="G338" s="62"/>
      <c r="H338" s="62">
        <f t="shared" si="32"/>
        <v>80</v>
      </c>
      <c r="I338" s="62"/>
      <c r="J338" s="62">
        <f t="shared" si="32"/>
        <v>80</v>
      </c>
      <c r="K338" s="62" t="e">
        <f t="shared" si="32"/>
        <v>#DIV/0!</v>
      </c>
      <c r="L338" s="62" t="e">
        <f t="shared" si="32"/>
        <v>#DIV/0!</v>
      </c>
      <c r="M338" s="62" t="e">
        <f t="shared" si="32"/>
        <v>#DIV/0!</v>
      </c>
      <c r="N338" s="62"/>
      <c r="O338" s="62"/>
      <c r="P338" s="62"/>
    </row>
    <row r="339" spans="1:16" ht="45">
      <c r="A339" s="55" t="s">
        <v>189</v>
      </c>
      <c r="B339" s="59"/>
      <c r="C339" s="59"/>
      <c r="D339" s="62"/>
      <c r="E339" s="62">
        <f>E329/E324*100</f>
        <v>100</v>
      </c>
      <c r="F339" s="62">
        <f>E339</f>
        <v>100</v>
      </c>
      <c r="G339" s="62"/>
      <c r="H339" s="62"/>
      <c r="I339" s="62"/>
      <c r="J339" s="62"/>
      <c r="K339" s="62"/>
      <c r="L339" s="62"/>
      <c r="M339" s="62"/>
      <c r="N339" s="62"/>
      <c r="O339" s="62"/>
      <c r="P339" s="62"/>
    </row>
    <row r="340" spans="1:16" ht="56.25">
      <c r="A340" s="55" t="s">
        <v>190</v>
      </c>
      <c r="B340" s="59"/>
      <c r="C340" s="59"/>
      <c r="D340" s="62"/>
      <c r="E340" s="62">
        <f>E330/E323*100</f>
        <v>28.57142857142857</v>
      </c>
      <c r="F340" s="62">
        <f aca="true" t="shared" si="33" ref="F340:M340">F330/F323*100</f>
        <v>28.57142857142857</v>
      </c>
      <c r="G340" s="62">
        <f>G330/G325*100</f>
        <v>74.8</v>
      </c>
      <c r="H340" s="62"/>
      <c r="I340" s="62"/>
      <c r="J340" s="62">
        <f t="shared" si="33"/>
        <v>74.8</v>
      </c>
      <c r="K340" s="62" t="e">
        <f t="shared" si="33"/>
        <v>#DIV/0!</v>
      </c>
      <c r="L340" s="62" t="e">
        <f t="shared" si="33"/>
        <v>#DIV/0!</v>
      </c>
      <c r="M340" s="62" t="e">
        <f t="shared" si="33"/>
        <v>#DIV/0!</v>
      </c>
      <c r="N340" s="62"/>
      <c r="O340" s="62"/>
      <c r="P340" s="62"/>
    </row>
    <row r="341" spans="1:235" s="92" customFormat="1" ht="33.75">
      <c r="A341" s="82" t="s">
        <v>363</v>
      </c>
      <c r="B341" s="88"/>
      <c r="C341" s="88"/>
      <c r="D341" s="89"/>
      <c r="E341" s="89">
        <f>1630000-250000</f>
        <v>1380000</v>
      </c>
      <c r="F341" s="89">
        <f>E341</f>
        <v>1380000</v>
      </c>
      <c r="G341" s="89"/>
      <c r="H341" s="89">
        <f>H345*H347</f>
        <v>249999.9999993</v>
      </c>
      <c r="I341" s="89"/>
      <c r="J341" s="89">
        <f>H341</f>
        <v>249999.9999993</v>
      </c>
      <c r="K341" s="89">
        <f>K345*K347+1</f>
        <v>1</v>
      </c>
      <c r="L341" s="89">
        <f>L345*L347+1</f>
        <v>1</v>
      </c>
      <c r="M341" s="89">
        <f>M345*M347+1</f>
        <v>1</v>
      </c>
      <c r="N341" s="89"/>
      <c r="O341" s="89"/>
      <c r="P341" s="89"/>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c r="AV341" s="91"/>
      <c r="AW341" s="91"/>
      <c r="AX341" s="91"/>
      <c r="AY341" s="91"/>
      <c r="AZ341" s="91"/>
      <c r="BA341" s="91"/>
      <c r="BB341" s="91"/>
      <c r="BC341" s="91"/>
      <c r="BD341" s="91"/>
      <c r="BE341" s="91"/>
      <c r="BF341" s="91"/>
      <c r="BG341" s="91"/>
      <c r="BH341" s="91"/>
      <c r="BI341" s="91"/>
      <c r="BJ341" s="91"/>
      <c r="BK341" s="91"/>
      <c r="BL341" s="91"/>
      <c r="BM341" s="91"/>
      <c r="BN341" s="91"/>
      <c r="BO341" s="91"/>
      <c r="BP341" s="91"/>
      <c r="BQ341" s="91"/>
      <c r="BR341" s="91"/>
      <c r="BS341" s="91"/>
      <c r="BT341" s="91"/>
      <c r="BU341" s="91"/>
      <c r="BV341" s="91"/>
      <c r="BW341" s="91"/>
      <c r="BX341" s="91"/>
      <c r="BY341" s="91"/>
      <c r="BZ341" s="91"/>
      <c r="CA341" s="91"/>
      <c r="CB341" s="91"/>
      <c r="CC341" s="91"/>
      <c r="CD341" s="91"/>
      <c r="CE341" s="91"/>
      <c r="CF341" s="91"/>
      <c r="CG341" s="91"/>
      <c r="CH341" s="91"/>
      <c r="CI341" s="91"/>
      <c r="CJ341" s="91"/>
      <c r="CK341" s="91"/>
      <c r="CL341" s="91"/>
      <c r="CM341" s="91"/>
      <c r="CN341" s="91"/>
      <c r="CO341" s="91"/>
      <c r="CP341" s="91"/>
      <c r="CQ341" s="91"/>
      <c r="CR341" s="91"/>
      <c r="CS341" s="91"/>
      <c r="CT341" s="91"/>
      <c r="CU341" s="91"/>
      <c r="CV341" s="91"/>
      <c r="CW341" s="91"/>
      <c r="CX341" s="91"/>
      <c r="CY341" s="91"/>
      <c r="CZ341" s="91"/>
      <c r="DA341" s="91"/>
      <c r="DB341" s="91"/>
      <c r="DC341" s="91"/>
      <c r="DD341" s="91"/>
      <c r="DE341" s="91"/>
      <c r="DF341" s="91"/>
      <c r="DG341" s="91"/>
      <c r="DH341" s="91"/>
      <c r="DI341" s="91"/>
      <c r="DJ341" s="91"/>
      <c r="DK341" s="91"/>
      <c r="DL341" s="91"/>
      <c r="DM341" s="91"/>
      <c r="DN341" s="91"/>
      <c r="DO341" s="91"/>
      <c r="DP341" s="91"/>
      <c r="DQ341" s="91"/>
      <c r="DR341" s="91"/>
      <c r="DS341" s="91"/>
      <c r="DT341" s="91"/>
      <c r="DU341" s="91"/>
      <c r="DV341" s="91"/>
      <c r="DW341" s="91"/>
      <c r="DX341" s="91"/>
      <c r="DY341" s="91"/>
      <c r="DZ341" s="91"/>
      <c r="EA341" s="91"/>
      <c r="EB341" s="91"/>
      <c r="EC341" s="91"/>
      <c r="ED341" s="91"/>
      <c r="EE341" s="91"/>
      <c r="EF341" s="91"/>
      <c r="EG341" s="91"/>
      <c r="EH341" s="91"/>
      <c r="EI341" s="91"/>
      <c r="EJ341" s="91"/>
      <c r="EK341" s="91"/>
      <c r="EL341" s="91"/>
      <c r="EM341" s="91"/>
      <c r="EN341" s="91"/>
      <c r="EO341" s="91"/>
      <c r="EP341" s="91"/>
      <c r="EQ341" s="91"/>
      <c r="ER341" s="91"/>
      <c r="ES341" s="91"/>
      <c r="ET341" s="91"/>
      <c r="EU341" s="91"/>
      <c r="EV341" s="91"/>
      <c r="EW341" s="91"/>
      <c r="EX341" s="91"/>
      <c r="EY341" s="91"/>
      <c r="EZ341" s="91"/>
      <c r="FA341" s="91"/>
      <c r="FB341" s="91"/>
      <c r="FC341" s="91"/>
      <c r="FD341" s="91"/>
      <c r="FE341" s="91"/>
      <c r="FF341" s="91"/>
      <c r="FG341" s="91"/>
      <c r="FH341" s="91"/>
      <c r="FI341" s="91"/>
      <c r="FJ341" s="91"/>
      <c r="FK341" s="91"/>
      <c r="FL341" s="91"/>
      <c r="FM341" s="91"/>
      <c r="FN341" s="91"/>
      <c r="FO341" s="91"/>
      <c r="FP341" s="91"/>
      <c r="FQ341" s="91"/>
      <c r="FR341" s="91"/>
      <c r="FS341" s="91"/>
      <c r="FT341" s="91"/>
      <c r="FU341" s="91"/>
      <c r="FV341" s="91"/>
      <c r="FW341" s="91"/>
      <c r="FX341" s="91"/>
      <c r="FY341" s="91"/>
      <c r="FZ341" s="91"/>
      <c r="GA341" s="91"/>
      <c r="GB341" s="91"/>
      <c r="GC341" s="91"/>
      <c r="GD341" s="91"/>
      <c r="GE341" s="91"/>
      <c r="GF341" s="91"/>
      <c r="GG341" s="91"/>
      <c r="GH341" s="91"/>
      <c r="GI341" s="91"/>
      <c r="GJ341" s="91"/>
      <c r="GK341" s="91"/>
      <c r="GL341" s="91"/>
      <c r="GM341" s="91"/>
      <c r="GN341" s="91"/>
      <c r="GO341" s="91"/>
      <c r="GP341" s="91"/>
      <c r="GQ341" s="91"/>
      <c r="GR341" s="91"/>
      <c r="GS341" s="91"/>
      <c r="GT341" s="91"/>
      <c r="GU341" s="91"/>
      <c r="GV341" s="91"/>
      <c r="GW341" s="91"/>
      <c r="GX341" s="91"/>
      <c r="GY341" s="91"/>
      <c r="GZ341" s="91"/>
      <c r="HA341" s="91"/>
      <c r="HB341" s="91"/>
      <c r="HC341" s="91"/>
      <c r="HD341" s="91"/>
      <c r="HE341" s="91"/>
      <c r="HF341" s="91"/>
      <c r="HG341" s="91"/>
      <c r="HH341" s="91"/>
      <c r="HI341" s="91"/>
      <c r="HJ341" s="91"/>
      <c r="HK341" s="91"/>
      <c r="HL341" s="91"/>
      <c r="HM341" s="91"/>
      <c r="HN341" s="91"/>
      <c r="HO341" s="91"/>
      <c r="HP341" s="91"/>
      <c r="HQ341" s="91"/>
      <c r="HR341" s="91"/>
      <c r="HS341" s="91"/>
      <c r="HT341" s="91"/>
      <c r="HU341" s="91"/>
      <c r="HV341" s="91"/>
      <c r="HW341" s="91"/>
      <c r="HX341" s="91"/>
      <c r="HY341" s="91"/>
      <c r="HZ341" s="91"/>
      <c r="IA341" s="91"/>
    </row>
    <row r="342" spans="1:16" ht="9.75" customHeight="1">
      <c r="A342" s="54" t="s">
        <v>4</v>
      </c>
      <c r="B342" s="59"/>
      <c r="C342" s="59"/>
      <c r="D342" s="62"/>
      <c r="E342" s="62"/>
      <c r="F342" s="62"/>
      <c r="G342" s="62"/>
      <c r="H342" s="62"/>
      <c r="I342" s="62"/>
      <c r="J342" s="62"/>
      <c r="K342" s="62"/>
      <c r="L342" s="62"/>
      <c r="M342" s="62"/>
      <c r="N342" s="62"/>
      <c r="O342" s="62"/>
      <c r="P342" s="62"/>
    </row>
    <row r="343" spans="1:16" ht="33.75">
      <c r="A343" s="55" t="s">
        <v>267</v>
      </c>
      <c r="B343" s="59"/>
      <c r="C343" s="59"/>
      <c r="D343" s="62"/>
      <c r="E343" s="62">
        <v>48</v>
      </c>
      <c r="F343" s="62">
        <f>E343</f>
        <v>48</v>
      </c>
      <c r="G343" s="62"/>
      <c r="H343" s="62">
        <v>9</v>
      </c>
      <c r="I343" s="62"/>
      <c r="J343" s="62">
        <f>H343</f>
        <v>9</v>
      </c>
      <c r="K343" s="62"/>
      <c r="L343" s="62"/>
      <c r="M343" s="62"/>
      <c r="N343" s="62"/>
      <c r="O343" s="62"/>
      <c r="P343" s="62"/>
    </row>
    <row r="344" spans="1:16" ht="11.25">
      <c r="A344" s="54" t="s">
        <v>5</v>
      </c>
      <c r="B344" s="59"/>
      <c r="C344" s="59"/>
      <c r="D344" s="62"/>
      <c r="E344" s="62"/>
      <c r="F344" s="62"/>
      <c r="G344" s="62"/>
      <c r="H344" s="62"/>
      <c r="I344" s="62"/>
      <c r="J344" s="62"/>
      <c r="K344" s="62"/>
      <c r="L344" s="62"/>
      <c r="M344" s="62"/>
      <c r="N344" s="62"/>
      <c r="O344" s="62"/>
      <c r="P344" s="62"/>
    </row>
    <row r="345" spans="1:16" ht="27" customHeight="1">
      <c r="A345" s="55" t="s">
        <v>270</v>
      </c>
      <c r="B345" s="59"/>
      <c r="C345" s="59"/>
      <c r="D345" s="62"/>
      <c r="E345" s="62">
        <v>48</v>
      </c>
      <c r="F345" s="62">
        <v>48</v>
      </c>
      <c r="G345" s="62"/>
      <c r="H345" s="62">
        <v>9</v>
      </c>
      <c r="I345" s="62"/>
      <c r="J345" s="62">
        <v>48</v>
      </c>
      <c r="K345" s="62"/>
      <c r="L345" s="62"/>
      <c r="M345" s="62"/>
      <c r="N345" s="62"/>
      <c r="O345" s="62"/>
      <c r="P345" s="62"/>
    </row>
    <row r="346" spans="1:16" ht="11.25">
      <c r="A346" s="54" t="s">
        <v>7</v>
      </c>
      <c r="B346" s="59"/>
      <c r="C346" s="59"/>
      <c r="D346" s="62"/>
      <c r="E346" s="62"/>
      <c r="F346" s="62"/>
      <c r="G346" s="62"/>
      <c r="H346" s="62"/>
      <c r="I346" s="62"/>
      <c r="J346" s="62"/>
      <c r="K346" s="62"/>
      <c r="L346" s="62"/>
      <c r="M346" s="62"/>
      <c r="N346" s="62"/>
      <c r="O346" s="62"/>
      <c r="P346" s="62"/>
    </row>
    <row r="347" spans="1:16" ht="22.5">
      <c r="A347" s="55" t="s">
        <v>268</v>
      </c>
      <c r="B347" s="59"/>
      <c r="C347" s="59"/>
      <c r="D347" s="62"/>
      <c r="E347" s="62">
        <v>28103.5</v>
      </c>
      <c r="F347" s="62">
        <f>E347</f>
        <v>28103.5</v>
      </c>
      <c r="G347" s="62"/>
      <c r="H347" s="62">
        <v>27777.7777777</v>
      </c>
      <c r="I347" s="62"/>
      <c r="J347" s="62">
        <f>H347</f>
        <v>27777.7777777</v>
      </c>
      <c r="K347" s="62"/>
      <c r="L347" s="62"/>
      <c r="M347" s="62"/>
      <c r="N347" s="62"/>
      <c r="O347" s="62"/>
      <c r="P347" s="62"/>
    </row>
    <row r="348" spans="1:16" ht="11.25">
      <c r="A348" s="54" t="s">
        <v>6</v>
      </c>
      <c r="B348" s="60"/>
      <c r="C348" s="60"/>
      <c r="D348" s="62"/>
      <c r="E348" s="64"/>
      <c r="F348" s="64"/>
      <c r="G348" s="62"/>
      <c r="H348" s="64"/>
      <c r="I348" s="64"/>
      <c r="J348" s="64"/>
      <c r="K348" s="64"/>
      <c r="L348" s="64"/>
      <c r="M348" s="64"/>
      <c r="N348" s="62"/>
      <c r="O348" s="64"/>
      <c r="P348" s="64"/>
    </row>
    <row r="349" spans="1:16" ht="48.75" customHeight="1">
      <c r="A349" s="55" t="s">
        <v>269</v>
      </c>
      <c r="B349" s="61"/>
      <c r="C349" s="61"/>
      <c r="D349" s="129"/>
      <c r="E349" s="62">
        <f>E345/E343*100</f>
        <v>100</v>
      </c>
      <c r="F349" s="62">
        <f>E349</f>
        <v>100</v>
      </c>
      <c r="G349" s="62"/>
      <c r="H349" s="62">
        <f>H345/H343*100</f>
        <v>100</v>
      </c>
      <c r="I349" s="62"/>
      <c r="J349" s="62">
        <f>H349</f>
        <v>100</v>
      </c>
      <c r="K349" s="62" t="e">
        <f>(#REF!*#REF!)+(#REF!*#REF!)+(#REF!*#REF!)</f>
        <v>#REF!</v>
      </c>
      <c r="L349" s="62" t="e">
        <f>(#REF!*#REF!)+(#REF!*#REF!)+(#REF!*#REF!)</f>
        <v>#REF!</v>
      </c>
      <c r="M349" s="62" t="e">
        <f>(#REF!*#REF!)+(#REF!*#REF!)+(#REF!*#REF!)</f>
        <v>#REF!</v>
      </c>
      <c r="N349" s="62"/>
      <c r="O349" s="62"/>
      <c r="P349" s="62"/>
    </row>
    <row r="350" spans="1:235" s="92" customFormat="1" ht="33.75">
      <c r="A350" s="82" t="s">
        <v>449</v>
      </c>
      <c r="B350" s="88"/>
      <c r="C350" s="88"/>
      <c r="D350" s="89"/>
      <c r="E350" s="89">
        <f>E351</f>
        <v>1000000</v>
      </c>
      <c r="F350" s="89">
        <f>E350</f>
        <v>1000000</v>
      </c>
      <c r="G350" s="89"/>
      <c r="H350" s="89">
        <f>H351+H373</f>
        <v>7000000</v>
      </c>
      <c r="I350" s="89"/>
      <c r="J350" s="89">
        <f>H350</f>
        <v>7000000</v>
      </c>
      <c r="K350" s="89"/>
      <c r="L350" s="89"/>
      <c r="M350" s="89"/>
      <c r="N350" s="89"/>
      <c r="O350" s="89">
        <f>O351+O373</f>
        <v>16900000</v>
      </c>
      <c r="P350" s="89">
        <f>O350</f>
        <v>16900000</v>
      </c>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1"/>
      <c r="AY350" s="91"/>
      <c r="AZ350" s="91"/>
      <c r="BA350" s="91"/>
      <c r="BB350" s="91"/>
      <c r="BC350" s="91"/>
      <c r="BD350" s="91"/>
      <c r="BE350" s="91"/>
      <c r="BF350" s="91"/>
      <c r="BG350" s="91"/>
      <c r="BH350" s="91"/>
      <c r="BI350" s="91"/>
      <c r="BJ350" s="91"/>
      <c r="BK350" s="91"/>
      <c r="BL350" s="91"/>
      <c r="BM350" s="91"/>
      <c r="BN350" s="91"/>
      <c r="BO350" s="91"/>
      <c r="BP350" s="91"/>
      <c r="BQ350" s="91"/>
      <c r="BR350" s="91"/>
      <c r="BS350" s="91"/>
      <c r="BT350" s="91"/>
      <c r="BU350" s="91"/>
      <c r="BV350" s="91"/>
      <c r="BW350" s="91"/>
      <c r="BX350" s="91"/>
      <c r="BY350" s="91"/>
      <c r="BZ350" s="91"/>
      <c r="CA350" s="91"/>
      <c r="CB350" s="91"/>
      <c r="CC350" s="91"/>
      <c r="CD350" s="91"/>
      <c r="CE350" s="91"/>
      <c r="CF350" s="91"/>
      <c r="CG350" s="91"/>
      <c r="CH350" s="91"/>
      <c r="CI350" s="91"/>
      <c r="CJ350" s="91"/>
      <c r="CK350" s="91"/>
      <c r="CL350" s="91"/>
      <c r="CM350" s="91"/>
      <c r="CN350" s="91"/>
      <c r="CO350" s="91"/>
      <c r="CP350" s="91"/>
      <c r="CQ350" s="91"/>
      <c r="CR350" s="91"/>
      <c r="CS350" s="91"/>
      <c r="CT350" s="91"/>
      <c r="CU350" s="91"/>
      <c r="CV350" s="91"/>
      <c r="CW350" s="91"/>
      <c r="CX350" s="91"/>
      <c r="CY350" s="91"/>
      <c r="CZ350" s="91"/>
      <c r="DA350" s="91"/>
      <c r="DB350" s="91"/>
      <c r="DC350" s="91"/>
      <c r="DD350" s="91"/>
      <c r="DE350" s="91"/>
      <c r="DF350" s="91"/>
      <c r="DG350" s="91"/>
      <c r="DH350" s="91"/>
      <c r="DI350" s="91"/>
      <c r="DJ350" s="91"/>
      <c r="DK350" s="91"/>
      <c r="DL350" s="91"/>
      <c r="DM350" s="91"/>
      <c r="DN350" s="91"/>
      <c r="DO350" s="91"/>
      <c r="DP350" s="91"/>
      <c r="DQ350" s="91"/>
      <c r="DR350" s="91"/>
      <c r="DS350" s="91"/>
      <c r="DT350" s="91"/>
      <c r="DU350" s="91"/>
      <c r="DV350" s="91"/>
      <c r="DW350" s="91"/>
      <c r="DX350" s="91"/>
      <c r="DY350" s="91"/>
      <c r="DZ350" s="91"/>
      <c r="EA350" s="91"/>
      <c r="EB350" s="91"/>
      <c r="EC350" s="91"/>
      <c r="ED350" s="91"/>
      <c r="EE350" s="91"/>
      <c r="EF350" s="91"/>
      <c r="EG350" s="91"/>
      <c r="EH350" s="91"/>
      <c r="EI350" s="91"/>
      <c r="EJ350" s="91"/>
      <c r="EK350" s="91"/>
      <c r="EL350" s="91"/>
      <c r="EM350" s="91"/>
      <c r="EN350" s="91"/>
      <c r="EO350" s="91"/>
      <c r="EP350" s="91"/>
      <c r="EQ350" s="91"/>
      <c r="ER350" s="91"/>
      <c r="ES350" s="91"/>
      <c r="ET350" s="91"/>
      <c r="EU350" s="91"/>
      <c r="EV350" s="91"/>
      <c r="EW350" s="91"/>
      <c r="EX350" s="91"/>
      <c r="EY350" s="91"/>
      <c r="EZ350" s="91"/>
      <c r="FA350" s="91"/>
      <c r="FB350" s="91"/>
      <c r="FC350" s="91"/>
      <c r="FD350" s="91"/>
      <c r="FE350" s="91"/>
      <c r="FF350" s="91"/>
      <c r="FG350" s="91"/>
      <c r="FH350" s="91"/>
      <c r="FI350" s="91"/>
      <c r="FJ350" s="91"/>
      <c r="FK350" s="91"/>
      <c r="FL350" s="91"/>
      <c r="FM350" s="91"/>
      <c r="FN350" s="91"/>
      <c r="FO350" s="91"/>
      <c r="FP350" s="91"/>
      <c r="FQ350" s="91"/>
      <c r="FR350" s="91"/>
      <c r="FS350" s="91"/>
      <c r="FT350" s="91"/>
      <c r="FU350" s="91"/>
      <c r="FV350" s="91"/>
      <c r="FW350" s="91"/>
      <c r="FX350" s="91"/>
      <c r="FY350" s="91"/>
      <c r="FZ350" s="91"/>
      <c r="GA350" s="91"/>
      <c r="GB350" s="91"/>
      <c r="GC350" s="91"/>
      <c r="GD350" s="91"/>
      <c r="GE350" s="91"/>
      <c r="GF350" s="91"/>
      <c r="GG350" s="91"/>
      <c r="GH350" s="91"/>
      <c r="GI350" s="91"/>
      <c r="GJ350" s="91"/>
      <c r="GK350" s="91"/>
      <c r="GL350" s="91"/>
      <c r="GM350" s="91"/>
      <c r="GN350" s="91"/>
      <c r="GO350" s="91"/>
      <c r="GP350" s="91"/>
      <c r="GQ350" s="91"/>
      <c r="GR350" s="91"/>
      <c r="GS350" s="91"/>
      <c r="GT350" s="91"/>
      <c r="GU350" s="91"/>
      <c r="GV350" s="91"/>
      <c r="GW350" s="91"/>
      <c r="GX350" s="91"/>
      <c r="GY350" s="91"/>
      <c r="GZ350" s="91"/>
      <c r="HA350" s="91"/>
      <c r="HB350" s="91"/>
      <c r="HC350" s="91"/>
      <c r="HD350" s="91"/>
      <c r="HE350" s="91"/>
      <c r="HF350" s="91"/>
      <c r="HG350" s="91"/>
      <c r="HH350" s="91"/>
      <c r="HI350" s="91"/>
      <c r="HJ350" s="91"/>
      <c r="HK350" s="91"/>
      <c r="HL350" s="91"/>
      <c r="HM350" s="91"/>
      <c r="HN350" s="91"/>
      <c r="HO350" s="91"/>
      <c r="HP350" s="91"/>
      <c r="HQ350" s="91"/>
      <c r="HR350" s="91"/>
      <c r="HS350" s="91"/>
      <c r="HT350" s="91"/>
      <c r="HU350" s="91"/>
      <c r="HV350" s="91"/>
      <c r="HW350" s="91"/>
      <c r="HX350" s="91"/>
      <c r="HY350" s="91"/>
      <c r="HZ350" s="91"/>
      <c r="IA350" s="91"/>
    </row>
    <row r="351" spans="1:235" s="92" customFormat="1" ht="41.25" customHeight="1">
      <c r="A351" s="82" t="s">
        <v>450</v>
      </c>
      <c r="B351" s="88"/>
      <c r="C351" s="88"/>
      <c r="D351" s="89"/>
      <c r="E351" s="89">
        <f>E355*E357+1</f>
        <v>1000000</v>
      </c>
      <c r="F351" s="89">
        <f aca="true" t="shared" si="34" ref="F351:M351">F355*F357+1</f>
        <v>1000000</v>
      </c>
      <c r="G351" s="89"/>
      <c r="H351" s="89">
        <f>H355*H357</f>
        <v>6900000</v>
      </c>
      <c r="I351" s="89"/>
      <c r="J351" s="89">
        <f>H351</f>
        <v>6900000</v>
      </c>
      <c r="K351" s="89">
        <f t="shared" si="34"/>
        <v>1</v>
      </c>
      <c r="L351" s="89">
        <f t="shared" si="34"/>
        <v>1</v>
      </c>
      <c r="M351" s="89">
        <f t="shared" si="34"/>
        <v>1</v>
      </c>
      <c r="N351" s="89"/>
      <c r="O351" s="89">
        <f>O353</f>
        <v>15400000.000000002</v>
      </c>
      <c r="P351" s="89">
        <f>O351</f>
        <v>15400000.000000002</v>
      </c>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c r="AO351" s="91"/>
      <c r="AP351" s="91"/>
      <c r="AQ351" s="91"/>
      <c r="AR351" s="91"/>
      <c r="AS351" s="91"/>
      <c r="AT351" s="91"/>
      <c r="AU351" s="91"/>
      <c r="AV351" s="91"/>
      <c r="AW351" s="91"/>
      <c r="AX351" s="91"/>
      <c r="AY351" s="91"/>
      <c r="AZ351" s="91"/>
      <c r="BA351" s="91"/>
      <c r="BB351" s="91"/>
      <c r="BC351" s="91"/>
      <c r="BD351" s="91"/>
      <c r="BE351" s="91"/>
      <c r="BF351" s="91"/>
      <c r="BG351" s="91"/>
      <c r="BH351" s="91"/>
      <c r="BI351" s="91"/>
      <c r="BJ351" s="91"/>
      <c r="BK351" s="91"/>
      <c r="BL351" s="91"/>
      <c r="BM351" s="91"/>
      <c r="BN351" s="91"/>
      <c r="BO351" s="91"/>
      <c r="BP351" s="91"/>
      <c r="BQ351" s="91"/>
      <c r="BR351" s="91"/>
      <c r="BS351" s="91"/>
      <c r="BT351" s="91"/>
      <c r="BU351" s="91"/>
      <c r="BV351" s="91"/>
      <c r="BW351" s="91"/>
      <c r="BX351" s="91"/>
      <c r="BY351" s="91"/>
      <c r="BZ351" s="91"/>
      <c r="CA351" s="91"/>
      <c r="CB351" s="91"/>
      <c r="CC351" s="91"/>
      <c r="CD351" s="91"/>
      <c r="CE351" s="91"/>
      <c r="CF351" s="91"/>
      <c r="CG351" s="91"/>
      <c r="CH351" s="91"/>
      <c r="CI351" s="91"/>
      <c r="CJ351" s="91"/>
      <c r="CK351" s="91"/>
      <c r="CL351" s="91"/>
      <c r="CM351" s="91"/>
      <c r="CN351" s="91"/>
      <c r="CO351" s="91"/>
      <c r="CP351" s="91"/>
      <c r="CQ351" s="91"/>
      <c r="CR351" s="91"/>
      <c r="CS351" s="91"/>
      <c r="CT351" s="91"/>
      <c r="CU351" s="91"/>
      <c r="CV351" s="91"/>
      <c r="CW351" s="91"/>
      <c r="CX351" s="91"/>
      <c r="CY351" s="91"/>
      <c r="CZ351" s="91"/>
      <c r="DA351" s="91"/>
      <c r="DB351" s="91"/>
      <c r="DC351" s="91"/>
      <c r="DD351" s="91"/>
      <c r="DE351" s="91"/>
      <c r="DF351" s="91"/>
      <c r="DG351" s="91"/>
      <c r="DH351" s="91"/>
      <c r="DI351" s="91"/>
      <c r="DJ351" s="91"/>
      <c r="DK351" s="91"/>
      <c r="DL351" s="91"/>
      <c r="DM351" s="91"/>
      <c r="DN351" s="91"/>
      <c r="DO351" s="91"/>
      <c r="DP351" s="91"/>
      <c r="DQ351" s="91"/>
      <c r="DR351" s="91"/>
      <c r="DS351" s="91"/>
      <c r="DT351" s="91"/>
      <c r="DU351" s="91"/>
      <c r="DV351" s="91"/>
      <c r="DW351" s="91"/>
      <c r="DX351" s="91"/>
      <c r="DY351" s="91"/>
      <c r="DZ351" s="91"/>
      <c r="EA351" s="91"/>
      <c r="EB351" s="91"/>
      <c r="EC351" s="91"/>
      <c r="ED351" s="91"/>
      <c r="EE351" s="91"/>
      <c r="EF351" s="91"/>
      <c r="EG351" s="91"/>
      <c r="EH351" s="91"/>
      <c r="EI351" s="91"/>
      <c r="EJ351" s="91"/>
      <c r="EK351" s="91"/>
      <c r="EL351" s="91"/>
      <c r="EM351" s="91"/>
      <c r="EN351" s="91"/>
      <c r="EO351" s="91"/>
      <c r="EP351" s="91"/>
      <c r="EQ351" s="91"/>
      <c r="ER351" s="91"/>
      <c r="ES351" s="91"/>
      <c r="ET351" s="91"/>
      <c r="EU351" s="91"/>
      <c r="EV351" s="91"/>
      <c r="EW351" s="91"/>
      <c r="EX351" s="91"/>
      <c r="EY351" s="91"/>
      <c r="EZ351" s="91"/>
      <c r="FA351" s="91"/>
      <c r="FB351" s="91"/>
      <c r="FC351" s="91"/>
      <c r="FD351" s="91"/>
      <c r="FE351" s="91"/>
      <c r="FF351" s="91"/>
      <c r="FG351" s="91"/>
      <c r="FH351" s="91"/>
      <c r="FI351" s="91"/>
      <c r="FJ351" s="91"/>
      <c r="FK351" s="91"/>
      <c r="FL351" s="91"/>
      <c r="FM351" s="91"/>
      <c r="FN351" s="91"/>
      <c r="FO351" s="91"/>
      <c r="FP351" s="91"/>
      <c r="FQ351" s="91"/>
      <c r="FR351" s="91"/>
      <c r="FS351" s="91"/>
      <c r="FT351" s="91"/>
      <c r="FU351" s="91"/>
      <c r="FV351" s="91"/>
      <c r="FW351" s="91"/>
      <c r="FX351" s="91"/>
      <c r="FY351" s="91"/>
      <c r="FZ351" s="91"/>
      <c r="GA351" s="91"/>
      <c r="GB351" s="91"/>
      <c r="GC351" s="91"/>
      <c r="GD351" s="91"/>
      <c r="GE351" s="91"/>
      <c r="GF351" s="91"/>
      <c r="GG351" s="91"/>
      <c r="GH351" s="91"/>
      <c r="GI351" s="91"/>
      <c r="GJ351" s="91"/>
      <c r="GK351" s="91"/>
      <c r="GL351" s="91"/>
      <c r="GM351" s="91"/>
      <c r="GN351" s="91"/>
      <c r="GO351" s="91"/>
      <c r="GP351" s="91"/>
      <c r="GQ351" s="91"/>
      <c r="GR351" s="91"/>
      <c r="GS351" s="91"/>
      <c r="GT351" s="91"/>
      <c r="GU351" s="91"/>
      <c r="GV351" s="91"/>
      <c r="GW351" s="91"/>
      <c r="GX351" s="91"/>
      <c r="GY351" s="91"/>
      <c r="GZ351" s="91"/>
      <c r="HA351" s="91"/>
      <c r="HB351" s="91"/>
      <c r="HC351" s="91"/>
      <c r="HD351" s="91"/>
      <c r="HE351" s="91"/>
      <c r="HF351" s="91"/>
      <c r="HG351" s="91"/>
      <c r="HH351" s="91"/>
      <c r="HI351" s="91"/>
      <c r="HJ351" s="91"/>
      <c r="HK351" s="91"/>
      <c r="HL351" s="91"/>
      <c r="HM351" s="91"/>
      <c r="HN351" s="91"/>
      <c r="HO351" s="91"/>
      <c r="HP351" s="91"/>
      <c r="HQ351" s="91"/>
      <c r="HR351" s="91"/>
      <c r="HS351" s="91"/>
      <c r="HT351" s="91"/>
      <c r="HU351" s="91"/>
      <c r="HV351" s="91"/>
      <c r="HW351" s="91"/>
      <c r="HX351" s="91"/>
      <c r="HY351" s="91"/>
      <c r="HZ351" s="91"/>
      <c r="IA351" s="91"/>
    </row>
    <row r="352" spans="1:16" ht="11.25">
      <c r="A352" s="54" t="s">
        <v>4</v>
      </c>
      <c r="B352" s="59"/>
      <c r="C352" s="59"/>
      <c r="D352" s="62"/>
      <c r="E352" s="62"/>
      <c r="F352" s="62"/>
      <c r="G352" s="62"/>
      <c r="H352" s="62"/>
      <c r="I352" s="62"/>
      <c r="J352" s="62"/>
      <c r="K352" s="62"/>
      <c r="L352" s="62"/>
      <c r="M352" s="62"/>
      <c r="N352" s="62"/>
      <c r="O352" s="62"/>
      <c r="P352" s="62"/>
    </row>
    <row r="353" spans="1:16" ht="22.5">
      <c r="A353" s="55" t="s">
        <v>377</v>
      </c>
      <c r="B353" s="59"/>
      <c r="C353" s="59"/>
      <c r="D353" s="62"/>
      <c r="E353" s="62">
        <v>10</v>
      </c>
      <c r="F353" s="62">
        <f>E353</f>
        <v>10</v>
      </c>
      <c r="G353" s="62"/>
      <c r="H353" s="62">
        <f>H355*H357</f>
        <v>6900000</v>
      </c>
      <c r="I353" s="62"/>
      <c r="J353" s="62">
        <f>H353</f>
        <v>6900000</v>
      </c>
      <c r="K353" s="62"/>
      <c r="L353" s="62"/>
      <c r="M353" s="62"/>
      <c r="N353" s="62"/>
      <c r="O353" s="62">
        <f>O355*O357+0.22</f>
        <v>15400000.000000002</v>
      </c>
      <c r="P353" s="62">
        <f>O353</f>
        <v>15400000.000000002</v>
      </c>
    </row>
    <row r="354" spans="1:16" ht="11.25">
      <c r="A354" s="54" t="s">
        <v>5</v>
      </c>
      <c r="B354" s="59"/>
      <c r="C354" s="59"/>
      <c r="D354" s="62"/>
      <c r="E354" s="62"/>
      <c r="F354" s="62"/>
      <c r="G354" s="62"/>
      <c r="H354" s="62"/>
      <c r="I354" s="62"/>
      <c r="J354" s="62"/>
      <c r="K354" s="62"/>
      <c r="L354" s="62"/>
      <c r="M354" s="62"/>
      <c r="N354" s="62"/>
      <c r="O354" s="62"/>
      <c r="P354" s="62"/>
    </row>
    <row r="355" spans="1:16" ht="22.5">
      <c r="A355" s="55" t="s">
        <v>376</v>
      </c>
      <c r="B355" s="59"/>
      <c r="C355" s="59"/>
      <c r="D355" s="62"/>
      <c r="E355" s="62">
        <v>3</v>
      </c>
      <c r="F355" s="62">
        <f>E355</f>
        <v>3</v>
      </c>
      <c r="G355" s="62"/>
      <c r="H355" s="62">
        <v>23</v>
      </c>
      <c r="I355" s="62"/>
      <c r="J355" s="62">
        <f>H355</f>
        <v>23</v>
      </c>
      <c r="K355" s="62"/>
      <c r="L355" s="62"/>
      <c r="M355" s="62"/>
      <c r="N355" s="62"/>
      <c r="O355" s="62">
        <v>51</v>
      </c>
      <c r="P355" s="62">
        <f>O355</f>
        <v>51</v>
      </c>
    </row>
    <row r="356" spans="1:16" ht="11.25">
      <c r="A356" s="54" t="s">
        <v>7</v>
      </c>
      <c r="B356" s="59"/>
      <c r="C356" s="59"/>
      <c r="D356" s="62"/>
      <c r="E356" s="62"/>
      <c r="F356" s="62"/>
      <c r="G356" s="62"/>
      <c r="H356" s="62"/>
      <c r="I356" s="62"/>
      <c r="J356" s="62"/>
      <c r="K356" s="62"/>
      <c r="L356" s="62"/>
      <c r="M356" s="62"/>
      <c r="N356" s="62"/>
      <c r="O356" s="62"/>
      <c r="P356" s="62"/>
    </row>
    <row r="357" spans="1:16" ht="22.5">
      <c r="A357" s="55" t="s">
        <v>174</v>
      </c>
      <c r="B357" s="59"/>
      <c r="C357" s="59"/>
      <c r="D357" s="62"/>
      <c r="E357" s="62">
        <v>333333</v>
      </c>
      <c r="F357" s="62">
        <f>E357</f>
        <v>333333</v>
      </c>
      <c r="G357" s="62"/>
      <c r="H357" s="62">
        <v>300000</v>
      </c>
      <c r="I357" s="62"/>
      <c r="J357" s="62">
        <f>H357</f>
        <v>300000</v>
      </c>
      <c r="K357" s="62"/>
      <c r="L357" s="62"/>
      <c r="M357" s="62"/>
      <c r="N357" s="62"/>
      <c r="O357" s="62">
        <v>301960.78</v>
      </c>
      <c r="P357" s="62">
        <f>O357</f>
        <v>301960.78</v>
      </c>
    </row>
    <row r="358" spans="1:16" ht="1.5" customHeight="1" hidden="1">
      <c r="A358" s="19" t="s">
        <v>265</v>
      </c>
      <c r="B358" s="26"/>
      <c r="C358" s="26"/>
      <c r="D358" s="25"/>
      <c r="E358" s="25">
        <f>E359</f>
        <v>1000000</v>
      </c>
      <c r="F358" s="25">
        <f>E358</f>
        <v>1000000</v>
      </c>
      <c r="G358" s="25"/>
      <c r="H358" s="25">
        <f>H359</f>
        <v>1320000</v>
      </c>
      <c r="I358" s="25"/>
      <c r="J358" s="25">
        <f>H358</f>
        <v>1320000</v>
      </c>
      <c r="K358" s="56"/>
      <c r="L358" s="56"/>
      <c r="M358" s="56"/>
      <c r="N358" s="25"/>
      <c r="O358" s="25">
        <f>O359</f>
        <v>1580000</v>
      </c>
      <c r="P358" s="25">
        <f>O358</f>
        <v>1580000</v>
      </c>
    </row>
    <row r="359" spans="1:16" ht="4.5" customHeight="1" hidden="1">
      <c r="A359" s="19" t="s">
        <v>266</v>
      </c>
      <c r="B359" s="26"/>
      <c r="C359" s="26"/>
      <c r="D359" s="25"/>
      <c r="E359" s="25">
        <f>E363*E365+1</f>
        <v>1000000</v>
      </c>
      <c r="F359" s="25">
        <f>F363*F365+1</f>
        <v>1000000</v>
      </c>
      <c r="G359" s="25"/>
      <c r="H359" s="25">
        <f>H363*H365</f>
        <v>1320000</v>
      </c>
      <c r="I359" s="25"/>
      <c r="J359" s="25">
        <f>H359</f>
        <v>1320000</v>
      </c>
      <c r="K359" s="25">
        <f>K363*K365+1</f>
        <v>1</v>
      </c>
      <c r="L359" s="25">
        <f>L363*L365+1</f>
        <v>1</v>
      </c>
      <c r="M359" s="25">
        <f>M363*M365+1</f>
        <v>1</v>
      </c>
      <c r="N359" s="25"/>
      <c r="O359" s="25">
        <f>O363*O365</f>
        <v>1580000</v>
      </c>
      <c r="P359" s="25">
        <f>O359</f>
        <v>1580000</v>
      </c>
    </row>
    <row r="360" spans="1:16" ht="16.5" customHeight="1" hidden="1">
      <c r="A360" s="54" t="s">
        <v>4</v>
      </c>
      <c r="B360" s="59"/>
      <c r="C360" s="59"/>
      <c r="D360" s="62"/>
      <c r="E360" s="62"/>
      <c r="F360" s="62"/>
      <c r="G360" s="62"/>
      <c r="H360" s="62"/>
      <c r="I360" s="62"/>
      <c r="J360" s="62"/>
      <c r="K360" s="62"/>
      <c r="L360" s="62"/>
      <c r="M360" s="62"/>
      <c r="N360" s="62"/>
      <c r="O360" s="62"/>
      <c r="P360" s="62"/>
    </row>
    <row r="361" spans="1:16" ht="24.75" customHeight="1" hidden="1">
      <c r="A361" s="55" t="s">
        <v>172</v>
      </c>
      <c r="B361" s="59"/>
      <c r="C361" s="59"/>
      <c r="D361" s="62"/>
      <c r="E361" s="62">
        <v>10</v>
      </c>
      <c r="F361" s="62">
        <f>E361</f>
        <v>10</v>
      </c>
      <c r="G361" s="62"/>
      <c r="H361" s="62">
        <v>10</v>
      </c>
      <c r="I361" s="62"/>
      <c r="J361" s="62">
        <f>H361</f>
        <v>10</v>
      </c>
      <c r="K361" s="62"/>
      <c r="L361" s="62"/>
      <c r="M361" s="62"/>
      <c r="N361" s="62"/>
      <c r="O361" s="62">
        <v>10</v>
      </c>
      <c r="P361" s="62">
        <f>O361</f>
        <v>10</v>
      </c>
    </row>
    <row r="362" spans="1:16" ht="15" customHeight="1" hidden="1">
      <c r="A362" s="54" t="s">
        <v>5</v>
      </c>
      <c r="B362" s="59"/>
      <c r="C362" s="59"/>
      <c r="D362" s="62"/>
      <c r="E362" s="62"/>
      <c r="F362" s="62"/>
      <c r="G362" s="62"/>
      <c r="H362" s="62"/>
      <c r="I362" s="62"/>
      <c r="J362" s="62"/>
      <c r="K362" s="62"/>
      <c r="L362" s="62"/>
      <c r="M362" s="62"/>
      <c r="N362" s="62"/>
      <c r="O362" s="62"/>
      <c r="P362" s="62"/>
    </row>
    <row r="363" spans="1:16" ht="12.75" customHeight="1" hidden="1">
      <c r="A363" s="55" t="s">
        <v>173</v>
      </c>
      <c r="B363" s="59"/>
      <c r="C363" s="59"/>
      <c r="D363" s="62"/>
      <c r="E363" s="62">
        <v>3</v>
      </c>
      <c r="F363" s="62">
        <f>E363</f>
        <v>3</v>
      </c>
      <c r="G363" s="62"/>
      <c r="H363" s="62">
        <v>3</v>
      </c>
      <c r="I363" s="62"/>
      <c r="J363" s="62">
        <f>H363</f>
        <v>3</v>
      </c>
      <c r="K363" s="62"/>
      <c r="L363" s="62"/>
      <c r="M363" s="62"/>
      <c r="N363" s="62"/>
      <c r="O363" s="62">
        <v>4</v>
      </c>
      <c r="P363" s="62">
        <f>O363</f>
        <v>4</v>
      </c>
    </row>
    <row r="364" spans="1:16" ht="16.5" customHeight="1" hidden="1">
      <c r="A364" s="54" t="s">
        <v>7</v>
      </c>
      <c r="B364" s="59"/>
      <c r="C364" s="59"/>
      <c r="D364" s="62"/>
      <c r="E364" s="62"/>
      <c r="F364" s="62"/>
      <c r="G364" s="62"/>
      <c r="H364" s="62"/>
      <c r="I364" s="62"/>
      <c r="J364" s="62"/>
      <c r="K364" s="62"/>
      <c r="L364" s="62"/>
      <c r="M364" s="62"/>
      <c r="N364" s="62"/>
      <c r="O364" s="62"/>
      <c r="P364" s="62"/>
    </row>
    <row r="365" spans="1:16" ht="30" customHeight="1" hidden="1">
      <c r="A365" s="55" t="s">
        <v>174</v>
      </c>
      <c r="B365" s="59"/>
      <c r="C365" s="59"/>
      <c r="D365" s="62"/>
      <c r="E365" s="62">
        <v>333333</v>
      </c>
      <c r="F365" s="62">
        <f>E365</f>
        <v>333333</v>
      </c>
      <c r="G365" s="62"/>
      <c r="H365" s="62">
        <v>440000</v>
      </c>
      <c r="I365" s="62"/>
      <c r="J365" s="62">
        <f>H365</f>
        <v>440000</v>
      </c>
      <c r="K365" s="62"/>
      <c r="L365" s="62"/>
      <c r="M365" s="62"/>
      <c r="N365" s="62"/>
      <c r="O365" s="62">
        <v>395000</v>
      </c>
      <c r="P365" s="62">
        <f>O365</f>
        <v>395000</v>
      </c>
    </row>
    <row r="366" spans="1:16" ht="15" customHeight="1" hidden="1">
      <c r="A366" s="54" t="s">
        <v>6</v>
      </c>
      <c r="B366" s="60"/>
      <c r="C366" s="60"/>
      <c r="D366" s="62"/>
      <c r="E366" s="64"/>
      <c r="F366" s="64"/>
      <c r="G366" s="62"/>
      <c r="H366" s="64"/>
      <c r="I366" s="64"/>
      <c r="J366" s="64"/>
      <c r="K366" s="64"/>
      <c r="L366" s="64"/>
      <c r="M366" s="64"/>
      <c r="N366" s="62"/>
      <c r="O366" s="64"/>
      <c r="P366" s="64"/>
    </row>
    <row r="367" spans="1:16" ht="53.25" customHeight="1" hidden="1">
      <c r="A367" s="55" t="s">
        <v>192</v>
      </c>
      <c r="B367" s="61"/>
      <c r="C367" s="61"/>
      <c r="D367" s="129"/>
      <c r="E367" s="62">
        <f>E363/E361*100</f>
        <v>30</v>
      </c>
      <c r="F367" s="62">
        <f>E367</f>
        <v>30</v>
      </c>
      <c r="G367" s="62"/>
      <c r="H367" s="62">
        <f>H363/H361*100</f>
        <v>30</v>
      </c>
      <c r="I367" s="62"/>
      <c r="J367" s="62">
        <f>H367</f>
        <v>30</v>
      </c>
      <c r="K367" s="62" t="e">
        <f>(#REF!*#REF!)+(#REF!*#REF!)+(#REF!*#REF!)</f>
        <v>#REF!</v>
      </c>
      <c r="L367" s="62" t="e">
        <f>(#REF!*#REF!)+(#REF!*#REF!)+(#REF!*#REF!)</f>
        <v>#REF!</v>
      </c>
      <c r="M367" s="62" t="e">
        <f>(#REF!*#REF!)+(#REF!*#REF!)+(#REF!*#REF!)</f>
        <v>#REF!</v>
      </c>
      <c r="N367" s="62"/>
      <c r="O367" s="62">
        <f>O363/O361*100</f>
        <v>40</v>
      </c>
      <c r="P367" s="62">
        <f>O367</f>
        <v>40</v>
      </c>
    </row>
    <row r="368" spans="1:16" ht="21.75" customHeight="1" hidden="1">
      <c r="A368" s="55"/>
      <c r="B368" s="61"/>
      <c r="C368" s="61"/>
      <c r="D368" s="129"/>
      <c r="E368" s="62"/>
      <c r="F368" s="62"/>
      <c r="G368" s="62"/>
      <c r="H368" s="62"/>
      <c r="I368" s="62"/>
      <c r="J368" s="62"/>
      <c r="K368" s="62"/>
      <c r="L368" s="62"/>
      <c r="M368" s="62"/>
      <c r="N368" s="62"/>
      <c r="O368" s="62"/>
      <c r="P368" s="62"/>
    </row>
    <row r="369" spans="1:16" ht="54" customHeight="1" hidden="1">
      <c r="A369" s="55"/>
      <c r="B369" s="61"/>
      <c r="C369" s="61"/>
      <c r="D369" s="129"/>
      <c r="E369" s="62"/>
      <c r="F369" s="62"/>
      <c r="G369" s="62"/>
      <c r="H369" s="62"/>
      <c r="I369" s="62"/>
      <c r="J369" s="62"/>
      <c r="K369" s="62"/>
      <c r="L369" s="62"/>
      <c r="M369" s="62"/>
      <c r="N369" s="62"/>
      <c r="O369" s="62"/>
      <c r="P369" s="62"/>
    </row>
    <row r="370" spans="1:16" ht="54" customHeight="1" hidden="1">
      <c r="A370" s="55"/>
      <c r="B370" s="61"/>
      <c r="C370" s="61"/>
      <c r="D370" s="129"/>
      <c r="E370" s="62"/>
      <c r="F370" s="62"/>
      <c r="G370" s="62"/>
      <c r="H370" s="62"/>
      <c r="I370" s="62"/>
      <c r="J370" s="62"/>
      <c r="K370" s="62"/>
      <c r="L370" s="62"/>
      <c r="M370" s="62"/>
      <c r="N370" s="62"/>
      <c r="O370" s="62"/>
      <c r="P370" s="62"/>
    </row>
    <row r="371" spans="1:16" ht="54" customHeight="1" hidden="1">
      <c r="A371" s="55"/>
      <c r="B371" s="61"/>
      <c r="C371" s="61"/>
      <c r="D371" s="129"/>
      <c r="E371" s="62"/>
      <c r="F371" s="62"/>
      <c r="G371" s="62"/>
      <c r="H371" s="62"/>
      <c r="I371" s="62"/>
      <c r="J371" s="62"/>
      <c r="K371" s="62"/>
      <c r="L371" s="62"/>
      <c r="M371" s="62"/>
      <c r="N371" s="62"/>
      <c r="O371" s="62"/>
      <c r="P371" s="62"/>
    </row>
    <row r="372" spans="1:16" ht="54" customHeight="1" hidden="1">
      <c r="A372" s="55"/>
      <c r="B372" s="61"/>
      <c r="C372" s="61"/>
      <c r="D372" s="129"/>
      <c r="E372" s="62"/>
      <c r="F372" s="62"/>
      <c r="G372" s="62"/>
      <c r="H372" s="62"/>
      <c r="I372" s="62"/>
      <c r="J372" s="62"/>
      <c r="K372" s="62"/>
      <c r="L372" s="62"/>
      <c r="M372" s="62"/>
      <c r="N372" s="62"/>
      <c r="O372" s="62"/>
      <c r="P372" s="62"/>
    </row>
    <row r="373" spans="1:16" ht="40.5" customHeight="1">
      <c r="A373" s="82" t="s">
        <v>451</v>
      </c>
      <c r="B373" s="170"/>
      <c r="C373" s="170"/>
      <c r="D373" s="151"/>
      <c r="E373" s="78"/>
      <c r="F373" s="78"/>
      <c r="G373" s="78"/>
      <c r="H373" s="151">
        <f>H375</f>
        <v>100000</v>
      </c>
      <c r="I373" s="151">
        <f aca="true" t="shared" si="35" ref="I373:P373">I375</f>
        <v>0</v>
      </c>
      <c r="J373" s="151">
        <f t="shared" si="35"/>
        <v>100000</v>
      </c>
      <c r="K373" s="151">
        <f t="shared" si="35"/>
        <v>0</v>
      </c>
      <c r="L373" s="151">
        <f t="shared" si="35"/>
        <v>0</v>
      </c>
      <c r="M373" s="151">
        <f t="shared" si="35"/>
        <v>0</v>
      </c>
      <c r="N373" s="151">
        <f t="shared" si="35"/>
        <v>0</v>
      </c>
      <c r="O373" s="151">
        <f t="shared" si="35"/>
        <v>1500000</v>
      </c>
      <c r="P373" s="151">
        <f t="shared" si="35"/>
        <v>1500000</v>
      </c>
    </row>
    <row r="374" spans="1:16" ht="17.25" customHeight="1">
      <c r="A374" s="54" t="s">
        <v>4</v>
      </c>
      <c r="B374" s="61"/>
      <c r="C374" s="61"/>
      <c r="D374" s="129"/>
      <c r="E374" s="62"/>
      <c r="F374" s="62"/>
      <c r="G374" s="62"/>
      <c r="H374" s="62"/>
      <c r="I374" s="62"/>
      <c r="J374" s="62"/>
      <c r="K374" s="62"/>
      <c r="L374" s="62"/>
      <c r="M374" s="62"/>
      <c r="N374" s="62"/>
      <c r="O374" s="62"/>
      <c r="P374" s="62"/>
    </row>
    <row r="375" spans="1:16" ht="25.5" customHeight="1">
      <c r="A375" s="55" t="s">
        <v>378</v>
      </c>
      <c r="B375" s="61"/>
      <c r="C375" s="61"/>
      <c r="D375" s="129"/>
      <c r="E375" s="62"/>
      <c r="F375" s="62"/>
      <c r="G375" s="62"/>
      <c r="H375" s="62">
        <f>H377*H379</f>
        <v>100000</v>
      </c>
      <c r="I375" s="62"/>
      <c r="J375" s="62">
        <f>H375</f>
        <v>100000</v>
      </c>
      <c r="K375" s="62"/>
      <c r="L375" s="62"/>
      <c r="M375" s="62"/>
      <c r="N375" s="62"/>
      <c r="O375" s="62">
        <v>1500000</v>
      </c>
      <c r="P375" s="62">
        <f>O375</f>
        <v>1500000</v>
      </c>
    </row>
    <row r="376" spans="1:16" ht="15.75" customHeight="1">
      <c r="A376" s="54" t="s">
        <v>5</v>
      </c>
      <c r="B376" s="61"/>
      <c r="C376" s="61"/>
      <c r="D376" s="129"/>
      <c r="E376" s="62"/>
      <c r="F376" s="62"/>
      <c r="G376" s="62"/>
      <c r="H376" s="62"/>
      <c r="I376" s="62"/>
      <c r="J376" s="62"/>
      <c r="K376" s="62"/>
      <c r="L376" s="62"/>
      <c r="M376" s="62"/>
      <c r="N376" s="62"/>
      <c r="O376" s="62"/>
      <c r="P376" s="62"/>
    </row>
    <row r="377" spans="1:16" ht="25.5" customHeight="1">
      <c r="A377" s="55" t="s">
        <v>173</v>
      </c>
      <c r="B377" s="61"/>
      <c r="C377" s="61"/>
      <c r="D377" s="129"/>
      <c r="E377" s="62"/>
      <c r="F377" s="62"/>
      <c r="G377" s="62"/>
      <c r="H377" s="62">
        <v>1</v>
      </c>
      <c r="I377" s="62"/>
      <c r="J377" s="62">
        <f>H377</f>
        <v>1</v>
      </c>
      <c r="K377" s="62"/>
      <c r="L377" s="62"/>
      <c r="M377" s="62"/>
      <c r="N377" s="62"/>
      <c r="O377" s="62">
        <v>16</v>
      </c>
      <c r="P377" s="62">
        <v>16</v>
      </c>
    </row>
    <row r="378" spans="1:16" ht="15.75" customHeight="1">
      <c r="A378" s="54" t="s">
        <v>7</v>
      </c>
      <c r="B378" s="61"/>
      <c r="C378" s="61"/>
      <c r="D378" s="129"/>
      <c r="E378" s="62"/>
      <c r="F378" s="62"/>
      <c r="G378" s="62"/>
      <c r="H378" s="62"/>
      <c r="I378" s="62"/>
      <c r="J378" s="62"/>
      <c r="K378" s="62"/>
      <c r="L378" s="62"/>
      <c r="M378" s="62"/>
      <c r="N378" s="62"/>
      <c r="O378" s="62"/>
      <c r="P378" s="62"/>
    </row>
    <row r="379" spans="1:16" ht="37.5" customHeight="1">
      <c r="A379" s="55" t="s">
        <v>379</v>
      </c>
      <c r="B379" s="61"/>
      <c r="C379" s="61"/>
      <c r="D379" s="129"/>
      <c r="E379" s="62"/>
      <c r="F379" s="62"/>
      <c r="G379" s="62"/>
      <c r="H379" s="62">
        <v>100000</v>
      </c>
      <c r="I379" s="62"/>
      <c r="J379" s="62">
        <f>H379</f>
        <v>100000</v>
      </c>
      <c r="K379" s="62"/>
      <c r="L379" s="62"/>
      <c r="M379" s="62"/>
      <c r="N379" s="62"/>
      <c r="O379" s="62">
        <f>300000*0.3</f>
        <v>90000</v>
      </c>
      <c r="P379" s="62">
        <f>300000*0.3</f>
        <v>90000</v>
      </c>
    </row>
    <row r="380" spans="1:235" s="85" customFormat="1" ht="16.5" customHeight="1">
      <c r="A380" s="108" t="s">
        <v>424</v>
      </c>
      <c r="B380" s="108"/>
      <c r="C380" s="108"/>
      <c r="D380" s="119">
        <f>D381+D382+D383</f>
        <v>1889680.002</v>
      </c>
      <c r="E380" s="119"/>
      <c r="F380" s="119">
        <f>F381+F382+F383</f>
        <v>1889680.002</v>
      </c>
      <c r="G380" s="119">
        <f aca="true" t="shared" si="36" ref="G380:N380">G381+G382+G383</f>
        <v>2339999.9981235997</v>
      </c>
      <c r="H380" s="119">
        <f t="shared" si="36"/>
        <v>0</v>
      </c>
      <c r="I380" s="119">
        <f t="shared" si="36"/>
        <v>0</v>
      </c>
      <c r="J380" s="119">
        <f t="shared" si="36"/>
        <v>2339999.9981235997</v>
      </c>
      <c r="K380" s="119" t="e">
        <f t="shared" si="36"/>
        <v>#REF!</v>
      </c>
      <c r="L380" s="119">
        <f t="shared" si="36"/>
        <v>0</v>
      </c>
      <c r="M380" s="119">
        <f t="shared" si="36"/>
        <v>0</v>
      </c>
      <c r="N380" s="119">
        <f t="shared" si="36"/>
        <v>2769409.9999869997</v>
      </c>
      <c r="O380" s="119">
        <f>O381+O382+O383</f>
        <v>0</v>
      </c>
      <c r="P380" s="119">
        <f>P381+P382+P383</f>
        <v>2769409.9999869997</v>
      </c>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c r="AN380" s="121"/>
      <c r="AO380" s="121"/>
      <c r="AP380" s="121"/>
      <c r="AQ380" s="121"/>
      <c r="AR380" s="121"/>
      <c r="AS380" s="121"/>
      <c r="AT380" s="121"/>
      <c r="AU380" s="121"/>
      <c r="AV380" s="121"/>
      <c r="AW380" s="121"/>
      <c r="AX380" s="121"/>
      <c r="AY380" s="121"/>
      <c r="AZ380" s="121"/>
      <c r="BA380" s="121"/>
      <c r="BB380" s="121"/>
      <c r="BC380" s="121"/>
      <c r="BD380" s="121"/>
      <c r="BE380" s="121"/>
      <c r="BF380" s="121"/>
      <c r="BG380" s="121"/>
      <c r="BH380" s="121"/>
      <c r="BI380" s="121"/>
      <c r="BJ380" s="121"/>
      <c r="BK380" s="121"/>
      <c r="BL380" s="121"/>
      <c r="BM380" s="121"/>
      <c r="BN380" s="121"/>
      <c r="BO380" s="121"/>
      <c r="BP380" s="121"/>
      <c r="BQ380" s="121"/>
      <c r="BR380" s="121"/>
      <c r="BS380" s="121"/>
      <c r="BT380" s="121"/>
      <c r="BU380" s="121"/>
      <c r="BV380" s="121"/>
      <c r="BW380" s="121"/>
      <c r="BX380" s="121"/>
      <c r="BY380" s="121"/>
      <c r="BZ380" s="121"/>
      <c r="CA380" s="121"/>
      <c r="CB380" s="121"/>
      <c r="CC380" s="121"/>
      <c r="CD380" s="121"/>
      <c r="CE380" s="121"/>
      <c r="CF380" s="121"/>
      <c r="CG380" s="121"/>
      <c r="CH380" s="121"/>
      <c r="CI380" s="121"/>
      <c r="CJ380" s="121"/>
      <c r="CK380" s="121"/>
      <c r="CL380" s="121"/>
      <c r="CM380" s="121"/>
      <c r="CN380" s="121"/>
      <c r="CO380" s="121"/>
      <c r="CP380" s="121"/>
      <c r="CQ380" s="121"/>
      <c r="CR380" s="121"/>
      <c r="CS380" s="121"/>
      <c r="CT380" s="121"/>
      <c r="CU380" s="121"/>
      <c r="CV380" s="121"/>
      <c r="CW380" s="121"/>
      <c r="CX380" s="121"/>
      <c r="CY380" s="121"/>
      <c r="CZ380" s="121"/>
      <c r="DA380" s="121"/>
      <c r="DB380" s="121"/>
      <c r="DC380" s="121"/>
      <c r="DD380" s="121"/>
      <c r="DE380" s="121"/>
      <c r="DF380" s="121"/>
      <c r="DG380" s="121"/>
      <c r="DH380" s="121"/>
      <c r="DI380" s="121"/>
      <c r="DJ380" s="121"/>
      <c r="DK380" s="121"/>
      <c r="DL380" s="121"/>
      <c r="DM380" s="121"/>
      <c r="DN380" s="121"/>
      <c r="DO380" s="121"/>
      <c r="DP380" s="121"/>
      <c r="DQ380" s="121"/>
      <c r="DR380" s="121"/>
      <c r="DS380" s="121"/>
      <c r="DT380" s="121"/>
      <c r="DU380" s="121"/>
      <c r="DV380" s="121"/>
      <c r="DW380" s="121"/>
      <c r="DX380" s="121"/>
      <c r="DY380" s="121"/>
      <c r="DZ380" s="121"/>
      <c r="EA380" s="121"/>
      <c r="EB380" s="121"/>
      <c r="EC380" s="121"/>
      <c r="ED380" s="121"/>
      <c r="EE380" s="121"/>
      <c r="EF380" s="121"/>
      <c r="EG380" s="121"/>
      <c r="EH380" s="121"/>
      <c r="EI380" s="121"/>
      <c r="EJ380" s="121"/>
      <c r="EK380" s="121"/>
      <c r="EL380" s="121"/>
      <c r="EM380" s="121"/>
      <c r="EN380" s="121"/>
      <c r="EO380" s="121"/>
      <c r="EP380" s="121"/>
      <c r="EQ380" s="121"/>
      <c r="ER380" s="121"/>
      <c r="ES380" s="121"/>
      <c r="ET380" s="121"/>
      <c r="EU380" s="121"/>
      <c r="EV380" s="121"/>
      <c r="EW380" s="121"/>
      <c r="EX380" s="121"/>
      <c r="EY380" s="121"/>
      <c r="EZ380" s="121"/>
      <c r="FA380" s="121"/>
      <c r="FB380" s="121"/>
      <c r="FC380" s="121"/>
      <c r="FD380" s="121"/>
      <c r="FE380" s="121"/>
      <c r="FF380" s="121"/>
      <c r="FG380" s="121"/>
      <c r="FH380" s="121"/>
      <c r="FI380" s="121"/>
      <c r="FJ380" s="121"/>
      <c r="FK380" s="121"/>
      <c r="FL380" s="121"/>
      <c r="FM380" s="121"/>
      <c r="FN380" s="121"/>
      <c r="FO380" s="121"/>
      <c r="FP380" s="121"/>
      <c r="FQ380" s="121"/>
      <c r="FR380" s="121"/>
      <c r="FS380" s="121"/>
      <c r="FT380" s="121"/>
      <c r="FU380" s="121"/>
      <c r="FV380" s="121"/>
      <c r="FW380" s="121"/>
      <c r="FX380" s="121"/>
      <c r="FY380" s="121"/>
      <c r="FZ380" s="121"/>
      <c r="GA380" s="121"/>
      <c r="GB380" s="121"/>
      <c r="GC380" s="121"/>
      <c r="GD380" s="121"/>
      <c r="GE380" s="121"/>
      <c r="GF380" s="121"/>
      <c r="GG380" s="121"/>
      <c r="GH380" s="121"/>
      <c r="GI380" s="121"/>
      <c r="GJ380" s="121"/>
      <c r="GK380" s="121"/>
      <c r="GL380" s="121"/>
      <c r="GM380" s="121"/>
      <c r="GN380" s="121"/>
      <c r="GO380" s="121"/>
      <c r="GP380" s="121"/>
      <c r="GQ380" s="121"/>
      <c r="GR380" s="121"/>
      <c r="GS380" s="121"/>
      <c r="GT380" s="121"/>
      <c r="GU380" s="121"/>
      <c r="GV380" s="121"/>
      <c r="GW380" s="121"/>
      <c r="GX380" s="121"/>
      <c r="GY380" s="121"/>
      <c r="GZ380" s="121"/>
      <c r="HA380" s="121"/>
      <c r="HB380" s="121"/>
      <c r="HC380" s="121"/>
      <c r="HD380" s="121"/>
      <c r="HE380" s="121"/>
      <c r="HF380" s="121"/>
      <c r="HG380" s="121"/>
      <c r="HH380" s="121"/>
      <c r="HI380" s="121"/>
      <c r="HJ380" s="121"/>
      <c r="HK380" s="121"/>
      <c r="HL380" s="121"/>
      <c r="HM380" s="121"/>
      <c r="HN380" s="121"/>
      <c r="HO380" s="121"/>
      <c r="HP380" s="121"/>
      <c r="HQ380" s="121"/>
      <c r="HR380" s="121"/>
      <c r="HS380" s="121"/>
      <c r="HT380" s="121"/>
      <c r="HU380" s="121"/>
      <c r="HV380" s="121"/>
      <c r="HW380" s="121"/>
      <c r="HX380" s="121"/>
      <c r="HY380" s="121"/>
      <c r="HZ380" s="121"/>
      <c r="IA380" s="121"/>
    </row>
    <row r="381" spans="1:235" s="85" customFormat="1" ht="13.5" customHeight="1">
      <c r="A381" s="108" t="s">
        <v>86</v>
      </c>
      <c r="B381" s="108"/>
      <c r="C381" s="108"/>
      <c r="D381" s="119">
        <f>D385+D392+D437+D451</f>
        <v>1536000.002</v>
      </c>
      <c r="E381" s="119"/>
      <c r="F381" s="119">
        <f>F385+F392+F437+F451</f>
        <v>1536000.002</v>
      </c>
      <c r="G381" s="119">
        <f>G385+G392+G442+G451+G437</f>
        <v>2119999.9981255997</v>
      </c>
      <c r="H381" s="119">
        <f aca="true" t="shared" si="37" ref="H381:M381">H385+H392</f>
        <v>0</v>
      </c>
      <c r="I381" s="119">
        <f>I385+I392</f>
        <v>0</v>
      </c>
      <c r="J381" s="119">
        <f>J385+J392+J442+J451+J437</f>
        <v>2119999.9981255997</v>
      </c>
      <c r="K381" s="119" t="e">
        <f t="shared" si="37"/>
        <v>#REF!</v>
      </c>
      <c r="L381" s="119">
        <f t="shared" si="37"/>
        <v>0</v>
      </c>
      <c r="M381" s="119">
        <f t="shared" si="37"/>
        <v>0</v>
      </c>
      <c r="N381" s="119">
        <f>N385+N392+N442+N451+N437</f>
        <v>2470199.9999869997</v>
      </c>
      <c r="O381" s="119">
        <f>O385+O392</f>
        <v>0</v>
      </c>
      <c r="P381" s="119">
        <f>N381+O381</f>
        <v>2470199.9999869997</v>
      </c>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c r="AN381" s="121"/>
      <c r="AO381" s="121"/>
      <c r="AP381" s="121"/>
      <c r="AQ381" s="121"/>
      <c r="AR381" s="121"/>
      <c r="AS381" s="121"/>
      <c r="AT381" s="121"/>
      <c r="AU381" s="121"/>
      <c r="AV381" s="121"/>
      <c r="AW381" s="121"/>
      <c r="AX381" s="121"/>
      <c r="AY381" s="121"/>
      <c r="AZ381" s="121"/>
      <c r="BA381" s="121"/>
      <c r="BB381" s="121"/>
      <c r="BC381" s="121"/>
      <c r="BD381" s="121"/>
      <c r="BE381" s="121"/>
      <c r="BF381" s="121"/>
      <c r="BG381" s="121"/>
      <c r="BH381" s="121"/>
      <c r="BI381" s="121"/>
      <c r="BJ381" s="121"/>
      <c r="BK381" s="121"/>
      <c r="BL381" s="121"/>
      <c r="BM381" s="121"/>
      <c r="BN381" s="121"/>
      <c r="BO381" s="121"/>
      <c r="BP381" s="121"/>
      <c r="BQ381" s="121"/>
      <c r="BR381" s="121"/>
      <c r="BS381" s="121"/>
      <c r="BT381" s="121"/>
      <c r="BU381" s="121"/>
      <c r="BV381" s="121"/>
      <c r="BW381" s="121"/>
      <c r="BX381" s="121"/>
      <c r="BY381" s="121"/>
      <c r="BZ381" s="121"/>
      <c r="CA381" s="121"/>
      <c r="CB381" s="121"/>
      <c r="CC381" s="121"/>
      <c r="CD381" s="121"/>
      <c r="CE381" s="121"/>
      <c r="CF381" s="121"/>
      <c r="CG381" s="121"/>
      <c r="CH381" s="121"/>
      <c r="CI381" s="121"/>
      <c r="CJ381" s="121"/>
      <c r="CK381" s="121"/>
      <c r="CL381" s="121"/>
      <c r="CM381" s="121"/>
      <c r="CN381" s="121"/>
      <c r="CO381" s="121"/>
      <c r="CP381" s="121"/>
      <c r="CQ381" s="121"/>
      <c r="CR381" s="121"/>
      <c r="CS381" s="121"/>
      <c r="CT381" s="121"/>
      <c r="CU381" s="121"/>
      <c r="CV381" s="121"/>
      <c r="CW381" s="121"/>
      <c r="CX381" s="121"/>
      <c r="CY381" s="121"/>
      <c r="CZ381" s="121"/>
      <c r="DA381" s="121"/>
      <c r="DB381" s="121"/>
      <c r="DC381" s="121"/>
      <c r="DD381" s="121"/>
      <c r="DE381" s="121"/>
      <c r="DF381" s="121"/>
      <c r="DG381" s="121"/>
      <c r="DH381" s="121"/>
      <c r="DI381" s="121"/>
      <c r="DJ381" s="121"/>
      <c r="DK381" s="121"/>
      <c r="DL381" s="121"/>
      <c r="DM381" s="121"/>
      <c r="DN381" s="121"/>
      <c r="DO381" s="121"/>
      <c r="DP381" s="121"/>
      <c r="DQ381" s="121"/>
      <c r="DR381" s="121"/>
      <c r="DS381" s="121"/>
      <c r="DT381" s="121"/>
      <c r="DU381" s="121"/>
      <c r="DV381" s="121"/>
      <c r="DW381" s="121"/>
      <c r="DX381" s="121"/>
      <c r="DY381" s="121"/>
      <c r="DZ381" s="121"/>
      <c r="EA381" s="121"/>
      <c r="EB381" s="121"/>
      <c r="EC381" s="121"/>
      <c r="ED381" s="121"/>
      <c r="EE381" s="121"/>
      <c r="EF381" s="121"/>
      <c r="EG381" s="121"/>
      <c r="EH381" s="121"/>
      <c r="EI381" s="121"/>
      <c r="EJ381" s="121"/>
      <c r="EK381" s="121"/>
      <c r="EL381" s="121"/>
      <c r="EM381" s="121"/>
      <c r="EN381" s="121"/>
      <c r="EO381" s="121"/>
      <c r="EP381" s="121"/>
      <c r="EQ381" s="121"/>
      <c r="ER381" s="121"/>
      <c r="ES381" s="121"/>
      <c r="ET381" s="121"/>
      <c r="EU381" s="121"/>
      <c r="EV381" s="121"/>
      <c r="EW381" s="121"/>
      <c r="EX381" s="121"/>
      <c r="EY381" s="121"/>
      <c r="EZ381" s="121"/>
      <c r="FA381" s="121"/>
      <c r="FB381" s="121"/>
      <c r="FC381" s="121"/>
      <c r="FD381" s="121"/>
      <c r="FE381" s="121"/>
      <c r="FF381" s="121"/>
      <c r="FG381" s="121"/>
      <c r="FH381" s="121"/>
      <c r="FI381" s="121"/>
      <c r="FJ381" s="121"/>
      <c r="FK381" s="121"/>
      <c r="FL381" s="121"/>
      <c r="FM381" s="121"/>
      <c r="FN381" s="121"/>
      <c r="FO381" s="121"/>
      <c r="FP381" s="121"/>
      <c r="FQ381" s="121"/>
      <c r="FR381" s="121"/>
      <c r="FS381" s="121"/>
      <c r="FT381" s="121"/>
      <c r="FU381" s="121"/>
      <c r="FV381" s="121"/>
      <c r="FW381" s="121"/>
      <c r="FX381" s="121"/>
      <c r="FY381" s="121"/>
      <c r="FZ381" s="121"/>
      <c r="GA381" s="121"/>
      <c r="GB381" s="121"/>
      <c r="GC381" s="121"/>
      <c r="GD381" s="121"/>
      <c r="GE381" s="121"/>
      <c r="GF381" s="121"/>
      <c r="GG381" s="121"/>
      <c r="GH381" s="121"/>
      <c r="GI381" s="121"/>
      <c r="GJ381" s="121"/>
      <c r="GK381" s="121"/>
      <c r="GL381" s="121"/>
      <c r="GM381" s="121"/>
      <c r="GN381" s="121"/>
      <c r="GO381" s="121"/>
      <c r="GP381" s="121"/>
      <c r="GQ381" s="121"/>
      <c r="GR381" s="121"/>
      <c r="GS381" s="121"/>
      <c r="GT381" s="121"/>
      <c r="GU381" s="121"/>
      <c r="GV381" s="121"/>
      <c r="GW381" s="121"/>
      <c r="GX381" s="121"/>
      <c r="GY381" s="121"/>
      <c r="GZ381" s="121"/>
      <c r="HA381" s="121"/>
      <c r="HB381" s="121"/>
      <c r="HC381" s="121"/>
      <c r="HD381" s="121"/>
      <c r="HE381" s="121"/>
      <c r="HF381" s="121"/>
      <c r="HG381" s="121"/>
      <c r="HH381" s="121"/>
      <c r="HI381" s="121"/>
      <c r="HJ381" s="121"/>
      <c r="HK381" s="121"/>
      <c r="HL381" s="121"/>
      <c r="HM381" s="121"/>
      <c r="HN381" s="121"/>
      <c r="HO381" s="121"/>
      <c r="HP381" s="121"/>
      <c r="HQ381" s="121"/>
      <c r="HR381" s="121"/>
      <c r="HS381" s="121"/>
      <c r="HT381" s="121"/>
      <c r="HU381" s="121"/>
      <c r="HV381" s="121"/>
      <c r="HW381" s="121"/>
      <c r="HX381" s="121"/>
      <c r="HY381" s="121"/>
      <c r="HZ381" s="121"/>
      <c r="IA381" s="121"/>
    </row>
    <row r="382" spans="1:235" s="85" customFormat="1" ht="12.75">
      <c r="A382" s="124" t="s">
        <v>334</v>
      </c>
      <c r="B382" s="108"/>
      <c r="C382" s="108"/>
      <c r="D382" s="119">
        <f>D401+D415</f>
        <v>353680</v>
      </c>
      <c r="E382" s="119">
        <f aca="true" t="shared" si="38" ref="E382:P382">E401+E415</f>
        <v>0</v>
      </c>
      <c r="F382" s="119">
        <f t="shared" si="38"/>
        <v>353680</v>
      </c>
      <c r="G382" s="119">
        <f t="shared" si="38"/>
        <v>0</v>
      </c>
      <c r="H382" s="119">
        <f t="shared" si="38"/>
        <v>0</v>
      </c>
      <c r="I382" s="119">
        <f t="shared" si="38"/>
        <v>0</v>
      </c>
      <c r="J382" s="119">
        <f t="shared" si="38"/>
        <v>0</v>
      </c>
      <c r="K382" s="119">
        <f t="shared" si="38"/>
        <v>0</v>
      </c>
      <c r="L382" s="119">
        <f t="shared" si="38"/>
        <v>0</v>
      </c>
      <c r="M382" s="119">
        <f t="shared" si="38"/>
        <v>0</v>
      </c>
      <c r="N382" s="119">
        <f t="shared" si="38"/>
        <v>0</v>
      </c>
      <c r="O382" s="119">
        <f>O401+O415</f>
        <v>0</v>
      </c>
      <c r="P382" s="119">
        <f t="shared" si="38"/>
        <v>0</v>
      </c>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c r="AN382" s="121"/>
      <c r="AO382" s="121"/>
      <c r="AP382" s="121"/>
      <c r="AQ382" s="121"/>
      <c r="AR382" s="121"/>
      <c r="AS382" s="121"/>
      <c r="AT382" s="121"/>
      <c r="AU382" s="121"/>
      <c r="AV382" s="121"/>
      <c r="AW382" s="121"/>
      <c r="AX382" s="121"/>
      <c r="AY382" s="121"/>
      <c r="AZ382" s="121"/>
      <c r="BA382" s="121"/>
      <c r="BB382" s="121"/>
      <c r="BC382" s="121"/>
      <c r="BD382" s="121"/>
      <c r="BE382" s="121"/>
      <c r="BF382" s="121"/>
      <c r="BG382" s="121"/>
      <c r="BH382" s="121"/>
      <c r="BI382" s="121"/>
      <c r="BJ382" s="121"/>
      <c r="BK382" s="121"/>
      <c r="BL382" s="121"/>
      <c r="BM382" s="121"/>
      <c r="BN382" s="121"/>
      <c r="BO382" s="121"/>
      <c r="BP382" s="121"/>
      <c r="BQ382" s="121"/>
      <c r="BR382" s="121"/>
      <c r="BS382" s="121"/>
      <c r="BT382" s="121"/>
      <c r="BU382" s="121"/>
      <c r="BV382" s="121"/>
      <c r="BW382" s="121"/>
      <c r="BX382" s="121"/>
      <c r="BY382" s="121"/>
      <c r="BZ382" s="121"/>
      <c r="CA382" s="121"/>
      <c r="CB382" s="121"/>
      <c r="CC382" s="121"/>
      <c r="CD382" s="121"/>
      <c r="CE382" s="121"/>
      <c r="CF382" s="121"/>
      <c r="CG382" s="121"/>
      <c r="CH382" s="121"/>
      <c r="CI382" s="121"/>
      <c r="CJ382" s="121"/>
      <c r="CK382" s="121"/>
      <c r="CL382" s="121"/>
      <c r="CM382" s="121"/>
      <c r="CN382" s="121"/>
      <c r="CO382" s="121"/>
      <c r="CP382" s="121"/>
      <c r="CQ382" s="121"/>
      <c r="CR382" s="121"/>
      <c r="CS382" s="121"/>
      <c r="CT382" s="121"/>
      <c r="CU382" s="121"/>
      <c r="CV382" s="121"/>
      <c r="CW382" s="121"/>
      <c r="CX382" s="121"/>
      <c r="CY382" s="121"/>
      <c r="CZ382" s="121"/>
      <c r="DA382" s="121"/>
      <c r="DB382" s="121"/>
      <c r="DC382" s="121"/>
      <c r="DD382" s="121"/>
      <c r="DE382" s="121"/>
      <c r="DF382" s="121"/>
      <c r="DG382" s="121"/>
      <c r="DH382" s="121"/>
      <c r="DI382" s="121"/>
      <c r="DJ382" s="121"/>
      <c r="DK382" s="121"/>
      <c r="DL382" s="121"/>
      <c r="DM382" s="121"/>
      <c r="DN382" s="121"/>
      <c r="DO382" s="121"/>
      <c r="DP382" s="121"/>
      <c r="DQ382" s="121"/>
      <c r="DR382" s="121"/>
      <c r="DS382" s="121"/>
      <c r="DT382" s="121"/>
      <c r="DU382" s="121"/>
      <c r="DV382" s="121"/>
      <c r="DW382" s="121"/>
      <c r="DX382" s="121"/>
      <c r="DY382" s="121"/>
      <c r="DZ382" s="121"/>
      <c r="EA382" s="121"/>
      <c r="EB382" s="121"/>
      <c r="EC382" s="121"/>
      <c r="ED382" s="121"/>
      <c r="EE382" s="121"/>
      <c r="EF382" s="121"/>
      <c r="EG382" s="121"/>
      <c r="EH382" s="121"/>
      <c r="EI382" s="121"/>
      <c r="EJ382" s="121"/>
      <c r="EK382" s="121"/>
      <c r="EL382" s="121"/>
      <c r="EM382" s="121"/>
      <c r="EN382" s="121"/>
      <c r="EO382" s="121"/>
      <c r="EP382" s="121"/>
      <c r="EQ382" s="121"/>
      <c r="ER382" s="121"/>
      <c r="ES382" s="121"/>
      <c r="ET382" s="121"/>
      <c r="EU382" s="121"/>
      <c r="EV382" s="121"/>
      <c r="EW382" s="121"/>
      <c r="EX382" s="121"/>
      <c r="EY382" s="121"/>
      <c r="EZ382" s="121"/>
      <c r="FA382" s="121"/>
      <c r="FB382" s="121"/>
      <c r="FC382" s="121"/>
      <c r="FD382" s="121"/>
      <c r="FE382" s="121"/>
      <c r="FF382" s="121"/>
      <c r="FG382" s="121"/>
      <c r="FH382" s="121"/>
      <c r="FI382" s="121"/>
      <c r="FJ382" s="121"/>
      <c r="FK382" s="121"/>
      <c r="FL382" s="121"/>
      <c r="FM382" s="121"/>
      <c r="FN382" s="121"/>
      <c r="FO382" s="121"/>
      <c r="FP382" s="121"/>
      <c r="FQ382" s="121"/>
      <c r="FR382" s="121"/>
      <c r="FS382" s="121"/>
      <c r="FT382" s="121"/>
      <c r="FU382" s="121"/>
      <c r="FV382" s="121"/>
      <c r="FW382" s="121"/>
      <c r="FX382" s="121"/>
      <c r="FY382" s="121"/>
      <c r="FZ382" s="121"/>
      <c r="GA382" s="121"/>
      <c r="GB382" s="121"/>
      <c r="GC382" s="121"/>
      <c r="GD382" s="121"/>
      <c r="GE382" s="121"/>
      <c r="GF382" s="121"/>
      <c r="GG382" s="121"/>
      <c r="GH382" s="121"/>
      <c r="GI382" s="121"/>
      <c r="GJ382" s="121"/>
      <c r="GK382" s="121"/>
      <c r="GL382" s="121"/>
      <c r="GM382" s="121"/>
      <c r="GN382" s="121"/>
      <c r="GO382" s="121"/>
      <c r="GP382" s="121"/>
      <c r="GQ382" s="121"/>
      <c r="GR382" s="121"/>
      <c r="GS382" s="121"/>
      <c r="GT382" s="121"/>
      <c r="GU382" s="121"/>
      <c r="GV382" s="121"/>
      <c r="GW382" s="121"/>
      <c r="GX382" s="121"/>
      <c r="GY382" s="121"/>
      <c r="GZ382" s="121"/>
      <c r="HA382" s="121"/>
      <c r="HB382" s="121"/>
      <c r="HC382" s="121"/>
      <c r="HD382" s="121"/>
      <c r="HE382" s="121"/>
      <c r="HF382" s="121"/>
      <c r="HG382" s="121"/>
      <c r="HH382" s="121"/>
      <c r="HI382" s="121"/>
      <c r="HJ382" s="121"/>
      <c r="HK382" s="121"/>
      <c r="HL382" s="121"/>
      <c r="HM382" s="121"/>
      <c r="HN382" s="121"/>
      <c r="HO382" s="121"/>
      <c r="HP382" s="121"/>
      <c r="HQ382" s="121"/>
      <c r="HR382" s="121"/>
      <c r="HS382" s="121"/>
      <c r="HT382" s="121"/>
      <c r="HU382" s="121"/>
      <c r="HV382" s="121"/>
      <c r="HW382" s="121"/>
      <c r="HX382" s="121"/>
      <c r="HY382" s="121"/>
      <c r="HZ382" s="121"/>
      <c r="IA382" s="121"/>
    </row>
    <row r="383" spans="1:235" s="85" customFormat="1" ht="12.75">
      <c r="A383" s="124" t="s">
        <v>335</v>
      </c>
      <c r="B383" s="108"/>
      <c r="C383" s="108"/>
      <c r="D383" s="119">
        <f>D408+D426</f>
        <v>0</v>
      </c>
      <c r="E383" s="119">
        <f aca="true" t="shared" si="39" ref="E383:P383">E408+E426</f>
        <v>0</v>
      </c>
      <c r="F383" s="119">
        <f t="shared" si="39"/>
        <v>0</v>
      </c>
      <c r="G383" s="119">
        <f>G408+G426</f>
        <v>219999.99999799998</v>
      </c>
      <c r="H383" s="119">
        <f t="shared" si="39"/>
        <v>0</v>
      </c>
      <c r="I383" s="119">
        <f t="shared" si="39"/>
        <v>0</v>
      </c>
      <c r="J383" s="119">
        <f t="shared" si="39"/>
        <v>219999.99999799998</v>
      </c>
      <c r="K383" s="119">
        <f t="shared" si="39"/>
        <v>0</v>
      </c>
      <c r="L383" s="119">
        <f t="shared" si="39"/>
        <v>0</v>
      </c>
      <c r="M383" s="119">
        <f t="shared" si="39"/>
        <v>0</v>
      </c>
      <c r="N383" s="119">
        <f t="shared" si="39"/>
        <v>299210</v>
      </c>
      <c r="O383" s="119">
        <f>O408+O426</f>
        <v>0</v>
      </c>
      <c r="P383" s="119">
        <f t="shared" si="39"/>
        <v>299210</v>
      </c>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c r="AN383" s="121"/>
      <c r="AO383" s="121"/>
      <c r="AP383" s="121"/>
      <c r="AQ383" s="121"/>
      <c r="AR383" s="121"/>
      <c r="AS383" s="121"/>
      <c r="AT383" s="121"/>
      <c r="AU383" s="121"/>
      <c r="AV383" s="121"/>
      <c r="AW383" s="121"/>
      <c r="AX383" s="121"/>
      <c r="AY383" s="121"/>
      <c r="AZ383" s="121"/>
      <c r="BA383" s="121"/>
      <c r="BB383" s="121"/>
      <c r="BC383" s="121"/>
      <c r="BD383" s="121"/>
      <c r="BE383" s="121"/>
      <c r="BF383" s="121"/>
      <c r="BG383" s="121"/>
      <c r="BH383" s="121"/>
      <c r="BI383" s="121"/>
      <c r="BJ383" s="121"/>
      <c r="BK383" s="121"/>
      <c r="BL383" s="121"/>
      <c r="BM383" s="121"/>
      <c r="BN383" s="121"/>
      <c r="BO383" s="121"/>
      <c r="BP383" s="121"/>
      <c r="BQ383" s="121"/>
      <c r="BR383" s="121"/>
      <c r="BS383" s="121"/>
      <c r="BT383" s="121"/>
      <c r="BU383" s="121"/>
      <c r="BV383" s="121"/>
      <c r="BW383" s="121"/>
      <c r="BX383" s="121"/>
      <c r="BY383" s="121"/>
      <c r="BZ383" s="121"/>
      <c r="CA383" s="121"/>
      <c r="CB383" s="121"/>
      <c r="CC383" s="121"/>
      <c r="CD383" s="121"/>
      <c r="CE383" s="121"/>
      <c r="CF383" s="121"/>
      <c r="CG383" s="121"/>
      <c r="CH383" s="121"/>
      <c r="CI383" s="121"/>
      <c r="CJ383" s="121"/>
      <c r="CK383" s="121"/>
      <c r="CL383" s="121"/>
      <c r="CM383" s="121"/>
      <c r="CN383" s="121"/>
      <c r="CO383" s="121"/>
      <c r="CP383" s="121"/>
      <c r="CQ383" s="121"/>
      <c r="CR383" s="121"/>
      <c r="CS383" s="121"/>
      <c r="CT383" s="121"/>
      <c r="CU383" s="121"/>
      <c r="CV383" s="121"/>
      <c r="CW383" s="121"/>
      <c r="CX383" s="121"/>
      <c r="CY383" s="121"/>
      <c r="CZ383" s="121"/>
      <c r="DA383" s="121"/>
      <c r="DB383" s="121"/>
      <c r="DC383" s="121"/>
      <c r="DD383" s="121"/>
      <c r="DE383" s="121"/>
      <c r="DF383" s="121"/>
      <c r="DG383" s="121"/>
      <c r="DH383" s="121"/>
      <c r="DI383" s="121"/>
      <c r="DJ383" s="121"/>
      <c r="DK383" s="121"/>
      <c r="DL383" s="121"/>
      <c r="DM383" s="121"/>
      <c r="DN383" s="121"/>
      <c r="DO383" s="121"/>
      <c r="DP383" s="121"/>
      <c r="DQ383" s="121"/>
      <c r="DR383" s="121"/>
      <c r="DS383" s="121"/>
      <c r="DT383" s="121"/>
      <c r="DU383" s="121"/>
      <c r="DV383" s="121"/>
      <c r="DW383" s="121"/>
      <c r="DX383" s="121"/>
      <c r="DY383" s="121"/>
      <c r="DZ383" s="121"/>
      <c r="EA383" s="121"/>
      <c r="EB383" s="121"/>
      <c r="EC383" s="121"/>
      <c r="ED383" s="121"/>
      <c r="EE383" s="121"/>
      <c r="EF383" s="121"/>
      <c r="EG383" s="121"/>
      <c r="EH383" s="121"/>
      <c r="EI383" s="121"/>
      <c r="EJ383" s="121"/>
      <c r="EK383" s="121"/>
      <c r="EL383" s="121"/>
      <c r="EM383" s="121"/>
      <c r="EN383" s="121"/>
      <c r="EO383" s="121"/>
      <c r="EP383" s="121"/>
      <c r="EQ383" s="121"/>
      <c r="ER383" s="121"/>
      <c r="ES383" s="121"/>
      <c r="ET383" s="121"/>
      <c r="EU383" s="121"/>
      <c r="EV383" s="121"/>
      <c r="EW383" s="121"/>
      <c r="EX383" s="121"/>
      <c r="EY383" s="121"/>
      <c r="EZ383" s="121"/>
      <c r="FA383" s="121"/>
      <c r="FB383" s="121"/>
      <c r="FC383" s="121"/>
      <c r="FD383" s="121"/>
      <c r="FE383" s="121"/>
      <c r="FF383" s="121"/>
      <c r="FG383" s="121"/>
      <c r="FH383" s="121"/>
      <c r="FI383" s="121"/>
      <c r="FJ383" s="121"/>
      <c r="FK383" s="121"/>
      <c r="FL383" s="121"/>
      <c r="FM383" s="121"/>
      <c r="FN383" s="121"/>
      <c r="FO383" s="121"/>
      <c r="FP383" s="121"/>
      <c r="FQ383" s="121"/>
      <c r="FR383" s="121"/>
      <c r="FS383" s="121"/>
      <c r="FT383" s="121"/>
      <c r="FU383" s="121"/>
      <c r="FV383" s="121"/>
      <c r="FW383" s="121"/>
      <c r="FX383" s="121"/>
      <c r="FY383" s="121"/>
      <c r="FZ383" s="121"/>
      <c r="GA383" s="121"/>
      <c r="GB383" s="121"/>
      <c r="GC383" s="121"/>
      <c r="GD383" s="121"/>
      <c r="GE383" s="121"/>
      <c r="GF383" s="121"/>
      <c r="GG383" s="121"/>
      <c r="GH383" s="121"/>
      <c r="GI383" s="121"/>
      <c r="GJ383" s="121"/>
      <c r="GK383" s="121"/>
      <c r="GL383" s="121"/>
      <c r="GM383" s="121"/>
      <c r="GN383" s="121"/>
      <c r="GO383" s="121"/>
      <c r="GP383" s="121"/>
      <c r="GQ383" s="121"/>
      <c r="GR383" s="121"/>
      <c r="GS383" s="121"/>
      <c r="GT383" s="121"/>
      <c r="GU383" s="121"/>
      <c r="GV383" s="121"/>
      <c r="GW383" s="121"/>
      <c r="GX383" s="121"/>
      <c r="GY383" s="121"/>
      <c r="GZ383" s="121"/>
      <c r="HA383" s="121"/>
      <c r="HB383" s="121"/>
      <c r="HC383" s="121"/>
      <c r="HD383" s="121"/>
      <c r="HE383" s="121"/>
      <c r="HF383" s="121"/>
      <c r="HG383" s="121"/>
      <c r="HH383" s="121"/>
      <c r="HI383" s="121"/>
      <c r="HJ383" s="121"/>
      <c r="HK383" s="121"/>
      <c r="HL383" s="121"/>
      <c r="HM383" s="121"/>
      <c r="HN383" s="121"/>
      <c r="HO383" s="121"/>
      <c r="HP383" s="121"/>
      <c r="HQ383" s="121"/>
      <c r="HR383" s="121"/>
      <c r="HS383" s="121"/>
      <c r="HT383" s="121"/>
      <c r="HU383" s="121"/>
      <c r="HV383" s="121"/>
      <c r="HW383" s="121"/>
      <c r="HX383" s="121"/>
      <c r="HY383" s="121"/>
      <c r="HZ383" s="121"/>
      <c r="IA383" s="121"/>
    </row>
    <row r="384" spans="1:16" ht="36" customHeight="1">
      <c r="A384" s="21" t="s">
        <v>193</v>
      </c>
      <c r="B384" s="7"/>
      <c r="C384" s="7"/>
      <c r="D384" s="13"/>
      <c r="E384" s="13"/>
      <c r="F384" s="13"/>
      <c r="G384" s="13"/>
      <c r="H384" s="13"/>
      <c r="I384" s="13"/>
      <c r="J384" s="13"/>
      <c r="K384" s="17"/>
      <c r="L384" s="10"/>
      <c r="M384" s="10"/>
      <c r="N384" s="13"/>
      <c r="O384" s="13"/>
      <c r="P384" s="13"/>
    </row>
    <row r="385" spans="1:235" s="92" customFormat="1" ht="22.5">
      <c r="A385" s="82" t="s">
        <v>364</v>
      </c>
      <c r="B385" s="88"/>
      <c r="C385" s="88"/>
      <c r="D385" s="89">
        <f>D387</f>
        <v>1385000</v>
      </c>
      <c r="E385" s="89"/>
      <c r="F385" s="89">
        <f>D385</f>
        <v>1385000</v>
      </c>
      <c r="G385" s="89">
        <f>G389*G391</f>
        <v>1659999.999996</v>
      </c>
      <c r="H385" s="89"/>
      <c r="I385" s="89"/>
      <c r="J385" s="89">
        <f>G385</f>
        <v>1659999.999996</v>
      </c>
      <c r="K385" s="89"/>
      <c r="L385" s="89"/>
      <c r="M385" s="89"/>
      <c r="N385" s="89">
        <f>N389*N391</f>
        <v>1989999.999999</v>
      </c>
      <c r="O385" s="89"/>
      <c r="P385" s="89">
        <f>N385</f>
        <v>1989999.999999</v>
      </c>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c r="AO385" s="91"/>
      <c r="AP385" s="91"/>
      <c r="AQ385" s="91"/>
      <c r="AR385" s="91"/>
      <c r="AS385" s="91"/>
      <c r="AT385" s="91"/>
      <c r="AU385" s="91"/>
      <c r="AV385" s="91"/>
      <c r="AW385" s="91"/>
      <c r="AX385" s="91"/>
      <c r="AY385" s="91"/>
      <c r="AZ385" s="91"/>
      <c r="BA385" s="91"/>
      <c r="BB385" s="91"/>
      <c r="BC385" s="91"/>
      <c r="BD385" s="91"/>
      <c r="BE385" s="91"/>
      <c r="BF385" s="91"/>
      <c r="BG385" s="91"/>
      <c r="BH385" s="91"/>
      <c r="BI385" s="91"/>
      <c r="BJ385" s="91"/>
      <c r="BK385" s="91"/>
      <c r="BL385" s="91"/>
      <c r="BM385" s="91"/>
      <c r="BN385" s="91"/>
      <c r="BO385" s="91"/>
      <c r="BP385" s="91"/>
      <c r="BQ385" s="91"/>
      <c r="BR385" s="91"/>
      <c r="BS385" s="91"/>
      <c r="BT385" s="91"/>
      <c r="BU385" s="91"/>
      <c r="BV385" s="91"/>
      <c r="BW385" s="91"/>
      <c r="BX385" s="91"/>
      <c r="BY385" s="91"/>
      <c r="BZ385" s="91"/>
      <c r="CA385" s="91"/>
      <c r="CB385" s="91"/>
      <c r="CC385" s="91"/>
      <c r="CD385" s="91"/>
      <c r="CE385" s="91"/>
      <c r="CF385" s="91"/>
      <c r="CG385" s="91"/>
      <c r="CH385" s="91"/>
      <c r="CI385" s="91"/>
      <c r="CJ385" s="91"/>
      <c r="CK385" s="91"/>
      <c r="CL385" s="91"/>
      <c r="CM385" s="91"/>
      <c r="CN385" s="91"/>
      <c r="CO385" s="91"/>
      <c r="CP385" s="91"/>
      <c r="CQ385" s="91"/>
      <c r="CR385" s="91"/>
      <c r="CS385" s="91"/>
      <c r="CT385" s="91"/>
      <c r="CU385" s="91"/>
      <c r="CV385" s="91"/>
      <c r="CW385" s="91"/>
      <c r="CX385" s="91"/>
      <c r="CY385" s="91"/>
      <c r="CZ385" s="91"/>
      <c r="DA385" s="91"/>
      <c r="DB385" s="91"/>
      <c r="DC385" s="91"/>
      <c r="DD385" s="91"/>
      <c r="DE385" s="91"/>
      <c r="DF385" s="91"/>
      <c r="DG385" s="91"/>
      <c r="DH385" s="91"/>
      <c r="DI385" s="91"/>
      <c r="DJ385" s="91"/>
      <c r="DK385" s="91"/>
      <c r="DL385" s="91"/>
      <c r="DM385" s="91"/>
      <c r="DN385" s="91"/>
      <c r="DO385" s="91"/>
      <c r="DP385" s="91"/>
      <c r="DQ385" s="91"/>
      <c r="DR385" s="91"/>
      <c r="DS385" s="91"/>
      <c r="DT385" s="91"/>
      <c r="DU385" s="91"/>
      <c r="DV385" s="91"/>
      <c r="DW385" s="91"/>
      <c r="DX385" s="91"/>
      <c r="DY385" s="91"/>
      <c r="DZ385" s="91"/>
      <c r="EA385" s="91"/>
      <c r="EB385" s="91"/>
      <c r="EC385" s="91"/>
      <c r="ED385" s="91"/>
      <c r="EE385" s="91"/>
      <c r="EF385" s="91"/>
      <c r="EG385" s="91"/>
      <c r="EH385" s="91"/>
      <c r="EI385" s="91"/>
      <c r="EJ385" s="91"/>
      <c r="EK385" s="91"/>
      <c r="EL385" s="91"/>
      <c r="EM385" s="91"/>
      <c r="EN385" s="91"/>
      <c r="EO385" s="91"/>
      <c r="EP385" s="91"/>
      <c r="EQ385" s="91"/>
      <c r="ER385" s="91"/>
      <c r="ES385" s="91"/>
      <c r="ET385" s="91"/>
      <c r="EU385" s="91"/>
      <c r="EV385" s="91"/>
      <c r="EW385" s="91"/>
      <c r="EX385" s="91"/>
      <c r="EY385" s="91"/>
      <c r="EZ385" s="91"/>
      <c r="FA385" s="91"/>
      <c r="FB385" s="91"/>
      <c r="FC385" s="91"/>
      <c r="FD385" s="91"/>
      <c r="FE385" s="91"/>
      <c r="FF385" s="91"/>
      <c r="FG385" s="91"/>
      <c r="FH385" s="91"/>
      <c r="FI385" s="91"/>
      <c r="FJ385" s="91"/>
      <c r="FK385" s="91"/>
      <c r="FL385" s="91"/>
      <c r="FM385" s="91"/>
      <c r="FN385" s="91"/>
      <c r="FO385" s="91"/>
      <c r="FP385" s="91"/>
      <c r="FQ385" s="91"/>
      <c r="FR385" s="91"/>
      <c r="FS385" s="91"/>
      <c r="FT385" s="91"/>
      <c r="FU385" s="91"/>
      <c r="FV385" s="91"/>
      <c r="FW385" s="91"/>
      <c r="FX385" s="91"/>
      <c r="FY385" s="91"/>
      <c r="FZ385" s="91"/>
      <c r="GA385" s="91"/>
      <c r="GB385" s="91"/>
      <c r="GC385" s="91"/>
      <c r="GD385" s="91"/>
      <c r="GE385" s="91"/>
      <c r="GF385" s="91"/>
      <c r="GG385" s="91"/>
      <c r="GH385" s="91"/>
      <c r="GI385" s="91"/>
      <c r="GJ385" s="91"/>
      <c r="GK385" s="91"/>
      <c r="GL385" s="91"/>
      <c r="GM385" s="91"/>
      <c r="GN385" s="91"/>
      <c r="GO385" s="91"/>
      <c r="GP385" s="91"/>
      <c r="GQ385" s="91"/>
      <c r="GR385" s="91"/>
      <c r="GS385" s="91"/>
      <c r="GT385" s="91"/>
      <c r="GU385" s="91"/>
      <c r="GV385" s="91"/>
      <c r="GW385" s="91"/>
      <c r="GX385" s="91"/>
      <c r="GY385" s="91"/>
      <c r="GZ385" s="91"/>
      <c r="HA385" s="91"/>
      <c r="HB385" s="91"/>
      <c r="HC385" s="91"/>
      <c r="HD385" s="91"/>
      <c r="HE385" s="91"/>
      <c r="HF385" s="91"/>
      <c r="HG385" s="91"/>
      <c r="HH385" s="91"/>
      <c r="HI385" s="91"/>
      <c r="HJ385" s="91"/>
      <c r="HK385" s="91"/>
      <c r="HL385" s="91"/>
      <c r="HM385" s="91"/>
      <c r="HN385" s="91"/>
      <c r="HO385" s="91"/>
      <c r="HP385" s="91"/>
      <c r="HQ385" s="91"/>
      <c r="HR385" s="91"/>
      <c r="HS385" s="91"/>
      <c r="HT385" s="91"/>
      <c r="HU385" s="91"/>
      <c r="HV385" s="91"/>
      <c r="HW385" s="91"/>
      <c r="HX385" s="91"/>
      <c r="HY385" s="91"/>
      <c r="HZ385" s="91"/>
      <c r="IA385" s="91"/>
    </row>
    <row r="386" spans="1:16" ht="11.25">
      <c r="A386" s="20" t="s">
        <v>58</v>
      </c>
      <c r="B386" s="5"/>
      <c r="C386" s="5"/>
      <c r="D386" s="130"/>
      <c r="E386" s="130"/>
      <c r="F386" s="130"/>
      <c r="G386" s="130"/>
      <c r="H386" s="130"/>
      <c r="I386" s="130"/>
      <c r="J386" s="130"/>
      <c r="K386" s="17"/>
      <c r="L386" s="128"/>
      <c r="M386" s="128"/>
      <c r="N386" s="130"/>
      <c r="O386" s="130"/>
      <c r="P386" s="130"/>
    </row>
    <row r="387" spans="1:16" ht="12" customHeight="1">
      <c r="A387" s="21" t="s">
        <v>63</v>
      </c>
      <c r="B387" s="7"/>
      <c r="C387" s="7"/>
      <c r="D387" s="14">
        <v>1385000</v>
      </c>
      <c r="E387" s="14"/>
      <c r="F387" s="14">
        <f>D387</f>
        <v>1385000</v>
      </c>
      <c r="G387" s="14">
        <f>G389*G391</f>
        <v>1659999.999996</v>
      </c>
      <c r="H387" s="14"/>
      <c r="I387" s="14"/>
      <c r="J387" s="14">
        <f>G387</f>
        <v>1659999.999996</v>
      </c>
      <c r="K387" s="17">
        <f>G387/D387*100</f>
        <v>119.85559566758121</v>
      </c>
      <c r="L387" s="17"/>
      <c r="M387" s="17"/>
      <c r="N387" s="14">
        <f>N389*N391</f>
        <v>1989999.999999</v>
      </c>
      <c r="O387" s="14"/>
      <c r="P387" s="14">
        <f>N387</f>
        <v>1989999.999999</v>
      </c>
    </row>
    <row r="388" spans="1:16" ht="11.25">
      <c r="A388" s="20" t="s">
        <v>5</v>
      </c>
      <c r="B388" s="5"/>
      <c r="C388" s="5"/>
      <c r="D388" s="130"/>
      <c r="E388" s="130"/>
      <c r="F388" s="14"/>
      <c r="G388" s="130"/>
      <c r="H388" s="130"/>
      <c r="I388" s="130"/>
      <c r="J388" s="14"/>
      <c r="K388" s="17"/>
      <c r="L388" s="128"/>
      <c r="M388" s="128"/>
      <c r="N388" s="130"/>
      <c r="O388" s="130"/>
      <c r="P388" s="14"/>
    </row>
    <row r="389" spans="1:16" ht="22.5">
      <c r="A389" s="21" t="s">
        <v>194</v>
      </c>
      <c r="B389" s="7"/>
      <c r="C389" s="7"/>
      <c r="D389" s="14">
        <v>9</v>
      </c>
      <c r="E389" s="14"/>
      <c r="F389" s="14">
        <f>D389</f>
        <v>9</v>
      </c>
      <c r="G389" s="14">
        <v>9</v>
      </c>
      <c r="H389" s="14"/>
      <c r="I389" s="14"/>
      <c r="J389" s="14">
        <f>G389</f>
        <v>9</v>
      </c>
      <c r="K389" s="17">
        <f>G389/D389*100</f>
        <v>100</v>
      </c>
      <c r="L389" s="17"/>
      <c r="M389" s="17"/>
      <c r="N389" s="14">
        <v>9</v>
      </c>
      <c r="O389" s="14"/>
      <c r="P389" s="14">
        <f>N389</f>
        <v>9</v>
      </c>
    </row>
    <row r="390" spans="1:16" ht="11.25">
      <c r="A390" s="20" t="s">
        <v>7</v>
      </c>
      <c r="B390" s="5"/>
      <c r="C390" s="5"/>
      <c r="D390" s="130"/>
      <c r="E390" s="130"/>
      <c r="F390" s="14"/>
      <c r="G390" s="130"/>
      <c r="H390" s="130"/>
      <c r="I390" s="130"/>
      <c r="J390" s="14"/>
      <c r="K390" s="17"/>
      <c r="L390" s="128"/>
      <c r="M390" s="128"/>
      <c r="N390" s="130"/>
      <c r="O390" s="130"/>
      <c r="P390" s="14"/>
    </row>
    <row r="391" spans="1:16" ht="22.5">
      <c r="A391" s="21" t="s">
        <v>195</v>
      </c>
      <c r="B391" s="7"/>
      <c r="C391" s="7"/>
      <c r="D391" s="14">
        <f>D387/D389+0.11</f>
        <v>153888.99888888886</v>
      </c>
      <c r="E391" s="14"/>
      <c r="F391" s="14">
        <f>D391</f>
        <v>153888.99888888886</v>
      </c>
      <c r="G391" s="14">
        <v>184444.444444</v>
      </c>
      <c r="H391" s="14"/>
      <c r="I391" s="14"/>
      <c r="J391" s="14">
        <f>G391</f>
        <v>184444.444444</v>
      </c>
      <c r="K391" s="17">
        <f>G391/D391*100</f>
        <v>119.85550999468961</v>
      </c>
      <c r="L391" s="17"/>
      <c r="M391" s="17"/>
      <c r="N391" s="14">
        <v>221111.111111</v>
      </c>
      <c r="O391" s="14"/>
      <c r="P391" s="14">
        <f>N391</f>
        <v>221111.111111</v>
      </c>
    </row>
    <row r="392" spans="1:235" s="92" customFormat="1" ht="24" customHeight="1">
      <c r="A392" s="82" t="s">
        <v>365</v>
      </c>
      <c r="B392" s="88"/>
      <c r="C392" s="88"/>
      <c r="D392" s="131">
        <f>D396*D398-216</f>
        <v>99784</v>
      </c>
      <c r="E392" s="131"/>
      <c r="F392" s="131">
        <f>F396*F398-216</f>
        <v>99784</v>
      </c>
      <c r="G392" s="131">
        <f aca="true" t="shared" si="40" ref="G392:P392">G396*G398</f>
        <v>182699.99813</v>
      </c>
      <c r="H392" s="131"/>
      <c r="I392" s="131"/>
      <c r="J392" s="131">
        <f t="shared" si="40"/>
        <v>182699.99813</v>
      </c>
      <c r="K392" s="131" t="e">
        <f t="shared" si="40"/>
        <v>#REF!</v>
      </c>
      <c r="L392" s="131">
        <f t="shared" si="40"/>
        <v>0</v>
      </c>
      <c r="M392" s="131">
        <f t="shared" si="40"/>
        <v>0</v>
      </c>
      <c r="N392" s="131">
        <f t="shared" si="40"/>
        <v>200000</v>
      </c>
      <c r="O392" s="131"/>
      <c r="P392" s="131">
        <f t="shared" si="40"/>
        <v>200000</v>
      </c>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c r="AO392" s="91"/>
      <c r="AP392" s="91"/>
      <c r="AQ392" s="91"/>
      <c r="AR392" s="91"/>
      <c r="AS392" s="91"/>
      <c r="AT392" s="91"/>
      <c r="AU392" s="91"/>
      <c r="AV392" s="91"/>
      <c r="AW392" s="91"/>
      <c r="AX392" s="91"/>
      <c r="AY392" s="91"/>
      <c r="AZ392" s="91"/>
      <c r="BA392" s="91"/>
      <c r="BB392" s="91"/>
      <c r="BC392" s="91"/>
      <c r="BD392" s="91"/>
      <c r="BE392" s="91"/>
      <c r="BF392" s="91"/>
      <c r="BG392" s="91"/>
      <c r="BH392" s="91"/>
      <c r="BI392" s="91"/>
      <c r="BJ392" s="91"/>
      <c r="BK392" s="91"/>
      <c r="BL392" s="91"/>
      <c r="BM392" s="91"/>
      <c r="BN392" s="91"/>
      <c r="BO392" s="91"/>
      <c r="BP392" s="91"/>
      <c r="BQ392" s="91"/>
      <c r="BR392" s="91"/>
      <c r="BS392" s="91"/>
      <c r="BT392" s="91"/>
      <c r="BU392" s="91"/>
      <c r="BV392" s="91"/>
      <c r="BW392" s="91"/>
      <c r="BX392" s="91"/>
      <c r="BY392" s="91"/>
      <c r="BZ392" s="91"/>
      <c r="CA392" s="91"/>
      <c r="CB392" s="91"/>
      <c r="CC392" s="91"/>
      <c r="CD392" s="91"/>
      <c r="CE392" s="91"/>
      <c r="CF392" s="91"/>
      <c r="CG392" s="91"/>
      <c r="CH392" s="91"/>
      <c r="CI392" s="91"/>
      <c r="CJ392" s="91"/>
      <c r="CK392" s="91"/>
      <c r="CL392" s="91"/>
      <c r="CM392" s="91"/>
      <c r="CN392" s="91"/>
      <c r="CO392" s="91"/>
      <c r="CP392" s="91"/>
      <c r="CQ392" s="91"/>
      <c r="CR392" s="91"/>
      <c r="CS392" s="91"/>
      <c r="CT392" s="91"/>
      <c r="CU392" s="91"/>
      <c r="CV392" s="91"/>
      <c r="CW392" s="91"/>
      <c r="CX392" s="91"/>
      <c r="CY392" s="91"/>
      <c r="CZ392" s="91"/>
      <c r="DA392" s="91"/>
      <c r="DB392" s="91"/>
      <c r="DC392" s="91"/>
      <c r="DD392" s="91"/>
      <c r="DE392" s="91"/>
      <c r="DF392" s="91"/>
      <c r="DG392" s="91"/>
      <c r="DH392" s="91"/>
      <c r="DI392" s="91"/>
      <c r="DJ392" s="91"/>
      <c r="DK392" s="91"/>
      <c r="DL392" s="91"/>
      <c r="DM392" s="91"/>
      <c r="DN392" s="91"/>
      <c r="DO392" s="91"/>
      <c r="DP392" s="91"/>
      <c r="DQ392" s="91"/>
      <c r="DR392" s="91"/>
      <c r="DS392" s="91"/>
      <c r="DT392" s="91"/>
      <c r="DU392" s="91"/>
      <c r="DV392" s="91"/>
      <c r="DW392" s="91"/>
      <c r="DX392" s="91"/>
      <c r="DY392" s="91"/>
      <c r="DZ392" s="91"/>
      <c r="EA392" s="91"/>
      <c r="EB392" s="91"/>
      <c r="EC392" s="91"/>
      <c r="ED392" s="91"/>
      <c r="EE392" s="91"/>
      <c r="EF392" s="91"/>
      <c r="EG392" s="91"/>
      <c r="EH392" s="91"/>
      <c r="EI392" s="91"/>
      <c r="EJ392" s="91"/>
      <c r="EK392" s="91"/>
      <c r="EL392" s="91"/>
      <c r="EM392" s="91"/>
      <c r="EN392" s="91"/>
      <c r="EO392" s="91"/>
      <c r="EP392" s="91"/>
      <c r="EQ392" s="91"/>
      <c r="ER392" s="91"/>
      <c r="ES392" s="91"/>
      <c r="ET392" s="91"/>
      <c r="EU392" s="91"/>
      <c r="EV392" s="91"/>
      <c r="EW392" s="91"/>
      <c r="EX392" s="91"/>
      <c r="EY392" s="91"/>
      <c r="EZ392" s="91"/>
      <c r="FA392" s="91"/>
      <c r="FB392" s="91"/>
      <c r="FC392" s="91"/>
      <c r="FD392" s="91"/>
      <c r="FE392" s="91"/>
      <c r="FF392" s="91"/>
      <c r="FG392" s="91"/>
      <c r="FH392" s="91"/>
      <c r="FI392" s="91"/>
      <c r="FJ392" s="91"/>
      <c r="FK392" s="91"/>
      <c r="FL392" s="91"/>
      <c r="FM392" s="91"/>
      <c r="FN392" s="91"/>
      <c r="FO392" s="91"/>
      <c r="FP392" s="91"/>
      <c r="FQ392" s="91"/>
      <c r="FR392" s="91"/>
      <c r="FS392" s="91"/>
      <c r="FT392" s="91"/>
      <c r="FU392" s="91"/>
      <c r="FV392" s="91"/>
      <c r="FW392" s="91"/>
      <c r="FX392" s="91"/>
      <c r="FY392" s="91"/>
      <c r="FZ392" s="91"/>
      <c r="GA392" s="91"/>
      <c r="GB392" s="91"/>
      <c r="GC392" s="91"/>
      <c r="GD392" s="91"/>
      <c r="GE392" s="91"/>
      <c r="GF392" s="91"/>
      <c r="GG392" s="91"/>
      <c r="GH392" s="91"/>
      <c r="GI392" s="91"/>
      <c r="GJ392" s="91"/>
      <c r="GK392" s="91"/>
      <c r="GL392" s="91"/>
      <c r="GM392" s="91"/>
      <c r="GN392" s="91"/>
      <c r="GO392" s="91"/>
      <c r="GP392" s="91"/>
      <c r="GQ392" s="91"/>
      <c r="GR392" s="91"/>
      <c r="GS392" s="91"/>
      <c r="GT392" s="91"/>
      <c r="GU392" s="91"/>
      <c r="GV392" s="91"/>
      <c r="GW392" s="91"/>
      <c r="GX392" s="91"/>
      <c r="GY392" s="91"/>
      <c r="GZ392" s="91"/>
      <c r="HA392" s="91"/>
      <c r="HB392" s="91"/>
      <c r="HC392" s="91"/>
      <c r="HD392" s="91"/>
      <c r="HE392" s="91"/>
      <c r="HF392" s="91"/>
      <c r="HG392" s="91"/>
      <c r="HH392" s="91"/>
      <c r="HI392" s="91"/>
      <c r="HJ392" s="91"/>
      <c r="HK392" s="91"/>
      <c r="HL392" s="91"/>
      <c r="HM392" s="91"/>
      <c r="HN392" s="91"/>
      <c r="HO392" s="91"/>
      <c r="HP392" s="91"/>
      <c r="HQ392" s="91"/>
      <c r="HR392" s="91"/>
      <c r="HS392" s="91"/>
      <c r="HT392" s="91"/>
      <c r="HU392" s="91"/>
      <c r="HV392" s="91"/>
      <c r="HW392" s="91"/>
      <c r="HX392" s="91"/>
      <c r="HY392" s="91"/>
      <c r="HZ392" s="91"/>
      <c r="IA392" s="91"/>
    </row>
    <row r="393" spans="1:16" ht="11.25">
      <c r="A393" s="20" t="s">
        <v>58</v>
      </c>
      <c r="B393" s="5"/>
      <c r="C393" s="5"/>
      <c r="D393" s="132"/>
      <c r="E393" s="132"/>
      <c r="F393" s="132"/>
      <c r="G393" s="130"/>
      <c r="H393" s="130"/>
      <c r="I393" s="130"/>
      <c r="J393" s="130"/>
      <c r="K393" s="17"/>
      <c r="L393" s="128"/>
      <c r="M393" s="128"/>
      <c r="N393" s="130"/>
      <c r="O393" s="130"/>
      <c r="P393" s="130"/>
    </row>
    <row r="394" spans="1:16" ht="23.25" customHeight="1">
      <c r="A394" s="21" t="s">
        <v>198</v>
      </c>
      <c r="B394" s="7"/>
      <c r="C394" s="7"/>
      <c r="D394" s="132">
        <v>1752</v>
      </c>
      <c r="E394" s="132"/>
      <c r="F394" s="132">
        <f>D394</f>
        <v>1752</v>
      </c>
      <c r="G394" s="132">
        <v>1752</v>
      </c>
      <c r="H394" s="132"/>
      <c r="I394" s="132"/>
      <c r="J394" s="132">
        <f>G394</f>
        <v>1752</v>
      </c>
      <c r="K394" s="17" t="e">
        <f>#REF!/G394*100</f>
        <v>#REF!</v>
      </c>
      <c r="L394" s="17"/>
      <c r="M394" s="17"/>
      <c r="N394" s="132">
        <v>1752</v>
      </c>
      <c r="O394" s="132"/>
      <c r="P394" s="132">
        <f>N394</f>
        <v>1752</v>
      </c>
    </row>
    <row r="395" spans="1:16" ht="11.25">
      <c r="A395" s="20" t="s">
        <v>5</v>
      </c>
      <c r="B395" s="5"/>
      <c r="C395" s="5"/>
      <c r="D395" s="132"/>
      <c r="E395" s="132"/>
      <c r="F395" s="132"/>
      <c r="G395" s="130"/>
      <c r="H395" s="130"/>
      <c r="I395" s="130"/>
      <c r="J395" s="14"/>
      <c r="K395" s="17"/>
      <c r="L395" s="128"/>
      <c r="M395" s="128"/>
      <c r="N395" s="130"/>
      <c r="O395" s="130"/>
      <c r="P395" s="14"/>
    </row>
    <row r="396" spans="1:16" ht="24" customHeight="1">
      <c r="A396" s="21" t="s">
        <v>196</v>
      </c>
      <c r="B396" s="7"/>
      <c r="C396" s="7"/>
      <c r="D396" s="132">
        <v>625</v>
      </c>
      <c r="E396" s="132"/>
      <c r="F396" s="132">
        <f>D396</f>
        <v>625</v>
      </c>
      <c r="G396" s="132">
        <v>751</v>
      </c>
      <c r="H396" s="132"/>
      <c r="I396" s="132"/>
      <c r="J396" s="132">
        <f>G396</f>
        <v>751</v>
      </c>
      <c r="K396" s="17" t="e">
        <f>#REF!/G396*100</f>
        <v>#REF!</v>
      </c>
      <c r="L396" s="17"/>
      <c r="M396" s="17"/>
      <c r="N396" s="132">
        <v>1250</v>
      </c>
      <c r="O396" s="132"/>
      <c r="P396" s="132">
        <f>N396</f>
        <v>1250</v>
      </c>
    </row>
    <row r="397" spans="1:16" ht="11.25">
      <c r="A397" s="20" t="s">
        <v>7</v>
      </c>
      <c r="B397" s="5"/>
      <c r="C397" s="5"/>
      <c r="D397" s="132"/>
      <c r="E397" s="132"/>
      <c r="F397" s="132"/>
      <c r="G397" s="132"/>
      <c r="H397" s="132"/>
      <c r="I397" s="132"/>
      <c r="J397" s="132"/>
      <c r="K397" s="17"/>
      <c r="L397" s="128"/>
      <c r="M397" s="128"/>
      <c r="N397" s="132"/>
      <c r="O397" s="132"/>
      <c r="P397" s="132"/>
    </row>
    <row r="398" spans="1:16" ht="24" customHeight="1">
      <c r="A398" s="21" t="s">
        <v>60</v>
      </c>
      <c r="B398" s="7"/>
      <c r="C398" s="7"/>
      <c r="D398" s="132">
        <v>160</v>
      </c>
      <c r="E398" s="132"/>
      <c r="F398" s="132">
        <f>D398</f>
        <v>160</v>
      </c>
      <c r="G398" s="132">
        <v>243.27563</v>
      </c>
      <c r="H398" s="132"/>
      <c r="I398" s="132"/>
      <c r="J398" s="132">
        <f>G398</f>
        <v>243.27563</v>
      </c>
      <c r="K398" s="17" t="e">
        <f>#REF!/G398*100</f>
        <v>#REF!</v>
      </c>
      <c r="L398" s="17"/>
      <c r="M398" s="17"/>
      <c r="N398" s="132">
        <v>160</v>
      </c>
      <c r="O398" s="132"/>
      <c r="P398" s="132">
        <f>N398</f>
        <v>160</v>
      </c>
    </row>
    <row r="399" spans="1:16" ht="11.25">
      <c r="A399" s="54" t="s">
        <v>6</v>
      </c>
      <c r="B399" s="53"/>
      <c r="C399" s="53"/>
      <c r="D399" s="132"/>
      <c r="E399" s="132"/>
      <c r="F399" s="132"/>
      <c r="G399" s="14"/>
      <c r="H399" s="14"/>
      <c r="I399" s="14"/>
      <c r="J399" s="14"/>
      <c r="K399" s="17"/>
      <c r="L399" s="17"/>
      <c r="M399" s="17"/>
      <c r="N399" s="14"/>
      <c r="O399" s="14"/>
      <c r="P399" s="14"/>
    </row>
    <row r="400" spans="1:16" ht="39" customHeight="1">
      <c r="A400" s="55" t="s">
        <v>197</v>
      </c>
      <c r="B400" s="53"/>
      <c r="C400" s="53"/>
      <c r="D400" s="132">
        <f>D396/D394*100</f>
        <v>35.67351598173516</v>
      </c>
      <c r="E400" s="132"/>
      <c r="F400" s="132">
        <f>D400</f>
        <v>35.67351598173516</v>
      </c>
      <c r="G400" s="132">
        <f>G396/G394*100</f>
        <v>42.86529680365297</v>
      </c>
      <c r="H400" s="132"/>
      <c r="I400" s="132"/>
      <c r="J400" s="132">
        <f>G400</f>
        <v>42.86529680365297</v>
      </c>
      <c r="K400" s="17"/>
      <c r="L400" s="17"/>
      <c r="M400" s="17"/>
      <c r="N400" s="132">
        <f>N396/N394*100</f>
        <v>71.34703196347031</v>
      </c>
      <c r="O400" s="132"/>
      <c r="P400" s="132">
        <f>N400</f>
        <v>71.34703196347031</v>
      </c>
    </row>
    <row r="401" spans="1:235" s="92" customFormat="1" ht="36.75" customHeight="1">
      <c r="A401" s="96" t="s">
        <v>366</v>
      </c>
      <c r="B401" s="96"/>
      <c r="C401" s="96"/>
      <c r="D401" s="133">
        <f>D405*D407</f>
        <v>60000</v>
      </c>
      <c r="E401" s="133"/>
      <c r="F401" s="133">
        <f>F405*F407</f>
        <v>60000</v>
      </c>
      <c r="G401" s="133">
        <f>G405*G407</f>
        <v>0</v>
      </c>
      <c r="H401" s="133"/>
      <c r="I401" s="133"/>
      <c r="J401" s="133">
        <f>G401+H401</f>
        <v>0</v>
      </c>
      <c r="K401" s="133"/>
      <c r="L401" s="133"/>
      <c r="M401" s="133"/>
      <c r="N401" s="133">
        <f>N405*N407</f>
        <v>0</v>
      </c>
      <c r="O401" s="133"/>
      <c r="P401" s="133">
        <f>N401</f>
        <v>0</v>
      </c>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91"/>
      <c r="AN401" s="91"/>
      <c r="AO401" s="91"/>
      <c r="AP401" s="91"/>
      <c r="AQ401" s="91"/>
      <c r="AR401" s="91"/>
      <c r="AS401" s="91"/>
      <c r="AT401" s="91"/>
      <c r="AU401" s="91"/>
      <c r="AV401" s="91"/>
      <c r="AW401" s="91"/>
      <c r="AX401" s="91"/>
      <c r="AY401" s="91"/>
      <c r="AZ401" s="91"/>
      <c r="BA401" s="91"/>
      <c r="BB401" s="91"/>
      <c r="BC401" s="91"/>
      <c r="BD401" s="91"/>
      <c r="BE401" s="91"/>
      <c r="BF401" s="91"/>
      <c r="BG401" s="91"/>
      <c r="BH401" s="91"/>
      <c r="BI401" s="91"/>
      <c r="BJ401" s="91"/>
      <c r="BK401" s="91"/>
      <c r="BL401" s="91"/>
      <c r="BM401" s="91"/>
      <c r="BN401" s="91"/>
      <c r="BO401" s="91"/>
      <c r="BP401" s="91"/>
      <c r="BQ401" s="91"/>
      <c r="BR401" s="91"/>
      <c r="BS401" s="91"/>
      <c r="BT401" s="91"/>
      <c r="BU401" s="91"/>
      <c r="BV401" s="91"/>
      <c r="BW401" s="91"/>
      <c r="BX401" s="91"/>
      <c r="BY401" s="91"/>
      <c r="BZ401" s="91"/>
      <c r="CA401" s="91"/>
      <c r="CB401" s="91"/>
      <c r="CC401" s="91"/>
      <c r="CD401" s="91"/>
      <c r="CE401" s="91"/>
      <c r="CF401" s="91"/>
      <c r="CG401" s="91"/>
      <c r="CH401" s="91"/>
      <c r="CI401" s="91"/>
      <c r="CJ401" s="91"/>
      <c r="CK401" s="91"/>
      <c r="CL401" s="91"/>
      <c r="CM401" s="91"/>
      <c r="CN401" s="91"/>
      <c r="CO401" s="91"/>
      <c r="CP401" s="91"/>
      <c r="CQ401" s="91"/>
      <c r="CR401" s="91"/>
      <c r="CS401" s="91"/>
      <c r="CT401" s="91"/>
      <c r="CU401" s="91"/>
      <c r="CV401" s="91"/>
      <c r="CW401" s="91"/>
      <c r="CX401" s="91"/>
      <c r="CY401" s="91"/>
      <c r="CZ401" s="91"/>
      <c r="DA401" s="91"/>
      <c r="DB401" s="91"/>
      <c r="DC401" s="91"/>
      <c r="DD401" s="91"/>
      <c r="DE401" s="91"/>
      <c r="DF401" s="91"/>
      <c r="DG401" s="91"/>
      <c r="DH401" s="91"/>
      <c r="DI401" s="91"/>
      <c r="DJ401" s="91"/>
      <c r="DK401" s="91"/>
      <c r="DL401" s="91"/>
      <c r="DM401" s="91"/>
      <c r="DN401" s="91"/>
      <c r="DO401" s="91"/>
      <c r="DP401" s="91"/>
      <c r="DQ401" s="91"/>
      <c r="DR401" s="91"/>
      <c r="DS401" s="91"/>
      <c r="DT401" s="91"/>
      <c r="DU401" s="91"/>
      <c r="DV401" s="91"/>
      <c r="DW401" s="91"/>
      <c r="DX401" s="91"/>
      <c r="DY401" s="91"/>
      <c r="DZ401" s="91"/>
      <c r="EA401" s="91"/>
      <c r="EB401" s="91"/>
      <c r="EC401" s="91"/>
      <c r="ED401" s="91"/>
      <c r="EE401" s="91"/>
      <c r="EF401" s="91"/>
      <c r="EG401" s="91"/>
      <c r="EH401" s="91"/>
      <c r="EI401" s="91"/>
      <c r="EJ401" s="91"/>
      <c r="EK401" s="91"/>
      <c r="EL401" s="91"/>
      <c r="EM401" s="91"/>
      <c r="EN401" s="91"/>
      <c r="EO401" s="91"/>
      <c r="EP401" s="91"/>
      <c r="EQ401" s="91"/>
      <c r="ER401" s="91"/>
      <c r="ES401" s="91"/>
      <c r="ET401" s="91"/>
      <c r="EU401" s="91"/>
      <c r="EV401" s="91"/>
      <c r="EW401" s="91"/>
      <c r="EX401" s="91"/>
      <c r="EY401" s="91"/>
      <c r="EZ401" s="91"/>
      <c r="FA401" s="91"/>
      <c r="FB401" s="91"/>
      <c r="FC401" s="91"/>
      <c r="FD401" s="91"/>
      <c r="FE401" s="91"/>
      <c r="FF401" s="91"/>
      <c r="FG401" s="91"/>
      <c r="FH401" s="91"/>
      <c r="FI401" s="91"/>
      <c r="FJ401" s="91"/>
      <c r="FK401" s="91"/>
      <c r="FL401" s="91"/>
      <c r="FM401" s="91"/>
      <c r="FN401" s="91"/>
      <c r="FO401" s="91"/>
      <c r="FP401" s="91"/>
      <c r="FQ401" s="91"/>
      <c r="FR401" s="91"/>
      <c r="FS401" s="91"/>
      <c r="FT401" s="91"/>
      <c r="FU401" s="91"/>
      <c r="FV401" s="91"/>
      <c r="FW401" s="91"/>
      <c r="FX401" s="91"/>
      <c r="FY401" s="91"/>
      <c r="FZ401" s="91"/>
      <c r="GA401" s="91"/>
      <c r="GB401" s="91"/>
      <c r="GC401" s="91"/>
      <c r="GD401" s="91"/>
      <c r="GE401" s="91"/>
      <c r="GF401" s="91"/>
      <c r="GG401" s="91"/>
      <c r="GH401" s="91"/>
      <c r="GI401" s="91"/>
      <c r="GJ401" s="91"/>
      <c r="GK401" s="91"/>
      <c r="GL401" s="91"/>
      <c r="GM401" s="91"/>
      <c r="GN401" s="91"/>
      <c r="GO401" s="91"/>
      <c r="GP401" s="91"/>
      <c r="GQ401" s="91"/>
      <c r="GR401" s="91"/>
      <c r="GS401" s="91"/>
      <c r="GT401" s="91"/>
      <c r="GU401" s="91"/>
      <c r="GV401" s="91"/>
      <c r="GW401" s="91"/>
      <c r="GX401" s="91"/>
      <c r="GY401" s="91"/>
      <c r="GZ401" s="91"/>
      <c r="HA401" s="91"/>
      <c r="HB401" s="91"/>
      <c r="HC401" s="91"/>
      <c r="HD401" s="91"/>
      <c r="HE401" s="91"/>
      <c r="HF401" s="91"/>
      <c r="HG401" s="91"/>
      <c r="HH401" s="91"/>
      <c r="HI401" s="91"/>
      <c r="HJ401" s="91"/>
      <c r="HK401" s="91"/>
      <c r="HL401" s="91"/>
      <c r="HM401" s="91"/>
      <c r="HN401" s="91"/>
      <c r="HO401" s="91"/>
      <c r="HP401" s="91"/>
      <c r="HQ401" s="91"/>
      <c r="HR401" s="91"/>
      <c r="HS401" s="91"/>
      <c r="HT401" s="91"/>
      <c r="HU401" s="91"/>
      <c r="HV401" s="91"/>
      <c r="HW401" s="91"/>
      <c r="HX401" s="91"/>
      <c r="HY401" s="91"/>
      <c r="HZ401" s="91"/>
      <c r="IA401" s="91"/>
    </row>
    <row r="402" spans="1:16" ht="11.25">
      <c r="A402" s="43" t="s">
        <v>4</v>
      </c>
      <c r="B402" s="32"/>
      <c r="C402" s="32"/>
      <c r="D402" s="134"/>
      <c r="E402" s="134"/>
      <c r="F402" s="134"/>
      <c r="G402" s="134"/>
      <c r="H402" s="134"/>
      <c r="I402" s="134"/>
      <c r="J402" s="134"/>
      <c r="K402" s="35"/>
      <c r="L402" s="134"/>
      <c r="M402" s="134"/>
      <c r="N402" s="134"/>
      <c r="O402" s="134"/>
      <c r="P402" s="134"/>
    </row>
    <row r="403" spans="1:16" ht="15" customHeight="1">
      <c r="A403" s="44" t="s">
        <v>65</v>
      </c>
      <c r="B403" s="34"/>
      <c r="C403" s="34"/>
      <c r="D403" s="36">
        <f>D401/D407</f>
        <v>4</v>
      </c>
      <c r="E403" s="36"/>
      <c r="F403" s="36">
        <f>D403</f>
        <v>4</v>
      </c>
      <c r="G403" s="36">
        <v>0</v>
      </c>
      <c r="H403" s="36"/>
      <c r="I403" s="36"/>
      <c r="J403" s="36">
        <f>G403+H403</f>
        <v>0</v>
      </c>
      <c r="K403" s="36">
        <f>G403/D403*100</f>
        <v>0</v>
      </c>
      <c r="L403" s="36"/>
      <c r="M403" s="36"/>
      <c r="N403" s="36">
        <v>0</v>
      </c>
      <c r="O403" s="36"/>
      <c r="P403" s="36">
        <f>N403</f>
        <v>0</v>
      </c>
    </row>
    <row r="404" spans="1:16" ht="11.25">
      <c r="A404" s="43" t="s">
        <v>5</v>
      </c>
      <c r="B404" s="32"/>
      <c r="C404" s="32"/>
      <c r="D404" s="135"/>
      <c r="E404" s="135"/>
      <c r="F404" s="36"/>
      <c r="G404" s="135"/>
      <c r="H404" s="135"/>
      <c r="I404" s="135"/>
      <c r="J404" s="36"/>
      <c r="K404" s="36"/>
      <c r="L404" s="135"/>
      <c r="M404" s="135"/>
      <c r="N404" s="135"/>
      <c r="O404" s="135"/>
      <c r="P404" s="36"/>
    </row>
    <row r="405" spans="1:16" ht="24" customHeight="1">
      <c r="A405" s="44" t="s">
        <v>66</v>
      </c>
      <c r="B405" s="34"/>
      <c r="C405" s="34"/>
      <c r="D405" s="36">
        <v>4</v>
      </c>
      <c r="E405" s="36"/>
      <c r="F405" s="36">
        <f>D405</f>
        <v>4</v>
      </c>
      <c r="G405" s="36">
        <v>0</v>
      </c>
      <c r="H405" s="36"/>
      <c r="I405" s="36"/>
      <c r="J405" s="36">
        <f>G405+H405</f>
        <v>0</v>
      </c>
      <c r="K405" s="36">
        <f>G405/D405*100</f>
        <v>0</v>
      </c>
      <c r="L405" s="36"/>
      <c r="M405" s="36"/>
      <c r="N405" s="36">
        <v>0</v>
      </c>
      <c r="O405" s="36"/>
      <c r="P405" s="36">
        <f>N405</f>
        <v>0</v>
      </c>
    </row>
    <row r="406" spans="1:16" ht="11.25">
      <c r="A406" s="43" t="s">
        <v>7</v>
      </c>
      <c r="B406" s="32"/>
      <c r="C406" s="32"/>
      <c r="D406" s="134"/>
      <c r="E406" s="134"/>
      <c r="F406" s="35"/>
      <c r="G406" s="134"/>
      <c r="H406" s="134"/>
      <c r="I406" s="134"/>
      <c r="J406" s="35"/>
      <c r="K406" s="35"/>
      <c r="L406" s="134"/>
      <c r="M406" s="134"/>
      <c r="N406" s="134"/>
      <c r="O406" s="134"/>
      <c r="P406" s="35"/>
    </row>
    <row r="407" spans="1:16" ht="24" customHeight="1">
      <c r="A407" s="44" t="s">
        <v>67</v>
      </c>
      <c r="B407" s="34"/>
      <c r="C407" s="34"/>
      <c r="D407" s="35">
        <v>15000</v>
      </c>
      <c r="E407" s="35"/>
      <c r="F407" s="35">
        <f>D407</f>
        <v>15000</v>
      </c>
      <c r="G407" s="35">
        <v>0</v>
      </c>
      <c r="H407" s="35"/>
      <c r="I407" s="35"/>
      <c r="J407" s="35">
        <f>G407</f>
        <v>0</v>
      </c>
      <c r="K407" s="35">
        <f>G407/D407*100</f>
        <v>0</v>
      </c>
      <c r="L407" s="35"/>
      <c r="M407" s="35"/>
      <c r="N407" s="35">
        <v>0</v>
      </c>
      <c r="O407" s="35"/>
      <c r="P407" s="35">
        <f>N407</f>
        <v>0</v>
      </c>
    </row>
    <row r="408" spans="1:235" s="92" customFormat="1" ht="36.75" customHeight="1">
      <c r="A408" s="96" t="s">
        <v>367</v>
      </c>
      <c r="B408" s="96"/>
      <c r="C408" s="96"/>
      <c r="D408" s="133">
        <f>D412*D414</f>
        <v>0</v>
      </c>
      <c r="E408" s="133"/>
      <c r="F408" s="133">
        <f>F412*F414</f>
        <v>0</v>
      </c>
      <c r="G408" s="133">
        <f>G412*G414</f>
        <v>119999.9999996</v>
      </c>
      <c r="H408" s="133"/>
      <c r="I408" s="133"/>
      <c r="J408" s="133">
        <f>G408+H408</f>
        <v>119999.9999996</v>
      </c>
      <c r="K408" s="133"/>
      <c r="L408" s="133"/>
      <c r="M408" s="133"/>
      <c r="N408" s="133">
        <f>N412*N414</f>
        <v>0</v>
      </c>
      <c r="O408" s="133"/>
      <c r="P408" s="133">
        <f>N408</f>
        <v>0</v>
      </c>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91"/>
      <c r="AN408" s="91"/>
      <c r="AO408" s="91"/>
      <c r="AP408" s="91"/>
      <c r="AQ408" s="91"/>
      <c r="AR408" s="91"/>
      <c r="AS408" s="91"/>
      <c r="AT408" s="91"/>
      <c r="AU408" s="91"/>
      <c r="AV408" s="91"/>
      <c r="AW408" s="91"/>
      <c r="AX408" s="91"/>
      <c r="AY408" s="91"/>
      <c r="AZ408" s="91"/>
      <c r="BA408" s="91"/>
      <c r="BB408" s="91"/>
      <c r="BC408" s="91"/>
      <c r="BD408" s="91"/>
      <c r="BE408" s="91"/>
      <c r="BF408" s="91"/>
      <c r="BG408" s="91"/>
      <c r="BH408" s="91"/>
      <c r="BI408" s="91"/>
      <c r="BJ408" s="91"/>
      <c r="BK408" s="91"/>
      <c r="BL408" s="91"/>
      <c r="BM408" s="91"/>
      <c r="BN408" s="91"/>
      <c r="BO408" s="91"/>
      <c r="BP408" s="91"/>
      <c r="BQ408" s="91"/>
      <c r="BR408" s="91"/>
      <c r="BS408" s="91"/>
      <c r="BT408" s="91"/>
      <c r="BU408" s="91"/>
      <c r="BV408" s="91"/>
      <c r="BW408" s="91"/>
      <c r="BX408" s="91"/>
      <c r="BY408" s="91"/>
      <c r="BZ408" s="91"/>
      <c r="CA408" s="91"/>
      <c r="CB408" s="91"/>
      <c r="CC408" s="91"/>
      <c r="CD408" s="91"/>
      <c r="CE408" s="91"/>
      <c r="CF408" s="91"/>
      <c r="CG408" s="91"/>
      <c r="CH408" s="91"/>
      <c r="CI408" s="91"/>
      <c r="CJ408" s="91"/>
      <c r="CK408" s="91"/>
      <c r="CL408" s="91"/>
      <c r="CM408" s="91"/>
      <c r="CN408" s="91"/>
      <c r="CO408" s="91"/>
      <c r="CP408" s="91"/>
      <c r="CQ408" s="91"/>
      <c r="CR408" s="91"/>
      <c r="CS408" s="91"/>
      <c r="CT408" s="91"/>
      <c r="CU408" s="91"/>
      <c r="CV408" s="91"/>
      <c r="CW408" s="91"/>
      <c r="CX408" s="91"/>
      <c r="CY408" s="91"/>
      <c r="CZ408" s="91"/>
      <c r="DA408" s="91"/>
      <c r="DB408" s="91"/>
      <c r="DC408" s="91"/>
      <c r="DD408" s="91"/>
      <c r="DE408" s="91"/>
      <c r="DF408" s="91"/>
      <c r="DG408" s="91"/>
      <c r="DH408" s="91"/>
      <c r="DI408" s="91"/>
      <c r="DJ408" s="91"/>
      <c r="DK408" s="91"/>
      <c r="DL408" s="91"/>
      <c r="DM408" s="91"/>
      <c r="DN408" s="91"/>
      <c r="DO408" s="91"/>
      <c r="DP408" s="91"/>
      <c r="DQ408" s="91"/>
      <c r="DR408" s="91"/>
      <c r="DS408" s="91"/>
      <c r="DT408" s="91"/>
      <c r="DU408" s="91"/>
      <c r="DV408" s="91"/>
      <c r="DW408" s="91"/>
      <c r="DX408" s="91"/>
      <c r="DY408" s="91"/>
      <c r="DZ408" s="91"/>
      <c r="EA408" s="91"/>
      <c r="EB408" s="91"/>
      <c r="EC408" s="91"/>
      <c r="ED408" s="91"/>
      <c r="EE408" s="91"/>
      <c r="EF408" s="91"/>
      <c r="EG408" s="91"/>
      <c r="EH408" s="91"/>
      <c r="EI408" s="91"/>
      <c r="EJ408" s="91"/>
      <c r="EK408" s="91"/>
      <c r="EL408" s="91"/>
      <c r="EM408" s="91"/>
      <c r="EN408" s="91"/>
      <c r="EO408" s="91"/>
      <c r="EP408" s="91"/>
      <c r="EQ408" s="91"/>
      <c r="ER408" s="91"/>
      <c r="ES408" s="91"/>
      <c r="ET408" s="91"/>
      <c r="EU408" s="91"/>
      <c r="EV408" s="91"/>
      <c r="EW408" s="91"/>
      <c r="EX408" s="91"/>
      <c r="EY408" s="91"/>
      <c r="EZ408" s="91"/>
      <c r="FA408" s="91"/>
      <c r="FB408" s="91"/>
      <c r="FC408" s="91"/>
      <c r="FD408" s="91"/>
      <c r="FE408" s="91"/>
      <c r="FF408" s="91"/>
      <c r="FG408" s="91"/>
      <c r="FH408" s="91"/>
      <c r="FI408" s="91"/>
      <c r="FJ408" s="91"/>
      <c r="FK408" s="91"/>
      <c r="FL408" s="91"/>
      <c r="FM408" s="91"/>
      <c r="FN408" s="91"/>
      <c r="FO408" s="91"/>
      <c r="FP408" s="91"/>
      <c r="FQ408" s="91"/>
      <c r="FR408" s="91"/>
      <c r="FS408" s="91"/>
      <c r="FT408" s="91"/>
      <c r="FU408" s="91"/>
      <c r="FV408" s="91"/>
      <c r="FW408" s="91"/>
      <c r="FX408" s="91"/>
      <c r="FY408" s="91"/>
      <c r="FZ408" s="91"/>
      <c r="GA408" s="91"/>
      <c r="GB408" s="91"/>
      <c r="GC408" s="91"/>
      <c r="GD408" s="91"/>
      <c r="GE408" s="91"/>
      <c r="GF408" s="91"/>
      <c r="GG408" s="91"/>
      <c r="GH408" s="91"/>
      <c r="GI408" s="91"/>
      <c r="GJ408" s="91"/>
      <c r="GK408" s="91"/>
      <c r="GL408" s="91"/>
      <c r="GM408" s="91"/>
      <c r="GN408" s="91"/>
      <c r="GO408" s="91"/>
      <c r="GP408" s="91"/>
      <c r="GQ408" s="91"/>
      <c r="GR408" s="91"/>
      <c r="GS408" s="91"/>
      <c r="GT408" s="91"/>
      <c r="GU408" s="91"/>
      <c r="GV408" s="91"/>
      <c r="GW408" s="91"/>
      <c r="GX408" s="91"/>
      <c r="GY408" s="91"/>
      <c r="GZ408" s="91"/>
      <c r="HA408" s="91"/>
      <c r="HB408" s="91"/>
      <c r="HC408" s="91"/>
      <c r="HD408" s="91"/>
      <c r="HE408" s="91"/>
      <c r="HF408" s="91"/>
      <c r="HG408" s="91"/>
      <c r="HH408" s="91"/>
      <c r="HI408" s="91"/>
      <c r="HJ408" s="91"/>
      <c r="HK408" s="91"/>
      <c r="HL408" s="91"/>
      <c r="HM408" s="91"/>
      <c r="HN408" s="91"/>
      <c r="HO408" s="91"/>
      <c r="HP408" s="91"/>
      <c r="HQ408" s="91"/>
      <c r="HR408" s="91"/>
      <c r="HS408" s="91"/>
      <c r="HT408" s="91"/>
      <c r="HU408" s="91"/>
      <c r="HV408" s="91"/>
      <c r="HW408" s="91"/>
      <c r="HX408" s="91"/>
      <c r="HY408" s="91"/>
      <c r="HZ408" s="91"/>
      <c r="IA408" s="91"/>
    </row>
    <row r="409" spans="1:16" ht="11.25">
      <c r="A409" s="43" t="s">
        <v>4</v>
      </c>
      <c r="B409" s="32"/>
      <c r="C409" s="32"/>
      <c r="D409" s="134"/>
      <c r="E409" s="134"/>
      <c r="F409" s="134"/>
      <c r="G409" s="134"/>
      <c r="H409" s="134"/>
      <c r="I409" s="134"/>
      <c r="J409" s="134"/>
      <c r="K409" s="35"/>
      <c r="L409" s="134"/>
      <c r="M409" s="134"/>
      <c r="N409" s="134"/>
      <c r="O409" s="134"/>
      <c r="P409" s="134"/>
    </row>
    <row r="410" spans="1:16" ht="15" customHeight="1">
      <c r="A410" s="44" t="s">
        <v>65</v>
      </c>
      <c r="B410" s="34"/>
      <c r="C410" s="34"/>
      <c r="D410" s="36">
        <v>0</v>
      </c>
      <c r="E410" s="36"/>
      <c r="F410" s="36">
        <f>D410</f>
        <v>0</v>
      </c>
      <c r="G410" s="36">
        <v>7</v>
      </c>
      <c r="H410" s="36"/>
      <c r="I410" s="36"/>
      <c r="J410" s="36">
        <f>G410+H410</f>
        <v>7</v>
      </c>
      <c r="K410" s="36" t="e">
        <f>G410/D410*100</f>
        <v>#DIV/0!</v>
      </c>
      <c r="L410" s="36"/>
      <c r="M410" s="36"/>
      <c r="N410" s="36"/>
      <c r="O410" s="36"/>
      <c r="P410" s="36">
        <f>N410</f>
        <v>0</v>
      </c>
    </row>
    <row r="411" spans="1:16" ht="11.25">
      <c r="A411" s="43" t="s">
        <v>5</v>
      </c>
      <c r="B411" s="32"/>
      <c r="C411" s="32"/>
      <c r="D411" s="135"/>
      <c r="E411" s="135"/>
      <c r="F411" s="36"/>
      <c r="G411" s="135"/>
      <c r="H411" s="135"/>
      <c r="I411" s="135"/>
      <c r="J411" s="36"/>
      <c r="K411" s="36"/>
      <c r="L411" s="135"/>
      <c r="M411" s="135"/>
      <c r="N411" s="135"/>
      <c r="O411" s="135"/>
      <c r="P411" s="36"/>
    </row>
    <row r="412" spans="1:16" ht="24" customHeight="1">
      <c r="A412" s="44" t="s">
        <v>66</v>
      </c>
      <c r="B412" s="34"/>
      <c r="C412" s="34"/>
      <c r="D412" s="36">
        <v>0</v>
      </c>
      <c r="E412" s="36"/>
      <c r="F412" s="36">
        <f>D412</f>
        <v>0</v>
      </c>
      <c r="G412" s="36">
        <v>7</v>
      </c>
      <c r="H412" s="36"/>
      <c r="I412" s="36"/>
      <c r="J412" s="36">
        <f>G412+H412</f>
        <v>7</v>
      </c>
      <c r="K412" s="36" t="e">
        <f>G412/D412*100</f>
        <v>#DIV/0!</v>
      </c>
      <c r="L412" s="36"/>
      <c r="M412" s="36"/>
      <c r="N412" s="36"/>
      <c r="O412" s="36"/>
      <c r="P412" s="36">
        <f>N412</f>
        <v>0</v>
      </c>
    </row>
    <row r="413" spans="1:16" ht="11.25">
      <c r="A413" s="43" t="s">
        <v>7</v>
      </c>
      <c r="B413" s="32"/>
      <c r="C413" s="32"/>
      <c r="D413" s="134"/>
      <c r="E413" s="134"/>
      <c r="F413" s="35"/>
      <c r="G413" s="134"/>
      <c r="H413" s="134"/>
      <c r="I413" s="134"/>
      <c r="J413" s="35"/>
      <c r="K413" s="35"/>
      <c r="L413" s="134"/>
      <c r="M413" s="134"/>
      <c r="N413" s="134"/>
      <c r="O413" s="134"/>
      <c r="P413" s="35"/>
    </row>
    <row r="414" spans="1:16" ht="24" customHeight="1">
      <c r="A414" s="44" t="s">
        <v>67</v>
      </c>
      <c r="B414" s="34"/>
      <c r="C414" s="34"/>
      <c r="D414" s="35">
        <v>0</v>
      </c>
      <c r="E414" s="35"/>
      <c r="F414" s="35">
        <f>D414</f>
        <v>0</v>
      </c>
      <c r="G414" s="35">
        <v>17142.8571428</v>
      </c>
      <c r="H414" s="35"/>
      <c r="I414" s="35"/>
      <c r="J414" s="35">
        <f>G414</f>
        <v>17142.8571428</v>
      </c>
      <c r="K414" s="35" t="e">
        <f>G414/D414*100</f>
        <v>#DIV/0!</v>
      </c>
      <c r="L414" s="35"/>
      <c r="M414" s="35"/>
      <c r="N414" s="35"/>
      <c r="O414" s="35"/>
      <c r="P414" s="35">
        <f>N414</f>
        <v>0</v>
      </c>
    </row>
    <row r="415" spans="1:235" s="92" customFormat="1" ht="33.75">
      <c r="A415" s="96" t="s">
        <v>368</v>
      </c>
      <c r="B415" s="96"/>
      <c r="C415" s="96"/>
      <c r="D415" s="100">
        <f>(D419*D424)+(D420*D425)+2.8</f>
        <v>293680</v>
      </c>
      <c r="E415" s="100"/>
      <c r="F415" s="100">
        <f>D415</f>
        <v>293680</v>
      </c>
      <c r="G415" s="100"/>
      <c r="H415" s="100"/>
      <c r="I415" s="100"/>
      <c r="J415" s="100"/>
      <c r="K415" s="100"/>
      <c r="L415" s="100"/>
      <c r="M415" s="100"/>
      <c r="N415" s="100"/>
      <c r="O415" s="100"/>
      <c r="P415" s="100"/>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91"/>
      <c r="AN415" s="91"/>
      <c r="AO415" s="91"/>
      <c r="AP415" s="91"/>
      <c r="AQ415" s="91"/>
      <c r="AR415" s="91"/>
      <c r="AS415" s="91"/>
      <c r="AT415" s="91"/>
      <c r="AU415" s="91"/>
      <c r="AV415" s="91"/>
      <c r="AW415" s="91"/>
      <c r="AX415" s="91"/>
      <c r="AY415" s="91"/>
      <c r="AZ415" s="91"/>
      <c r="BA415" s="91"/>
      <c r="BB415" s="91"/>
      <c r="BC415" s="91"/>
      <c r="BD415" s="91"/>
      <c r="BE415" s="91"/>
      <c r="BF415" s="91"/>
      <c r="BG415" s="91"/>
      <c r="BH415" s="91"/>
      <c r="BI415" s="91"/>
      <c r="BJ415" s="91"/>
      <c r="BK415" s="91"/>
      <c r="BL415" s="91"/>
      <c r="BM415" s="91"/>
      <c r="BN415" s="91"/>
      <c r="BO415" s="91"/>
      <c r="BP415" s="91"/>
      <c r="BQ415" s="91"/>
      <c r="BR415" s="91"/>
      <c r="BS415" s="91"/>
      <c r="BT415" s="91"/>
      <c r="BU415" s="91"/>
      <c r="BV415" s="91"/>
      <c r="BW415" s="91"/>
      <c r="BX415" s="91"/>
      <c r="BY415" s="91"/>
      <c r="BZ415" s="91"/>
      <c r="CA415" s="91"/>
      <c r="CB415" s="91"/>
      <c r="CC415" s="91"/>
      <c r="CD415" s="91"/>
      <c r="CE415" s="91"/>
      <c r="CF415" s="91"/>
      <c r="CG415" s="91"/>
      <c r="CH415" s="91"/>
      <c r="CI415" s="91"/>
      <c r="CJ415" s="91"/>
      <c r="CK415" s="91"/>
      <c r="CL415" s="91"/>
      <c r="CM415" s="91"/>
      <c r="CN415" s="91"/>
      <c r="CO415" s="91"/>
      <c r="CP415" s="91"/>
      <c r="CQ415" s="91"/>
      <c r="CR415" s="91"/>
      <c r="CS415" s="91"/>
      <c r="CT415" s="91"/>
      <c r="CU415" s="91"/>
      <c r="CV415" s="91"/>
      <c r="CW415" s="91"/>
      <c r="CX415" s="91"/>
      <c r="CY415" s="91"/>
      <c r="CZ415" s="91"/>
      <c r="DA415" s="91"/>
      <c r="DB415" s="91"/>
      <c r="DC415" s="91"/>
      <c r="DD415" s="91"/>
      <c r="DE415" s="91"/>
      <c r="DF415" s="91"/>
      <c r="DG415" s="91"/>
      <c r="DH415" s="91"/>
      <c r="DI415" s="91"/>
      <c r="DJ415" s="91"/>
      <c r="DK415" s="91"/>
      <c r="DL415" s="91"/>
      <c r="DM415" s="91"/>
      <c r="DN415" s="91"/>
      <c r="DO415" s="91"/>
      <c r="DP415" s="91"/>
      <c r="DQ415" s="91"/>
      <c r="DR415" s="91"/>
      <c r="DS415" s="91"/>
      <c r="DT415" s="91"/>
      <c r="DU415" s="91"/>
      <c r="DV415" s="91"/>
      <c r="DW415" s="91"/>
      <c r="DX415" s="91"/>
      <c r="DY415" s="91"/>
      <c r="DZ415" s="91"/>
      <c r="EA415" s="91"/>
      <c r="EB415" s="91"/>
      <c r="EC415" s="91"/>
      <c r="ED415" s="91"/>
      <c r="EE415" s="91"/>
      <c r="EF415" s="91"/>
      <c r="EG415" s="91"/>
      <c r="EH415" s="91"/>
      <c r="EI415" s="91"/>
      <c r="EJ415" s="91"/>
      <c r="EK415" s="91"/>
      <c r="EL415" s="91"/>
      <c r="EM415" s="91"/>
      <c r="EN415" s="91"/>
      <c r="EO415" s="91"/>
      <c r="EP415" s="91"/>
      <c r="EQ415" s="91"/>
      <c r="ER415" s="91"/>
      <c r="ES415" s="91"/>
      <c r="ET415" s="91"/>
      <c r="EU415" s="91"/>
      <c r="EV415" s="91"/>
      <c r="EW415" s="91"/>
      <c r="EX415" s="91"/>
      <c r="EY415" s="91"/>
      <c r="EZ415" s="91"/>
      <c r="FA415" s="91"/>
      <c r="FB415" s="91"/>
      <c r="FC415" s="91"/>
      <c r="FD415" s="91"/>
      <c r="FE415" s="91"/>
      <c r="FF415" s="91"/>
      <c r="FG415" s="91"/>
      <c r="FH415" s="91"/>
      <c r="FI415" s="91"/>
      <c r="FJ415" s="91"/>
      <c r="FK415" s="91"/>
      <c r="FL415" s="91"/>
      <c r="FM415" s="91"/>
      <c r="FN415" s="91"/>
      <c r="FO415" s="91"/>
      <c r="FP415" s="91"/>
      <c r="FQ415" s="91"/>
      <c r="FR415" s="91"/>
      <c r="FS415" s="91"/>
      <c r="FT415" s="91"/>
      <c r="FU415" s="91"/>
      <c r="FV415" s="91"/>
      <c r="FW415" s="91"/>
      <c r="FX415" s="91"/>
      <c r="FY415" s="91"/>
      <c r="FZ415" s="91"/>
      <c r="GA415" s="91"/>
      <c r="GB415" s="91"/>
      <c r="GC415" s="91"/>
      <c r="GD415" s="91"/>
      <c r="GE415" s="91"/>
      <c r="GF415" s="91"/>
      <c r="GG415" s="91"/>
      <c r="GH415" s="91"/>
      <c r="GI415" s="91"/>
      <c r="GJ415" s="91"/>
      <c r="GK415" s="91"/>
      <c r="GL415" s="91"/>
      <c r="GM415" s="91"/>
      <c r="GN415" s="91"/>
      <c r="GO415" s="91"/>
      <c r="GP415" s="91"/>
      <c r="GQ415" s="91"/>
      <c r="GR415" s="91"/>
      <c r="GS415" s="91"/>
      <c r="GT415" s="91"/>
      <c r="GU415" s="91"/>
      <c r="GV415" s="91"/>
      <c r="GW415" s="91"/>
      <c r="GX415" s="91"/>
      <c r="GY415" s="91"/>
      <c r="GZ415" s="91"/>
      <c r="HA415" s="91"/>
      <c r="HB415" s="91"/>
      <c r="HC415" s="91"/>
      <c r="HD415" s="91"/>
      <c r="HE415" s="91"/>
      <c r="HF415" s="91"/>
      <c r="HG415" s="91"/>
      <c r="HH415" s="91"/>
      <c r="HI415" s="91"/>
      <c r="HJ415" s="91"/>
      <c r="HK415" s="91"/>
      <c r="HL415" s="91"/>
      <c r="HM415" s="91"/>
      <c r="HN415" s="91"/>
      <c r="HO415" s="91"/>
      <c r="HP415" s="91"/>
      <c r="HQ415" s="91"/>
      <c r="HR415" s="91"/>
      <c r="HS415" s="91"/>
      <c r="HT415" s="91"/>
      <c r="HU415" s="91"/>
      <c r="HV415" s="91"/>
      <c r="HW415" s="91"/>
      <c r="HX415" s="91"/>
      <c r="HY415" s="91"/>
      <c r="HZ415" s="91"/>
      <c r="IA415" s="91"/>
    </row>
    <row r="416" spans="1:16" ht="11.25">
      <c r="A416" s="43" t="s">
        <v>5</v>
      </c>
      <c r="B416" s="32"/>
      <c r="C416" s="32"/>
      <c r="D416" s="134"/>
      <c r="E416" s="134"/>
      <c r="F416" s="35"/>
      <c r="G416" s="134"/>
      <c r="H416" s="134"/>
      <c r="I416" s="134"/>
      <c r="J416" s="35"/>
      <c r="K416" s="38"/>
      <c r="L416" s="136"/>
      <c r="M416" s="136"/>
      <c r="N416" s="134"/>
      <c r="O416" s="134"/>
      <c r="P416" s="35"/>
    </row>
    <row r="417" spans="1:16" ht="24" customHeight="1">
      <c r="A417" s="44" t="s">
        <v>199</v>
      </c>
      <c r="B417" s="34"/>
      <c r="C417" s="34"/>
      <c r="D417" s="36"/>
      <c r="E417" s="36"/>
      <c r="F417" s="36">
        <v>230</v>
      </c>
      <c r="G417" s="36"/>
      <c r="H417" s="36"/>
      <c r="I417" s="36"/>
      <c r="J417" s="36"/>
      <c r="K417" s="36"/>
      <c r="L417" s="36"/>
      <c r="M417" s="36"/>
      <c r="N417" s="36"/>
      <c r="O417" s="36"/>
      <c r="P417" s="36"/>
    </row>
    <row r="418" spans="1:16" ht="13.5" customHeight="1">
      <c r="A418" s="44" t="s">
        <v>68</v>
      </c>
      <c r="B418" s="34"/>
      <c r="C418" s="34"/>
      <c r="D418" s="36"/>
      <c r="E418" s="36"/>
      <c r="F418" s="36"/>
      <c r="G418" s="36"/>
      <c r="H418" s="36"/>
      <c r="I418" s="36"/>
      <c r="J418" s="36"/>
      <c r="K418" s="36"/>
      <c r="L418" s="36"/>
      <c r="M418" s="36"/>
      <c r="N418" s="36"/>
      <c r="O418" s="36"/>
      <c r="P418" s="36"/>
    </row>
    <row r="419" spans="1:16" ht="23.25" customHeight="1">
      <c r="A419" s="44" t="s">
        <v>200</v>
      </c>
      <c r="B419" s="34"/>
      <c r="C419" s="34"/>
      <c r="D419" s="36">
        <v>180</v>
      </c>
      <c r="E419" s="36"/>
      <c r="F419" s="36">
        <f>D419</f>
        <v>180</v>
      </c>
      <c r="G419" s="36"/>
      <c r="H419" s="36"/>
      <c r="I419" s="36"/>
      <c r="J419" s="36"/>
      <c r="K419" s="36"/>
      <c r="L419" s="36"/>
      <c r="M419" s="36"/>
      <c r="N419" s="36"/>
      <c r="O419" s="36"/>
      <c r="P419" s="36"/>
    </row>
    <row r="420" spans="1:16" ht="27" customHeight="1">
      <c r="A420" s="44" t="s">
        <v>201</v>
      </c>
      <c r="B420" s="34"/>
      <c r="C420" s="34"/>
      <c r="D420" s="36">
        <v>540</v>
      </c>
      <c r="E420" s="36"/>
      <c r="F420" s="36">
        <f>D420</f>
        <v>540</v>
      </c>
      <c r="G420" s="36"/>
      <c r="H420" s="36"/>
      <c r="I420" s="36"/>
      <c r="J420" s="36"/>
      <c r="K420" s="36"/>
      <c r="L420" s="36"/>
      <c r="M420" s="36"/>
      <c r="N420" s="36"/>
      <c r="O420" s="36"/>
      <c r="P420" s="36"/>
    </row>
    <row r="421" spans="1:16" ht="11.25">
      <c r="A421" s="43" t="s">
        <v>7</v>
      </c>
      <c r="B421" s="32"/>
      <c r="C421" s="32"/>
      <c r="D421" s="135"/>
      <c r="E421" s="135"/>
      <c r="F421" s="36"/>
      <c r="G421" s="135"/>
      <c r="H421" s="135"/>
      <c r="I421" s="135"/>
      <c r="J421" s="36"/>
      <c r="K421" s="37"/>
      <c r="L421" s="103"/>
      <c r="M421" s="103"/>
      <c r="N421" s="135"/>
      <c r="O421" s="135"/>
      <c r="P421" s="36"/>
    </row>
    <row r="422" spans="1:16" ht="35.25" customHeight="1">
      <c r="A422" s="44" t="s">
        <v>202</v>
      </c>
      <c r="B422" s="34"/>
      <c r="C422" s="34"/>
      <c r="D422" s="36"/>
      <c r="E422" s="36"/>
      <c r="F422" s="36">
        <f>D422</f>
        <v>0</v>
      </c>
      <c r="G422" s="36"/>
      <c r="H422" s="36"/>
      <c r="I422" s="36"/>
      <c r="J422" s="36"/>
      <c r="K422" s="37"/>
      <c r="L422" s="37"/>
      <c r="M422" s="37"/>
      <c r="N422" s="36"/>
      <c r="O422" s="36"/>
      <c r="P422" s="36"/>
    </row>
    <row r="423" spans="1:16" ht="11.25">
      <c r="A423" s="44" t="s">
        <v>68</v>
      </c>
      <c r="B423" s="34"/>
      <c r="C423" s="34"/>
      <c r="D423" s="35"/>
      <c r="E423" s="35"/>
      <c r="F423" s="35"/>
      <c r="G423" s="35"/>
      <c r="H423" s="35"/>
      <c r="I423" s="35"/>
      <c r="J423" s="35"/>
      <c r="K423" s="38"/>
      <c r="L423" s="38"/>
      <c r="M423" s="38"/>
      <c r="N423" s="35"/>
      <c r="O423" s="35"/>
      <c r="P423" s="35"/>
    </row>
    <row r="424" spans="1:16" ht="23.25" customHeight="1">
      <c r="A424" s="44" t="s">
        <v>200</v>
      </c>
      <c r="B424" s="34"/>
      <c r="C424" s="34"/>
      <c r="D424" s="36">
        <v>122.96</v>
      </c>
      <c r="E424" s="36"/>
      <c r="F424" s="36">
        <f>D424</f>
        <v>122.96</v>
      </c>
      <c r="G424" s="36"/>
      <c r="H424" s="36"/>
      <c r="I424" s="36"/>
      <c r="J424" s="36"/>
      <c r="K424" s="38"/>
      <c r="L424" s="38"/>
      <c r="M424" s="38"/>
      <c r="N424" s="36"/>
      <c r="O424" s="36"/>
      <c r="P424" s="36"/>
    </row>
    <row r="425" spans="1:16" ht="24" customHeight="1">
      <c r="A425" s="44" t="s">
        <v>201</v>
      </c>
      <c r="B425" s="34"/>
      <c r="C425" s="34"/>
      <c r="D425" s="36">
        <v>502.86</v>
      </c>
      <c r="E425" s="36"/>
      <c r="F425" s="36">
        <f>D425</f>
        <v>502.86</v>
      </c>
      <c r="G425" s="36"/>
      <c r="H425" s="36"/>
      <c r="I425" s="36"/>
      <c r="J425" s="36"/>
      <c r="K425" s="38"/>
      <c r="L425" s="38"/>
      <c r="M425" s="38"/>
      <c r="N425" s="36"/>
      <c r="O425" s="36"/>
      <c r="P425" s="36"/>
    </row>
    <row r="426" spans="1:235" s="92" customFormat="1" ht="45">
      <c r="A426" s="96" t="s">
        <v>464</v>
      </c>
      <c r="B426" s="96"/>
      <c r="C426" s="96"/>
      <c r="D426" s="100"/>
      <c r="E426" s="100"/>
      <c r="F426" s="100"/>
      <c r="G426" s="100">
        <f>G430*G435+G431*G436</f>
        <v>99999.9999984</v>
      </c>
      <c r="H426" s="100"/>
      <c r="I426" s="100"/>
      <c r="J426" s="100">
        <f>G426+H426</f>
        <v>99999.9999984</v>
      </c>
      <c r="K426" s="100"/>
      <c r="L426" s="100"/>
      <c r="M426" s="100"/>
      <c r="N426" s="100">
        <f>(N430*N435)+(N431*N436)-1.3</f>
        <v>299210</v>
      </c>
      <c r="O426" s="100"/>
      <c r="P426" s="100">
        <f>N426</f>
        <v>299210</v>
      </c>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91"/>
      <c r="BC426" s="91"/>
      <c r="BD426" s="91"/>
      <c r="BE426" s="91"/>
      <c r="BF426" s="91"/>
      <c r="BG426" s="91"/>
      <c r="BH426" s="91"/>
      <c r="BI426" s="91"/>
      <c r="BJ426" s="91"/>
      <c r="BK426" s="91"/>
      <c r="BL426" s="91"/>
      <c r="BM426" s="91"/>
      <c r="BN426" s="91"/>
      <c r="BO426" s="91"/>
      <c r="BP426" s="91"/>
      <c r="BQ426" s="91"/>
      <c r="BR426" s="91"/>
      <c r="BS426" s="91"/>
      <c r="BT426" s="91"/>
      <c r="BU426" s="91"/>
      <c r="BV426" s="91"/>
      <c r="BW426" s="91"/>
      <c r="BX426" s="91"/>
      <c r="BY426" s="91"/>
      <c r="BZ426" s="91"/>
      <c r="CA426" s="91"/>
      <c r="CB426" s="91"/>
      <c r="CC426" s="91"/>
      <c r="CD426" s="91"/>
      <c r="CE426" s="91"/>
      <c r="CF426" s="91"/>
      <c r="CG426" s="91"/>
      <c r="CH426" s="91"/>
      <c r="CI426" s="91"/>
      <c r="CJ426" s="91"/>
      <c r="CK426" s="91"/>
      <c r="CL426" s="91"/>
      <c r="CM426" s="91"/>
      <c r="CN426" s="91"/>
      <c r="CO426" s="91"/>
      <c r="CP426" s="91"/>
      <c r="CQ426" s="91"/>
      <c r="CR426" s="91"/>
      <c r="CS426" s="91"/>
      <c r="CT426" s="91"/>
      <c r="CU426" s="91"/>
      <c r="CV426" s="91"/>
      <c r="CW426" s="91"/>
      <c r="CX426" s="91"/>
      <c r="CY426" s="91"/>
      <c r="CZ426" s="91"/>
      <c r="DA426" s="91"/>
      <c r="DB426" s="91"/>
      <c r="DC426" s="91"/>
      <c r="DD426" s="91"/>
      <c r="DE426" s="91"/>
      <c r="DF426" s="91"/>
      <c r="DG426" s="91"/>
      <c r="DH426" s="91"/>
      <c r="DI426" s="91"/>
      <c r="DJ426" s="91"/>
      <c r="DK426" s="91"/>
      <c r="DL426" s="91"/>
      <c r="DM426" s="91"/>
      <c r="DN426" s="91"/>
      <c r="DO426" s="91"/>
      <c r="DP426" s="91"/>
      <c r="DQ426" s="91"/>
      <c r="DR426" s="91"/>
      <c r="DS426" s="91"/>
      <c r="DT426" s="91"/>
      <c r="DU426" s="91"/>
      <c r="DV426" s="91"/>
      <c r="DW426" s="91"/>
      <c r="DX426" s="91"/>
      <c r="DY426" s="91"/>
      <c r="DZ426" s="91"/>
      <c r="EA426" s="91"/>
      <c r="EB426" s="91"/>
      <c r="EC426" s="91"/>
      <c r="ED426" s="91"/>
      <c r="EE426" s="91"/>
      <c r="EF426" s="91"/>
      <c r="EG426" s="91"/>
      <c r="EH426" s="91"/>
      <c r="EI426" s="91"/>
      <c r="EJ426" s="91"/>
      <c r="EK426" s="91"/>
      <c r="EL426" s="91"/>
      <c r="EM426" s="91"/>
      <c r="EN426" s="91"/>
      <c r="EO426" s="91"/>
      <c r="EP426" s="91"/>
      <c r="EQ426" s="91"/>
      <c r="ER426" s="91"/>
      <c r="ES426" s="91"/>
      <c r="ET426" s="91"/>
      <c r="EU426" s="91"/>
      <c r="EV426" s="91"/>
      <c r="EW426" s="91"/>
      <c r="EX426" s="91"/>
      <c r="EY426" s="91"/>
      <c r="EZ426" s="91"/>
      <c r="FA426" s="91"/>
      <c r="FB426" s="91"/>
      <c r="FC426" s="91"/>
      <c r="FD426" s="91"/>
      <c r="FE426" s="91"/>
      <c r="FF426" s="91"/>
      <c r="FG426" s="91"/>
      <c r="FH426" s="91"/>
      <c r="FI426" s="91"/>
      <c r="FJ426" s="91"/>
      <c r="FK426" s="91"/>
      <c r="FL426" s="91"/>
      <c r="FM426" s="91"/>
      <c r="FN426" s="91"/>
      <c r="FO426" s="91"/>
      <c r="FP426" s="91"/>
      <c r="FQ426" s="91"/>
      <c r="FR426" s="91"/>
      <c r="FS426" s="91"/>
      <c r="FT426" s="91"/>
      <c r="FU426" s="91"/>
      <c r="FV426" s="91"/>
      <c r="FW426" s="91"/>
      <c r="FX426" s="91"/>
      <c r="FY426" s="91"/>
      <c r="FZ426" s="91"/>
      <c r="GA426" s="91"/>
      <c r="GB426" s="91"/>
      <c r="GC426" s="91"/>
      <c r="GD426" s="91"/>
      <c r="GE426" s="91"/>
      <c r="GF426" s="91"/>
      <c r="GG426" s="91"/>
      <c r="GH426" s="91"/>
      <c r="GI426" s="91"/>
      <c r="GJ426" s="91"/>
      <c r="GK426" s="91"/>
      <c r="GL426" s="91"/>
      <c r="GM426" s="91"/>
      <c r="GN426" s="91"/>
      <c r="GO426" s="91"/>
      <c r="GP426" s="91"/>
      <c r="GQ426" s="91"/>
      <c r="GR426" s="91"/>
      <c r="GS426" s="91"/>
      <c r="GT426" s="91"/>
      <c r="GU426" s="91"/>
      <c r="GV426" s="91"/>
      <c r="GW426" s="91"/>
      <c r="GX426" s="91"/>
      <c r="GY426" s="91"/>
      <c r="GZ426" s="91"/>
      <c r="HA426" s="91"/>
      <c r="HB426" s="91"/>
      <c r="HC426" s="91"/>
      <c r="HD426" s="91"/>
      <c r="HE426" s="91"/>
      <c r="HF426" s="91"/>
      <c r="HG426" s="91"/>
      <c r="HH426" s="91"/>
      <c r="HI426" s="91"/>
      <c r="HJ426" s="91"/>
      <c r="HK426" s="91"/>
      <c r="HL426" s="91"/>
      <c r="HM426" s="91"/>
      <c r="HN426" s="91"/>
      <c r="HO426" s="91"/>
      <c r="HP426" s="91"/>
      <c r="HQ426" s="91"/>
      <c r="HR426" s="91"/>
      <c r="HS426" s="91"/>
      <c r="HT426" s="91"/>
      <c r="HU426" s="91"/>
      <c r="HV426" s="91"/>
      <c r="HW426" s="91"/>
      <c r="HX426" s="91"/>
      <c r="HY426" s="91"/>
      <c r="HZ426" s="91"/>
      <c r="IA426" s="91"/>
    </row>
    <row r="427" spans="1:16" ht="11.25">
      <c r="A427" s="43" t="s">
        <v>5</v>
      </c>
      <c r="B427" s="32"/>
      <c r="C427" s="32"/>
      <c r="D427" s="134"/>
      <c r="E427" s="134"/>
      <c r="F427" s="35"/>
      <c r="G427" s="134"/>
      <c r="H427" s="134"/>
      <c r="I427" s="134"/>
      <c r="J427" s="35"/>
      <c r="K427" s="38"/>
      <c r="L427" s="136"/>
      <c r="M427" s="136"/>
      <c r="N427" s="134"/>
      <c r="O427" s="134"/>
      <c r="P427" s="35"/>
    </row>
    <row r="428" spans="1:16" ht="24" customHeight="1">
      <c r="A428" s="44" t="s">
        <v>462</v>
      </c>
      <c r="B428" s="34"/>
      <c r="C428" s="34"/>
      <c r="D428" s="36"/>
      <c r="E428" s="36"/>
      <c r="F428" s="36"/>
      <c r="G428" s="36">
        <v>270</v>
      </c>
      <c r="H428" s="36"/>
      <c r="I428" s="36"/>
      <c r="J428" s="36">
        <v>257</v>
      </c>
      <c r="K428" s="36" t="e">
        <f>G428/D428*100</f>
        <v>#DIV/0!</v>
      </c>
      <c r="L428" s="36"/>
      <c r="M428" s="36"/>
      <c r="N428" s="36">
        <v>765</v>
      </c>
      <c r="O428" s="36"/>
      <c r="P428" s="36">
        <v>765</v>
      </c>
    </row>
    <row r="429" spans="1:16" ht="13.5" customHeight="1">
      <c r="A429" s="44" t="s">
        <v>68</v>
      </c>
      <c r="B429" s="34"/>
      <c r="C429" s="34"/>
      <c r="D429" s="36"/>
      <c r="E429" s="36"/>
      <c r="F429" s="36"/>
      <c r="G429" s="36"/>
      <c r="H429" s="36"/>
      <c r="I429" s="36"/>
      <c r="J429" s="36"/>
      <c r="K429" s="36"/>
      <c r="L429" s="36"/>
      <c r="M429" s="36"/>
      <c r="N429" s="36"/>
      <c r="O429" s="36"/>
      <c r="P429" s="36"/>
    </row>
    <row r="430" spans="1:16" ht="23.25" customHeight="1">
      <c r="A430" s="44" t="s">
        <v>200</v>
      </c>
      <c r="B430" s="34"/>
      <c r="C430" s="34"/>
      <c r="D430" s="36"/>
      <c r="E430" s="36"/>
      <c r="F430" s="36"/>
      <c r="G430" s="36">
        <v>77</v>
      </c>
      <c r="H430" s="36"/>
      <c r="I430" s="36"/>
      <c r="J430" s="36">
        <f>G430+H430</f>
        <v>77</v>
      </c>
      <c r="K430" s="36"/>
      <c r="L430" s="36"/>
      <c r="M430" s="36"/>
      <c r="N430" s="36">
        <v>225</v>
      </c>
      <c r="O430" s="36"/>
      <c r="P430" s="36">
        <f>N430</f>
        <v>225</v>
      </c>
    </row>
    <row r="431" spans="1:16" ht="27" customHeight="1">
      <c r="A431" s="44" t="s">
        <v>201</v>
      </c>
      <c r="B431" s="34"/>
      <c r="C431" s="34"/>
      <c r="D431" s="36"/>
      <c r="E431" s="36"/>
      <c r="F431" s="36"/>
      <c r="G431" s="36">
        <v>180</v>
      </c>
      <c r="H431" s="36"/>
      <c r="I431" s="36"/>
      <c r="J431" s="36">
        <f>G431+H431</f>
        <v>180</v>
      </c>
      <c r="K431" s="36"/>
      <c r="L431" s="36"/>
      <c r="M431" s="36"/>
      <c r="N431" s="36">
        <v>540</v>
      </c>
      <c r="O431" s="36"/>
      <c r="P431" s="36">
        <f>N431</f>
        <v>540</v>
      </c>
    </row>
    <row r="432" spans="1:16" ht="11.25">
      <c r="A432" s="43" t="s">
        <v>7</v>
      </c>
      <c r="B432" s="32"/>
      <c r="C432" s="32"/>
      <c r="D432" s="135"/>
      <c r="E432" s="135"/>
      <c r="F432" s="36"/>
      <c r="G432" s="135"/>
      <c r="H432" s="135"/>
      <c r="I432" s="135"/>
      <c r="J432" s="36"/>
      <c r="K432" s="37"/>
      <c r="L432" s="103"/>
      <c r="M432" s="103"/>
      <c r="N432" s="135"/>
      <c r="O432" s="135"/>
      <c r="P432" s="36"/>
    </row>
    <row r="433" spans="1:16" ht="36" customHeight="1">
      <c r="A433" s="44" t="s">
        <v>463</v>
      </c>
      <c r="B433" s="34"/>
      <c r="C433" s="34"/>
      <c r="D433" s="36"/>
      <c r="E433" s="36"/>
      <c r="F433" s="36"/>
      <c r="G433" s="36"/>
      <c r="H433" s="36"/>
      <c r="I433" s="36"/>
      <c r="J433" s="36">
        <f>G433</f>
        <v>0</v>
      </c>
      <c r="K433" s="37" t="e">
        <f>G433/D433*100</f>
        <v>#DIV/0!</v>
      </c>
      <c r="L433" s="37"/>
      <c r="M433" s="37"/>
      <c r="N433" s="36"/>
      <c r="O433" s="36"/>
      <c r="P433" s="36">
        <f>N433</f>
        <v>0</v>
      </c>
    </row>
    <row r="434" spans="1:16" ht="11.25">
      <c r="A434" s="44" t="s">
        <v>68</v>
      </c>
      <c r="B434" s="34"/>
      <c r="C434" s="34"/>
      <c r="D434" s="35"/>
      <c r="E434" s="35"/>
      <c r="F434" s="35"/>
      <c r="G434" s="35"/>
      <c r="H434" s="35"/>
      <c r="I434" s="35"/>
      <c r="J434" s="35"/>
      <c r="K434" s="38"/>
      <c r="L434" s="38"/>
      <c r="M434" s="38"/>
      <c r="N434" s="35"/>
      <c r="O434" s="35"/>
      <c r="P434" s="35"/>
    </row>
    <row r="435" spans="1:16" ht="23.25" customHeight="1">
      <c r="A435" s="44" t="s">
        <v>200</v>
      </c>
      <c r="B435" s="34"/>
      <c r="C435" s="34"/>
      <c r="D435" s="36"/>
      <c r="E435" s="36"/>
      <c r="F435" s="36"/>
      <c r="G435" s="36">
        <v>123</v>
      </c>
      <c r="H435" s="36"/>
      <c r="I435" s="36"/>
      <c r="J435" s="36">
        <f>G435</f>
        <v>123</v>
      </c>
      <c r="K435" s="38"/>
      <c r="L435" s="38"/>
      <c r="M435" s="38"/>
      <c r="N435" s="36">
        <v>144.9</v>
      </c>
      <c r="O435" s="36"/>
      <c r="P435" s="36">
        <f>N435</f>
        <v>144.9</v>
      </c>
    </row>
    <row r="436" spans="1:16" ht="24" customHeight="1">
      <c r="A436" s="44" t="s">
        <v>201</v>
      </c>
      <c r="B436" s="34"/>
      <c r="C436" s="34"/>
      <c r="D436" s="36"/>
      <c r="E436" s="36"/>
      <c r="F436" s="36"/>
      <c r="G436" s="36">
        <v>502.93888888</v>
      </c>
      <c r="H436" s="36"/>
      <c r="I436" s="36"/>
      <c r="J436" s="36">
        <f>G436</f>
        <v>502.93888888</v>
      </c>
      <c r="K436" s="38"/>
      <c r="L436" s="38"/>
      <c r="M436" s="38"/>
      <c r="N436" s="36">
        <v>493.72</v>
      </c>
      <c r="O436" s="36"/>
      <c r="P436" s="36">
        <f>N436</f>
        <v>493.72</v>
      </c>
    </row>
    <row r="437" spans="1:235" s="92" customFormat="1" ht="24" customHeight="1">
      <c r="A437" s="96" t="s">
        <v>369</v>
      </c>
      <c r="B437" s="96"/>
      <c r="C437" s="96"/>
      <c r="D437" s="100">
        <f>(D439*D441)+0.02</f>
        <v>51000.002</v>
      </c>
      <c r="E437" s="100"/>
      <c r="F437" s="100">
        <f>D437</f>
        <v>51000.002</v>
      </c>
      <c r="G437" s="100">
        <v>75000</v>
      </c>
      <c r="H437" s="100"/>
      <c r="I437" s="100"/>
      <c r="J437" s="100">
        <f>G437</f>
        <v>75000</v>
      </c>
      <c r="K437" s="100"/>
      <c r="L437" s="100"/>
      <c r="M437" s="100"/>
      <c r="N437" s="100">
        <v>75000</v>
      </c>
      <c r="O437" s="100"/>
      <c r="P437" s="100">
        <f>N437</f>
        <v>75000</v>
      </c>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91"/>
      <c r="BC437" s="91"/>
      <c r="BD437" s="91"/>
      <c r="BE437" s="91"/>
      <c r="BF437" s="91"/>
      <c r="BG437" s="91"/>
      <c r="BH437" s="91"/>
      <c r="BI437" s="91"/>
      <c r="BJ437" s="91"/>
      <c r="BK437" s="91"/>
      <c r="BL437" s="91"/>
      <c r="BM437" s="91"/>
      <c r="BN437" s="91"/>
      <c r="BO437" s="91"/>
      <c r="BP437" s="91"/>
      <c r="BQ437" s="91"/>
      <c r="BR437" s="91"/>
      <c r="BS437" s="91"/>
      <c r="BT437" s="91"/>
      <c r="BU437" s="91"/>
      <c r="BV437" s="91"/>
      <c r="BW437" s="91"/>
      <c r="BX437" s="91"/>
      <c r="BY437" s="91"/>
      <c r="BZ437" s="91"/>
      <c r="CA437" s="91"/>
      <c r="CB437" s="91"/>
      <c r="CC437" s="91"/>
      <c r="CD437" s="91"/>
      <c r="CE437" s="91"/>
      <c r="CF437" s="91"/>
      <c r="CG437" s="91"/>
      <c r="CH437" s="91"/>
      <c r="CI437" s="91"/>
      <c r="CJ437" s="91"/>
      <c r="CK437" s="91"/>
      <c r="CL437" s="91"/>
      <c r="CM437" s="91"/>
      <c r="CN437" s="91"/>
      <c r="CO437" s="91"/>
      <c r="CP437" s="91"/>
      <c r="CQ437" s="91"/>
      <c r="CR437" s="91"/>
      <c r="CS437" s="91"/>
      <c r="CT437" s="91"/>
      <c r="CU437" s="91"/>
      <c r="CV437" s="91"/>
      <c r="CW437" s="91"/>
      <c r="CX437" s="91"/>
      <c r="CY437" s="91"/>
      <c r="CZ437" s="91"/>
      <c r="DA437" s="91"/>
      <c r="DB437" s="91"/>
      <c r="DC437" s="91"/>
      <c r="DD437" s="91"/>
      <c r="DE437" s="91"/>
      <c r="DF437" s="91"/>
      <c r="DG437" s="91"/>
      <c r="DH437" s="91"/>
      <c r="DI437" s="91"/>
      <c r="DJ437" s="91"/>
      <c r="DK437" s="91"/>
      <c r="DL437" s="91"/>
      <c r="DM437" s="91"/>
      <c r="DN437" s="91"/>
      <c r="DO437" s="91"/>
      <c r="DP437" s="91"/>
      <c r="DQ437" s="91"/>
      <c r="DR437" s="91"/>
      <c r="DS437" s="91"/>
      <c r="DT437" s="91"/>
      <c r="DU437" s="91"/>
      <c r="DV437" s="91"/>
      <c r="DW437" s="91"/>
      <c r="DX437" s="91"/>
      <c r="DY437" s="91"/>
      <c r="DZ437" s="91"/>
      <c r="EA437" s="91"/>
      <c r="EB437" s="91"/>
      <c r="EC437" s="91"/>
      <c r="ED437" s="91"/>
      <c r="EE437" s="91"/>
      <c r="EF437" s="91"/>
      <c r="EG437" s="91"/>
      <c r="EH437" s="91"/>
      <c r="EI437" s="91"/>
      <c r="EJ437" s="91"/>
      <c r="EK437" s="91"/>
      <c r="EL437" s="91"/>
      <c r="EM437" s="91"/>
      <c r="EN437" s="91"/>
      <c r="EO437" s="91"/>
      <c r="EP437" s="91"/>
      <c r="EQ437" s="91"/>
      <c r="ER437" s="91"/>
      <c r="ES437" s="91"/>
      <c r="ET437" s="91"/>
      <c r="EU437" s="91"/>
      <c r="EV437" s="91"/>
      <c r="EW437" s="91"/>
      <c r="EX437" s="91"/>
      <c r="EY437" s="91"/>
      <c r="EZ437" s="91"/>
      <c r="FA437" s="91"/>
      <c r="FB437" s="91"/>
      <c r="FC437" s="91"/>
      <c r="FD437" s="91"/>
      <c r="FE437" s="91"/>
      <c r="FF437" s="91"/>
      <c r="FG437" s="91"/>
      <c r="FH437" s="91"/>
      <c r="FI437" s="91"/>
      <c r="FJ437" s="91"/>
      <c r="FK437" s="91"/>
      <c r="FL437" s="91"/>
      <c r="FM437" s="91"/>
      <c r="FN437" s="91"/>
      <c r="FO437" s="91"/>
      <c r="FP437" s="91"/>
      <c r="FQ437" s="91"/>
      <c r="FR437" s="91"/>
      <c r="FS437" s="91"/>
      <c r="FT437" s="91"/>
      <c r="FU437" s="91"/>
      <c r="FV437" s="91"/>
      <c r="FW437" s="91"/>
      <c r="FX437" s="91"/>
      <c r="FY437" s="91"/>
      <c r="FZ437" s="91"/>
      <c r="GA437" s="91"/>
      <c r="GB437" s="91"/>
      <c r="GC437" s="91"/>
      <c r="GD437" s="91"/>
      <c r="GE437" s="91"/>
      <c r="GF437" s="91"/>
      <c r="GG437" s="91"/>
      <c r="GH437" s="91"/>
      <c r="GI437" s="91"/>
      <c r="GJ437" s="91"/>
      <c r="GK437" s="91"/>
      <c r="GL437" s="91"/>
      <c r="GM437" s="91"/>
      <c r="GN437" s="91"/>
      <c r="GO437" s="91"/>
      <c r="GP437" s="91"/>
      <c r="GQ437" s="91"/>
      <c r="GR437" s="91"/>
      <c r="GS437" s="91"/>
      <c r="GT437" s="91"/>
      <c r="GU437" s="91"/>
      <c r="GV437" s="91"/>
      <c r="GW437" s="91"/>
      <c r="GX437" s="91"/>
      <c r="GY437" s="91"/>
      <c r="GZ437" s="91"/>
      <c r="HA437" s="91"/>
      <c r="HB437" s="91"/>
      <c r="HC437" s="91"/>
      <c r="HD437" s="91"/>
      <c r="HE437" s="91"/>
      <c r="HF437" s="91"/>
      <c r="HG437" s="91"/>
      <c r="HH437" s="91"/>
      <c r="HI437" s="91"/>
      <c r="HJ437" s="91"/>
      <c r="HK437" s="91"/>
      <c r="HL437" s="91"/>
      <c r="HM437" s="91"/>
      <c r="HN437" s="91"/>
      <c r="HO437" s="91"/>
      <c r="HP437" s="91"/>
      <c r="HQ437" s="91"/>
      <c r="HR437" s="91"/>
      <c r="HS437" s="91"/>
      <c r="HT437" s="91"/>
      <c r="HU437" s="91"/>
      <c r="HV437" s="91"/>
      <c r="HW437" s="91"/>
      <c r="HX437" s="91"/>
      <c r="HY437" s="91"/>
      <c r="HZ437" s="91"/>
      <c r="IA437" s="91"/>
    </row>
    <row r="438" spans="1:16" ht="12.75" customHeight="1">
      <c r="A438" s="43" t="s">
        <v>234</v>
      </c>
      <c r="B438" s="65"/>
      <c r="C438" s="65"/>
      <c r="D438" s="39"/>
      <c r="E438" s="39"/>
      <c r="F438" s="39"/>
      <c r="G438" s="39"/>
      <c r="H438" s="39"/>
      <c r="I438" s="39"/>
      <c r="J438" s="39"/>
      <c r="K438" s="137"/>
      <c r="L438" s="39"/>
      <c r="M438" s="39"/>
      <c r="N438" s="39"/>
      <c r="O438" s="39"/>
      <c r="P438" s="39"/>
    </row>
    <row r="439" spans="1:16" ht="24" customHeight="1">
      <c r="A439" s="55" t="s">
        <v>233</v>
      </c>
      <c r="B439" s="34"/>
      <c r="C439" s="34"/>
      <c r="D439" s="36">
        <v>6600</v>
      </c>
      <c r="E439" s="36"/>
      <c r="F439" s="36">
        <f>D439</f>
        <v>6600</v>
      </c>
      <c r="G439" s="36">
        <v>7200</v>
      </c>
      <c r="H439" s="36"/>
      <c r="I439" s="36"/>
      <c r="J439" s="36">
        <f>G439</f>
        <v>7200</v>
      </c>
      <c r="K439" s="38"/>
      <c r="L439" s="38"/>
      <c r="M439" s="38"/>
      <c r="N439" s="36">
        <v>7200</v>
      </c>
      <c r="O439" s="36"/>
      <c r="P439" s="36">
        <f>N439</f>
        <v>7200</v>
      </c>
    </row>
    <row r="440" spans="1:16" ht="11.25">
      <c r="A440" s="43" t="s">
        <v>7</v>
      </c>
      <c r="B440" s="34"/>
      <c r="C440" s="34"/>
      <c r="D440" s="36"/>
      <c r="E440" s="36"/>
      <c r="F440" s="36"/>
      <c r="G440" s="36"/>
      <c r="H440" s="36"/>
      <c r="I440" s="36"/>
      <c r="J440" s="36"/>
      <c r="K440" s="38"/>
      <c r="L440" s="38"/>
      <c r="M440" s="38"/>
      <c r="N440" s="36"/>
      <c r="O440" s="36"/>
      <c r="P440" s="36"/>
    </row>
    <row r="441" spans="1:16" ht="24" customHeight="1">
      <c r="A441" s="44" t="s">
        <v>235</v>
      </c>
      <c r="B441" s="34"/>
      <c r="C441" s="34"/>
      <c r="D441" s="36">
        <f>7727.27/1000</f>
        <v>7.727270000000001</v>
      </c>
      <c r="E441" s="36"/>
      <c r="F441" s="36">
        <f>D441</f>
        <v>7.727270000000001</v>
      </c>
      <c r="G441" s="36">
        <f>G437/G439</f>
        <v>10.416666666666666</v>
      </c>
      <c r="H441" s="36"/>
      <c r="I441" s="36"/>
      <c r="J441" s="36">
        <f>G441</f>
        <v>10.416666666666666</v>
      </c>
      <c r="K441" s="38"/>
      <c r="L441" s="38"/>
      <c r="M441" s="38"/>
      <c r="N441" s="36">
        <f>N437/N439</f>
        <v>10.416666666666666</v>
      </c>
      <c r="O441" s="36"/>
      <c r="P441" s="36">
        <f>N441</f>
        <v>10.416666666666666</v>
      </c>
    </row>
    <row r="442" spans="1:235" s="92" customFormat="1" ht="38.25" customHeight="1">
      <c r="A442" s="96" t="s">
        <v>370</v>
      </c>
      <c r="B442" s="96"/>
      <c r="C442" s="96"/>
      <c r="D442" s="100"/>
      <c r="E442" s="100"/>
      <c r="F442" s="100"/>
      <c r="G442" s="100">
        <f>G444*G446</f>
        <v>168999.9999996</v>
      </c>
      <c r="H442" s="100"/>
      <c r="I442" s="100"/>
      <c r="J442" s="100">
        <f>G442</f>
        <v>168999.9999996</v>
      </c>
      <c r="K442" s="103"/>
      <c r="L442" s="103"/>
      <c r="M442" s="103"/>
      <c r="N442" s="100">
        <f>N444*N446</f>
        <v>169999.999992</v>
      </c>
      <c r="O442" s="100"/>
      <c r="P442" s="100">
        <f>N442</f>
        <v>169999.999992</v>
      </c>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91"/>
      <c r="AN442" s="91"/>
      <c r="AO442" s="91"/>
      <c r="AP442" s="91"/>
      <c r="AQ442" s="91"/>
      <c r="AR442" s="91"/>
      <c r="AS442" s="91"/>
      <c r="AT442" s="91"/>
      <c r="AU442" s="91"/>
      <c r="AV442" s="91"/>
      <c r="AW442" s="91"/>
      <c r="AX442" s="91"/>
      <c r="AY442" s="91"/>
      <c r="AZ442" s="91"/>
      <c r="BA442" s="91"/>
      <c r="BB442" s="91"/>
      <c r="BC442" s="91"/>
      <c r="BD442" s="91"/>
      <c r="BE442" s="91"/>
      <c r="BF442" s="91"/>
      <c r="BG442" s="91"/>
      <c r="BH442" s="91"/>
      <c r="BI442" s="91"/>
      <c r="BJ442" s="91"/>
      <c r="BK442" s="91"/>
      <c r="BL442" s="91"/>
      <c r="BM442" s="91"/>
      <c r="BN442" s="91"/>
      <c r="BO442" s="91"/>
      <c r="BP442" s="91"/>
      <c r="BQ442" s="91"/>
      <c r="BR442" s="91"/>
      <c r="BS442" s="91"/>
      <c r="BT442" s="91"/>
      <c r="BU442" s="91"/>
      <c r="BV442" s="91"/>
      <c r="BW442" s="91"/>
      <c r="BX442" s="91"/>
      <c r="BY442" s="91"/>
      <c r="BZ442" s="91"/>
      <c r="CA442" s="91"/>
      <c r="CB442" s="91"/>
      <c r="CC442" s="91"/>
      <c r="CD442" s="91"/>
      <c r="CE442" s="91"/>
      <c r="CF442" s="91"/>
      <c r="CG442" s="91"/>
      <c r="CH442" s="91"/>
      <c r="CI442" s="91"/>
      <c r="CJ442" s="91"/>
      <c r="CK442" s="91"/>
      <c r="CL442" s="91"/>
      <c r="CM442" s="91"/>
      <c r="CN442" s="91"/>
      <c r="CO442" s="91"/>
      <c r="CP442" s="91"/>
      <c r="CQ442" s="91"/>
      <c r="CR442" s="91"/>
      <c r="CS442" s="91"/>
      <c r="CT442" s="91"/>
      <c r="CU442" s="91"/>
      <c r="CV442" s="91"/>
      <c r="CW442" s="91"/>
      <c r="CX442" s="91"/>
      <c r="CY442" s="91"/>
      <c r="CZ442" s="91"/>
      <c r="DA442" s="91"/>
      <c r="DB442" s="91"/>
      <c r="DC442" s="91"/>
      <c r="DD442" s="91"/>
      <c r="DE442" s="91"/>
      <c r="DF442" s="91"/>
      <c r="DG442" s="91"/>
      <c r="DH442" s="91"/>
      <c r="DI442" s="91"/>
      <c r="DJ442" s="91"/>
      <c r="DK442" s="91"/>
      <c r="DL442" s="91"/>
      <c r="DM442" s="91"/>
      <c r="DN442" s="91"/>
      <c r="DO442" s="91"/>
      <c r="DP442" s="91"/>
      <c r="DQ442" s="91"/>
      <c r="DR442" s="91"/>
      <c r="DS442" s="91"/>
      <c r="DT442" s="91"/>
      <c r="DU442" s="91"/>
      <c r="DV442" s="91"/>
      <c r="DW442" s="91"/>
      <c r="DX442" s="91"/>
      <c r="DY442" s="91"/>
      <c r="DZ442" s="91"/>
      <c r="EA442" s="91"/>
      <c r="EB442" s="91"/>
      <c r="EC442" s="91"/>
      <c r="ED442" s="91"/>
      <c r="EE442" s="91"/>
      <c r="EF442" s="91"/>
      <c r="EG442" s="91"/>
      <c r="EH442" s="91"/>
      <c r="EI442" s="91"/>
      <c r="EJ442" s="91"/>
      <c r="EK442" s="91"/>
      <c r="EL442" s="91"/>
      <c r="EM442" s="91"/>
      <c r="EN442" s="91"/>
      <c r="EO442" s="91"/>
      <c r="EP442" s="91"/>
      <c r="EQ442" s="91"/>
      <c r="ER442" s="91"/>
      <c r="ES442" s="91"/>
      <c r="ET442" s="91"/>
      <c r="EU442" s="91"/>
      <c r="EV442" s="91"/>
      <c r="EW442" s="91"/>
      <c r="EX442" s="91"/>
      <c r="EY442" s="91"/>
      <c r="EZ442" s="91"/>
      <c r="FA442" s="91"/>
      <c r="FB442" s="91"/>
      <c r="FC442" s="91"/>
      <c r="FD442" s="91"/>
      <c r="FE442" s="91"/>
      <c r="FF442" s="91"/>
      <c r="FG442" s="91"/>
      <c r="FH442" s="91"/>
      <c r="FI442" s="91"/>
      <c r="FJ442" s="91"/>
      <c r="FK442" s="91"/>
      <c r="FL442" s="91"/>
      <c r="FM442" s="91"/>
      <c r="FN442" s="91"/>
      <c r="FO442" s="91"/>
      <c r="FP442" s="91"/>
      <c r="FQ442" s="91"/>
      <c r="FR442" s="91"/>
      <c r="FS442" s="91"/>
      <c r="FT442" s="91"/>
      <c r="FU442" s="91"/>
      <c r="FV442" s="91"/>
      <c r="FW442" s="91"/>
      <c r="FX442" s="91"/>
      <c r="FY442" s="91"/>
      <c r="FZ442" s="91"/>
      <c r="GA442" s="91"/>
      <c r="GB442" s="91"/>
      <c r="GC442" s="91"/>
      <c r="GD442" s="91"/>
      <c r="GE442" s="91"/>
      <c r="GF442" s="91"/>
      <c r="GG442" s="91"/>
      <c r="GH442" s="91"/>
      <c r="GI442" s="91"/>
      <c r="GJ442" s="91"/>
      <c r="GK442" s="91"/>
      <c r="GL442" s="91"/>
      <c r="GM442" s="91"/>
      <c r="GN442" s="91"/>
      <c r="GO442" s="91"/>
      <c r="GP442" s="91"/>
      <c r="GQ442" s="91"/>
      <c r="GR442" s="91"/>
      <c r="GS442" s="91"/>
      <c r="GT442" s="91"/>
      <c r="GU442" s="91"/>
      <c r="GV442" s="91"/>
      <c r="GW442" s="91"/>
      <c r="GX442" s="91"/>
      <c r="GY442" s="91"/>
      <c r="GZ442" s="91"/>
      <c r="HA442" s="91"/>
      <c r="HB442" s="91"/>
      <c r="HC442" s="91"/>
      <c r="HD442" s="91"/>
      <c r="HE442" s="91"/>
      <c r="HF442" s="91"/>
      <c r="HG442" s="91"/>
      <c r="HH442" s="91"/>
      <c r="HI442" s="91"/>
      <c r="HJ442" s="91"/>
      <c r="HK442" s="91"/>
      <c r="HL442" s="91"/>
      <c r="HM442" s="91"/>
      <c r="HN442" s="91"/>
      <c r="HO442" s="91"/>
      <c r="HP442" s="91"/>
      <c r="HQ442" s="91"/>
      <c r="HR442" s="91"/>
      <c r="HS442" s="91"/>
      <c r="HT442" s="91"/>
      <c r="HU442" s="91"/>
      <c r="HV442" s="91"/>
      <c r="HW442" s="91"/>
      <c r="HX442" s="91"/>
      <c r="HY442" s="91"/>
      <c r="HZ442" s="91"/>
      <c r="IA442" s="91"/>
    </row>
    <row r="443" spans="1:16" ht="11.25">
      <c r="A443" s="43" t="s">
        <v>234</v>
      </c>
      <c r="B443" s="65"/>
      <c r="C443" s="65"/>
      <c r="D443" s="39"/>
      <c r="E443" s="39"/>
      <c r="F443" s="39"/>
      <c r="G443" s="39"/>
      <c r="H443" s="39"/>
      <c r="I443" s="39"/>
      <c r="J443" s="39"/>
      <c r="K443" s="38"/>
      <c r="L443" s="38"/>
      <c r="M443" s="38"/>
      <c r="N443" s="36"/>
      <c r="O443" s="36"/>
      <c r="P443" s="36"/>
    </row>
    <row r="444" spans="1:16" ht="40.5" customHeight="1">
      <c r="A444" s="55" t="s">
        <v>286</v>
      </c>
      <c r="B444" s="34"/>
      <c r="C444" s="34"/>
      <c r="D444" s="36"/>
      <c r="E444" s="36"/>
      <c r="F444" s="36"/>
      <c r="G444" s="36">
        <v>12</v>
      </c>
      <c r="H444" s="36"/>
      <c r="I444" s="36"/>
      <c r="J444" s="36">
        <f>G444</f>
        <v>12</v>
      </c>
      <c r="K444" s="38"/>
      <c r="L444" s="38"/>
      <c r="M444" s="38"/>
      <c r="N444" s="36">
        <v>12</v>
      </c>
      <c r="O444" s="36"/>
      <c r="P444" s="36">
        <f>N444</f>
        <v>12</v>
      </c>
    </row>
    <row r="445" spans="1:16" ht="11.25">
      <c r="A445" s="43" t="s">
        <v>7</v>
      </c>
      <c r="B445" s="34"/>
      <c r="C445" s="34"/>
      <c r="D445" s="36"/>
      <c r="E445" s="36"/>
      <c r="F445" s="36"/>
      <c r="G445" s="36"/>
      <c r="H445" s="36"/>
      <c r="I445" s="36"/>
      <c r="J445" s="36"/>
      <c r="K445" s="38"/>
      <c r="L445" s="38"/>
      <c r="M445" s="38"/>
      <c r="N445" s="36"/>
      <c r="O445" s="36"/>
      <c r="P445" s="36"/>
    </row>
    <row r="446" spans="1:16" ht="36.75" customHeight="1">
      <c r="A446" s="44" t="s">
        <v>287</v>
      </c>
      <c r="B446" s="34"/>
      <c r="C446" s="34"/>
      <c r="D446" s="36"/>
      <c r="E446" s="36"/>
      <c r="F446" s="36"/>
      <c r="G446" s="36">
        <v>14083.3333333</v>
      </c>
      <c r="H446" s="36"/>
      <c r="I446" s="36"/>
      <c r="J446" s="36">
        <f>G446</f>
        <v>14083.3333333</v>
      </c>
      <c r="K446" s="38"/>
      <c r="L446" s="38"/>
      <c r="M446" s="38"/>
      <c r="N446" s="36">
        <v>14166.666666</v>
      </c>
      <c r="O446" s="36"/>
      <c r="P446" s="36">
        <f>N446</f>
        <v>14166.666666</v>
      </c>
    </row>
    <row r="447" spans="1:16" ht="2.25" customHeight="1" hidden="1">
      <c r="A447" s="44"/>
      <c r="B447" s="34"/>
      <c r="C447" s="34"/>
      <c r="D447" s="36"/>
      <c r="E447" s="36"/>
      <c r="F447" s="36"/>
      <c r="G447" s="36"/>
      <c r="H447" s="36"/>
      <c r="I447" s="36"/>
      <c r="J447" s="36"/>
      <c r="K447" s="38"/>
      <c r="L447" s="38"/>
      <c r="M447" s="38"/>
      <c r="N447" s="36"/>
      <c r="O447" s="36"/>
      <c r="P447" s="36"/>
    </row>
    <row r="448" spans="1:16" ht="24" customHeight="1" hidden="1">
      <c r="A448" s="44"/>
      <c r="B448" s="34"/>
      <c r="C448" s="34"/>
      <c r="D448" s="36"/>
      <c r="E448" s="36"/>
      <c r="F448" s="36"/>
      <c r="G448" s="36"/>
      <c r="H448" s="36"/>
      <c r="I448" s="36"/>
      <c r="J448" s="36"/>
      <c r="K448" s="38"/>
      <c r="L448" s="38"/>
      <c r="M448" s="38"/>
      <c r="N448" s="36"/>
      <c r="O448" s="36"/>
      <c r="P448" s="36"/>
    </row>
    <row r="449" spans="1:16" ht="24" customHeight="1" hidden="1">
      <c r="A449" s="44"/>
      <c r="B449" s="34"/>
      <c r="C449" s="34"/>
      <c r="D449" s="36"/>
      <c r="E449" s="36"/>
      <c r="F449" s="36"/>
      <c r="G449" s="36"/>
      <c r="H449" s="36"/>
      <c r="I449" s="36"/>
      <c r="J449" s="36"/>
      <c r="K449" s="38"/>
      <c r="L449" s="38"/>
      <c r="M449" s="38"/>
      <c r="N449" s="36"/>
      <c r="O449" s="36"/>
      <c r="P449" s="36"/>
    </row>
    <row r="450" spans="1:16" ht="24" customHeight="1" hidden="1">
      <c r="A450" s="44"/>
      <c r="B450" s="34"/>
      <c r="C450" s="34"/>
      <c r="D450" s="36"/>
      <c r="E450" s="36"/>
      <c r="F450" s="36"/>
      <c r="G450" s="36"/>
      <c r="H450" s="36"/>
      <c r="I450" s="36"/>
      <c r="J450" s="36"/>
      <c r="K450" s="38"/>
      <c r="L450" s="38"/>
      <c r="M450" s="38"/>
      <c r="N450" s="36"/>
      <c r="O450" s="36"/>
      <c r="P450" s="36"/>
    </row>
    <row r="451" spans="1:235" s="92" customFormat="1" ht="45">
      <c r="A451" s="96" t="s">
        <v>465</v>
      </c>
      <c r="B451" s="96"/>
      <c r="C451" s="96"/>
      <c r="D451" s="100">
        <v>216</v>
      </c>
      <c r="E451" s="100"/>
      <c r="F451" s="100">
        <f>D451</f>
        <v>216</v>
      </c>
      <c r="G451" s="100">
        <f>G454*G457</f>
        <v>33300</v>
      </c>
      <c r="H451" s="100"/>
      <c r="I451" s="100"/>
      <c r="J451" s="100">
        <f>G451</f>
        <v>33300</v>
      </c>
      <c r="K451" s="103"/>
      <c r="L451" s="103"/>
      <c r="M451" s="103"/>
      <c r="N451" s="100">
        <f>N454*N457+N453*N456</f>
        <v>35199.999996</v>
      </c>
      <c r="O451" s="100"/>
      <c r="P451" s="100">
        <f>N451</f>
        <v>35199.999996</v>
      </c>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91"/>
      <c r="AN451" s="91"/>
      <c r="AO451" s="91"/>
      <c r="AP451" s="91"/>
      <c r="AQ451" s="91"/>
      <c r="AR451" s="91"/>
      <c r="AS451" s="91"/>
      <c r="AT451" s="91"/>
      <c r="AU451" s="91"/>
      <c r="AV451" s="91"/>
      <c r="AW451" s="91"/>
      <c r="AX451" s="91"/>
      <c r="AY451" s="91"/>
      <c r="AZ451" s="91"/>
      <c r="BA451" s="91"/>
      <c r="BB451" s="91"/>
      <c r="BC451" s="91"/>
      <c r="BD451" s="91"/>
      <c r="BE451" s="91"/>
      <c r="BF451" s="91"/>
      <c r="BG451" s="91"/>
      <c r="BH451" s="91"/>
      <c r="BI451" s="91"/>
      <c r="BJ451" s="91"/>
      <c r="BK451" s="91"/>
      <c r="BL451" s="91"/>
      <c r="BM451" s="91"/>
      <c r="BN451" s="91"/>
      <c r="BO451" s="91"/>
      <c r="BP451" s="91"/>
      <c r="BQ451" s="91"/>
      <c r="BR451" s="91"/>
      <c r="BS451" s="91"/>
      <c r="BT451" s="91"/>
      <c r="BU451" s="91"/>
      <c r="BV451" s="91"/>
      <c r="BW451" s="91"/>
      <c r="BX451" s="91"/>
      <c r="BY451" s="91"/>
      <c r="BZ451" s="91"/>
      <c r="CA451" s="91"/>
      <c r="CB451" s="91"/>
      <c r="CC451" s="91"/>
      <c r="CD451" s="91"/>
      <c r="CE451" s="91"/>
      <c r="CF451" s="91"/>
      <c r="CG451" s="91"/>
      <c r="CH451" s="91"/>
      <c r="CI451" s="91"/>
      <c r="CJ451" s="91"/>
      <c r="CK451" s="91"/>
      <c r="CL451" s="91"/>
      <c r="CM451" s="91"/>
      <c r="CN451" s="91"/>
      <c r="CO451" s="91"/>
      <c r="CP451" s="91"/>
      <c r="CQ451" s="91"/>
      <c r="CR451" s="91"/>
      <c r="CS451" s="91"/>
      <c r="CT451" s="91"/>
      <c r="CU451" s="91"/>
      <c r="CV451" s="91"/>
      <c r="CW451" s="91"/>
      <c r="CX451" s="91"/>
      <c r="CY451" s="91"/>
      <c r="CZ451" s="91"/>
      <c r="DA451" s="91"/>
      <c r="DB451" s="91"/>
      <c r="DC451" s="91"/>
      <c r="DD451" s="91"/>
      <c r="DE451" s="91"/>
      <c r="DF451" s="91"/>
      <c r="DG451" s="91"/>
      <c r="DH451" s="91"/>
      <c r="DI451" s="91"/>
      <c r="DJ451" s="91"/>
      <c r="DK451" s="91"/>
      <c r="DL451" s="91"/>
      <c r="DM451" s="91"/>
      <c r="DN451" s="91"/>
      <c r="DO451" s="91"/>
      <c r="DP451" s="91"/>
      <c r="DQ451" s="91"/>
      <c r="DR451" s="91"/>
      <c r="DS451" s="91"/>
      <c r="DT451" s="91"/>
      <c r="DU451" s="91"/>
      <c r="DV451" s="91"/>
      <c r="DW451" s="91"/>
      <c r="DX451" s="91"/>
      <c r="DY451" s="91"/>
      <c r="DZ451" s="91"/>
      <c r="EA451" s="91"/>
      <c r="EB451" s="91"/>
      <c r="EC451" s="91"/>
      <c r="ED451" s="91"/>
      <c r="EE451" s="91"/>
      <c r="EF451" s="91"/>
      <c r="EG451" s="91"/>
      <c r="EH451" s="91"/>
      <c r="EI451" s="91"/>
      <c r="EJ451" s="91"/>
      <c r="EK451" s="91"/>
      <c r="EL451" s="91"/>
      <c r="EM451" s="91"/>
      <c r="EN451" s="91"/>
      <c r="EO451" s="91"/>
      <c r="EP451" s="91"/>
      <c r="EQ451" s="91"/>
      <c r="ER451" s="91"/>
      <c r="ES451" s="91"/>
      <c r="ET451" s="91"/>
      <c r="EU451" s="91"/>
      <c r="EV451" s="91"/>
      <c r="EW451" s="91"/>
      <c r="EX451" s="91"/>
      <c r="EY451" s="91"/>
      <c r="EZ451" s="91"/>
      <c r="FA451" s="91"/>
      <c r="FB451" s="91"/>
      <c r="FC451" s="91"/>
      <c r="FD451" s="91"/>
      <c r="FE451" s="91"/>
      <c r="FF451" s="91"/>
      <c r="FG451" s="91"/>
      <c r="FH451" s="91"/>
      <c r="FI451" s="91"/>
      <c r="FJ451" s="91"/>
      <c r="FK451" s="91"/>
      <c r="FL451" s="91"/>
      <c r="FM451" s="91"/>
      <c r="FN451" s="91"/>
      <c r="FO451" s="91"/>
      <c r="FP451" s="91"/>
      <c r="FQ451" s="91"/>
      <c r="FR451" s="91"/>
      <c r="FS451" s="91"/>
      <c r="FT451" s="91"/>
      <c r="FU451" s="91"/>
      <c r="FV451" s="91"/>
      <c r="FW451" s="91"/>
      <c r="FX451" s="91"/>
      <c r="FY451" s="91"/>
      <c r="FZ451" s="91"/>
      <c r="GA451" s="91"/>
      <c r="GB451" s="91"/>
      <c r="GC451" s="91"/>
      <c r="GD451" s="91"/>
      <c r="GE451" s="91"/>
      <c r="GF451" s="91"/>
      <c r="GG451" s="91"/>
      <c r="GH451" s="91"/>
      <c r="GI451" s="91"/>
      <c r="GJ451" s="91"/>
      <c r="GK451" s="91"/>
      <c r="GL451" s="91"/>
      <c r="GM451" s="91"/>
      <c r="GN451" s="91"/>
      <c r="GO451" s="91"/>
      <c r="GP451" s="91"/>
      <c r="GQ451" s="91"/>
      <c r="GR451" s="91"/>
      <c r="GS451" s="91"/>
      <c r="GT451" s="91"/>
      <c r="GU451" s="91"/>
      <c r="GV451" s="91"/>
      <c r="GW451" s="91"/>
      <c r="GX451" s="91"/>
      <c r="GY451" s="91"/>
      <c r="GZ451" s="91"/>
      <c r="HA451" s="91"/>
      <c r="HB451" s="91"/>
      <c r="HC451" s="91"/>
      <c r="HD451" s="91"/>
      <c r="HE451" s="91"/>
      <c r="HF451" s="91"/>
      <c r="HG451" s="91"/>
      <c r="HH451" s="91"/>
      <c r="HI451" s="91"/>
      <c r="HJ451" s="91"/>
      <c r="HK451" s="91"/>
      <c r="HL451" s="91"/>
      <c r="HM451" s="91"/>
      <c r="HN451" s="91"/>
      <c r="HO451" s="91"/>
      <c r="HP451" s="91"/>
      <c r="HQ451" s="91"/>
      <c r="HR451" s="91"/>
      <c r="HS451" s="91"/>
      <c r="HT451" s="91"/>
      <c r="HU451" s="91"/>
      <c r="HV451" s="91"/>
      <c r="HW451" s="91"/>
      <c r="HX451" s="91"/>
      <c r="HY451" s="91"/>
      <c r="HZ451" s="91"/>
      <c r="IA451" s="91"/>
    </row>
    <row r="452" spans="1:16" ht="11.25">
      <c r="A452" s="43" t="s">
        <v>234</v>
      </c>
      <c r="B452" s="65"/>
      <c r="C452" s="65"/>
      <c r="D452" s="39"/>
      <c r="E452" s="39"/>
      <c r="F452" s="39"/>
      <c r="G452" s="39"/>
      <c r="H452" s="39"/>
      <c r="I452" s="39"/>
      <c r="J452" s="39"/>
      <c r="K452" s="38"/>
      <c r="L452" s="38"/>
      <c r="M452" s="38"/>
      <c r="N452" s="36"/>
      <c r="O452" s="36"/>
      <c r="P452" s="36"/>
    </row>
    <row r="453" spans="1:16" ht="22.5">
      <c r="A453" s="55" t="s">
        <v>467</v>
      </c>
      <c r="B453" s="65"/>
      <c r="C453" s="65"/>
      <c r="D453" s="39"/>
      <c r="E453" s="39"/>
      <c r="F453" s="39"/>
      <c r="G453" s="39"/>
      <c r="H453" s="39"/>
      <c r="I453" s="39"/>
      <c r="J453" s="39"/>
      <c r="K453" s="38"/>
      <c r="L453" s="38"/>
      <c r="M453" s="38"/>
      <c r="N453" s="36">
        <v>1</v>
      </c>
      <c r="O453" s="36"/>
      <c r="P453" s="36">
        <f>N453</f>
        <v>1</v>
      </c>
    </row>
    <row r="454" spans="1:16" ht="39" customHeight="1">
      <c r="A454" s="55" t="s">
        <v>288</v>
      </c>
      <c r="B454" s="34"/>
      <c r="C454" s="34"/>
      <c r="D454" s="36">
        <v>2</v>
      </c>
      <c r="E454" s="36"/>
      <c r="F454" s="36">
        <f>D454</f>
        <v>2</v>
      </c>
      <c r="G454" s="36">
        <v>12</v>
      </c>
      <c r="H454" s="36"/>
      <c r="I454" s="36"/>
      <c r="J454" s="36">
        <f>G454</f>
        <v>12</v>
      </c>
      <c r="K454" s="38"/>
      <c r="L454" s="38"/>
      <c r="M454" s="38"/>
      <c r="N454" s="36">
        <v>12</v>
      </c>
      <c r="O454" s="36"/>
      <c r="P454" s="36">
        <f>N454</f>
        <v>12</v>
      </c>
    </row>
    <row r="455" spans="1:16" ht="11.25">
      <c r="A455" s="43" t="s">
        <v>7</v>
      </c>
      <c r="B455" s="34"/>
      <c r="C455" s="34"/>
      <c r="D455" s="36"/>
      <c r="E455" s="36"/>
      <c r="F455" s="36"/>
      <c r="G455" s="36"/>
      <c r="H455" s="36"/>
      <c r="I455" s="36"/>
      <c r="J455" s="36"/>
      <c r="K455" s="38"/>
      <c r="L455" s="38"/>
      <c r="M455" s="38"/>
      <c r="N455" s="36"/>
      <c r="O455" s="36"/>
      <c r="P455" s="36"/>
    </row>
    <row r="456" spans="1:16" ht="22.5">
      <c r="A456" s="44" t="s">
        <v>466</v>
      </c>
      <c r="B456" s="34"/>
      <c r="C456" s="34"/>
      <c r="D456" s="36"/>
      <c r="E456" s="36"/>
      <c r="F456" s="36"/>
      <c r="G456" s="36"/>
      <c r="H456" s="36"/>
      <c r="I456" s="36"/>
      <c r="J456" s="36"/>
      <c r="K456" s="38"/>
      <c r="L456" s="38"/>
      <c r="M456" s="38"/>
      <c r="N456" s="36">
        <v>25200</v>
      </c>
      <c r="O456" s="36"/>
      <c r="P456" s="36">
        <f>N456</f>
        <v>25200</v>
      </c>
    </row>
    <row r="457" spans="1:16" ht="33.75" customHeight="1">
      <c r="A457" s="44" t="s">
        <v>289</v>
      </c>
      <c r="B457" s="34"/>
      <c r="C457" s="34"/>
      <c r="D457" s="36">
        <f>D451/D454</f>
        <v>108</v>
      </c>
      <c r="E457" s="36"/>
      <c r="F457" s="36">
        <f>D457</f>
        <v>108</v>
      </c>
      <c r="G457" s="36">
        <v>2775</v>
      </c>
      <c r="H457" s="36"/>
      <c r="I457" s="36"/>
      <c r="J457" s="36">
        <f>G457</f>
        <v>2775</v>
      </c>
      <c r="K457" s="38"/>
      <c r="L457" s="38"/>
      <c r="M457" s="38"/>
      <c r="N457" s="36">
        <v>833.333333</v>
      </c>
      <c r="O457" s="36"/>
      <c r="P457" s="36">
        <f>N457</f>
        <v>833.333333</v>
      </c>
    </row>
    <row r="458" spans="1:235" s="85" customFormat="1" ht="12">
      <c r="A458" s="125" t="s">
        <v>425</v>
      </c>
      <c r="B458" s="122"/>
      <c r="C458" s="122"/>
      <c r="D458" s="123"/>
      <c r="E458" s="123">
        <f>E463+E471+E476</f>
        <v>534080</v>
      </c>
      <c r="F458" s="123">
        <f>E458</f>
        <v>534080</v>
      </c>
      <c r="G458" s="123">
        <f>G459+G460+G461</f>
        <v>0</v>
      </c>
      <c r="H458" s="123">
        <f>H463+H471+H476+H490+H497+H483+H461</f>
        <v>1116509.9999997</v>
      </c>
      <c r="I458" s="123"/>
      <c r="J458" s="123">
        <f>J459+J460+J461</f>
        <v>1116509.9999997</v>
      </c>
      <c r="K458" s="138"/>
      <c r="L458" s="139"/>
      <c r="M458" s="139"/>
      <c r="N458" s="123">
        <f>N459+N460+N461</f>
        <v>0</v>
      </c>
      <c r="O458" s="123">
        <f>O463+O471+O476+O483+O461</f>
        <v>5769509.9999997</v>
      </c>
      <c r="P458" s="123">
        <f>O458+N458</f>
        <v>5769509.9999997</v>
      </c>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c r="AN458" s="121"/>
      <c r="AO458" s="121"/>
      <c r="AP458" s="121"/>
      <c r="AQ458" s="121"/>
      <c r="AR458" s="121"/>
      <c r="AS458" s="121"/>
      <c r="AT458" s="121"/>
      <c r="AU458" s="121"/>
      <c r="AV458" s="121"/>
      <c r="AW458" s="121"/>
      <c r="AX458" s="121"/>
      <c r="AY458" s="121"/>
      <c r="AZ458" s="121"/>
      <c r="BA458" s="121"/>
      <c r="BB458" s="121"/>
      <c r="BC458" s="121"/>
      <c r="BD458" s="121"/>
      <c r="BE458" s="121"/>
      <c r="BF458" s="121"/>
      <c r="BG458" s="121"/>
      <c r="BH458" s="121"/>
      <c r="BI458" s="121"/>
      <c r="BJ458" s="121"/>
      <c r="BK458" s="121"/>
      <c r="BL458" s="121"/>
      <c r="BM458" s="121"/>
      <c r="BN458" s="121"/>
      <c r="BO458" s="121"/>
      <c r="BP458" s="121"/>
      <c r="BQ458" s="121"/>
      <c r="BR458" s="121"/>
      <c r="BS458" s="121"/>
      <c r="BT458" s="121"/>
      <c r="BU458" s="121"/>
      <c r="BV458" s="121"/>
      <c r="BW458" s="121"/>
      <c r="BX458" s="121"/>
      <c r="BY458" s="121"/>
      <c r="BZ458" s="121"/>
      <c r="CA458" s="121"/>
      <c r="CB458" s="121"/>
      <c r="CC458" s="121"/>
      <c r="CD458" s="121"/>
      <c r="CE458" s="121"/>
      <c r="CF458" s="121"/>
      <c r="CG458" s="121"/>
      <c r="CH458" s="121"/>
      <c r="CI458" s="121"/>
      <c r="CJ458" s="121"/>
      <c r="CK458" s="121"/>
      <c r="CL458" s="121"/>
      <c r="CM458" s="121"/>
      <c r="CN458" s="121"/>
      <c r="CO458" s="121"/>
      <c r="CP458" s="121"/>
      <c r="CQ458" s="121"/>
      <c r="CR458" s="121"/>
      <c r="CS458" s="121"/>
      <c r="CT458" s="121"/>
      <c r="CU458" s="121"/>
      <c r="CV458" s="121"/>
      <c r="CW458" s="121"/>
      <c r="CX458" s="121"/>
      <c r="CY458" s="121"/>
      <c r="CZ458" s="121"/>
      <c r="DA458" s="121"/>
      <c r="DB458" s="121"/>
      <c r="DC458" s="121"/>
      <c r="DD458" s="121"/>
      <c r="DE458" s="121"/>
      <c r="DF458" s="121"/>
      <c r="DG458" s="121"/>
      <c r="DH458" s="121"/>
      <c r="DI458" s="121"/>
      <c r="DJ458" s="121"/>
      <c r="DK458" s="121"/>
      <c r="DL458" s="121"/>
      <c r="DM458" s="121"/>
      <c r="DN458" s="121"/>
      <c r="DO458" s="121"/>
      <c r="DP458" s="121"/>
      <c r="DQ458" s="121"/>
      <c r="DR458" s="121"/>
      <c r="DS458" s="121"/>
      <c r="DT458" s="121"/>
      <c r="DU458" s="121"/>
      <c r="DV458" s="121"/>
      <c r="DW458" s="121"/>
      <c r="DX458" s="121"/>
      <c r="DY458" s="121"/>
      <c r="DZ458" s="121"/>
      <c r="EA458" s="121"/>
      <c r="EB458" s="121"/>
      <c r="EC458" s="121"/>
      <c r="ED458" s="121"/>
      <c r="EE458" s="121"/>
      <c r="EF458" s="121"/>
      <c r="EG458" s="121"/>
      <c r="EH458" s="121"/>
      <c r="EI458" s="121"/>
      <c r="EJ458" s="121"/>
      <c r="EK458" s="121"/>
      <c r="EL458" s="121"/>
      <c r="EM458" s="121"/>
      <c r="EN458" s="121"/>
      <c r="EO458" s="121"/>
      <c r="EP458" s="121"/>
      <c r="EQ458" s="121"/>
      <c r="ER458" s="121"/>
      <c r="ES458" s="121"/>
      <c r="ET458" s="121"/>
      <c r="EU458" s="121"/>
      <c r="EV458" s="121"/>
      <c r="EW458" s="121"/>
      <c r="EX458" s="121"/>
      <c r="EY458" s="121"/>
      <c r="EZ458" s="121"/>
      <c r="FA458" s="121"/>
      <c r="FB458" s="121"/>
      <c r="FC458" s="121"/>
      <c r="FD458" s="121"/>
      <c r="FE458" s="121"/>
      <c r="FF458" s="121"/>
      <c r="FG458" s="121"/>
      <c r="FH458" s="121"/>
      <c r="FI458" s="121"/>
      <c r="FJ458" s="121"/>
      <c r="FK458" s="121"/>
      <c r="FL458" s="121"/>
      <c r="FM458" s="121"/>
      <c r="FN458" s="121"/>
      <c r="FO458" s="121"/>
      <c r="FP458" s="121"/>
      <c r="FQ458" s="121"/>
      <c r="FR458" s="121"/>
      <c r="FS458" s="121"/>
      <c r="FT458" s="121"/>
      <c r="FU458" s="121"/>
      <c r="FV458" s="121"/>
      <c r="FW458" s="121"/>
      <c r="FX458" s="121"/>
      <c r="FY458" s="121"/>
      <c r="FZ458" s="121"/>
      <c r="GA458" s="121"/>
      <c r="GB458" s="121"/>
      <c r="GC458" s="121"/>
      <c r="GD458" s="121"/>
      <c r="GE458" s="121"/>
      <c r="GF458" s="121"/>
      <c r="GG458" s="121"/>
      <c r="GH458" s="121"/>
      <c r="GI458" s="121"/>
      <c r="GJ458" s="121"/>
      <c r="GK458" s="121"/>
      <c r="GL458" s="121"/>
      <c r="GM458" s="121"/>
      <c r="GN458" s="121"/>
      <c r="GO458" s="121"/>
      <c r="GP458" s="121"/>
      <c r="GQ458" s="121"/>
      <c r="GR458" s="121"/>
      <c r="GS458" s="121"/>
      <c r="GT458" s="121"/>
      <c r="GU458" s="121"/>
      <c r="GV458" s="121"/>
      <c r="GW458" s="121"/>
      <c r="GX458" s="121"/>
      <c r="GY458" s="121"/>
      <c r="GZ458" s="121"/>
      <c r="HA458" s="121"/>
      <c r="HB458" s="121"/>
      <c r="HC458" s="121"/>
      <c r="HD458" s="121"/>
      <c r="HE458" s="121"/>
      <c r="HF458" s="121"/>
      <c r="HG458" s="121"/>
      <c r="HH458" s="121"/>
      <c r="HI458" s="121"/>
      <c r="HJ458" s="121"/>
      <c r="HK458" s="121"/>
      <c r="HL458" s="121"/>
      <c r="HM458" s="121"/>
      <c r="HN458" s="121"/>
      <c r="HO458" s="121"/>
      <c r="HP458" s="121"/>
      <c r="HQ458" s="121"/>
      <c r="HR458" s="121"/>
      <c r="HS458" s="121"/>
      <c r="HT458" s="121"/>
      <c r="HU458" s="121"/>
      <c r="HV458" s="121"/>
      <c r="HW458" s="121"/>
      <c r="HX458" s="121"/>
      <c r="HY458" s="121"/>
      <c r="HZ458" s="121"/>
      <c r="IA458" s="121"/>
    </row>
    <row r="459" spans="1:235" s="85" customFormat="1" ht="12">
      <c r="A459" s="125" t="s">
        <v>334</v>
      </c>
      <c r="B459" s="122"/>
      <c r="C459" s="122"/>
      <c r="D459" s="123"/>
      <c r="E459" s="123">
        <f>E463+E471+E476</f>
        <v>534080</v>
      </c>
      <c r="F459" s="123">
        <f aca="true" t="shared" si="41" ref="F459:N459">F463+F471+F476</f>
        <v>534080</v>
      </c>
      <c r="G459" s="123">
        <f t="shared" si="41"/>
        <v>0</v>
      </c>
      <c r="H459" s="123">
        <f>33.5026841552*H468</f>
        <v>64399.99999992592</v>
      </c>
      <c r="I459" s="123"/>
      <c r="J459" s="123">
        <f>33.5026841552*J468</f>
        <v>64399.99999992592</v>
      </c>
      <c r="K459" s="123">
        <f t="shared" si="41"/>
        <v>0</v>
      </c>
      <c r="L459" s="123">
        <f t="shared" si="41"/>
        <v>0</v>
      </c>
      <c r="M459" s="123">
        <f t="shared" si="41"/>
        <v>0</v>
      </c>
      <c r="N459" s="123">
        <f t="shared" si="41"/>
        <v>0</v>
      </c>
      <c r="O459" s="123">
        <v>0</v>
      </c>
      <c r="P459" s="123">
        <v>0</v>
      </c>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c r="AN459" s="121"/>
      <c r="AO459" s="121"/>
      <c r="AP459" s="121"/>
      <c r="AQ459" s="121"/>
      <c r="AR459" s="121"/>
      <c r="AS459" s="121"/>
      <c r="AT459" s="121"/>
      <c r="AU459" s="121"/>
      <c r="AV459" s="121"/>
      <c r="AW459" s="121"/>
      <c r="AX459" s="121"/>
      <c r="AY459" s="121"/>
      <c r="AZ459" s="121"/>
      <c r="BA459" s="121"/>
      <c r="BB459" s="121"/>
      <c r="BC459" s="121"/>
      <c r="BD459" s="121"/>
      <c r="BE459" s="121"/>
      <c r="BF459" s="121"/>
      <c r="BG459" s="121"/>
      <c r="BH459" s="121"/>
      <c r="BI459" s="121"/>
      <c r="BJ459" s="121"/>
      <c r="BK459" s="121"/>
      <c r="BL459" s="121"/>
      <c r="BM459" s="121"/>
      <c r="BN459" s="121"/>
      <c r="BO459" s="121"/>
      <c r="BP459" s="121"/>
      <c r="BQ459" s="121"/>
      <c r="BR459" s="121"/>
      <c r="BS459" s="121"/>
      <c r="BT459" s="121"/>
      <c r="BU459" s="121"/>
      <c r="BV459" s="121"/>
      <c r="BW459" s="121"/>
      <c r="BX459" s="121"/>
      <c r="BY459" s="121"/>
      <c r="BZ459" s="121"/>
      <c r="CA459" s="121"/>
      <c r="CB459" s="121"/>
      <c r="CC459" s="121"/>
      <c r="CD459" s="121"/>
      <c r="CE459" s="121"/>
      <c r="CF459" s="121"/>
      <c r="CG459" s="121"/>
      <c r="CH459" s="121"/>
      <c r="CI459" s="121"/>
      <c r="CJ459" s="121"/>
      <c r="CK459" s="121"/>
      <c r="CL459" s="121"/>
      <c r="CM459" s="121"/>
      <c r="CN459" s="121"/>
      <c r="CO459" s="121"/>
      <c r="CP459" s="121"/>
      <c r="CQ459" s="121"/>
      <c r="CR459" s="121"/>
      <c r="CS459" s="121"/>
      <c r="CT459" s="121"/>
      <c r="CU459" s="121"/>
      <c r="CV459" s="121"/>
      <c r="CW459" s="121"/>
      <c r="CX459" s="121"/>
      <c r="CY459" s="121"/>
      <c r="CZ459" s="121"/>
      <c r="DA459" s="121"/>
      <c r="DB459" s="121"/>
      <c r="DC459" s="121"/>
      <c r="DD459" s="121"/>
      <c r="DE459" s="121"/>
      <c r="DF459" s="121"/>
      <c r="DG459" s="121"/>
      <c r="DH459" s="121"/>
      <c r="DI459" s="121"/>
      <c r="DJ459" s="121"/>
      <c r="DK459" s="121"/>
      <c r="DL459" s="121"/>
      <c r="DM459" s="121"/>
      <c r="DN459" s="121"/>
      <c r="DO459" s="121"/>
      <c r="DP459" s="121"/>
      <c r="DQ459" s="121"/>
      <c r="DR459" s="121"/>
      <c r="DS459" s="121"/>
      <c r="DT459" s="121"/>
      <c r="DU459" s="121"/>
      <c r="DV459" s="121"/>
      <c r="DW459" s="121"/>
      <c r="DX459" s="121"/>
      <c r="DY459" s="121"/>
      <c r="DZ459" s="121"/>
      <c r="EA459" s="121"/>
      <c r="EB459" s="121"/>
      <c r="EC459" s="121"/>
      <c r="ED459" s="121"/>
      <c r="EE459" s="121"/>
      <c r="EF459" s="121"/>
      <c r="EG459" s="121"/>
      <c r="EH459" s="121"/>
      <c r="EI459" s="121"/>
      <c r="EJ459" s="121"/>
      <c r="EK459" s="121"/>
      <c r="EL459" s="121"/>
      <c r="EM459" s="121"/>
      <c r="EN459" s="121"/>
      <c r="EO459" s="121"/>
      <c r="EP459" s="121"/>
      <c r="EQ459" s="121"/>
      <c r="ER459" s="121"/>
      <c r="ES459" s="121"/>
      <c r="ET459" s="121"/>
      <c r="EU459" s="121"/>
      <c r="EV459" s="121"/>
      <c r="EW459" s="121"/>
      <c r="EX459" s="121"/>
      <c r="EY459" s="121"/>
      <c r="EZ459" s="121"/>
      <c r="FA459" s="121"/>
      <c r="FB459" s="121"/>
      <c r="FC459" s="121"/>
      <c r="FD459" s="121"/>
      <c r="FE459" s="121"/>
      <c r="FF459" s="121"/>
      <c r="FG459" s="121"/>
      <c r="FH459" s="121"/>
      <c r="FI459" s="121"/>
      <c r="FJ459" s="121"/>
      <c r="FK459" s="121"/>
      <c r="FL459" s="121"/>
      <c r="FM459" s="121"/>
      <c r="FN459" s="121"/>
      <c r="FO459" s="121"/>
      <c r="FP459" s="121"/>
      <c r="FQ459" s="121"/>
      <c r="FR459" s="121"/>
      <c r="FS459" s="121"/>
      <c r="FT459" s="121"/>
      <c r="FU459" s="121"/>
      <c r="FV459" s="121"/>
      <c r="FW459" s="121"/>
      <c r="FX459" s="121"/>
      <c r="FY459" s="121"/>
      <c r="FZ459" s="121"/>
      <c r="GA459" s="121"/>
      <c r="GB459" s="121"/>
      <c r="GC459" s="121"/>
      <c r="GD459" s="121"/>
      <c r="GE459" s="121"/>
      <c r="GF459" s="121"/>
      <c r="GG459" s="121"/>
      <c r="GH459" s="121"/>
      <c r="GI459" s="121"/>
      <c r="GJ459" s="121"/>
      <c r="GK459" s="121"/>
      <c r="GL459" s="121"/>
      <c r="GM459" s="121"/>
      <c r="GN459" s="121"/>
      <c r="GO459" s="121"/>
      <c r="GP459" s="121"/>
      <c r="GQ459" s="121"/>
      <c r="GR459" s="121"/>
      <c r="GS459" s="121"/>
      <c r="GT459" s="121"/>
      <c r="GU459" s="121"/>
      <c r="GV459" s="121"/>
      <c r="GW459" s="121"/>
      <c r="GX459" s="121"/>
      <c r="GY459" s="121"/>
      <c r="GZ459" s="121"/>
      <c r="HA459" s="121"/>
      <c r="HB459" s="121"/>
      <c r="HC459" s="121"/>
      <c r="HD459" s="121"/>
      <c r="HE459" s="121"/>
      <c r="HF459" s="121"/>
      <c r="HG459" s="121"/>
      <c r="HH459" s="121"/>
      <c r="HI459" s="121"/>
      <c r="HJ459" s="121"/>
      <c r="HK459" s="121"/>
      <c r="HL459" s="121"/>
      <c r="HM459" s="121"/>
      <c r="HN459" s="121"/>
      <c r="HO459" s="121"/>
      <c r="HP459" s="121"/>
      <c r="HQ459" s="121"/>
      <c r="HR459" s="121"/>
      <c r="HS459" s="121"/>
      <c r="HT459" s="121"/>
      <c r="HU459" s="121"/>
      <c r="HV459" s="121"/>
      <c r="HW459" s="121"/>
      <c r="HX459" s="121"/>
      <c r="HY459" s="121"/>
      <c r="HZ459" s="121"/>
      <c r="IA459" s="121"/>
    </row>
    <row r="460" spans="1:235" s="85" customFormat="1" ht="12">
      <c r="A460" s="125" t="s">
        <v>335</v>
      </c>
      <c r="B460" s="122"/>
      <c r="C460" s="122"/>
      <c r="D460" s="123"/>
      <c r="E460" s="123">
        <f>E483+E490+E497</f>
        <v>0</v>
      </c>
      <c r="F460" s="123">
        <f>F483+F490+F497</f>
        <v>0</v>
      </c>
      <c r="G460" s="123">
        <f>G483+G490+G497</f>
        <v>0</v>
      </c>
      <c r="H460" s="123">
        <f>H463-H459+H471+H483+H490+H497</f>
        <v>814109.999999774</v>
      </c>
      <c r="I460" s="123"/>
      <c r="J460" s="123">
        <f aca="true" t="shared" si="42" ref="J460:P460">J463-J459+J471+J483+J490+J497</f>
        <v>814109.999999774</v>
      </c>
      <c r="K460" s="123">
        <f t="shared" si="42"/>
        <v>0</v>
      </c>
      <c r="L460" s="123">
        <f t="shared" si="42"/>
        <v>0</v>
      </c>
      <c r="M460" s="123">
        <f t="shared" si="42"/>
        <v>0</v>
      </c>
      <c r="N460" s="123">
        <f t="shared" si="42"/>
        <v>0</v>
      </c>
      <c r="O460" s="123">
        <f t="shared" si="42"/>
        <v>764509.9999997</v>
      </c>
      <c r="P460" s="123">
        <f t="shared" si="42"/>
        <v>644509.9999997</v>
      </c>
      <c r="Q460" s="123">
        <f>Q483+Q490+Q497</f>
        <v>0</v>
      </c>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c r="AN460" s="121"/>
      <c r="AO460" s="121"/>
      <c r="AP460" s="121"/>
      <c r="AQ460" s="121"/>
      <c r="AR460" s="121"/>
      <c r="AS460" s="121"/>
      <c r="AT460" s="121"/>
      <c r="AU460" s="121"/>
      <c r="AV460" s="121"/>
      <c r="AW460" s="121"/>
      <c r="AX460" s="121"/>
      <c r="AY460" s="121"/>
      <c r="AZ460" s="121"/>
      <c r="BA460" s="121"/>
      <c r="BB460" s="121"/>
      <c r="BC460" s="121"/>
      <c r="BD460" s="121"/>
      <c r="BE460" s="121"/>
      <c r="BF460" s="121"/>
      <c r="BG460" s="121"/>
      <c r="BH460" s="121"/>
      <c r="BI460" s="121"/>
      <c r="BJ460" s="121"/>
      <c r="BK460" s="121"/>
      <c r="BL460" s="121"/>
      <c r="BM460" s="121"/>
      <c r="BN460" s="121"/>
      <c r="BO460" s="121"/>
      <c r="BP460" s="121"/>
      <c r="BQ460" s="121"/>
      <c r="BR460" s="121"/>
      <c r="BS460" s="121"/>
      <c r="BT460" s="121"/>
      <c r="BU460" s="121"/>
      <c r="BV460" s="121"/>
      <c r="BW460" s="121"/>
      <c r="BX460" s="121"/>
      <c r="BY460" s="121"/>
      <c r="BZ460" s="121"/>
      <c r="CA460" s="121"/>
      <c r="CB460" s="121"/>
      <c r="CC460" s="121"/>
      <c r="CD460" s="121"/>
      <c r="CE460" s="121"/>
      <c r="CF460" s="121"/>
      <c r="CG460" s="121"/>
      <c r="CH460" s="121"/>
      <c r="CI460" s="121"/>
      <c r="CJ460" s="121"/>
      <c r="CK460" s="121"/>
      <c r="CL460" s="121"/>
      <c r="CM460" s="121"/>
      <c r="CN460" s="121"/>
      <c r="CO460" s="121"/>
      <c r="CP460" s="121"/>
      <c r="CQ460" s="121"/>
      <c r="CR460" s="121"/>
      <c r="CS460" s="121"/>
      <c r="CT460" s="121"/>
      <c r="CU460" s="121"/>
      <c r="CV460" s="121"/>
      <c r="CW460" s="121"/>
      <c r="CX460" s="121"/>
      <c r="CY460" s="121"/>
      <c r="CZ460" s="121"/>
      <c r="DA460" s="121"/>
      <c r="DB460" s="121"/>
      <c r="DC460" s="121"/>
      <c r="DD460" s="121"/>
      <c r="DE460" s="121"/>
      <c r="DF460" s="121"/>
      <c r="DG460" s="121"/>
      <c r="DH460" s="121"/>
      <c r="DI460" s="121"/>
      <c r="DJ460" s="121"/>
      <c r="DK460" s="121"/>
      <c r="DL460" s="121"/>
      <c r="DM460" s="121"/>
      <c r="DN460" s="121"/>
      <c r="DO460" s="121"/>
      <c r="DP460" s="121"/>
      <c r="DQ460" s="121"/>
      <c r="DR460" s="121"/>
      <c r="DS460" s="121"/>
      <c r="DT460" s="121"/>
      <c r="DU460" s="121"/>
      <c r="DV460" s="121"/>
      <c r="DW460" s="121"/>
      <c r="DX460" s="121"/>
      <c r="DY460" s="121"/>
      <c r="DZ460" s="121"/>
      <c r="EA460" s="121"/>
      <c r="EB460" s="121"/>
      <c r="EC460" s="121"/>
      <c r="ED460" s="121"/>
      <c r="EE460" s="121"/>
      <c r="EF460" s="121"/>
      <c r="EG460" s="121"/>
      <c r="EH460" s="121"/>
      <c r="EI460" s="121"/>
      <c r="EJ460" s="121"/>
      <c r="EK460" s="121"/>
      <c r="EL460" s="121"/>
      <c r="EM460" s="121"/>
      <c r="EN460" s="121"/>
      <c r="EO460" s="121"/>
      <c r="EP460" s="121"/>
      <c r="EQ460" s="121"/>
      <c r="ER460" s="121"/>
      <c r="ES460" s="121"/>
      <c r="ET460" s="121"/>
      <c r="EU460" s="121"/>
      <c r="EV460" s="121"/>
      <c r="EW460" s="121"/>
      <c r="EX460" s="121"/>
      <c r="EY460" s="121"/>
      <c r="EZ460" s="121"/>
      <c r="FA460" s="121"/>
      <c r="FB460" s="121"/>
      <c r="FC460" s="121"/>
      <c r="FD460" s="121"/>
      <c r="FE460" s="121"/>
      <c r="FF460" s="121"/>
      <c r="FG460" s="121"/>
      <c r="FH460" s="121"/>
      <c r="FI460" s="121"/>
      <c r="FJ460" s="121"/>
      <c r="FK460" s="121"/>
      <c r="FL460" s="121"/>
      <c r="FM460" s="121"/>
      <c r="FN460" s="121"/>
      <c r="FO460" s="121"/>
      <c r="FP460" s="121"/>
      <c r="FQ460" s="121"/>
      <c r="FR460" s="121"/>
      <c r="FS460" s="121"/>
      <c r="FT460" s="121"/>
      <c r="FU460" s="121"/>
      <c r="FV460" s="121"/>
      <c r="FW460" s="121"/>
      <c r="FX460" s="121"/>
      <c r="FY460" s="121"/>
      <c r="FZ460" s="121"/>
      <c r="GA460" s="121"/>
      <c r="GB460" s="121"/>
      <c r="GC460" s="121"/>
      <c r="GD460" s="121"/>
      <c r="GE460" s="121"/>
      <c r="GF460" s="121"/>
      <c r="GG460" s="121"/>
      <c r="GH460" s="121"/>
      <c r="GI460" s="121"/>
      <c r="GJ460" s="121"/>
      <c r="GK460" s="121"/>
      <c r="GL460" s="121"/>
      <c r="GM460" s="121"/>
      <c r="GN460" s="121"/>
      <c r="GO460" s="121"/>
      <c r="GP460" s="121"/>
      <c r="GQ460" s="121"/>
      <c r="GR460" s="121"/>
      <c r="GS460" s="121"/>
      <c r="GT460" s="121"/>
      <c r="GU460" s="121"/>
      <c r="GV460" s="121"/>
      <c r="GW460" s="121"/>
      <c r="GX460" s="121"/>
      <c r="GY460" s="121"/>
      <c r="GZ460" s="121"/>
      <c r="HA460" s="121"/>
      <c r="HB460" s="121"/>
      <c r="HC460" s="121"/>
      <c r="HD460" s="121"/>
      <c r="HE460" s="121"/>
      <c r="HF460" s="121"/>
      <c r="HG460" s="121"/>
      <c r="HH460" s="121"/>
      <c r="HI460" s="121"/>
      <c r="HJ460" s="121"/>
      <c r="HK460" s="121"/>
      <c r="HL460" s="121"/>
      <c r="HM460" s="121"/>
      <c r="HN460" s="121"/>
      <c r="HO460" s="121"/>
      <c r="HP460" s="121"/>
      <c r="HQ460" s="121"/>
      <c r="HR460" s="121"/>
      <c r="HS460" s="121"/>
      <c r="HT460" s="121"/>
      <c r="HU460" s="121"/>
      <c r="HV460" s="121"/>
      <c r="HW460" s="121"/>
      <c r="HX460" s="121"/>
      <c r="HY460" s="121"/>
      <c r="HZ460" s="121"/>
      <c r="IA460" s="121"/>
    </row>
    <row r="461" spans="1:235" s="85" customFormat="1" ht="12">
      <c r="A461" s="125" t="s">
        <v>405</v>
      </c>
      <c r="B461" s="122"/>
      <c r="C461" s="122"/>
      <c r="D461" s="123"/>
      <c r="E461" s="123"/>
      <c r="F461" s="123"/>
      <c r="G461" s="123">
        <f>G504</f>
        <v>0</v>
      </c>
      <c r="H461" s="123">
        <f>H504</f>
        <v>238000</v>
      </c>
      <c r="I461" s="123"/>
      <c r="J461" s="123">
        <f>G461+H461</f>
        <v>238000</v>
      </c>
      <c r="K461" s="123"/>
      <c r="L461" s="123"/>
      <c r="M461" s="123"/>
      <c r="N461" s="123">
        <f>N504</f>
        <v>0</v>
      </c>
      <c r="O461" s="123">
        <f>O504</f>
        <v>5080000</v>
      </c>
      <c r="P461" s="123">
        <f>O461+N461</f>
        <v>5080000</v>
      </c>
      <c r="Q461" s="185"/>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c r="AN461" s="121"/>
      <c r="AO461" s="121"/>
      <c r="AP461" s="121"/>
      <c r="AQ461" s="121"/>
      <c r="AR461" s="121"/>
      <c r="AS461" s="121"/>
      <c r="AT461" s="121"/>
      <c r="AU461" s="121"/>
      <c r="AV461" s="121"/>
      <c r="AW461" s="121"/>
      <c r="AX461" s="121"/>
      <c r="AY461" s="121"/>
      <c r="AZ461" s="121"/>
      <c r="BA461" s="121"/>
      <c r="BB461" s="121"/>
      <c r="BC461" s="121"/>
      <c r="BD461" s="121"/>
      <c r="BE461" s="121"/>
      <c r="BF461" s="121"/>
      <c r="BG461" s="121"/>
      <c r="BH461" s="121"/>
      <c r="BI461" s="121"/>
      <c r="BJ461" s="121"/>
      <c r="BK461" s="121"/>
      <c r="BL461" s="121"/>
      <c r="BM461" s="121"/>
      <c r="BN461" s="121"/>
      <c r="BO461" s="121"/>
      <c r="BP461" s="121"/>
      <c r="BQ461" s="121"/>
      <c r="BR461" s="121"/>
      <c r="BS461" s="121"/>
      <c r="BT461" s="121"/>
      <c r="BU461" s="121"/>
      <c r="BV461" s="121"/>
      <c r="BW461" s="121"/>
      <c r="BX461" s="121"/>
      <c r="BY461" s="121"/>
      <c r="BZ461" s="121"/>
      <c r="CA461" s="121"/>
      <c r="CB461" s="121"/>
      <c r="CC461" s="121"/>
      <c r="CD461" s="121"/>
      <c r="CE461" s="121"/>
      <c r="CF461" s="121"/>
      <c r="CG461" s="121"/>
      <c r="CH461" s="121"/>
      <c r="CI461" s="121"/>
      <c r="CJ461" s="121"/>
      <c r="CK461" s="121"/>
      <c r="CL461" s="121"/>
      <c r="CM461" s="121"/>
      <c r="CN461" s="121"/>
      <c r="CO461" s="121"/>
      <c r="CP461" s="121"/>
      <c r="CQ461" s="121"/>
      <c r="CR461" s="121"/>
      <c r="CS461" s="121"/>
      <c r="CT461" s="121"/>
      <c r="CU461" s="121"/>
      <c r="CV461" s="121"/>
      <c r="CW461" s="121"/>
      <c r="CX461" s="121"/>
      <c r="CY461" s="121"/>
      <c r="CZ461" s="121"/>
      <c r="DA461" s="121"/>
      <c r="DB461" s="121"/>
      <c r="DC461" s="121"/>
      <c r="DD461" s="121"/>
      <c r="DE461" s="121"/>
      <c r="DF461" s="121"/>
      <c r="DG461" s="121"/>
      <c r="DH461" s="121"/>
      <c r="DI461" s="121"/>
      <c r="DJ461" s="121"/>
      <c r="DK461" s="121"/>
      <c r="DL461" s="121"/>
      <c r="DM461" s="121"/>
      <c r="DN461" s="121"/>
      <c r="DO461" s="121"/>
      <c r="DP461" s="121"/>
      <c r="DQ461" s="121"/>
      <c r="DR461" s="121"/>
      <c r="DS461" s="121"/>
      <c r="DT461" s="121"/>
      <c r="DU461" s="121"/>
      <c r="DV461" s="121"/>
      <c r="DW461" s="121"/>
      <c r="DX461" s="121"/>
      <c r="DY461" s="121"/>
      <c r="DZ461" s="121"/>
      <c r="EA461" s="121"/>
      <c r="EB461" s="121"/>
      <c r="EC461" s="121"/>
      <c r="ED461" s="121"/>
      <c r="EE461" s="121"/>
      <c r="EF461" s="121"/>
      <c r="EG461" s="121"/>
      <c r="EH461" s="121"/>
      <c r="EI461" s="121"/>
      <c r="EJ461" s="121"/>
      <c r="EK461" s="121"/>
      <c r="EL461" s="121"/>
      <c r="EM461" s="121"/>
      <c r="EN461" s="121"/>
      <c r="EO461" s="121"/>
      <c r="EP461" s="121"/>
      <c r="EQ461" s="121"/>
      <c r="ER461" s="121"/>
      <c r="ES461" s="121"/>
      <c r="ET461" s="121"/>
      <c r="EU461" s="121"/>
      <c r="EV461" s="121"/>
      <c r="EW461" s="121"/>
      <c r="EX461" s="121"/>
      <c r="EY461" s="121"/>
      <c r="EZ461" s="121"/>
      <c r="FA461" s="121"/>
      <c r="FB461" s="121"/>
      <c r="FC461" s="121"/>
      <c r="FD461" s="121"/>
      <c r="FE461" s="121"/>
      <c r="FF461" s="121"/>
      <c r="FG461" s="121"/>
      <c r="FH461" s="121"/>
      <c r="FI461" s="121"/>
      <c r="FJ461" s="121"/>
      <c r="FK461" s="121"/>
      <c r="FL461" s="121"/>
      <c r="FM461" s="121"/>
      <c r="FN461" s="121"/>
      <c r="FO461" s="121"/>
      <c r="FP461" s="121"/>
      <c r="FQ461" s="121"/>
      <c r="FR461" s="121"/>
      <c r="FS461" s="121"/>
      <c r="FT461" s="121"/>
      <c r="FU461" s="121"/>
      <c r="FV461" s="121"/>
      <c r="FW461" s="121"/>
      <c r="FX461" s="121"/>
      <c r="FY461" s="121"/>
      <c r="FZ461" s="121"/>
      <c r="GA461" s="121"/>
      <c r="GB461" s="121"/>
      <c r="GC461" s="121"/>
      <c r="GD461" s="121"/>
      <c r="GE461" s="121"/>
      <c r="GF461" s="121"/>
      <c r="GG461" s="121"/>
      <c r="GH461" s="121"/>
      <c r="GI461" s="121"/>
      <c r="GJ461" s="121"/>
      <c r="GK461" s="121"/>
      <c r="GL461" s="121"/>
      <c r="GM461" s="121"/>
      <c r="GN461" s="121"/>
      <c r="GO461" s="121"/>
      <c r="GP461" s="121"/>
      <c r="GQ461" s="121"/>
      <c r="GR461" s="121"/>
      <c r="GS461" s="121"/>
      <c r="GT461" s="121"/>
      <c r="GU461" s="121"/>
      <c r="GV461" s="121"/>
      <c r="GW461" s="121"/>
      <c r="GX461" s="121"/>
      <c r="GY461" s="121"/>
      <c r="GZ461" s="121"/>
      <c r="HA461" s="121"/>
      <c r="HB461" s="121"/>
      <c r="HC461" s="121"/>
      <c r="HD461" s="121"/>
      <c r="HE461" s="121"/>
      <c r="HF461" s="121"/>
      <c r="HG461" s="121"/>
      <c r="HH461" s="121"/>
      <c r="HI461" s="121"/>
      <c r="HJ461" s="121"/>
      <c r="HK461" s="121"/>
      <c r="HL461" s="121"/>
      <c r="HM461" s="121"/>
      <c r="HN461" s="121"/>
      <c r="HO461" s="121"/>
      <c r="HP461" s="121"/>
      <c r="HQ461" s="121"/>
      <c r="HR461" s="121"/>
      <c r="HS461" s="121"/>
      <c r="HT461" s="121"/>
      <c r="HU461" s="121"/>
      <c r="HV461" s="121"/>
      <c r="HW461" s="121"/>
      <c r="HX461" s="121"/>
      <c r="HY461" s="121"/>
      <c r="HZ461" s="121"/>
      <c r="IA461" s="121"/>
    </row>
    <row r="462" spans="1:16" ht="101.25" customHeight="1">
      <c r="A462" s="45" t="s">
        <v>421</v>
      </c>
      <c r="B462" s="41"/>
      <c r="C462" s="41"/>
      <c r="D462" s="39"/>
      <c r="E462" s="39"/>
      <c r="F462" s="39"/>
      <c r="G462" s="39"/>
      <c r="H462" s="39"/>
      <c r="I462" s="39"/>
      <c r="J462" s="39"/>
      <c r="K462" s="140"/>
      <c r="L462" s="40"/>
      <c r="M462" s="40"/>
      <c r="N462" s="39"/>
      <c r="O462" s="39"/>
      <c r="P462" s="39"/>
    </row>
    <row r="463" spans="1:235" s="85" customFormat="1" ht="24.75" customHeight="1">
      <c r="A463" s="96" t="s">
        <v>371</v>
      </c>
      <c r="B463" s="96"/>
      <c r="C463" s="96"/>
      <c r="D463" s="100"/>
      <c r="E463" s="100">
        <f>E466*E468+1.32</f>
        <v>180690</v>
      </c>
      <c r="F463" s="100">
        <f>E463</f>
        <v>180690</v>
      </c>
      <c r="G463" s="100"/>
      <c r="H463" s="100">
        <f>H466*H468</f>
        <v>180689.9999997</v>
      </c>
      <c r="I463" s="100"/>
      <c r="J463" s="100">
        <f>H463</f>
        <v>180689.9999997</v>
      </c>
      <c r="K463" s="138"/>
      <c r="L463" s="100"/>
      <c r="M463" s="100"/>
      <c r="N463" s="100"/>
      <c r="O463" s="100">
        <f>O466*O468</f>
        <v>180689.9999997</v>
      </c>
      <c r="P463" s="100">
        <f>O463</f>
        <v>180689.9999997</v>
      </c>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c r="AN463" s="121"/>
      <c r="AO463" s="121"/>
      <c r="AP463" s="121"/>
      <c r="AQ463" s="121"/>
      <c r="AR463" s="121"/>
      <c r="AS463" s="121"/>
      <c r="AT463" s="121"/>
      <c r="AU463" s="121"/>
      <c r="AV463" s="121"/>
      <c r="AW463" s="121"/>
      <c r="AX463" s="121"/>
      <c r="AY463" s="121"/>
      <c r="AZ463" s="121"/>
      <c r="BA463" s="121"/>
      <c r="BB463" s="121"/>
      <c r="BC463" s="121"/>
      <c r="BD463" s="121"/>
      <c r="BE463" s="121"/>
      <c r="BF463" s="121"/>
      <c r="BG463" s="121"/>
      <c r="BH463" s="121"/>
      <c r="BI463" s="121"/>
      <c r="BJ463" s="121"/>
      <c r="BK463" s="121"/>
      <c r="BL463" s="121"/>
      <c r="BM463" s="121"/>
      <c r="BN463" s="121"/>
      <c r="BO463" s="121"/>
      <c r="BP463" s="121"/>
      <c r="BQ463" s="121"/>
      <c r="BR463" s="121"/>
      <c r="BS463" s="121"/>
      <c r="BT463" s="121"/>
      <c r="BU463" s="121"/>
      <c r="BV463" s="121"/>
      <c r="BW463" s="121"/>
      <c r="BX463" s="121"/>
      <c r="BY463" s="121"/>
      <c r="BZ463" s="121"/>
      <c r="CA463" s="121"/>
      <c r="CB463" s="121"/>
      <c r="CC463" s="121"/>
      <c r="CD463" s="121"/>
      <c r="CE463" s="121"/>
      <c r="CF463" s="121"/>
      <c r="CG463" s="121"/>
      <c r="CH463" s="121"/>
      <c r="CI463" s="121"/>
      <c r="CJ463" s="121"/>
      <c r="CK463" s="121"/>
      <c r="CL463" s="121"/>
      <c r="CM463" s="121"/>
      <c r="CN463" s="121"/>
      <c r="CO463" s="121"/>
      <c r="CP463" s="121"/>
      <c r="CQ463" s="121"/>
      <c r="CR463" s="121"/>
      <c r="CS463" s="121"/>
      <c r="CT463" s="121"/>
      <c r="CU463" s="121"/>
      <c r="CV463" s="121"/>
      <c r="CW463" s="121"/>
      <c r="CX463" s="121"/>
      <c r="CY463" s="121"/>
      <c r="CZ463" s="121"/>
      <c r="DA463" s="121"/>
      <c r="DB463" s="121"/>
      <c r="DC463" s="121"/>
      <c r="DD463" s="121"/>
      <c r="DE463" s="121"/>
      <c r="DF463" s="121"/>
      <c r="DG463" s="121"/>
      <c r="DH463" s="121"/>
      <c r="DI463" s="121"/>
      <c r="DJ463" s="121"/>
      <c r="DK463" s="121"/>
      <c r="DL463" s="121"/>
      <c r="DM463" s="121"/>
      <c r="DN463" s="121"/>
      <c r="DO463" s="121"/>
      <c r="DP463" s="121"/>
      <c r="DQ463" s="121"/>
      <c r="DR463" s="121"/>
      <c r="DS463" s="121"/>
      <c r="DT463" s="121"/>
      <c r="DU463" s="121"/>
      <c r="DV463" s="121"/>
      <c r="DW463" s="121"/>
      <c r="DX463" s="121"/>
      <c r="DY463" s="121"/>
      <c r="DZ463" s="121"/>
      <c r="EA463" s="121"/>
      <c r="EB463" s="121"/>
      <c r="EC463" s="121"/>
      <c r="ED463" s="121"/>
      <c r="EE463" s="121"/>
      <c r="EF463" s="121"/>
      <c r="EG463" s="121"/>
      <c r="EH463" s="121"/>
      <c r="EI463" s="121"/>
      <c r="EJ463" s="121"/>
      <c r="EK463" s="121"/>
      <c r="EL463" s="121"/>
      <c r="EM463" s="121"/>
      <c r="EN463" s="121"/>
      <c r="EO463" s="121"/>
      <c r="EP463" s="121"/>
      <c r="EQ463" s="121"/>
      <c r="ER463" s="121"/>
      <c r="ES463" s="121"/>
      <c r="ET463" s="121"/>
      <c r="EU463" s="121"/>
      <c r="EV463" s="121"/>
      <c r="EW463" s="121"/>
      <c r="EX463" s="121"/>
      <c r="EY463" s="121"/>
      <c r="EZ463" s="121"/>
      <c r="FA463" s="121"/>
      <c r="FB463" s="121"/>
      <c r="FC463" s="121"/>
      <c r="FD463" s="121"/>
      <c r="FE463" s="121"/>
      <c r="FF463" s="121"/>
      <c r="FG463" s="121"/>
      <c r="FH463" s="121"/>
      <c r="FI463" s="121"/>
      <c r="FJ463" s="121"/>
      <c r="FK463" s="121"/>
      <c r="FL463" s="121"/>
      <c r="FM463" s="121"/>
      <c r="FN463" s="121"/>
      <c r="FO463" s="121"/>
      <c r="FP463" s="121"/>
      <c r="FQ463" s="121"/>
      <c r="FR463" s="121"/>
      <c r="FS463" s="121"/>
      <c r="FT463" s="121"/>
      <c r="FU463" s="121"/>
      <c r="FV463" s="121"/>
      <c r="FW463" s="121"/>
      <c r="FX463" s="121"/>
      <c r="FY463" s="121"/>
      <c r="FZ463" s="121"/>
      <c r="GA463" s="121"/>
      <c r="GB463" s="121"/>
      <c r="GC463" s="121"/>
      <c r="GD463" s="121"/>
      <c r="GE463" s="121"/>
      <c r="GF463" s="121"/>
      <c r="GG463" s="121"/>
      <c r="GH463" s="121"/>
      <c r="GI463" s="121"/>
      <c r="GJ463" s="121"/>
      <c r="GK463" s="121"/>
      <c r="GL463" s="121"/>
      <c r="GM463" s="121"/>
      <c r="GN463" s="121"/>
      <c r="GO463" s="121"/>
      <c r="GP463" s="121"/>
      <c r="GQ463" s="121"/>
      <c r="GR463" s="121"/>
      <c r="GS463" s="121"/>
      <c r="GT463" s="121"/>
      <c r="GU463" s="121"/>
      <c r="GV463" s="121"/>
      <c r="GW463" s="121"/>
      <c r="GX463" s="121"/>
      <c r="GY463" s="121"/>
      <c r="GZ463" s="121"/>
      <c r="HA463" s="121"/>
      <c r="HB463" s="121"/>
      <c r="HC463" s="121"/>
      <c r="HD463" s="121"/>
      <c r="HE463" s="121"/>
      <c r="HF463" s="121"/>
      <c r="HG463" s="121"/>
      <c r="HH463" s="121"/>
      <c r="HI463" s="121"/>
      <c r="HJ463" s="121"/>
      <c r="HK463" s="121"/>
      <c r="HL463" s="121"/>
      <c r="HM463" s="121"/>
      <c r="HN463" s="121"/>
      <c r="HO463" s="121"/>
      <c r="HP463" s="121"/>
      <c r="HQ463" s="121"/>
      <c r="HR463" s="121"/>
      <c r="HS463" s="121"/>
      <c r="HT463" s="121"/>
      <c r="HU463" s="121"/>
      <c r="HV463" s="121"/>
      <c r="HW463" s="121"/>
      <c r="HX463" s="121"/>
      <c r="HY463" s="121"/>
      <c r="HZ463" s="121"/>
      <c r="IA463" s="121"/>
    </row>
    <row r="464" spans="1:16" ht="11.25">
      <c r="A464" s="43" t="s">
        <v>5</v>
      </c>
      <c r="B464" s="31"/>
      <c r="C464" s="31"/>
      <c r="D464" s="134"/>
      <c r="E464" s="134"/>
      <c r="F464" s="35"/>
      <c r="G464" s="134"/>
      <c r="H464" s="134"/>
      <c r="I464" s="134"/>
      <c r="J464" s="35"/>
      <c r="K464" s="35"/>
      <c r="L464" s="134"/>
      <c r="M464" s="134"/>
      <c r="N464" s="134"/>
      <c r="O464" s="134"/>
      <c r="P464" s="35"/>
    </row>
    <row r="465" spans="1:16" ht="26.25" customHeight="1">
      <c r="A465" s="44" t="s">
        <v>203</v>
      </c>
      <c r="B465" s="33"/>
      <c r="C465" s="33"/>
      <c r="D465" s="36"/>
      <c r="E465" s="36">
        <v>33</v>
      </c>
      <c r="F465" s="36">
        <f>E465</f>
        <v>33</v>
      </c>
      <c r="G465" s="36"/>
      <c r="H465" s="36">
        <v>33</v>
      </c>
      <c r="I465" s="36"/>
      <c r="J465" s="36">
        <f>H465</f>
        <v>33</v>
      </c>
      <c r="K465" s="36" t="e">
        <f>G465/D465*100</f>
        <v>#DIV/0!</v>
      </c>
      <c r="L465" s="36"/>
      <c r="M465" s="36"/>
      <c r="N465" s="36"/>
      <c r="O465" s="36">
        <v>33</v>
      </c>
      <c r="P465" s="36">
        <f>O465</f>
        <v>33</v>
      </c>
    </row>
    <row r="466" spans="1:16" ht="26.25" customHeight="1">
      <c r="A466" s="44" t="s">
        <v>69</v>
      </c>
      <c r="B466" s="33"/>
      <c r="C466" s="33"/>
      <c r="D466" s="36"/>
      <c r="E466" s="36">
        <v>94</v>
      </c>
      <c r="F466" s="36">
        <v>94</v>
      </c>
      <c r="G466" s="36"/>
      <c r="H466" s="36">
        <v>94</v>
      </c>
      <c r="I466" s="36"/>
      <c r="J466" s="36">
        <v>94</v>
      </c>
      <c r="K466" s="36"/>
      <c r="L466" s="36"/>
      <c r="M466" s="36"/>
      <c r="N466" s="36"/>
      <c r="O466" s="36">
        <v>94</v>
      </c>
      <c r="P466" s="36">
        <v>94</v>
      </c>
    </row>
    <row r="467" spans="1:16" ht="11.25">
      <c r="A467" s="43" t="s">
        <v>7</v>
      </c>
      <c r="B467" s="31"/>
      <c r="C467" s="31"/>
      <c r="D467" s="134"/>
      <c r="E467" s="134"/>
      <c r="F467" s="35"/>
      <c r="G467" s="134"/>
      <c r="H467" s="134"/>
      <c r="I467" s="134"/>
      <c r="J467" s="35"/>
      <c r="K467" s="35"/>
      <c r="L467" s="134"/>
      <c r="M467" s="134"/>
      <c r="N467" s="134"/>
      <c r="O467" s="134"/>
      <c r="P467" s="35"/>
    </row>
    <row r="468" spans="1:16" ht="23.25" customHeight="1">
      <c r="A468" s="44" t="s">
        <v>70</v>
      </c>
      <c r="B468" s="33"/>
      <c r="C468" s="33"/>
      <c r="D468" s="35"/>
      <c r="E468" s="35">
        <v>1922.22</v>
      </c>
      <c r="F468" s="35">
        <f>E468</f>
        <v>1922.22</v>
      </c>
      <c r="G468" s="35"/>
      <c r="H468" s="35">
        <v>1922.23404255</v>
      </c>
      <c r="I468" s="35"/>
      <c r="J468" s="35">
        <f>H468</f>
        <v>1922.23404255</v>
      </c>
      <c r="K468" s="35" t="e">
        <f>G468/D468*100</f>
        <v>#DIV/0!</v>
      </c>
      <c r="L468" s="35"/>
      <c r="M468" s="35"/>
      <c r="N468" s="35"/>
      <c r="O468" s="35">
        <v>1922.23404255</v>
      </c>
      <c r="P468" s="35">
        <f>O468</f>
        <v>1922.23404255</v>
      </c>
    </row>
    <row r="469" spans="1:16" ht="11.25">
      <c r="A469" s="54" t="s">
        <v>6</v>
      </c>
      <c r="B469" s="33"/>
      <c r="C469" s="33"/>
      <c r="D469" s="35"/>
      <c r="E469" s="35"/>
      <c r="F469" s="35"/>
      <c r="G469" s="35"/>
      <c r="H469" s="35"/>
      <c r="I469" s="35"/>
      <c r="J469" s="35"/>
      <c r="K469" s="35"/>
      <c r="L469" s="35"/>
      <c r="M469" s="35"/>
      <c r="N469" s="35"/>
      <c r="O469" s="35"/>
      <c r="P469" s="35"/>
    </row>
    <row r="470" spans="1:16" ht="29.25" customHeight="1">
      <c r="A470" s="55" t="s">
        <v>204</v>
      </c>
      <c r="B470" s="33"/>
      <c r="C470" s="33"/>
      <c r="D470" s="35"/>
      <c r="E470" s="35"/>
      <c r="F470" s="35"/>
      <c r="G470" s="35"/>
      <c r="H470" s="35"/>
      <c r="I470" s="35"/>
      <c r="J470" s="35"/>
      <c r="K470" s="35"/>
      <c r="L470" s="35"/>
      <c r="M470" s="35"/>
      <c r="N470" s="35"/>
      <c r="O470" s="35"/>
      <c r="P470" s="35"/>
    </row>
    <row r="471" spans="1:235" s="92" customFormat="1" ht="33.75" customHeight="1">
      <c r="A471" s="96" t="s">
        <v>372</v>
      </c>
      <c r="B471" s="96"/>
      <c r="C471" s="96"/>
      <c r="D471" s="100"/>
      <c r="E471" s="100">
        <f>E475</f>
        <v>162140</v>
      </c>
      <c r="F471" s="100">
        <f>E471</f>
        <v>162140</v>
      </c>
      <c r="G471" s="100"/>
      <c r="H471" s="100">
        <f>H475</f>
        <v>257570</v>
      </c>
      <c r="I471" s="100"/>
      <c r="J471" s="100">
        <f>H471</f>
        <v>257570</v>
      </c>
      <c r="K471" s="100"/>
      <c r="L471" s="100"/>
      <c r="M471" s="100"/>
      <c r="N471" s="100"/>
      <c r="O471" s="100">
        <f>O475</f>
        <v>257570</v>
      </c>
      <c r="P471" s="100">
        <f>O471</f>
        <v>257570</v>
      </c>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91"/>
      <c r="AN471" s="91"/>
      <c r="AO471" s="91"/>
      <c r="AP471" s="91"/>
      <c r="AQ471" s="91"/>
      <c r="AR471" s="91"/>
      <c r="AS471" s="91"/>
      <c r="AT471" s="91"/>
      <c r="AU471" s="91"/>
      <c r="AV471" s="91"/>
      <c r="AW471" s="91"/>
      <c r="AX471" s="91"/>
      <c r="AY471" s="91"/>
      <c r="AZ471" s="91"/>
      <c r="BA471" s="91"/>
      <c r="BB471" s="91"/>
      <c r="BC471" s="91"/>
      <c r="BD471" s="91"/>
      <c r="BE471" s="91"/>
      <c r="BF471" s="91"/>
      <c r="BG471" s="91"/>
      <c r="BH471" s="91"/>
      <c r="BI471" s="91"/>
      <c r="BJ471" s="91"/>
      <c r="BK471" s="91"/>
      <c r="BL471" s="91"/>
      <c r="BM471" s="91"/>
      <c r="BN471" s="91"/>
      <c r="BO471" s="91"/>
      <c r="BP471" s="91"/>
      <c r="BQ471" s="91"/>
      <c r="BR471" s="91"/>
      <c r="BS471" s="91"/>
      <c r="BT471" s="91"/>
      <c r="BU471" s="91"/>
      <c r="BV471" s="91"/>
      <c r="BW471" s="91"/>
      <c r="BX471" s="91"/>
      <c r="BY471" s="91"/>
      <c r="BZ471" s="91"/>
      <c r="CA471" s="91"/>
      <c r="CB471" s="91"/>
      <c r="CC471" s="91"/>
      <c r="CD471" s="91"/>
      <c r="CE471" s="91"/>
      <c r="CF471" s="91"/>
      <c r="CG471" s="91"/>
      <c r="CH471" s="91"/>
      <c r="CI471" s="91"/>
      <c r="CJ471" s="91"/>
      <c r="CK471" s="91"/>
      <c r="CL471" s="91"/>
      <c r="CM471" s="91"/>
      <c r="CN471" s="91"/>
      <c r="CO471" s="91"/>
      <c r="CP471" s="91"/>
      <c r="CQ471" s="91"/>
      <c r="CR471" s="91"/>
      <c r="CS471" s="91"/>
      <c r="CT471" s="91"/>
      <c r="CU471" s="91"/>
      <c r="CV471" s="91"/>
      <c r="CW471" s="91"/>
      <c r="CX471" s="91"/>
      <c r="CY471" s="91"/>
      <c r="CZ471" s="91"/>
      <c r="DA471" s="91"/>
      <c r="DB471" s="91"/>
      <c r="DC471" s="91"/>
      <c r="DD471" s="91"/>
      <c r="DE471" s="91"/>
      <c r="DF471" s="91"/>
      <c r="DG471" s="91"/>
      <c r="DH471" s="91"/>
      <c r="DI471" s="91"/>
      <c r="DJ471" s="91"/>
      <c r="DK471" s="91"/>
      <c r="DL471" s="91"/>
      <c r="DM471" s="91"/>
      <c r="DN471" s="91"/>
      <c r="DO471" s="91"/>
      <c r="DP471" s="91"/>
      <c r="DQ471" s="91"/>
      <c r="DR471" s="91"/>
      <c r="DS471" s="91"/>
      <c r="DT471" s="91"/>
      <c r="DU471" s="91"/>
      <c r="DV471" s="91"/>
      <c r="DW471" s="91"/>
      <c r="DX471" s="91"/>
      <c r="DY471" s="91"/>
      <c r="DZ471" s="91"/>
      <c r="EA471" s="91"/>
      <c r="EB471" s="91"/>
      <c r="EC471" s="91"/>
      <c r="ED471" s="91"/>
      <c r="EE471" s="91"/>
      <c r="EF471" s="91"/>
      <c r="EG471" s="91"/>
      <c r="EH471" s="91"/>
      <c r="EI471" s="91"/>
      <c r="EJ471" s="91"/>
      <c r="EK471" s="91"/>
      <c r="EL471" s="91"/>
      <c r="EM471" s="91"/>
      <c r="EN471" s="91"/>
      <c r="EO471" s="91"/>
      <c r="EP471" s="91"/>
      <c r="EQ471" s="91"/>
      <c r="ER471" s="91"/>
      <c r="ES471" s="91"/>
      <c r="ET471" s="91"/>
      <c r="EU471" s="91"/>
      <c r="EV471" s="91"/>
      <c r="EW471" s="91"/>
      <c r="EX471" s="91"/>
      <c r="EY471" s="91"/>
      <c r="EZ471" s="91"/>
      <c r="FA471" s="91"/>
      <c r="FB471" s="91"/>
      <c r="FC471" s="91"/>
      <c r="FD471" s="91"/>
      <c r="FE471" s="91"/>
      <c r="FF471" s="91"/>
      <c r="FG471" s="91"/>
      <c r="FH471" s="91"/>
      <c r="FI471" s="91"/>
      <c r="FJ471" s="91"/>
      <c r="FK471" s="91"/>
      <c r="FL471" s="91"/>
      <c r="FM471" s="91"/>
      <c r="FN471" s="91"/>
      <c r="FO471" s="91"/>
      <c r="FP471" s="91"/>
      <c r="FQ471" s="91"/>
      <c r="FR471" s="91"/>
      <c r="FS471" s="91"/>
      <c r="FT471" s="91"/>
      <c r="FU471" s="91"/>
      <c r="FV471" s="91"/>
      <c r="FW471" s="91"/>
      <c r="FX471" s="91"/>
      <c r="FY471" s="91"/>
      <c r="FZ471" s="91"/>
      <c r="GA471" s="91"/>
      <c r="GB471" s="91"/>
      <c r="GC471" s="91"/>
      <c r="GD471" s="91"/>
      <c r="GE471" s="91"/>
      <c r="GF471" s="91"/>
      <c r="GG471" s="91"/>
      <c r="GH471" s="91"/>
      <c r="GI471" s="91"/>
      <c r="GJ471" s="91"/>
      <c r="GK471" s="91"/>
      <c r="GL471" s="91"/>
      <c r="GM471" s="91"/>
      <c r="GN471" s="91"/>
      <c r="GO471" s="91"/>
      <c r="GP471" s="91"/>
      <c r="GQ471" s="91"/>
      <c r="GR471" s="91"/>
      <c r="GS471" s="91"/>
      <c r="GT471" s="91"/>
      <c r="GU471" s="91"/>
      <c r="GV471" s="91"/>
      <c r="GW471" s="91"/>
      <c r="GX471" s="91"/>
      <c r="GY471" s="91"/>
      <c r="GZ471" s="91"/>
      <c r="HA471" s="91"/>
      <c r="HB471" s="91"/>
      <c r="HC471" s="91"/>
      <c r="HD471" s="91"/>
      <c r="HE471" s="91"/>
      <c r="HF471" s="91"/>
      <c r="HG471" s="91"/>
      <c r="HH471" s="91"/>
      <c r="HI471" s="91"/>
      <c r="HJ471" s="91"/>
      <c r="HK471" s="91"/>
      <c r="HL471" s="91"/>
      <c r="HM471" s="91"/>
      <c r="HN471" s="91"/>
      <c r="HO471" s="91"/>
      <c r="HP471" s="91"/>
      <c r="HQ471" s="91"/>
      <c r="HR471" s="91"/>
      <c r="HS471" s="91"/>
      <c r="HT471" s="91"/>
      <c r="HU471" s="91"/>
      <c r="HV471" s="91"/>
      <c r="HW471" s="91"/>
      <c r="HX471" s="91"/>
      <c r="HY471" s="91"/>
      <c r="HZ471" s="91"/>
      <c r="IA471" s="91"/>
    </row>
    <row r="472" spans="1:16" ht="11.25">
      <c r="A472" s="43" t="s">
        <v>5</v>
      </c>
      <c r="B472" s="31"/>
      <c r="C472" s="31"/>
      <c r="D472" s="134"/>
      <c r="E472" s="134"/>
      <c r="F472" s="35"/>
      <c r="G472" s="134"/>
      <c r="H472" s="134"/>
      <c r="I472" s="134"/>
      <c r="J472" s="35"/>
      <c r="K472" s="35"/>
      <c r="L472" s="134"/>
      <c r="M472" s="134"/>
      <c r="N472" s="134"/>
      <c r="O472" s="134"/>
      <c r="P472" s="35"/>
    </row>
    <row r="473" spans="1:16" ht="24" customHeight="1">
      <c r="A473" s="44" t="s">
        <v>205</v>
      </c>
      <c r="B473" s="33"/>
      <c r="C473" s="33"/>
      <c r="D473" s="36"/>
      <c r="E473" s="36">
        <v>236</v>
      </c>
      <c r="F473" s="36">
        <f>E473</f>
        <v>236</v>
      </c>
      <c r="G473" s="36"/>
      <c r="H473" s="36">
        <v>236</v>
      </c>
      <c r="I473" s="36"/>
      <c r="J473" s="36">
        <f>H473</f>
        <v>236</v>
      </c>
      <c r="K473" s="36" t="e">
        <f>G473/D473*100</f>
        <v>#DIV/0!</v>
      </c>
      <c r="L473" s="36"/>
      <c r="M473" s="36"/>
      <c r="N473" s="36"/>
      <c r="O473" s="36">
        <v>236</v>
      </c>
      <c r="P473" s="36">
        <f>O473</f>
        <v>236</v>
      </c>
    </row>
    <row r="474" spans="1:16" ht="11.25">
      <c r="A474" s="43" t="s">
        <v>7</v>
      </c>
      <c r="B474" s="31"/>
      <c r="C474" s="31"/>
      <c r="D474" s="141"/>
      <c r="E474" s="141"/>
      <c r="F474" s="80"/>
      <c r="G474" s="141"/>
      <c r="H474" s="141"/>
      <c r="I474" s="141"/>
      <c r="J474" s="80"/>
      <c r="K474" s="80"/>
      <c r="L474" s="141"/>
      <c r="M474" s="141"/>
      <c r="N474" s="141"/>
      <c r="O474" s="141"/>
      <c r="P474" s="80"/>
    </row>
    <row r="475" spans="1:16" ht="24" customHeight="1">
      <c r="A475" s="46" t="s">
        <v>206</v>
      </c>
      <c r="B475" s="47"/>
      <c r="C475" s="76"/>
      <c r="D475" s="75"/>
      <c r="E475" s="75">
        <v>162140</v>
      </c>
      <c r="F475" s="75">
        <f>E475</f>
        <v>162140</v>
      </c>
      <c r="G475" s="75"/>
      <c r="H475" s="75">
        <v>257570</v>
      </c>
      <c r="I475" s="75"/>
      <c r="J475" s="75">
        <f>H475</f>
        <v>257570</v>
      </c>
      <c r="K475" s="75" t="e">
        <f>G475/D475*100</f>
        <v>#DIV/0!</v>
      </c>
      <c r="L475" s="75"/>
      <c r="M475" s="75"/>
      <c r="N475" s="75"/>
      <c r="O475" s="75">
        <v>257570</v>
      </c>
      <c r="P475" s="75">
        <f>O475</f>
        <v>257570</v>
      </c>
    </row>
    <row r="476" spans="1:235" s="92" customFormat="1" ht="33.75">
      <c r="A476" s="96" t="s">
        <v>373</v>
      </c>
      <c r="B476" s="96"/>
      <c r="C476" s="97"/>
      <c r="D476" s="105"/>
      <c r="E476" s="105">
        <v>191250</v>
      </c>
      <c r="F476" s="105">
        <f>E476</f>
        <v>191250</v>
      </c>
      <c r="G476" s="105"/>
      <c r="H476" s="105"/>
      <c r="I476" s="105"/>
      <c r="J476" s="105"/>
      <c r="K476" s="105"/>
      <c r="L476" s="105"/>
      <c r="M476" s="105"/>
      <c r="N476" s="105"/>
      <c r="O476" s="105"/>
      <c r="P476" s="105"/>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91"/>
      <c r="AN476" s="91"/>
      <c r="AO476" s="91"/>
      <c r="AP476" s="91"/>
      <c r="AQ476" s="91"/>
      <c r="AR476" s="91"/>
      <c r="AS476" s="91"/>
      <c r="AT476" s="91"/>
      <c r="AU476" s="91"/>
      <c r="AV476" s="91"/>
      <c r="AW476" s="91"/>
      <c r="AX476" s="91"/>
      <c r="AY476" s="91"/>
      <c r="AZ476" s="91"/>
      <c r="BA476" s="91"/>
      <c r="BB476" s="91"/>
      <c r="BC476" s="91"/>
      <c r="BD476" s="91"/>
      <c r="BE476" s="91"/>
      <c r="BF476" s="91"/>
      <c r="BG476" s="91"/>
      <c r="BH476" s="91"/>
      <c r="BI476" s="91"/>
      <c r="BJ476" s="91"/>
      <c r="BK476" s="91"/>
      <c r="BL476" s="91"/>
      <c r="BM476" s="91"/>
      <c r="BN476" s="91"/>
      <c r="BO476" s="91"/>
      <c r="BP476" s="91"/>
      <c r="BQ476" s="91"/>
      <c r="BR476" s="91"/>
      <c r="BS476" s="91"/>
      <c r="BT476" s="91"/>
      <c r="BU476" s="91"/>
      <c r="BV476" s="91"/>
      <c r="BW476" s="91"/>
      <c r="BX476" s="91"/>
      <c r="BY476" s="91"/>
      <c r="BZ476" s="91"/>
      <c r="CA476" s="91"/>
      <c r="CB476" s="91"/>
      <c r="CC476" s="91"/>
      <c r="CD476" s="91"/>
      <c r="CE476" s="91"/>
      <c r="CF476" s="91"/>
      <c r="CG476" s="91"/>
      <c r="CH476" s="91"/>
      <c r="CI476" s="91"/>
      <c r="CJ476" s="91"/>
      <c r="CK476" s="91"/>
      <c r="CL476" s="91"/>
      <c r="CM476" s="91"/>
      <c r="CN476" s="91"/>
      <c r="CO476" s="91"/>
      <c r="CP476" s="91"/>
      <c r="CQ476" s="91"/>
      <c r="CR476" s="91"/>
      <c r="CS476" s="91"/>
      <c r="CT476" s="91"/>
      <c r="CU476" s="91"/>
      <c r="CV476" s="91"/>
      <c r="CW476" s="91"/>
      <c r="CX476" s="91"/>
      <c r="CY476" s="91"/>
      <c r="CZ476" s="91"/>
      <c r="DA476" s="91"/>
      <c r="DB476" s="91"/>
      <c r="DC476" s="91"/>
      <c r="DD476" s="91"/>
      <c r="DE476" s="91"/>
      <c r="DF476" s="91"/>
      <c r="DG476" s="91"/>
      <c r="DH476" s="91"/>
      <c r="DI476" s="91"/>
      <c r="DJ476" s="91"/>
      <c r="DK476" s="91"/>
      <c r="DL476" s="91"/>
      <c r="DM476" s="91"/>
      <c r="DN476" s="91"/>
      <c r="DO476" s="91"/>
      <c r="DP476" s="91"/>
      <c r="DQ476" s="91"/>
      <c r="DR476" s="91"/>
      <c r="DS476" s="91"/>
      <c r="DT476" s="91"/>
      <c r="DU476" s="91"/>
      <c r="DV476" s="91"/>
      <c r="DW476" s="91"/>
      <c r="DX476" s="91"/>
      <c r="DY476" s="91"/>
      <c r="DZ476" s="91"/>
      <c r="EA476" s="91"/>
      <c r="EB476" s="91"/>
      <c r="EC476" s="91"/>
      <c r="ED476" s="91"/>
      <c r="EE476" s="91"/>
      <c r="EF476" s="91"/>
      <c r="EG476" s="91"/>
      <c r="EH476" s="91"/>
      <c r="EI476" s="91"/>
      <c r="EJ476" s="91"/>
      <c r="EK476" s="91"/>
      <c r="EL476" s="91"/>
      <c r="EM476" s="91"/>
      <c r="EN476" s="91"/>
      <c r="EO476" s="91"/>
      <c r="EP476" s="91"/>
      <c r="EQ476" s="91"/>
      <c r="ER476" s="91"/>
      <c r="ES476" s="91"/>
      <c r="ET476" s="91"/>
      <c r="EU476" s="91"/>
      <c r="EV476" s="91"/>
      <c r="EW476" s="91"/>
      <c r="EX476" s="91"/>
      <c r="EY476" s="91"/>
      <c r="EZ476" s="91"/>
      <c r="FA476" s="91"/>
      <c r="FB476" s="91"/>
      <c r="FC476" s="91"/>
      <c r="FD476" s="91"/>
      <c r="FE476" s="91"/>
      <c r="FF476" s="91"/>
      <c r="FG476" s="91"/>
      <c r="FH476" s="91"/>
      <c r="FI476" s="91"/>
      <c r="FJ476" s="91"/>
      <c r="FK476" s="91"/>
      <c r="FL476" s="91"/>
      <c r="FM476" s="91"/>
      <c r="FN476" s="91"/>
      <c r="FO476" s="91"/>
      <c r="FP476" s="91"/>
      <c r="FQ476" s="91"/>
      <c r="FR476" s="91"/>
      <c r="FS476" s="91"/>
      <c r="FT476" s="91"/>
      <c r="FU476" s="91"/>
      <c r="FV476" s="91"/>
      <c r="FW476" s="91"/>
      <c r="FX476" s="91"/>
      <c r="FY476" s="91"/>
      <c r="FZ476" s="91"/>
      <c r="GA476" s="91"/>
      <c r="GB476" s="91"/>
      <c r="GC476" s="91"/>
      <c r="GD476" s="91"/>
      <c r="GE476" s="91"/>
      <c r="GF476" s="91"/>
      <c r="GG476" s="91"/>
      <c r="GH476" s="91"/>
      <c r="GI476" s="91"/>
      <c r="GJ476" s="91"/>
      <c r="GK476" s="91"/>
      <c r="GL476" s="91"/>
      <c r="GM476" s="91"/>
      <c r="GN476" s="91"/>
      <c r="GO476" s="91"/>
      <c r="GP476" s="91"/>
      <c r="GQ476" s="91"/>
      <c r="GR476" s="91"/>
      <c r="GS476" s="91"/>
      <c r="GT476" s="91"/>
      <c r="GU476" s="91"/>
      <c r="GV476" s="91"/>
      <c r="GW476" s="91"/>
      <c r="GX476" s="91"/>
      <c r="GY476" s="91"/>
      <c r="GZ476" s="91"/>
      <c r="HA476" s="91"/>
      <c r="HB476" s="91"/>
      <c r="HC476" s="91"/>
      <c r="HD476" s="91"/>
      <c r="HE476" s="91"/>
      <c r="HF476" s="91"/>
      <c r="HG476" s="91"/>
      <c r="HH476" s="91"/>
      <c r="HI476" s="91"/>
      <c r="HJ476" s="91"/>
      <c r="HK476" s="91"/>
      <c r="HL476" s="91"/>
      <c r="HM476" s="91"/>
      <c r="HN476" s="91"/>
      <c r="HO476" s="91"/>
      <c r="HP476" s="91"/>
      <c r="HQ476" s="91"/>
      <c r="HR476" s="91"/>
      <c r="HS476" s="91"/>
      <c r="HT476" s="91"/>
      <c r="HU476" s="91"/>
      <c r="HV476" s="91"/>
      <c r="HW476" s="91"/>
      <c r="HX476" s="91"/>
      <c r="HY476" s="91"/>
      <c r="HZ476" s="91"/>
      <c r="IA476" s="91"/>
    </row>
    <row r="477" spans="1:16" ht="11.25">
      <c r="A477" s="43" t="s">
        <v>4</v>
      </c>
      <c r="B477" s="32"/>
      <c r="C477" s="32"/>
      <c r="D477" s="142"/>
      <c r="E477" s="142"/>
      <c r="F477" s="142"/>
      <c r="G477" s="142"/>
      <c r="H477" s="142"/>
      <c r="I477" s="142"/>
      <c r="J477" s="142"/>
      <c r="K477" s="143"/>
      <c r="L477" s="142"/>
      <c r="M477" s="142"/>
      <c r="N477" s="142"/>
      <c r="O477" s="142"/>
      <c r="P477" s="142"/>
    </row>
    <row r="478" spans="1:16" ht="11.25">
      <c r="A478" s="44" t="s">
        <v>65</v>
      </c>
      <c r="B478" s="34"/>
      <c r="C478" s="34"/>
      <c r="D478" s="36"/>
      <c r="E478" s="36">
        <f>E476/E482</f>
        <v>11.417910447761194</v>
      </c>
      <c r="F478" s="36">
        <f>E478</f>
        <v>11.417910447761194</v>
      </c>
      <c r="G478" s="36"/>
      <c r="H478" s="36"/>
      <c r="I478" s="36"/>
      <c r="J478" s="36"/>
      <c r="K478" s="36"/>
      <c r="L478" s="36"/>
      <c r="M478" s="36"/>
      <c r="N478" s="36"/>
      <c r="O478" s="36"/>
      <c r="P478" s="36"/>
    </row>
    <row r="479" spans="1:16" ht="11.25">
      <c r="A479" s="43" t="s">
        <v>5</v>
      </c>
      <c r="B479" s="32"/>
      <c r="C479" s="32"/>
      <c r="D479" s="135"/>
      <c r="E479" s="135"/>
      <c r="F479" s="36"/>
      <c r="G479" s="135"/>
      <c r="H479" s="135"/>
      <c r="I479" s="135"/>
      <c r="J479" s="36"/>
      <c r="K479" s="36"/>
      <c r="L479" s="135"/>
      <c r="M479" s="135"/>
      <c r="N479" s="135"/>
      <c r="O479" s="135"/>
      <c r="P479" s="36"/>
    </row>
    <row r="480" spans="1:16" ht="24" customHeight="1">
      <c r="A480" s="44" t="s">
        <v>66</v>
      </c>
      <c r="B480" s="34"/>
      <c r="C480" s="34"/>
      <c r="D480" s="36"/>
      <c r="E480" s="36">
        <v>11</v>
      </c>
      <c r="F480" s="36">
        <f>E480</f>
        <v>11</v>
      </c>
      <c r="G480" s="36"/>
      <c r="H480" s="36"/>
      <c r="I480" s="36"/>
      <c r="J480" s="36"/>
      <c r="K480" s="36"/>
      <c r="L480" s="36"/>
      <c r="M480" s="36"/>
      <c r="N480" s="36"/>
      <c r="O480" s="36"/>
      <c r="P480" s="36"/>
    </row>
    <row r="481" spans="1:16" ht="11.25">
      <c r="A481" s="43" t="s">
        <v>7</v>
      </c>
      <c r="B481" s="32"/>
      <c r="C481" s="32"/>
      <c r="D481" s="134"/>
      <c r="E481" s="134"/>
      <c r="F481" s="35"/>
      <c r="G481" s="134"/>
      <c r="H481" s="134"/>
      <c r="I481" s="134"/>
      <c r="J481" s="35"/>
      <c r="K481" s="35"/>
      <c r="L481" s="134"/>
      <c r="M481" s="134"/>
      <c r="N481" s="134"/>
      <c r="O481" s="134"/>
      <c r="P481" s="35"/>
    </row>
    <row r="482" spans="1:16" ht="24" customHeight="1">
      <c r="A482" s="46" t="s">
        <v>67</v>
      </c>
      <c r="B482" s="79"/>
      <c r="C482" s="79"/>
      <c r="D482" s="80"/>
      <c r="E482" s="80">
        <v>16750</v>
      </c>
      <c r="F482" s="80">
        <f>E482</f>
        <v>16750</v>
      </c>
      <c r="G482" s="80"/>
      <c r="H482" s="80"/>
      <c r="I482" s="80"/>
      <c r="J482" s="80"/>
      <c r="K482" s="80"/>
      <c r="L482" s="80"/>
      <c r="M482" s="80"/>
      <c r="N482" s="80"/>
      <c r="O482" s="80"/>
      <c r="P482" s="80"/>
    </row>
    <row r="483" spans="1:235" s="92" customFormat="1" ht="33.75">
      <c r="A483" s="96" t="s">
        <v>374</v>
      </c>
      <c r="B483" s="96"/>
      <c r="C483" s="97"/>
      <c r="D483" s="105"/>
      <c r="E483" s="105"/>
      <c r="F483" s="105"/>
      <c r="G483" s="105"/>
      <c r="H483" s="105">
        <f>H487*H489</f>
        <v>131250</v>
      </c>
      <c r="I483" s="105">
        <f aca="true" t="shared" si="43" ref="I483:Q483">I487*I489</f>
        <v>0</v>
      </c>
      <c r="J483" s="105">
        <f t="shared" si="43"/>
        <v>131250</v>
      </c>
      <c r="K483" s="105">
        <f t="shared" si="43"/>
        <v>0</v>
      </c>
      <c r="L483" s="105">
        <f t="shared" si="43"/>
        <v>0</v>
      </c>
      <c r="M483" s="105">
        <f t="shared" si="43"/>
        <v>0</v>
      </c>
      <c r="N483" s="105">
        <f t="shared" si="43"/>
        <v>0</v>
      </c>
      <c r="O483" s="105">
        <f t="shared" si="43"/>
        <v>251250</v>
      </c>
      <c r="P483" s="105">
        <f t="shared" si="43"/>
        <v>131250</v>
      </c>
      <c r="Q483" s="98">
        <f t="shared" si="43"/>
        <v>0</v>
      </c>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91"/>
      <c r="AY483" s="91"/>
      <c r="AZ483" s="91"/>
      <c r="BA483" s="91"/>
      <c r="BB483" s="91"/>
      <c r="BC483" s="91"/>
      <c r="BD483" s="91"/>
      <c r="BE483" s="91"/>
      <c r="BF483" s="91"/>
      <c r="BG483" s="91"/>
      <c r="BH483" s="91"/>
      <c r="BI483" s="91"/>
      <c r="BJ483" s="91"/>
      <c r="BK483" s="91"/>
      <c r="BL483" s="91"/>
      <c r="BM483" s="91"/>
      <c r="BN483" s="91"/>
      <c r="BO483" s="91"/>
      <c r="BP483" s="91"/>
      <c r="BQ483" s="91"/>
      <c r="BR483" s="91"/>
      <c r="BS483" s="91"/>
      <c r="BT483" s="91"/>
      <c r="BU483" s="91"/>
      <c r="BV483" s="91"/>
      <c r="BW483" s="91"/>
      <c r="BX483" s="91"/>
      <c r="BY483" s="91"/>
      <c r="BZ483" s="91"/>
      <c r="CA483" s="91"/>
      <c r="CB483" s="91"/>
      <c r="CC483" s="91"/>
      <c r="CD483" s="91"/>
      <c r="CE483" s="91"/>
      <c r="CF483" s="91"/>
      <c r="CG483" s="91"/>
      <c r="CH483" s="91"/>
      <c r="CI483" s="91"/>
      <c r="CJ483" s="91"/>
      <c r="CK483" s="91"/>
      <c r="CL483" s="91"/>
      <c r="CM483" s="91"/>
      <c r="CN483" s="91"/>
      <c r="CO483" s="91"/>
      <c r="CP483" s="91"/>
      <c r="CQ483" s="91"/>
      <c r="CR483" s="91"/>
      <c r="CS483" s="91"/>
      <c r="CT483" s="91"/>
      <c r="CU483" s="91"/>
      <c r="CV483" s="91"/>
      <c r="CW483" s="91"/>
      <c r="CX483" s="91"/>
      <c r="CY483" s="91"/>
      <c r="CZ483" s="91"/>
      <c r="DA483" s="91"/>
      <c r="DB483" s="91"/>
      <c r="DC483" s="91"/>
      <c r="DD483" s="91"/>
      <c r="DE483" s="91"/>
      <c r="DF483" s="91"/>
      <c r="DG483" s="91"/>
      <c r="DH483" s="91"/>
      <c r="DI483" s="91"/>
      <c r="DJ483" s="91"/>
      <c r="DK483" s="91"/>
      <c r="DL483" s="91"/>
      <c r="DM483" s="91"/>
      <c r="DN483" s="91"/>
      <c r="DO483" s="91"/>
      <c r="DP483" s="91"/>
      <c r="DQ483" s="91"/>
      <c r="DR483" s="91"/>
      <c r="DS483" s="91"/>
      <c r="DT483" s="91"/>
      <c r="DU483" s="91"/>
      <c r="DV483" s="91"/>
      <c r="DW483" s="91"/>
      <c r="DX483" s="91"/>
      <c r="DY483" s="91"/>
      <c r="DZ483" s="91"/>
      <c r="EA483" s="91"/>
      <c r="EB483" s="91"/>
      <c r="EC483" s="91"/>
      <c r="ED483" s="91"/>
      <c r="EE483" s="91"/>
      <c r="EF483" s="91"/>
      <c r="EG483" s="91"/>
      <c r="EH483" s="91"/>
      <c r="EI483" s="91"/>
      <c r="EJ483" s="91"/>
      <c r="EK483" s="91"/>
      <c r="EL483" s="91"/>
      <c r="EM483" s="91"/>
      <c r="EN483" s="91"/>
      <c r="EO483" s="91"/>
      <c r="EP483" s="91"/>
      <c r="EQ483" s="91"/>
      <c r="ER483" s="91"/>
      <c r="ES483" s="91"/>
      <c r="ET483" s="91"/>
      <c r="EU483" s="91"/>
      <c r="EV483" s="91"/>
      <c r="EW483" s="91"/>
      <c r="EX483" s="91"/>
      <c r="EY483" s="91"/>
      <c r="EZ483" s="91"/>
      <c r="FA483" s="91"/>
      <c r="FB483" s="91"/>
      <c r="FC483" s="91"/>
      <c r="FD483" s="91"/>
      <c r="FE483" s="91"/>
      <c r="FF483" s="91"/>
      <c r="FG483" s="91"/>
      <c r="FH483" s="91"/>
      <c r="FI483" s="91"/>
      <c r="FJ483" s="91"/>
      <c r="FK483" s="91"/>
      <c r="FL483" s="91"/>
      <c r="FM483" s="91"/>
      <c r="FN483" s="91"/>
      <c r="FO483" s="91"/>
      <c r="FP483" s="91"/>
      <c r="FQ483" s="91"/>
      <c r="FR483" s="91"/>
      <c r="FS483" s="91"/>
      <c r="FT483" s="91"/>
      <c r="FU483" s="91"/>
      <c r="FV483" s="91"/>
      <c r="FW483" s="91"/>
      <c r="FX483" s="91"/>
      <c r="FY483" s="91"/>
      <c r="FZ483" s="91"/>
      <c r="GA483" s="91"/>
      <c r="GB483" s="91"/>
      <c r="GC483" s="91"/>
      <c r="GD483" s="91"/>
      <c r="GE483" s="91"/>
      <c r="GF483" s="91"/>
      <c r="GG483" s="91"/>
      <c r="GH483" s="91"/>
      <c r="GI483" s="91"/>
      <c r="GJ483" s="91"/>
      <c r="GK483" s="91"/>
      <c r="GL483" s="91"/>
      <c r="GM483" s="91"/>
      <c r="GN483" s="91"/>
      <c r="GO483" s="91"/>
      <c r="GP483" s="91"/>
      <c r="GQ483" s="91"/>
      <c r="GR483" s="91"/>
      <c r="GS483" s="91"/>
      <c r="GT483" s="91"/>
      <c r="GU483" s="91"/>
      <c r="GV483" s="91"/>
      <c r="GW483" s="91"/>
      <c r="GX483" s="91"/>
      <c r="GY483" s="91"/>
      <c r="GZ483" s="91"/>
      <c r="HA483" s="91"/>
      <c r="HB483" s="91"/>
      <c r="HC483" s="91"/>
      <c r="HD483" s="91"/>
      <c r="HE483" s="91"/>
      <c r="HF483" s="91"/>
      <c r="HG483" s="91"/>
      <c r="HH483" s="91"/>
      <c r="HI483" s="91"/>
      <c r="HJ483" s="91"/>
      <c r="HK483" s="91"/>
      <c r="HL483" s="91"/>
      <c r="HM483" s="91"/>
      <c r="HN483" s="91"/>
      <c r="HO483" s="91"/>
      <c r="HP483" s="91"/>
      <c r="HQ483" s="91"/>
      <c r="HR483" s="91"/>
      <c r="HS483" s="91"/>
      <c r="HT483" s="91"/>
      <c r="HU483" s="91"/>
      <c r="HV483" s="91"/>
      <c r="HW483" s="91"/>
      <c r="HX483" s="91"/>
      <c r="HY483" s="91"/>
      <c r="HZ483" s="91"/>
      <c r="IA483" s="91"/>
    </row>
    <row r="484" spans="1:16" ht="11.25">
      <c r="A484" s="43" t="s">
        <v>4</v>
      </c>
      <c r="B484" s="32"/>
      <c r="C484" s="32"/>
      <c r="D484" s="142"/>
      <c r="E484" s="142"/>
      <c r="F484" s="142"/>
      <c r="G484" s="142"/>
      <c r="H484" s="142"/>
      <c r="I484" s="142"/>
      <c r="J484" s="142"/>
      <c r="K484" s="143"/>
      <c r="L484" s="142"/>
      <c r="M484" s="142"/>
      <c r="N484" s="142"/>
      <c r="O484" s="142"/>
      <c r="P484" s="142"/>
    </row>
    <row r="485" spans="1:16" ht="11.25">
      <c r="A485" s="44" t="s">
        <v>65</v>
      </c>
      <c r="B485" s="34"/>
      <c r="C485" s="34"/>
      <c r="D485" s="36"/>
      <c r="E485" s="36"/>
      <c r="F485" s="36"/>
      <c r="G485" s="36"/>
      <c r="H485" s="36">
        <v>8</v>
      </c>
      <c r="I485" s="36"/>
      <c r="J485" s="36">
        <v>8</v>
      </c>
      <c r="K485" s="36"/>
      <c r="L485" s="36"/>
      <c r="M485" s="36"/>
      <c r="N485" s="36"/>
      <c r="O485" s="36">
        <v>8</v>
      </c>
      <c r="P485" s="36">
        <v>8</v>
      </c>
    </row>
    <row r="486" spans="1:16" ht="11.25">
      <c r="A486" s="43" t="s">
        <v>5</v>
      </c>
      <c r="B486" s="32"/>
      <c r="C486" s="32"/>
      <c r="D486" s="135"/>
      <c r="E486" s="135"/>
      <c r="F486" s="36"/>
      <c r="G486" s="135"/>
      <c r="H486" s="135"/>
      <c r="I486" s="135"/>
      <c r="J486" s="36"/>
      <c r="K486" s="36"/>
      <c r="L486" s="135"/>
      <c r="M486" s="135"/>
      <c r="N486" s="135"/>
      <c r="O486" s="135"/>
      <c r="P486" s="36"/>
    </row>
    <row r="487" spans="1:16" ht="24" customHeight="1">
      <c r="A487" s="44" t="s">
        <v>66</v>
      </c>
      <c r="B487" s="34"/>
      <c r="C487" s="34"/>
      <c r="D487" s="36"/>
      <c r="E487" s="36"/>
      <c r="F487" s="36"/>
      <c r="G487" s="36"/>
      <c r="H487" s="36">
        <v>8</v>
      </c>
      <c r="I487" s="36"/>
      <c r="J487" s="36">
        <v>8</v>
      </c>
      <c r="K487" s="36"/>
      <c r="L487" s="36"/>
      <c r="M487" s="36"/>
      <c r="N487" s="36"/>
      <c r="O487" s="36">
        <v>8</v>
      </c>
      <c r="P487" s="36">
        <v>8</v>
      </c>
    </row>
    <row r="488" spans="1:16" ht="11.25">
      <c r="A488" s="43" t="s">
        <v>7</v>
      </c>
      <c r="B488" s="32"/>
      <c r="C488" s="32"/>
      <c r="D488" s="134"/>
      <c r="E488" s="134"/>
      <c r="F488" s="35"/>
      <c r="G488" s="134"/>
      <c r="H488" s="134"/>
      <c r="I488" s="134"/>
      <c r="J488" s="35"/>
      <c r="K488" s="35"/>
      <c r="L488" s="134"/>
      <c r="M488" s="134"/>
      <c r="N488" s="134"/>
      <c r="O488" s="134"/>
      <c r="P488" s="35"/>
    </row>
    <row r="489" spans="1:16" ht="24" customHeight="1">
      <c r="A489" s="46" t="s">
        <v>67</v>
      </c>
      <c r="B489" s="79"/>
      <c r="C489" s="79"/>
      <c r="D489" s="80"/>
      <c r="E489" s="80"/>
      <c r="F489" s="80"/>
      <c r="G489" s="80"/>
      <c r="H489" s="80">
        <v>16406.25</v>
      </c>
      <c r="I489" s="80"/>
      <c r="J489" s="80">
        <v>16406.25</v>
      </c>
      <c r="K489" s="80"/>
      <c r="L489" s="80"/>
      <c r="M489" s="80"/>
      <c r="N489" s="80"/>
      <c r="O489" s="80">
        <v>31406.25</v>
      </c>
      <c r="P489" s="80">
        <v>16406.25</v>
      </c>
    </row>
    <row r="490" spans="1:235" s="92" customFormat="1" ht="35.25" customHeight="1">
      <c r="A490" s="96" t="s">
        <v>375</v>
      </c>
      <c r="B490" s="104"/>
      <c r="C490" s="104"/>
      <c r="D490" s="105"/>
      <c r="E490" s="105"/>
      <c r="F490" s="105"/>
      <c r="G490" s="105"/>
      <c r="H490" s="105">
        <f>H494*H496</f>
        <v>110000</v>
      </c>
      <c r="I490" s="105"/>
      <c r="J490" s="105">
        <f>H490</f>
        <v>110000</v>
      </c>
      <c r="K490" s="105"/>
      <c r="L490" s="105"/>
      <c r="M490" s="105"/>
      <c r="N490" s="105"/>
      <c r="O490" s="105"/>
      <c r="P490" s="105"/>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91"/>
      <c r="AN490" s="91"/>
      <c r="AO490" s="91"/>
      <c r="AP490" s="91"/>
      <c r="AQ490" s="91"/>
      <c r="AR490" s="91"/>
      <c r="AS490" s="91"/>
      <c r="AT490" s="91"/>
      <c r="AU490" s="91"/>
      <c r="AV490" s="91"/>
      <c r="AW490" s="91"/>
      <c r="AX490" s="91"/>
      <c r="AY490" s="91"/>
      <c r="AZ490" s="91"/>
      <c r="BA490" s="91"/>
      <c r="BB490" s="91"/>
      <c r="BC490" s="91"/>
      <c r="BD490" s="91"/>
      <c r="BE490" s="91"/>
      <c r="BF490" s="91"/>
      <c r="BG490" s="91"/>
      <c r="BH490" s="91"/>
      <c r="BI490" s="91"/>
      <c r="BJ490" s="91"/>
      <c r="BK490" s="91"/>
      <c r="BL490" s="91"/>
      <c r="BM490" s="91"/>
      <c r="BN490" s="91"/>
      <c r="BO490" s="91"/>
      <c r="BP490" s="91"/>
      <c r="BQ490" s="91"/>
      <c r="BR490" s="91"/>
      <c r="BS490" s="91"/>
      <c r="BT490" s="91"/>
      <c r="BU490" s="91"/>
      <c r="BV490" s="91"/>
      <c r="BW490" s="91"/>
      <c r="BX490" s="91"/>
      <c r="BY490" s="91"/>
      <c r="BZ490" s="91"/>
      <c r="CA490" s="91"/>
      <c r="CB490" s="91"/>
      <c r="CC490" s="91"/>
      <c r="CD490" s="91"/>
      <c r="CE490" s="91"/>
      <c r="CF490" s="91"/>
      <c r="CG490" s="91"/>
      <c r="CH490" s="91"/>
      <c r="CI490" s="91"/>
      <c r="CJ490" s="91"/>
      <c r="CK490" s="91"/>
      <c r="CL490" s="91"/>
      <c r="CM490" s="91"/>
      <c r="CN490" s="91"/>
      <c r="CO490" s="91"/>
      <c r="CP490" s="91"/>
      <c r="CQ490" s="91"/>
      <c r="CR490" s="91"/>
      <c r="CS490" s="91"/>
      <c r="CT490" s="91"/>
      <c r="CU490" s="91"/>
      <c r="CV490" s="91"/>
      <c r="CW490" s="91"/>
      <c r="CX490" s="91"/>
      <c r="CY490" s="91"/>
      <c r="CZ490" s="91"/>
      <c r="DA490" s="91"/>
      <c r="DB490" s="91"/>
      <c r="DC490" s="91"/>
      <c r="DD490" s="91"/>
      <c r="DE490" s="91"/>
      <c r="DF490" s="91"/>
      <c r="DG490" s="91"/>
      <c r="DH490" s="91"/>
      <c r="DI490" s="91"/>
      <c r="DJ490" s="91"/>
      <c r="DK490" s="91"/>
      <c r="DL490" s="91"/>
      <c r="DM490" s="91"/>
      <c r="DN490" s="91"/>
      <c r="DO490" s="91"/>
      <c r="DP490" s="91"/>
      <c r="DQ490" s="91"/>
      <c r="DR490" s="91"/>
      <c r="DS490" s="91"/>
      <c r="DT490" s="91"/>
      <c r="DU490" s="91"/>
      <c r="DV490" s="91"/>
      <c r="DW490" s="91"/>
      <c r="DX490" s="91"/>
      <c r="DY490" s="91"/>
      <c r="DZ490" s="91"/>
      <c r="EA490" s="91"/>
      <c r="EB490" s="91"/>
      <c r="EC490" s="91"/>
      <c r="ED490" s="91"/>
      <c r="EE490" s="91"/>
      <c r="EF490" s="91"/>
      <c r="EG490" s="91"/>
      <c r="EH490" s="91"/>
      <c r="EI490" s="91"/>
      <c r="EJ490" s="91"/>
      <c r="EK490" s="91"/>
      <c r="EL490" s="91"/>
      <c r="EM490" s="91"/>
      <c r="EN490" s="91"/>
      <c r="EO490" s="91"/>
      <c r="EP490" s="91"/>
      <c r="EQ490" s="91"/>
      <c r="ER490" s="91"/>
      <c r="ES490" s="91"/>
      <c r="ET490" s="91"/>
      <c r="EU490" s="91"/>
      <c r="EV490" s="91"/>
      <c r="EW490" s="91"/>
      <c r="EX490" s="91"/>
      <c r="EY490" s="91"/>
      <c r="EZ490" s="91"/>
      <c r="FA490" s="91"/>
      <c r="FB490" s="91"/>
      <c r="FC490" s="91"/>
      <c r="FD490" s="91"/>
      <c r="FE490" s="91"/>
      <c r="FF490" s="91"/>
      <c r="FG490" s="91"/>
      <c r="FH490" s="91"/>
      <c r="FI490" s="91"/>
      <c r="FJ490" s="91"/>
      <c r="FK490" s="91"/>
      <c r="FL490" s="91"/>
      <c r="FM490" s="91"/>
      <c r="FN490" s="91"/>
      <c r="FO490" s="91"/>
      <c r="FP490" s="91"/>
      <c r="FQ490" s="91"/>
      <c r="FR490" s="91"/>
      <c r="FS490" s="91"/>
      <c r="FT490" s="91"/>
      <c r="FU490" s="91"/>
      <c r="FV490" s="91"/>
      <c r="FW490" s="91"/>
      <c r="FX490" s="91"/>
      <c r="FY490" s="91"/>
      <c r="FZ490" s="91"/>
      <c r="GA490" s="91"/>
      <c r="GB490" s="91"/>
      <c r="GC490" s="91"/>
      <c r="GD490" s="91"/>
      <c r="GE490" s="91"/>
      <c r="GF490" s="91"/>
      <c r="GG490" s="91"/>
      <c r="GH490" s="91"/>
      <c r="GI490" s="91"/>
      <c r="GJ490" s="91"/>
      <c r="GK490" s="91"/>
      <c r="GL490" s="91"/>
      <c r="GM490" s="91"/>
      <c r="GN490" s="91"/>
      <c r="GO490" s="91"/>
      <c r="GP490" s="91"/>
      <c r="GQ490" s="91"/>
      <c r="GR490" s="91"/>
      <c r="GS490" s="91"/>
      <c r="GT490" s="91"/>
      <c r="GU490" s="91"/>
      <c r="GV490" s="91"/>
      <c r="GW490" s="91"/>
      <c r="GX490" s="91"/>
      <c r="GY490" s="91"/>
      <c r="GZ490" s="91"/>
      <c r="HA490" s="91"/>
      <c r="HB490" s="91"/>
      <c r="HC490" s="91"/>
      <c r="HD490" s="91"/>
      <c r="HE490" s="91"/>
      <c r="HF490" s="91"/>
      <c r="HG490" s="91"/>
      <c r="HH490" s="91"/>
      <c r="HI490" s="91"/>
      <c r="HJ490" s="91"/>
      <c r="HK490" s="91"/>
      <c r="HL490" s="91"/>
      <c r="HM490" s="91"/>
      <c r="HN490" s="91"/>
      <c r="HO490" s="91"/>
      <c r="HP490" s="91"/>
      <c r="HQ490" s="91"/>
      <c r="HR490" s="91"/>
      <c r="HS490" s="91"/>
      <c r="HT490" s="91"/>
      <c r="HU490" s="91"/>
      <c r="HV490" s="91"/>
      <c r="HW490" s="91"/>
      <c r="HX490" s="91"/>
      <c r="HY490" s="91"/>
      <c r="HZ490" s="91"/>
      <c r="IA490" s="91"/>
    </row>
    <row r="491" spans="1:16" ht="11.25">
      <c r="A491" s="43" t="s">
        <v>4</v>
      </c>
      <c r="B491" s="81"/>
      <c r="C491" s="81"/>
      <c r="D491" s="75"/>
      <c r="E491" s="75"/>
      <c r="F491" s="75"/>
      <c r="G491" s="75"/>
      <c r="H491" s="75"/>
      <c r="I491" s="75"/>
      <c r="J491" s="75"/>
      <c r="K491" s="75"/>
      <c r="L491" s="75"/>
      <c r="M491" s="75"/>
      <c r="N491" s="75"/>
      <c r="O491" s="75"/>
      <c r="P491" s="75"/>
    </row>
    <row r="492" spans="1:16" ht="33.75">
      <c r="A492" s="44" t="s">
        <v>305</v>
      </c>
      <c r="B492" s="81"/>
      <c r="C492" s="81"/>
      <c r="D492" s="75"/>
      <c r="E492" s="75"/>
      <c r="F492" s="75"/>
      <c r="G492" s="75"/>
      <c r="H492" s="75">
        <v>110000</v>
      </c>
      <c r="I492" s="75"/>
      <c r="J492" s="75">
        <f>H492</f>
        <v>110000</v>
      </c>
      <c r="K492" s="75"/>
      <c r="L492" s="75"/>
      <c r="M492" s="75"/>
      <c r="N492" s="75"/>
      <c r="O492" s="75"/>
      <c r="P492" s="75"/>
    </row>
    <row r="493" spans="1:16" ht="11.25">
      <c r="A493" s="43" t="s">
        <v>5</v>
      </c>
      <c r="B493" s="81"/>
      <c r="C493" s="81"/>
      <c r="D493" s="75"/>
      <c r="E493" s="75"/>
      <c r="F493" s="75"/>
      <c r="G493" s="75"/>
      <c r="H493" s="75"/>
      <c r="I493" s="75"/>
      <c r="J493" s="75"/>
      <c r="K493" s="75"/>
      <c r="L493" s="75"/>
      <c r="M493" s="75"/>
      <c r="N493" s="75"/>
      <c r="O493" s="75"/>
      <c r="P493" s="75"/>
    </row>
    <row r="494" spans="1:16" ht="37.5" customHeight="1">
      <c r="A494" s="107" t="s">
        <v>319</v>
      </c>
      <c r="B494" s="81"/>
      <c r="C494" s="81"/>
      <c r="D494" s="75"/>
      <c r="E494" s="75"/>
      <c r="F494" s="75"/>
      <c r="G494" s="75"/>
      <c r="H494" s="75">
        <v>1</v>
      </c>
      <c r="I494" s="75"/>
      <c r="J494" s="75">
        <v>1</v>
      </c>
      <c r="K494" s="75"/>
      <c r="L494" s="75"/>
      <c r="M494" s="75"/>
      <c r="N494" s="75"/>
      <c r="O494" s="75"/>
      <c r="P494" s="75"/>
    </row>
    <row r="495" spans="1:16" ht="11.25">
      <c r="A495" s="43" t="s">
        <v>7</v>
      </c>
      <c r="B495" s="81"/>
      <c r="C495" s="81"/>
      <c r="D495" s="75"/>
      <c r="E495" s="75"/>
      <c r="F495" s="75"/>
      <c r="G495" s="75"/>
      <c r="H495" s="75"/>
      <c r="I495" s="75"/>
      <c r="J495" s="75"/>
      <c r="K495" s="75"/>
      <c r="L495" s="75"/>
      <c r="M495" s="75"/>
      <c r="N495" s="75"/>
      <c r="O495" s="75"/>
      <c r="P495" s="75"/>
    </row>
    <row r="496" spans="1:16" ht="39" customHeight="1">
      <c r="A496" s="46" t="s">
        <v>306</v>
      </c>
      <c r="B496" s="81"/>
      <c r="C496" s="81"/>
      <c r="D496" s="75"/>
      <c r="E496" s="75"/>
      <c r="F496" s="75"/>
      <c r="G496" s="75"/>
      <c r="H496" s="75">
        <v>110000</v>
      </c>
      <c r="I496" s="75"/>
      <c r="J496" s="75">
        <f>J492/H494</f>
        <v>110000</v>
      </c>
      <c r="K496" s="75"/>
      <c r="L496" s="75"/>
      <c r="M496" s="75"/>
      <c r="N496" s="75"/>
      <c r="O496" s="75"/>
      <c r="P496" s="75"/>
    </row>
    <row r="497" spans="1:235" s="92" customFormat="1" ht="57" customHeight="1">
      <c r="A497" s="99" t="s">
        <v>459</v>
      </c>
      <c r="B497" s="104"/>
      <c r="C497" s="104"/>
      <c r="D497" s="105"/>
      <c r="E497" s="105"/>
      <c r="F497" s="105"/>
      <c r="G497" s="105"/>
      <c r="H497" s="105">
        <f>H499*H503</f>
        <v>199000</v>
      </c>
      <c r="I497" s="105"/>
      <c r="J497" s="105">
        <f>G497+H497</f>
        <v>199000</v>
      </c>
      <c r="K497" s="105"/>
      <c r="L497" s="105"/>
      <c r="M497" s="105"/>
      <c r="N497" s="105"/>
      <c r="O497" s="105">
        <f>O499*O503</f>
        <v>75000</v>
      </c>
      <c r="P497" s="105">
        <f>O497</f>
        <v>75000</v>
      </c>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91"/>
      <c r="AN497" s="91"/>
      <c r="AO497" s="91"/>
      <c r="AP497" s="91"/>
      <c r="AQ497" s="91"/>
      <c r="AR497" s="91"/>
      <c r="AS497" s="91"/>
      <c r="AT497" s="91"/>
      <c r="AU497" s="91"/>
      <c r="AV497" s="91"/>
      <c r="AW497" s="91"/>
      <c r="AX497" s="91"/>
      <c r="AY497" s="91"/>
      <c r="AZ497" s="91"/>
      <c r="BA497" s="91"/>
      <c r="BB497" s="91"/>
      <c r="BC497" s="91"/>
      <c r="BD497" s="91"/>
      <c r="BE497" s="91"/>
      <c r="BF497" s="91"/>
      <c r="BG497" s="91"/>
      <c r="BH497" s="91"/>
      <c r="BI497" s="91"/>
      <c r="BJ497" s="91"/>
      <c r="BK497" s="91"/>
      <c r="BL497" s="91"/>
      <c r="BM497" s="91"/>
      <c r="BN497" s="91"/>
      <c r="BO497" s="91"/>
      <c r="BP497" s="91"/>
      <c r="BQ497" s="91"/>
      <c r="BR497" s="91"/>
      <c r="BS497" s="91"/>
      <c r="BT497" s="91"/>
      <c r="BU497" s="91"/>
      <c r="BV497" s="91"/>
      <c r="BW497" s="91"/>
      <c r="BX497" s="91"/>
      <c r="BY497" s="91"/>
      <c r="BZ497" s="91"/>
      <c r="CA497" s="91"/>
      <c r="CB497" s="91"/>
      <c r="CC497" s="91"/>
      <c r="CD497" s="91"/>
      <c r="CE497" s="91"/>
      <c r="CF497" s="91"/>
      <c r="CG497" s="91"/>
      <c r="CH497" s="91"/>
      <c r="CI497" s="91"/>
      <c r="CJ497" s="91"/>
      <c r="CK497" s="91"/>
      <c r="CL497" s="91"/>
      <c r="CM497" s="91"/>
      <c r="CN497" s="91"/>
      <c r="CO497" s="91"/>
      <c r="CP497" s="91"/>
      <c r="CQ497" s="91"/>
      <c r="CR497" s="91"/>
      <c r="CS497" s="91"/>
      <c r="CT497" s="91"/>
      <c r="CU497" s="91"/>
      <c r="CV497" s="91"/>
      <c r="CW497" s="91"/>
      <c r="CX497" s="91"/>
      <c r="CY497" s="91"/>
      <c r="CZ497" s="91"/>
      <c r="DA497" s="91"/>
      <c r="DB497" s="91"/>
      <c r="DC497" s="91"/>
      <c r="DD497" s="91"/>
      <c r="DE497" s="91"/>
      <c r="DF497" s="91"/>
      <c r="DG497" s="91"/>
      <c r="DH497" s="91"/>
      <c r="DI497" s="91"/>
      <c r="DJ497" s="91"/>
      <c r="DK497" s="91"/>
      <c r="DL497" s="91"/>
      <c r="DM497" s="91"/>
      <c r="DN497" s="91"/>
      <c r="DO497" s="91"/>
      <c r="DP497" s="91"/>
      <c r="DQ497" s="91"/>
      <c r="DR497" s="91"/>
      <c r="DS497" s="91"/>
      <c r="DT497" s="91"/>
      <c r="DU497" s="91"/>
      <c r="DV497" s="91"/>
      <c r="DW497" s="91"/>
      <c r="DX497" s="91"/>
      <c r="DY497" s="91"/>
      <c r="DZ497" s="91"/>
      <c r="EA497" s="91"/>
      <c r="EB497" s="91"/>
      <c r="EC497" s="91"/>
      <c r="ED497" s="91"/>
      <c r="EE497" s="91"/>
      <c r="EF497" s="91"/>
      <c r="EG497" s="91"/>
      <c r="EH497" s="91"/>
      <c r="EI497" s="91"/>
      <c r="EJ497" s="91"/>
      <c r="EK497" s="91"/>
      <c r="EL497" s="91"/>
      <c r="EM497" s="91"/>
      <c r="EN497" s="91"/>
      <c r="EO497" s="91"/>
      <c r="EP497" s="91"/>
      <c r="EQ497" s="91"/>
      <c r="ER497" s="91"/>
      <c r="ES497" s="91"/>
      <c r="ET497" s="91"/>
      <c r="EU497" s="91"/>
      <c r="EV497" s="91"/>
      <c r="EW497" s="91"/>
      <c r="EX497" s="91"/>
      <c r="EY497" s="91"/>
      <c r="EZ497" s="91"/>
      <c r="FA497" s="91"/>
      <c r="FB497" s="91"/>
      <c r="FC497" s="91"/>
      <c r="FD497" s="91"/>
      <c r="FE497" s="91"/>
      <c r="FF497" s="91"/>
      <c r="FG497" s="91"/>
      <c r="FH497" s="91"/>
      <c r="FI497" s="91"/>
      <c r="FJ497" s="91"/>
      <c r="FK497" s="91"/>
      <c r="FL497" s="91"/>
      <c r="FM497" s="91"/>
      <c r="FN497" s="91"/>
      <c r="FO497" s="91"/>
      <c r="FP497" s="91"/>
      <c r="FQ497" s="91"/>
      <c r="FR497" s="91"/>
      <c r="FS497" s="91"/>
      <c r="FT497" s="91"/>
      <c r="FU497" s="91"/>
      <c r="FV497" s="91"/>
      <c r="FW497" s="91"/>
      <c r="FX497" s="91"/>
      <c r="FY497" s="91"/>
      <c r="FZ497" s="91"/>
      <c r="GA497" s="91"/>
      <c r="GB497" s="91"/>
      <c r="GC497" s="91"/>
      <c r="GD497" s="91"/>
      <c r="GE497" s="91"/>
      <c r="GF497" s="91"/>
      <c r="GG497" s="91"/>
      <c r="GH497" s="91"/>
      <c r="GI497" s="91"/>
      <c r="GJ497" s="91"/>
      <c r="GK497" s="91"/>
      <c r="GL497" s="91"/>
      <c r="GM497" s="91"/>
      <c r="GN497" s="91"/>
      <c r="GO497" s="91"/>
      <c r="GP497" s="91"/>
      <c r="GQ497" s="91"/>
      <c r="GR497" s="91"/>
      <c r="GS497" s="91"/>
      <c r="GT497" s="91"/>
      <c r="GU497" s="91"/>
      <c r="GV497" s="91"/>
      <c r="GW497" s="91"/>
      <c r="GX497" s="91"/>
      <c r="GY497" s="91"/>
      <c r="GZ497" s="91"/>
      <c r="HA497" s="91"/>
      <c r="HB497" s="91"/>
      <c r="HC497" s="91"/>
      <c r="HD497" s="91"/>
      <c r="HE497" s="91"/>
      <c r="HF497" s="91"/>
      <c r="HG497" s="91"/>
      <c r="HH497" s="91"/>
      <c r="HI497" s="91"/>
      <c r="HJ497" s="91"/>
      <c r="HK497" s="91"/>
      <c r="HL497" s="91"/>
      <c r="HM497" s="91"/>
      <c r="HN497" s="91"/>
      <c r="HO497" s="91"/>
      <c r="HP497" s="91"/>
      <c r="HQ497" s="91"/>
      <c r="HR497" s="91"/>
      <c r="HS497" s="91"/>
      <c r="HT497" s="91"/>
      <c r="HU497" s="91"/>
      <c r="HV497" s="91"/>
      <c r="HW497" s="91"/>
      <c r="HX497" s="91"/>
      <c r="HY497" s="91"/>
      <c r="HZ497" s="91"/>
      <c r="IA497" s="91"/>
    </row>
    <row r="498" spans="1:16" ht="11.25">
      <c r="A498" s="87" t="s">
        <v>311</v>
      </c>
      <c r="B498" s="81"/>
      <c r="C498" s="81"/>
      <c r="D498" s="75"/>
      <c r="E498" s="75"/>
      <c r="F498" s="75"/>
      <c r="G498" s="75"/>
      <c r="H498" s="75"/>
      <c r="I498" s="75"/>
      <c r="J498" s="75"/>
      <c r="K498" s="75"/>
      <c r="L498" s="75"/>
      <c r="M498" s="75"/>
      <c r="N498" s="75"/>
      <c r="O498" s="75"/>
      <c r="P498" s="75">
        <f>O498</f>
        <v>0</v>
      </c>
    </row>
    <row r="499" spans="1:16" ht="45">
      <c r="A499" s="212" t="s">
        <v>456</v>
      </c>
      <c r="B499" s="213"/>
      <c r="C499" s="213"/>
      <c r="D499" s="214"/>
      <c r="E499" s="214"/>
      <c r="F499" s="214"/>
      <c r="G499" s="214"/>
      <c r="H499" s="214">
        <v>1</v>
      </c>
      <c r="I499" s="214"/>
      <c r="J499" s="214">
        <f>H499+G499</f>
        <v>1</v>
      </c>
      <c r="K499" s="75"/>
      <c r="L499" s="75"/>
      <c r="M499" s="75"/>
      <c r="N499" s="75"/>
      <c r="O499" s="75">
        <v>1</v>
      </c>
      <c r="P499" s="75">
        <f>O499</f>
        <v>1</v>
      </c>
    </row>
    <row r="500" spans="1:16" ht="11.25">
      <c r="A500" s="87" t="s">
        <v>312</v>
      </c>
      <c r="B500" s="81"/>
      <c r="C500" s="81"/>
      <c r="D500" s="75"/>
      <c r="E500" s="75"/>
      <c r="F500" s="75"/>
      <c r="G500" s="75"/>
      <c r="H500" s="75"/>
      <c r="I500" s="75"/>
      <c r="J500" s="75"/>
      <c r="K500" s="75"/>
      <c r="L500" s="75"/>
      <c r="M500" s="75"/>
      <c r="N500" s="75"/>
      <c r="O500" s="75"/>
      <c r="P500" s="75"/>
    </row>
    <row r="501" spans="1:16" ht="45">
      <c r="A501" s="86" t="s">
        <v>457</v>
      </c>
      <c r="B501" s="81"/>
      <c r="C501" s="81"/>
      <c r="D501" s="75"/>
      <c r="E501" s="75"/>
      <c r="F501" s="75"/>
      <c r="G501" s="75"/>
      <c r="H501" s="75">
        <v>199000</v>
      </c>
      <c r="I501" s="75"/>
      <c r="J501" s="75">
        <f>G501+H501</f>
        <v>199000</v>
      </c>
      <c r="K501" s="75"/>
      <c r="L501" s="75"/>
      <c r="M501" s="75"/>
      <c r="N501" s="75"/>
      <c r="O501" s="75">
        <f>O503</f>
        <v>75000</v>
      </c>
      <c r="P501" s="75">
        <f>O501</f>
        <v>75000</v>
      </c>
    </row>
    <row r="502" spans="1:16" ht="11.25">
      <c r="A502" s="87" t="s">
        <v>313</v>
      </c>
      <c r="B502" s="81"/>
      <c r="C502" s="81"/>
      <c r="D502" s="75"/>
      <c r="E502" s="75"/>
      <c r="F502" s="75"/>
      <c r="G502" s="75"/>
      <c r="H502" s="75"/>
      <c r="I502" s="75"/>
      <c r="J502" s="75"/>
      <c r="K502" s="75"/>
      <c r="L502" s="75"/>
      <c r="M502" s="75"/>
      <c r="N502" s="75"/>
      <c r="O502" s="75"/>
      <c r="P502" s="75"/>
    </row>
    <row r="503" spans="1:16" ht="37.5" customHeight="1">
      <c r="A503" s="86" t="s">
        <v>314</v>
      </c>
      <c r="B503" s="81"/>
      <c r="C503" s="81"/>
      <c r="D503" s="75"/>
      <c r="E503" s="75"/>
      <c r="F503" s="75"/>
      <c r="G503" s="75"/>
      <c r="H503" s="75">
        <v>199000</v>
      </c>
      <c r="I503" s="75"/>
      <c r="J503" s="75">
        <f>G503+H503</f>
        <v>199000</v>
      </c>
      <c r="K503" s="75"/>
      <c r="L503" s="75"/>
      <c r="M503" s="75"/>
      <c r="N503" s="75"/>
      <c r="O503" s="75">
        <v>75000</v>
      </c>
      <c r="P503" s="75">
        <f>O503</f>
        <v>75000</v>
      </c>
    </row>
    <row r="504" spans="1:16" ht="38.25" customHeight="1">
      <c r="A504" s="82" t="s">
        <v>458</v>
      </c>
      <c r="B504" s="186"/>
      <c r="C504" s="186"/>
      <c r="D504" s="187"/>
      <c r="E504" s="187"/>
      <c r="F504" s="187"/>
      <c r="G504" s="105"/>
      <c r="H504" s="105">
        <f>H506+H507</f>
        <v>238000</v>
      </c>
      <c r="I504" s="105"/>
      <c r="J504" s="105">
        <f>G504+H504</f>
        <v>238000</v>
      </c>
      <c r="K504" s="105"/>
      <c r="L504" s="105"/>
      <c r="M504" s="105"/>
      <c r="N504" s="105">
        <f>N506</f>
        <v>0</v>
      </c>
      <c r="O504" s="105">
        <f>O507+O506</f>
        <v>5080000</v>
      </c>
      <c r="P504" s="105">
        <f>O504+N504</f>
        <v>5080000</v>
      </c>
    </row>
    <row r="505" spans="1:16" ht="22.5" customHeight="1">
      <c r="A505" s="43" t="s">
        <v>4</v>
      </c>
      <c r="B505" s="81"/>
      <c r="C505" s="81"/>
      <c r="D505" s="75"/>
      <c r="E505" s="75"/>
      <c r="F505" s="75"/>
      <c r="G505" s="75"/>
      <c r="H505" s="75"/>
      <c r="I505" s="75"/>
      <c r="J505" s="75"/>
      <c r="K505" s="75"/>
      <c r="L505" s="75"/>
      <c r="M505" s="75"/>
      <c r="N505" s="75"/>
      <c r="O505" s="75"/>
      <c r="P505" s="75"/>
    </row>
    <row r="506" spans="1:16" ht="24.75" customHeight="1">
      <c r="A506" s="44" t="s">
        <v>387</v>
      </c>
      <c r="B506" s="81"/>
      <c r="C506" s="81"/>
      <c r="D506" s="75"/>
      <c r="E506" s="75"/>
      <c r="F506" s="75"/>
      <c r="H506" s="75">
        <f>163000+75000</f>
        <v>238000</v>
      </c>
      <c r="J506" s="75">
        <f>H506+H507</f>
        <v>238000</v>
      </c>
      <c r="K506" s="75"/>
      <c r="L506" s="75"/>
      <c r="M506" s="75"/>
      <c r="N506" s="75"/>
      <c r="O506" s="75">
        <v>80000</v>
      </c>
      <c r="P506" s="75">
        <f>N506</f>
        <v>0</v>
      </c>
    </row>
    <row r="507" spans="1:16" ht="24.75" customHeight="1">
      <c r="A507" s="44" t="s">
        <v>393</v>
      </c>
      <c r="B507" s="81"/>
      <c r="C507" s="81"/>
      <c r="D507" s="75"/>
      <c r="E507" s="75"/>
      <c r="F507" s="75"/>
      <c r="G507" s="75"/>
      <c r="H507" s="75"/>
      <c r="I507" s="75"/>
      <c r="J507" s="75"/>
      <c r="K507" s="75"/>
      <c r="L507" s="75"/>
      <c r="M507" s="75"/>
      <c r="N507" s="75"/>
      <c r="O507" s="75">
        <v>5000000</v>
      </c>
      <c r="P507" s="75">
        <f>O507</f>
        <v>5000000</v>
      </c>
    </row>
    <row r="508" spans="1:16" ht="15.75" customHeight="1">
      <c r="A508" s="43" t="s">
        <v>5</v>
      </c>
      <c r="B508" s="81"/>
      <c r="C508" s="81"/>
      <c r="D508" s="75"/>
      <c r="E508" s="75"/>
      <c r="F508" s="75"/>
      <c r="G508" s="75"/>
      <c r="H508" s="75"/>
      <c r="I508" s="75"/>
      <c r="J508" s="75"/>
      <c r="K508" s="75"/>
      <c r="L508" s="75"/>
      <c r="M508" s="75"/>
      <c r="N508" s="75"/>
      <c r="O508" s="75"/>
      <c r="P508" s="75"/>
    </row>
    <row r="509" spans="1:16" ht="24.75" customHeight="1">
      <c r="A509" s="211" t="s">
        <v>422</v>
      </c>
      <c r="B509" s="81"/>
      <c r="C509" s="81"/>
      <c r="D509" s="75"/>
      <c r="E509" s="75"/>
      <c r="F509" s="75"/>
      <c r="G509" s="75"/>
      <c r="H509" s="195">
        <v>500</v>
      </c>
      <c r="I509" s="75"/>
      <c r="J509" s="75"/>
      <c r="K509" s="75"/>
      <c r="L509" s="75"/>
      <c r="M509" s="75"/>
      <c r="N509" s="75"/>
      <c r="O509" s="196">
        <v>533</v>
      </c>
      <c r="P509" s="75">
        <f>O509</f>
        <v>533</v>
      </c>
    </row>
    <row r="510" spans="1:16" ht="24" customHeight="1">
      <c r="A510" s="197" t="s">
        <v>390</v>
      </c>
      <c r="B510" s="81"/>
      <c r="C510" s="81"/>
      <c r="D510" s="198"/>
      <c r="E510" s="75"/>
      <c r="F510" s="75"/>
      <c r="G510" s="75"/>
      <c r="H510" s="75">
        <v>6</v>
      </c>
      <c r="I510" s="75"/>
      <c r="J510" s="75"/>
      <c r="K510" s="75"/>
      <c r="L510" s="75"/>
      <c r="M510" s="75"/>
      <c r="N510" s="75"/>
      <c r="O510" s="75"/>
      <c r="P510" s="75"/>
    </row>
    <row r="511" spans="1:16" ht="26.25" customHeight="1">
      <c r="A511" s="107" t="s">
        <v>391</v>
      </c>
      <c r="B511" s="81"/>
      <c r="C511" s="81"/>
      <c r="D511" s="75"/>
      <c r="E511" s="75"/>
      <c r="F511" s="75"/>
      <c r="G511" s="75"/>
      <c r="H511" s="75"/>
      <c r="I511" s="75"/>
      <c r="J511" s="75"/>
      <c r="K511" s="75"/>
      <c r="L511" s="75"/>
      <c r="M511" s="75"/>
      <c r="N511" s="75"/>
      <c r="O511" s="196">
        <v>50</v>
      </c>
      <c r="P511" s="75">
        <f>O511</f>
        <v>50</v>
      </c>
    </row>
    <row r="512" spans="1:16" ht="11.25" customHeight="1">
      <c r="A512" s="43" t="s">
        <v>7</v>
      </c>
      <c r="B512" s="81"/>
      <c r="C512" s="81"/>
      <c r="D512" s="75"/>
      <c r="E512" s="75"/>
      <c r="F512" s="75"/>
      <c r="G512" s="75"/>
      <c r="H512" s="75"/>
      <c r="I512" s="75"/>
      <c r="J512" s="75"/>
      <c r="K512" s="75"/>
      <c r="L512" s="75"/>
      <c r="M512" s="75"/>
      <c r="N512" s="75"/>
      <c r="O512" s="75"/>
      <c r="P512" s="75"/>
    </row>
    <row r="513" spans="1:16" ht="23.25" customHeight="1">
      <c r="A513" s="46" t="s">
        <v>388</v>
      </c>
      <c r="B513" s="81"/>
      <c r="C513" s="81"/>
      <c r="D513" s="75"/>
      <c r="E513" s="75"/>
      <c r="F513" s="75"/>
      <c r="G513" s="75"/>
      <c r="H513" s="75">
        <f>75000/H509</f>
        <v>150</v>
      </c>
      <c r="I513" s="75"/>
      <c r="J513" s="75">
        <f>H513</f>
        <v>150</v>
      </c>
      <c r="K513" s="75"/>
      <c r="L513" s="75"/>
      <c r="M513" s="75"/>
      <c r="N513" s="75"/>
      <c r="O513" s="75">
        <f>O506/O509</f>
        <v>150.093808630394</v>
      </c>
      <c r="P513" s="75">
        <f>O513</f>
        <v>150.093808630394</v>
      </c>
    </row>
    <row r="514" spans="1:16" ht="25.5" customHeight="1">
      <c r="A514" s="46" t="s">
        <v>389</v>
      </c>
      <c r="B514" s="81"/>
      <c r="C514" s="81"/>
      <c r="D514" s="75"/>
      <c r="E514" s="75"/>
      <c r="F514" s="75"/>
      <c r="G514" s="75"/>
      <c r="H514" s="75">
        <f>163000/H510</f>
        <v>27166.666666666668</v>
      </c>
      <c r="I514" s="75"/>
      <c r="J514" s="75">
        <f>I514</f>
        <v>0</v>
      </c>
      <c r="K514" s="75"/>
      <c r="L514" s="75"/>
      <c r="M514" s="75"/>
      <c r="N514" s="75"/>
      <c r="O514" s="75"/>
      <c r="P514" s="75"/>
    </row>
    <row r="515" spans="1:16" ht="30.75" customHeight="1">
      <c r="A515" s="107" t="s">
        <v>392</v>
      </c>
      <c r="B515" s="81"/>
      <c r="C515" s="81"/>
      <c r="D515" s="75"/>
      <c r="E515" s="75"/>
      <c r="F515" s="75"/>
      <c r="G515" s="75"/>
      <c r="H515" s="75"/>
      <c r="I515" s="75"/>
      <c r="J515" s="75"/>
      <c r="K515" s="75"/>
      <c r="L515" s="75"/>
      <c r="M515" s="75"/>
      <c r="N515" s="75"/>
      <c r="O515" s="75">
        <f>O507/O511</f>
        <v>100000</v>
      </c>
      <c r="P515" s="75">
        <f>O515</f>
        <v>100000</v>
      </c>
    </row>
    <row r="516" spans="1:235" s="85" customFormat="1" ht="16.5" customHeight="1">
      <c r="A516" s="108" t="s">
        <v>426</v>
      </c>
      <c r="B516" s="108"/>
      <c r="C516" s="108"/>
      <c r="D516" s="119">
        <f>D517</f>
        <v>2172800</v>
      </c>
      <c r="E516" s="119">
        <f>E525</f>
        <v>13000</v>
      </c>
      <c r="F516" s="119">
        <f>D516+E516</f>
        <v>2185800</v>
      </c>
      <c r="G516" s="119">
        <f>G517</f>
        <v>298340</v>
      </c>
      <c r="H516" s="119"/>
      <c r="I516" s="119">
        <f>I517</f>
        <v>0</v>
      </c>
      <c r="J516" s="119">
        <f>G516</f>
        <v>298340</v>
      </c>
      <c r="K516" s="119" t="e">
        <f>#REF!+K517</f>
        <v>#REF!</v>
      </c>
      <c r="L516" s="119" t="e">
        <f>#REF!+L517</f>
        <v>#REF!</v>
      </c>
      <c r="M516" s="119" t="e">
        <f>#REF!+M517</f>
        <v>#REF!</v>
      </c>
      <c r="N516" s="119">
        <f>N517</f>
        <v>614700</v>
      </c>
      <c r="O516" s="119">
        <f>O517</f>
        <v>0</v>
      </c>
      <c r="P516" s="119">
        <f>N516</f>
        <v>614700</v>
      </c>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c r="AN516" s="121"/>
      <c r="AO516" s="121"/>
      <c r="AP516" s="121"/>
      <c r="AQ516" s="121"/>
      <c r="AR516" s="121"/>
      <c r="AS516" s="121"/>
      <c r="AT516" s="121"/>
      <c r="AU516" s="121"/>
      <c r="AV516" s="121"/>
      <c r="AW516" s="121"/>
      <c r="AX516" s="121"/>
      <c r="AY516" s="121"/>
      <c r="AZ516" s="121"/>
      <c r="BA516" s="121"/>
      <c r="BB516" s="121"/>
      <c r="BC516" s="121"/>
      <c r="BD516" s="121"/>
      <c r="BE516" s="121"/>
      <c r="BF516" s="121"/>
      <c r="BG516" s="121"/>
      <c r="BH516" s="121"/>
      <c r="BI516" s="121"/>
      <c r="BJ516" s="121"/>
      <c r="BK516" s="121"/>
      <c r="BL516" s="121"/>
      <c r="BM516" s="121"/>
      <c r="BN516" s="121"/>
      <c r="BO516" s="121"/>
      <c r="BP516" s="121"/>
      <c r="BQ516" s="121"/>
      <c r="BR516" s="121"/>
      <c r="BS516" s="121"/>
      <c r="BT516" s="121"/>
      <c r="BU516" s="121"/>
      <c r="BV516" s="121"/>
      <c r="BW516" s="121"/>
      <c r="BX516" s="121"/>
      <c r="BY516" s="121"/>
      <c r="BZ516" s="121"/>
      <c r="CA516" s="121"/>
      <c r="CB516" s="121"/>
      <c r="CC516" s="121"/>
      <c r="CD516" s="121"/>
      <c r="CE516" s="121"/>
      <c r="CF516" s="121"/>
      <c r="CG516" s="121"/>
      <c r="CH516" s="121"/>
      <c r="CI516" s="121"/>
      <c r="CJ516" s="121"/>
      <c r="CK516" s="121"/>
      <c r="CL516" s="121"/>
      <c r="CM516" s="121"/>
      <c r="CN516" s="121"/>
      <c r="CO516" s="121"/>
      <c r="CP516" s="121"/>
      <c r="CQ516" s="121"/>
      <c r="CR516" s="121"/>
      <c r="CS516" s="121"/>
      <c r="CT516" s="121"/>
      <c r="CU516" s="121"/>
      <c r="CV516" s="121"/>
      <c r="CW516" s="121"/>
      <c r="CX516" s="121"/>
      <c r="CY516" s="121"/>
      <c r="CZ516" s="121"/>
      <c r="DA516" s="121"/>
      <c r="DB516" s="121"/>
      <c r="DC516" s="121"/>
      <c r="DD516" s="121"/>
      <c r="DE516" s="121"/>
      <c r="DF516" s="121"/>
      <c r="DG516" s="121"/>
      <c r="DH516" s="121"/>
      <c r="DI516" s="121"/>
      <c r="DJ516" s="121"/>
      <c r="DK516" s="121"/>
      <c r="DL516" s="121"/>
      <c r="DM516" s="121"/>
      <c r="DN516" s="121"/>
      <c r="DO516" s="121"/>
      <c r="DP516" s="121"/>
      <c r="DQ516" s="121"/>
      <c r="DR516" s="121"/>
      <c r="DS516" s="121"/>
      <c r="DT516" s="121"/>
      <c r="DU516" s="121"/>
      <c r="DV516" s="121"/>
      <c r="DW516" s="121"/>
      <c r="DX516" s="121"/>
      <c r="DY516" s="121"/>
      <c r="DZ516" s="121"/>
      <c r="EA516" s="121"/>
      <c r="EB516" s="121"/>
      <c r="EC516" s="121"/>
      <c r="ED516" s="121"/>
      <c r="EE516" s="121"/>
      <c r="EF516" s="121"/>
      <c r="EG516" s="121"/>
      <c r="EH516" s="121"/>
      <c r="EI516" s="121"/>
      <c r="EJ516" s="121"/>
      <c r="EK516" s="121"/>
      <c r="EL516" s="121"/>
      <c r="EM516" s="121"/>
      <c r="EN516" s="121"/>
      <c r="EO516" s="121"/>
      <c r="EP516" s="121"/>
      <c r="EQ516" s="121"/>
      <c r="ER516" s="121"/>
      <c r="ES516" s="121"/>
      <c r="ET516" s="121"/>
      <c r="EU516" s="121"/>
      <c r="EV516" s="121"/>
      <c r="EW516" s="121"/>
      <c r="EX516" s="121"/>
      <c r="EY516" s="121"/>
      <c r="EZ516" s="121"/>
      <c r="FA516" s="121"/>
      <c r="FB516" s="121"/>
      <c r="FC516" s="121"/>
      <c r="FD516" s="121"/>
      <c r="FE516" s="121"/>
      <c r="FF516" s="121"/>
      <c r="FG516" s="121"/>
      <c r="FH516" s="121"/>
      <c r="FI516" s="121"/>
      <c r="FJ516" s="121"/>
      <c r="FK516" s="121"/>
      <c r="FL516" s="121"/>
      <c r="FM516" s="121"/>
      <c r="FN516" s="121"/>
      <c r="FO516" s="121"/>
      <c r="FP516" s="121"/>
      <c r="FQ516" s="121"/>
      <c r="FR516" s="121"/>
      <c r="FS516" s="121"/>
      <c r="FT516" s="121"/>
      <c r="FU516" s="121"/>
      <c r="FV516" s="121"/>
      <c r="FW516" s="121"/>
      <c r="FX516" s="121"/>
      <c r="FY516" s="121"/>
      <c r="FZ516" s="121"/>
      <c r="GA516" s="121"/>
      <c r="GB516" s="121"/>
      <c r="GC516" s="121"/>
      <c r="GD516" s="121"/>
      <c r="GE516" s="121"/>
      <c r="GF516" s="121"/>
      <c r="GG516" s="121"/>
      <c r="GH516" s="121"/>
      <c r="GI516" s="121"/>
      <c r="GJ516" s="121"/>
      <c r="GK516" s="121"/>
      <c r="GL516" s="121"/>
      <c r="GM516" s="121"/>
      <c r="GN516" s="121"/>
      <c r="GO516" s="121"/>
      <c r="GP516" s="121"/>
      <c r="GQ516" s="121"/>
      <c r="GR516" s="121"/>
      <c r="GS516" s="121"/>
      <c r="GT516" s="121"/>
      <c r="GU516" s="121"/>
      <c r="GV516" s="121"/>
      <c r="GW516" s="121"/>
      <c r="GX516" s="121"/>
      <c r="GY516" s="121"/>
      <c r="GZ516" s="121"/>
      <c r="HA516" s="121"/>
      <c r="HB516" s="121"/>
      <c r="HC516" s="121"/>
      <c r="HD516" s="121"/>
      <c r="HE516" s="121"/>
      <c r="HF516" s="121"/>
      <c r="HG516" s="121"/>
      <c r="HH516" s="121"/>
      <c r="HI516" s="121"/>
      <c r="HJ516" s="121"/>
      <c r="HK516" s="121"/>
      <c r="HL516" s="121"/>
      <c r="HM516" s="121"/>
      <c r="HN516" s="121"/>
      <c r="HO516" s="121"/>
      <c r="HP516" s="121"/>
      <c r="HQ516" s="121"/>
      <c r="HR516" s="121"/>
      <c r="HS516" s="121"/>
      <c r="HT516" s="121"/>
      <c r="HU516" s="121"/>
      <c r="HV516" s="121"/>
      <c r="HW516" s="121"/>
      <c r="HX516" s="121"/>
      <c r="HY516" s="121"/>
      <c r="HZ516" s="121"/>
      <c r="IA516" s="121"/>
    </row>
    <row r="517" spans="1:235" s="92" customFormat="1" ht="29.25" customHeight="1">
      <c r="A517" s="82" t="s">
        <v>394</v>
      </c>
      <c r="B517" s="88"/>
      <c r="C517" s="88"/>
      <c r="D517" s="89">
        <f>D520</f>
        <v>2172800</v>
      </c>
      <c r="E517" s="89"/>
      <c r="F517" s="89">
        <f>D517</f>
        <v>2172800</v>
      </c>
      <c r="G517" s="89">
        <f>G520</f>
        <v>298340</v>
      </c>
      <c r="H517" s="89"/>
      <c r="I517" s="89">
        <f>I520</f>
        <v>0</v>
      </c>
      <c r="J517" s="89">
        <f>G517</f>
        <v>298340</v>
      </c>
      <c r="K517" s="89"/>
      <c r="L517" s="89"/>
      <c r="M517" s="89"/>
      <c r="N517" s="89">
        <f>N520</f>
        <v>614700</v>
      </c>
      <c r="O517" s="89">
        <f>O520</f>
        <v>0</v>
      </c>
      <c r="P517" s="89">
        <f>N517</f>
        <v>614700</v>
      </c>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91"/>
      <c r="AN517" s="91"/>
      <c r="AO517" s="91"/>
      <c r="AP517" s="91"/>
      <c r="AQ517" s="91"/>
      <c r="AR517" s="91"/>
      <c r="AS517" s="91"/>
      <c r="AT517" s="91"/>
      <c r="AU517" s="91"/>
      <c r="AV517" s="91"/>
      <c r="AW517" s="91"/>
      <c r="AX517" s="91"/>
      <c r="AY517" s="91"/>
      <c r="AZ517" s="91"/>
      <c r="BA517" s="91"/>
      <c r="BB517" s="91"/>
      <c r="BC517" s="91"/>
      <c r="BD517" s="91"/>
      <c r="BE517" s="91"/>
      <c r="BF517" s="91"/>
      <c r="BG517" s="91"/>
      <c r="BH517" s="91"/>
      <c r="BI517" s="91"/>
      <c r="BJ517" s="91"/>
      <c r="BK517" s="91"/>
      <c r="BL517" s="91"/>
      <c r="BM517" s="91"/>
      <c r="BN517" s="91"/>
      <c r="BO517" s="91"/>
      <c r="BP517" s="91"/>
      <c r="BQ517" s="91"/>
      <c r="BR517" s="91"/>
      <c r="BS517" s="91"/>
      <c r="BT517" s="91"/>
      <c r="BU517" s="91"/>
      <c r="BV517" s="91"/>
      <c r="BW517" s="91"/>
      <c r="BX517" s="91"/>
      <c r="BY517" s="91"/>
      <c r="BZ517" s="91"/>
      <c r="CA517" s="91"/>
      <c r="CB517" s="91"/>
      <c r="CC517" s="91"/>
      <c r="CD517" s="91"/>
      <c r="CE517" s="91"/>
      <c r="CF517" s="91"/>
      <c r="CG517" s="91"/>
      <c r="CH517" s="91"/>
      <c r="CI517" s="91"/>
      <c r="CJ517" s="91"/>
      <c r="CK517" s="91"/>
      <c r="CL517" s="91"/>
      <c r="CM517" s="91"/>
      <c r="CN517" s="91"/>
      <c r="CO517" s="91"/>
      <c r="CP517" s="91"/>
      <c r="CQ517" s="91"/>
      <c r="CR517" s="91"/>
      <c r="CS517" s="91"/>
      <c r="CT517" s="91"/>
      <c r="CU517" s="91"/>
      <c r="CV517" s="91"/>
      <c r="CW517" s="91"/>
      <c r="CX517" s="91"/>
      <c r="CY517" s="91"/>
      <c r="CZ517" s="91"/>
      <c r="DA517" s="91"/>
      <c r="DB517" s="91"/>
      <c r="DC517" s="91"/>
      <c r="DD517" s="91"/>
      <c r="DE517" s="91"/>
      <c r="DF517" s="91"/>
      <c r="DG517" s="91"/>
      <c r="DH517" s="91"/>
      <c r="DI517" s="91"/>
      <c r="DJ517" s="91"/>
      <c r="DK517" s="91"/>
      <c r="DL517" s="91"/>
      <c r="DM517" s="91"/>
      <c r="DN517" s="91"/>
      <c r="DO517" s="91"/>
      <c r="DP517" s="91"/>
      <c r="DQ517" s="91"/>
      <c r="DR517" s="91"/>
      <c r="DS517" s="91"/>
      <c r="DT517" s="91"/>
      <c r="DU517" s="91"/>
      <c r="DV517" s="91"/>
      <c r="DW517" s="91"/>
      <c r="DX517" s="91"/>
      <c r="DY517" s="91"/>
      <c r="DZ517" s="91"/>
      <c r="EA517" s="91"/>
      <c r="EB517" s="91"/>
      <c r="EC517" s="91"/>
      <c r="ED517" s="91"/>
      <c r="EE517" s="91"/>
      <c r="EF517" s="91"/>
      <c r="EG517" s="91"/>
      <c r="EH517" s="91"/>
      <c r="EI517" s="91"/>
      <c r="EJ517" s="91"/>
      <c r="EK517" s="91"/>
      <c r="EL517" s="91"/>
      <c r="EM517" s="91"/>
      <c r="EN517" s="91"/>
      <c r="EO517" s="91"/>
      <c r="EP517" s="91"/>
      <c r="EQ517" s="91"/>
      <c r="ER517" s="91"/>
      <c r="ES517" s="91"/>
      <c r="ET517" s="91"/>
      <c r="EU517" s="91"/>
      <c r="EV517" s="91"/>
      <c r="EW517" s="91"/>
      <c r="EX517" s="91"/>
      <c r="EY517" s="91"/>
      <c r="EZ517" s="91"/>
      <c r="FA517" s="91"/>
      <c r="FB517" s="91"/>
      <c r="FC517" s="91"/>
      <c r="FD517" s="91"/>
      <c r="FE517" s="91"/>
      <c r="FF517" s="91"/>
      <c r="FG517" s="91"/>
      <c r="FH517" s="91"/>
      <c r="FI517" s="91"/>
      <c r="FJ517" s="91"/>
      <c r="FK517" s="91"/>
      <c r="FL517" s="91"/>
      <c r="FM517" s="91"/>
      <c r="FN517" s="91"/>
      <c r="FO517" s="91"/>
      <c r="FP517" s="91"/>
      <c r="FQ517" s="91"/>
      <c r="FR517" s="91"/>
      <c r="FS517" s="91"/>
      <c r="FT517" s="91"/>
      <c r="FU517" s="91"/>
      <c r="FV517" s="91"/>
      <c r="FW517" s="91"/>
      <c r="FX517" s="91"/>
      <c r="FY517" s="91"/>
      <c r="FZ517" s="91"/>
      <c r="GA517" s="91"/>
      <c r="GB517" s="91"/>
      <c r="GC517" s="91"/>
      <c r="GD517" s="91"/>
      <c r="GE517" s="91"/>
      <c r="GF517" s="91"/>
      <c r="GG517" s="91"/>
      <c r="GH517" s="91"/>
      <c r="GI517" s="91"/>
      <c r="GJ517" s="91"/>
      <c r="GK517" s="91"/>
      <c r="GL517" s="91"/>
      <c r="GM517" s="91"/>
      <c r="GN517" s="91"/>
      <c r="GO517" s="91"/>
      <c r="GP517" s="91"/>
      <c r="GQ517" s="91"/>
      <c r="GR517" s="91"/>
      <c r="GS517" s="91"/>
      <c r="GT517" s="91"/>
      <c r="GU517" s="91"/>
      <c r="GV517" s="91"/>
      <c r="GW517" s="91"/>
      <c r="GX517" s="91"/>
      <c r="GY517" s="91"/>
      <c r="GZ517" s="91"/>
      <c r="HA517" s="91"/>
      <c r="HB517" s="91"/>
      <c r="HC517" s="91"/>
      <c r="HD517" s="91"/>
      <c r="HE517" s="91"/>
      <c r="HF517" s="91"/>
      <c r="HG517" s="91"/>
      <c r="HH517" s="91"/>
      <c r="HI517" s="91"/>
      <c r="HJ517" s="91"/>
      <c r="HK517" s="91"/>
      <c r="HL517" s="91"/>
      <c r="HM517" s="91"/>
      <c r="HN517" s="91"/>
      <c r="HO517" s="91"/>
      <c r="HP517" s="91"/>
      <c r="HQ517" s="91"/>
      <c r="HR517" s="91"/>
      <c r="HS517" s="91"/>
      <c r="HT517" s="91"/>
      <c r="HU517" s="91"/>
      <c r="HV517" s="91"/>
      <c r="HW517" s="91"/>
      <c r="HX517" s="91"/>
      <c r="HY517" s="91"/>
      <c r="HZ517" s="91"/>
      <c r="IA517" s="91"/>
    </row>
    <row r="518" spans="1:16" ht="26.25" customHeight="1">
      <c r="A518" s="45" t="s">
        <v>207</v>
      </c>
      <c r="B518" s="7"/>
      <c r="C518" s="7"/>
      <c r="D518" s="130"/>
      <c r="E518" s="130"/>
      <c r="F518" s="130"/>
      <c r="G518" s="130"/>
      <c r="H518" s="130"/>
      <c r="I518" s="130"/>
      <c r="J518" s="130"/>
      <c r="K518" s="14"/>
      <c r="L518" s="14"/>
      <c r="M518" s="14"/>
      <c r="N518" s="130"/>
      <c r="O518" s="130"/>
      <c r="P518" s="130"/>
    </row>
    <row r="519" spans="1:16" ht="11.25">
      <c r="A519" s="20" t="s">
        <v>4</v>
      </c>
      <c r="B519" s="7"/>
      <c r="C519" s="7"/>
      <c r="D519" s="14"/>
      <c r="E519" s="14"/>
      <c r="F519" s="14"/>
      <c r="G519" s="14"/>
      <c r="H519" s="14"/>
      <c r="I519" s="14"/>
      <c r="J519" s="14"/>
      <c r="K519" s="14"/>
      <c r="L519" s="14"/>
      <c r="M519" s="14"/>
      <c r="N519" s="14"/>
      <c r="O519" s="14"/>
      <c r="P519" s="14"/>
    </row>
    <row r="520" spans="1:16" ht="35.25" customHeight="1">
      <c r="A520" s="55" t="s">
        <v>262</v>
      </c>
      <c r="B520" s="59"/>
      <c r="C520" s="59"/>
      <c r="D520" s="62">
        <f>458700+125100+1589000</f>
        <v>2172800</v>
      </c>
      <c r="E520" s="62"/>
      <c r="F520" s="62">
        <f>D520</f>
        <v>2172800</v>
      </c>
      <c r="G520" s="14">
        <f>221340+30000+96800-49800</f>
        <v>298340</v>
      </c>
      <c r="H520" s="14"/>
      <c r="I520" s="14"/>
      <c r="J520" s="14">
        <f>G520</f>
        <v>298340</v>
      </c>
      <c r="K520" s="14"/>
      <c r="L520" s="14"/>
      <c r="M520" s="14"/>
      <c r="N520" s="14">
        <f>N522*N524</f>
        <v>614700</v>
      </c>
      <c r="O520" s="14"/>
      <c r="P520" s="14">
        <f>N520</f>
        <v>614700</v>
      </c>
    </row>
    <row r="521" spans="1:16" ht="11.25">
      <c r="A521" s="54" t="s">
        <v>5</v>
      </c>
      <c r="B521" s="59"/>
      <c r="C521" s="59"/>
      <c r="D521" s="62"/>
      <c r="E521" s="62"/>
      <c r="F521" s="62"/>
      <c r="G521" s="14"/>
      <c r="H521" s="14"/>
      <c r="I521" s="14"/>
      <c r="J521" s="14"/>
      <c r="K521" s="14"/>
      <c r="L521" s="14"/>
      <c r="M521" s="14"/>
      <c r="N521" s="14"/>
      <c r="O521" s="14"/>
      <c r="P521" s="14"/>
    </row>
    <row r="522" spans="1:16" ht="27" customHeight="1">
      <c r="A522" s="55" t="s">
        <v>236</v>
      </c>
      <c r="B522" s="59"/>
      <c r="C522" s="59"/>
      <c r="D522" s="62">
        <v>3</v>
      </c>
      <c r="E522" s="62"/>
      <c r="F522" s="62">
        <f>D522</f>
        <v>3</v>
      </c>
      <c r="G522" s="14">
        <v>6</v>
      </c>
      <c r="H522" s="14"/>
      <c r="I522" s="14"/>
      <c r="J522" s="14">
        <v>6</v>
      </c>
      <c r="K522" s="14"/>
      <c r="L522" s="14"/>
      <c r="M522" s="14"/>
      <c r="N522" s="14">
        <v>3</v>
      </c>
      <c r="O522" s="14"/>
      <c r="P522" s="14">
        <f>N522</f>
        <v>3</v>
      </c>
    </row>
    <row r="523" spans="1:16" ht="11.25">
      <c r="A523" s="54" t="s">
        <v>7</v>
      </c>
      <c r="B523" s="59"/>
      <c r="C523" s="59"/>
      <c r="D523" s="62"/>
      <c r="E523" s="62"/>
      <c r="F523" s="62"/>
      <c r="G523" s="14"/>
      <c r="H523" s="14"/>
      <c r="I523" s="14"/>
      <c r="J523" s="14"/>
      <c r="K523" s="14"/>
      <c r="L523" s="14"/>
      <c r="M523" s="14"/>
      <c r="N523" s="14"/>
      <c r="O523" s="14"/>
      <c r="P523" s="14"/>
    </row>
    <row r="524" spans="1:16" ht="24.75" customHeight="1">
      <c r="A524" s="21" t="s">
        <v>210</v>
      </c>
      <c r="B524" s="7"/>
      <c r="C524" s="7"/>
      <c r="D524" s="62">
        <f>D520/D522</f>
        <v>724266.6666666666</v>
      </c>
      <c r="E524" s="62"/>
      <c r="F524" s="62">
        <f>F520/F522</f>
        <v>724266.6666666666</v>
      </c>
      <c r="G524" s="14">
        <f>G520/G522</f>
        <v>49723.333333333336</v>
      </c>
      <c r="H524" s="14"/>
      <c r="I524" s="14"/>
      <c r="J524" s="14">
        <f>J520/J522</f>
        <v>49723.333333333336</v>
      </c>
      <c r="K524" s="14"/>
      <c r="L524" s="14"/>
      <c r="M524" s="14"/>
      <c r="N524" s="14">
        <v>204900</v>
      </c>
      <c r="O524" s="14"/>
      <c r="P524" s="14">
        <f>P520/P522</f>
        <v>204900</v>
      </c>
    </row>
    <row r="525" spans="1:235" s="92" customFormat="1" ht="33.75">
      <c r="A525" s="82" t="s">
        <v>395</v>
      </c>
      <c r="B525" s="88"/>
      <c r="C525" s="88"/>
      <c r="D525" s="89" t="str">
        <f>D527</f>
        <v> </v>
      </c>
      <c r="E525" s="89">
        <f>E527</f>
        <v>13000</v>
      </c>
      <c r="F525" s="89">
        <f>E525</f>
        <v>13000</v>
      </c>
      <c r="G525" s="89"/>
      <c r="H525" s="89"/>
      <c r="I525" s="89"/>
      <c r="J525" s="89"/>
      <c r="K525" s="89"/>
      <c r="L525" s="89"/>
      <c r="M525" s="89"/>
      <c r="N525" s="89"/>
      <c r="O525" s="89"/>
      <c r="P525" s="89"/>
      <c r="Q525" s="91"/>
      <c r="R525" s="91"/>
      <c r="S525" s="91"/>
      <c r="T525" s="91"/>
      <c r="U525" s="91"/>
      <c r="V525" s="91"/>
      <c r="W525" s="91"/>
      <c r="X525" s="91"/>
      <c r="Y525" s="91"/>
      <c r="Z525" s="91"/>
      <c r="AA525" s="91"/>
      <c r="AB525" s="91"/>
      <c r="AC525" s="91"/>
      <c r="AD525" s="91"/>
      <c r="AE525" s="91"/>
      <c r="AF525" s="91"/>
      <c r="AG525" s="91"/>
      <c r="AH525" s="91"/>
      <c r="AI525" s="91"/>
      <c r="AJ525" s="91"/>
      <c r="AK525" s="91"/>
      <c r="AL525" s="91"/>
      <c r="AM525" s="91"/>
      <c r="AN525" s="91"/>
      <c r="AO525" s="91"/>
      <c r="AP525" s="91"/>
      <c r="AQ525" s="91"/>
      <c r="AR525" s="91"/>
      <c r="AS525" s="91"/>
      <c r="AT525" s="91"/>
      <c r="AU525" s="91"/>
      <c r="AV525" s="91"/>
      <c r="AW525" s="91"/>
      <c r="AX525" s="91"/>
      <c r="AY525" s="91"/>
      <c r="AZ525" s="91"/>
      <c r="BA525" s="91"/>
      <c r="BB525" s="91"/>
      <c r="BC525" s="91"/>
      <c r="BD525" s="91"/>
      <c r="BE525" s="91"/>
      <c r="BF525" s="91"/>
      <c r="BG525" s="91"/>
      <c r="BH525" s="91"/>
      <c r="BI525" s="91"/>
      <c r="BJ525" s="91"/>
      <c r="BK525" s="91"/>
      <c r="BL525" s="91"/>
      <c r="BM525" s="91"/>
      <c r="BN525" s="91"/>
      <c r="BO525" s="91"/>
      <c r="BP525" s="91"/>
      <c r="BQ525" s="91"/>
      <c r="BR525" s="91"/>
      <c r="BS525" s="91"/>
      <c r="BT525" s="91"/>
      <c r="BU525" s="91"/>
      <c r="BV525" s="91"/>
      <c r="BW525" s="91"/>
      <c r="BX525" s="91"/>
      <c r="BY525" s="91"/>
      <c r="BZ525" s="91"/>
      <c r="CA525" s="91"/>
      <c r="CB525" s="91"/>
      <c r="CC525" s="91"/>
      <c r="CD525" s="91"/>
      <c r="CE525" s="91"/>
      <c r="CF525" s="91"/>
      <c r="CG525" s="91"/>
      <c r="CH525" s="91"/>
      <c r="CI525" s="91"/>
      <c r="CJ525" s="91"/>
      <c r="CK525" s="91"/>
      <c r="CL525" s="91"/>
      <c r="CM525" s="91"/>
      <c r="CN525" s="91"/>
      <c r="CO525" s="91"/>
      <c r="CP525" s="91"/>
      <c r="CQ525" s="91"/>
      <c r="CR525" s="91"/>
      <c r="CS525" s="91"/>
      <c r="CT525" s="91"/>
      <c r="CU525" s="91"/>
      <c r="CV525" s="91"/>
      <c r="CW525" s="91"/>
      <c r="CX525" s="91"/>
      <c r="CY525" s="91"/>
      <c r="CZ525" s="91"/>
      <c r="DA525" s="91"/>
      <c r="DB525" s="91"/>
      <c r="DC525" s="91"/>
      <c r="DD525" s="91"/>
      <c r="DE525" s="91"/>
      <c r="DF525" s="91"/>
      <c r="DG525" s="91"/>
      <c r="DH525" s="91"/>
      <c r="DI525" s="91"/>
      <c r="DJ525" s="91"/>
      <c r="DK525" s="91"/>
      <c r="DL525" s="91"/>
      <c r="DM525" s="91"/>
      <c r="DN525" s="91"/>
      <c r="DO525" s="91"/>
      <c r="DP525" s="91"/>
      <c r="DQ525" s="91"/>
      <c r="DR525" s="91"/>
      <c r="DS525" s="91"/>
      <c r="DT525" s="91"/>
      <c r="DU525" s="91"/>
      <c r="DV525" s="91"/>
      <c r="DW525" s="91"/>
      <c r="DX525" s="91"/>
      <c r="DY525" s="91"/>
      <c r="DZ525" s="91"/>
      <c r="EA525" s="91"/>
      <c r="EB525" s="91"/>
      <c r="EC525" s="91"/>
      <c r="ED525" s="91"/>
      <c r="EE525" s="91"/>
      <c r="EF525" s="91"/>
      <c r="EG525" s="91"/>
      <c r="EH525" s="91"/>
      <c r="EI525" s="91"/>
      <c r="EJ525" s="91"/>
      <c r="EK525" s="91"/>
      <c r="EL525" s="91"/>
      <c r="EM525" s="91"/>
      <c r="EN525" s="91"/>
      <c r="EO525" s="91"/>
      <c r="EP525" s="91"/>
      <c r="EQ525" s="91"/>
      <c r="ER525" s="91"/>
      <c r="ES525" s="91"/>
      <c r="ET525" s="91"/>
      <c r="EU525" s="91"/>
      <c r="EV525" s="91"/>
      <c r="EW525" s="91"/>
      <c r="EX525" s="91"/>
      <c r="EY525" s="91"/>
      <c r="EZ525" s="91"/>
      <c r="FA525" s="91"/>
      <c r="FB525" s="91"/>
      <c r="FC525" s="91"/>
      <c r="FD525" s="91"/>
      <c r="FE525" s="91"/>
      <c r="FF525" s="91"/>
      <c r="FG525" s="91"/>
      <c r="FH525" s="91"/>
      <c r="FI525" s="91"/>
      <c r="FJ525" s="91"/>
      <c r="FK525" s="91"/>
      <c r="FL525" s="91"/>
      <c r="FM525" s="91"/>
      <c r="FN525" s="91"/>
      <c r="FO525" s="91"/>
      <c r="FP525" s="91"/>
      <c r="FQ525" s="91"/>
      <c r="FR525" s="91"/>
      <c r="FS525" s="91"/>
      <c r="FT525" s="91"/>
      <c r="FU525" s="91"/>
      <c r="FV525" s="91"/>
      <c r="FW525" s="91"/>
      <c r="FX525" s="91"/>
      <c r="FY525" s="91"/>
      <c r="FZ525" s="91"/>
      <c r="GA525" s="91"/>
      <c r="GB525" s="91"/>
      <c r="GC525" s="91"/>
      <c r="GD525" s="91"/>
      <c r="GE525" s="91"/>
      <c r="GF525" s="91"/>
      <c r="GG525" s="91"/>
      <c r="GH525" s="91"/>
      <c r="GI525" s="91"/>
      <c r="GJ525" s="91"/>
      <c r="GK525" s="91"/>
      <c r="GL525" s="91"/>
      <c r="GM525" s="91"/>
      <c r="GN525" s="91"/>
      <c r="GO525" s="91"/>
      <c r="GP525" s="91"/>
      <c r="GQ525" s="91"/>
      <c r="GR525" s="91"/>
      <c r="GS525" s="91"/>
      <c r="GT525" s="91"/>
      <c r="GU525" s="91"/>
      <c r="GV525" s="91"/>
      <c r="GW525" s="91"/>
      <c r="GX525" s="91"/>
      <c r="GY525" s="91"/>
      <c r="GZ525" s="91"/>
      <c r="HA525" s="91"/>
      <c r="HB525" s="91"/>
      <c r="HC525" s="91"/>
      <c r="HD525" s="91"/>
      <c r="HE525" s="91"/>
      <c r="HF525" s="91"/>
      <c r="HG525" s="91"/>
      <c r="HH525" s="91"/>
      <c r="HI525" s="91"/>
      <c r="HJ525" s="91"/>
      <c r="HK525" s="91"/>
      <c r="HL525" s="91"/>
      <c r="HM525" s="91"/>
      <c r="HN525" s="91"/>
      <c r="HO525" s="91"/>
      <c r="HP525" s="91"/>
      <c r="HQ525" s="91"/>
      <c r="HR525" s="91"/>
      <c r="HS525" s="91"/>
      <c r="HT525" s="91"/>
      <c r="HU525" s="91"/>
      <c r="HV525" s="91"/>
      <c r="HW525" s="91"/>
      <c r="HX525" s="91"/>
      <c r="HY525" s="91"/>
      <c r="HZ525" s="91"/>
      <c r="IA525" s="91"/>
    </row>
    <row r="526" spans="1:16" ht="11.25">
      <c r="A526" s="54" t="s">
        <v>4</v>
      </c>
      <c r="B526" s="7"/>
      <c r="C526" s="7"/>
      <c r="D526" s="14"/>
      <c r="E526" s="14"/>
      <c r="F526" s="14"/>
      <c r="G526" s="14"/>
      <c r="H526" s="14"/>
      <c r="I526" s="14"/>
      <c r="J526" s="14"/>
      <c r="K526" s="14"/>
      <c r="L526" s="14"/>
      <c r="M526" s="14"/>
      <c r="N526" s="14"/>
      <c r="O526" s="14"/>
      <c r="P526" s="14"/>
    </row>
    <row r="527" spans="1:16" ht="15" customHeight="1">
      <c r="A527" s="55" t="s">
        <v>63</v>
      </c>
      <c r="B527" s="7"/>
      <c r="C527" s="7"/>
      <c r="D527" s="14" t="s">
        <v>263</v>
      </c>
      <c r="E527" s="14">
        <v>13000</v>
      </c>
      <c r="F527" s="14">
        <f>E527</f>
        <v>13000</v>
      </c>
      <c r="G527" s="14"/>
      <c r="H527" s="14"/>
      <c r="I527" s="14"/>
      <c r="J527" s="14"/>
      <c r="K527" s="14"/>
      <c r="L527" s="14"/>
      <c r="M527" s="14"/>
      <c r="N527" s="14"/>
      <c r="O527" s="14"/>
      <c r="P527" s="14"/>
    </row>
    <row r="528" spans="1:16" ht="11.25">
      <c r="A528" s="54" t="s">
        <v>5</v>
      </c>
      <c r="B528" s="7"/>
      <c r="C528" s="7"/>
      <c r="D528" s="14"/>
      <c r="E528" s="14"/>
      <c r="F528" s="14"/>
      <c r="G528" s="14"/>
      <c r="H528" s="14"/>
      <c r="I528" s="14"/>
      <c r="J528" s="14"/>
      <c r="K528" s="14"/>
      <c r="L528" s="14"/>
      <c r="M528" s="14"/>
      <c r="N528" s="14"/>
      <c r="O528" s="14"/>
      <c r="P528" s="14"/>
    </row>
    <row r="529" spans="1:16" ht="41.25" customHeight="1">
      <c r="A529" s="55" t="s">
        <v>252</v>
      </c>
      <c r="B529" s="7"/>
      <c r="C529" s="7"/>
      <c r="D529" s="14" t="s">
        <v>263</v>
      </c>
      <c r="E529" s="14">
        <v>1</v>
      </c>
      <c r="F529" s="14">
        <f>E529</f>
        <v>1</v>
      </c>
      <c r="G529" s="14"/>
      <c r="H529" s="14"/>
      <c r="I529" s="14"/>
      <c r="J529" s="14"/>
      <c r="K529" s="14"/>
      <c r="L529" s="14"/>
      <c r="M529" s="14"/>
      <c r="N529" s="14"/>
      <c r="O529" s="14"/>
      <c r="P529" s="14"/>
    </row>
    <row r="530" spans="1:16" ht="11.25">
      <c r="A530" s="54" t="s">
        <v>7</v>
      </c>
      <c r="B530" s="7"/>
      <c r="C530" s="7"/>
      <c r="D530" s="14"/>
      <c r="E530" s="14"/>
      <c r="F530" s="14"/>
      <c r="G530" s="14"/>
      <c r="H530" s="14"/>
      <c r="I530" s="14"/>
      <c r="J530" s="14"/>
      <c r="K530" s="14"/>
      <c r="L530" s="14"/>
      <c r="M530" s="14"/>
      <c r="N530" s="14"/>
      <c r="O530" s="14"/>
      <c r="P530" s="14"/>
    </row>
    <row r="531" spans="1:16" ht="35.25" customHeight="1">
      <c r="A531" s="55" t="s">
        <v>253</v>
      </c>
      <c r="B531" s="7"/>
      <c r="C531" s="7"/>
      <c r="D531" s="14" t="s">
        <v>263</v>
      </c>
      <c r="E531" s="14">
        <v>13000</v>
      </c>
      <c r="F531" s="14">
        <f>E531</f>
        <v>13000</v>
      </c>
      <c r="G531" s="14"/>
      <c r="H531" s="14"/>
      <c r="I531" s="14"/>
      <c r="J531" s="14"/>
      <c r="K531" s="14"/>
      <c r="L531" s="14"/>
      <c r="M531" s="14"/>
      <c r="N531" s="14"/>
      <c r="O531" s="14"/>
      <c r="P531" s="14"/>
    </row>
    <row r="532" spans="1:235" s="85" customFormat="1" ht="15" customHeight="1">
      <c r="A532" s="108" t="s">
        <v>427</v>
      </c>
      <c r="B532" s="77"/>
      <c r="C532" s="77"/>
      <c r="D532" s="89">
        <f>D534+D541+D548+D557+D564</f>
        <v>2702500</v>
      </c>
      <c r="E532" s="89"/>
      <c r="F532" s="89">
        <f>D532</f>
        <v>2702500</v>
      </c>
      <c r="G532" s="89">
        <f aca="true" t="shared" si="44" ref="G532:Q532">G534+G541+G557+G571+G578+G548+G564+G585+G592</f>
        <v>6206810</v>
      </c>
      <c r="H532" s="89">
        <f t="shared" si="44"/>
        <v>4700000</v>
      </c>
      <c r="I532" s="89">
        <f t="shared" si="44"/>
        <v>0</v>
      </c>
      <c r="J532" s="89">
        <f t="shared" si="44"/>
        <v>10906810</v>
      </c>
      <c r="K532" s="89">
        <f t="shared" si="44"/>
        <v>0</v>
      </c>
      <c r="L532" s="89">
        <f t="shared" si="44"/>
        <v>0</v>
      </c>
      <c r="M532" s="89">
        <f t="shared" si="44"/>
        <v>0</v>
      </c>
      <c r="N532" s="89">
        <f>N534+N541+N557+N571+N578+N548+N564+N585+N592</f>
        <v>6619559.995</v>
      </c>
      <c r="O532" s="89">
        <f t="shared" si="44"/>
        <v>0</v>
      </c>
      <c r="P532" s="89">
        <f t="shared" si="44"/>
        <v>6619559.995</v>
      </c>
      <c r="Q532" s="89">
        <f t="shared" si="44"/>
        <v>0</v>
      </c>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c r="AN532" s="121"/>
      <c r="AO532" s="121"/>
      <c r="AP532" s="121"/>
      <c r="AQ532" s="121"/>
      <c r="AR532" s="121"/>
      <c r="AS532" s="121"/>
      <c r="AT532" s="121"/>
      <c r="AU532" s="121"/>
      <c r="AV532" s="121"/>
      <c r="AW532" s="121"/>
      <c r="AX532" s="121"/>
      <c r="AY532" s="121"/>
      <c r="AZ532" s="121"/>
      <c r="BA532" s="121"/>
      <c r="BB532" s="121"/>
      <c r="BC532" s="121"/>
      <c r="BD532" s="121"/>
      <c r="BE532" s="121"/>
      <c r="BF532" s="121"/>
      <c r="BG532" s="121"/>
      <c r="BH532" s="121"/>
      <c r="BI532" s="121"/>
      <c r="BJ532" s="121"/>
      <c r="BK532" s="121"/>
      <c r="BL532" s="121"/>
      <c r="BM532" s="121"/>
      <c r="BN532" s="121"/>
      <c r="BO532" s="121"/>
      <c r="BP532" s="121"/>
      <c r="BQ532" s="121"/>
      <c r="BR532" s="121"/>
      <c r="BS532" s="121"/>
      <c r="BT532" s="121"/>
      <c r="BU532" s="121"/>
      <c r="BV532" s="121"/>
      <c r="BW532" s="121"/>
      <c r="BX532" s="121"/>
      <c r="BY532" s="121"/>
      <c r="BZ532" s="121"/>
      <c r="CA532" s="121"/>
      <c r="CB532" s="121"/>
      <c r="CC532" s="121"/>
      <c r="CD532" s="121"/>
      <c r="CE532" s="121"/>
      <c r="CF532" s="121"/>
      <c r="CG532" s="121"/>
      <c r="CH532" s="121"/>
      <c r="CI532" s="121"/>
      <c r="CJ532" s="121"/>
      <c r="CK532" s="121"/>
      <c r="CL532" s="121"/>
      <c r="CM532" s="121"/>
      <c r="CN532" s="121"/>
      <c r="CO532" s="121"/>
      <c r="CP532" s="121"/>
      <c r="CQ532" s="121"/>
      <c r="CR532" s="121"/>
      <c r="CS532" s="121"/>
      <c r="CT532" s="121"/>
      <c r="CU532" s="121"/>
      <c r="CV532" s="121"/>
      <c r="CW532" s="121"/>
      <c r="CX532" s="121"/>
      <c r="CY532" s="121"/>
      <c r="CZ532" s="121"/>
      <c r="DA532" s="121"/>
      <c r="DB532" s="121"/>
      <c r="DC532" s="121"/>
      <c r="DD532" s="121"/>
      <c r="DE532" s="121"/>
      <c r="DF532" s="121"/>
      <c r="DG532" s="121"/>
      <c r="DH532" s="121"/>
      <c r="DI532" s="121"/>
      <c r="DJ532" s="121"/>
      <c r="DK532" s="121"/>
      <c r="DL532" s="121"/>
      <c r="DM532" s="121"/>
      <c r="DN532" s="121"/>
      <c r="DO532" s="121"/>
      <c r="DP532" s="121"/>
      <c r="DQ532" s="121"/>
      <c r="DR532" s="121"/>
      <c r="DS532" s="121"/>
      <c r="DT532" s="121"/>
      <c r="DU532" s="121"/>
      <c r="DV532" s="121"/>
      <c r="DW532" s="121"/>
      <c r="DX532" s="121"/>
      <c r="DY532" s="121"/>
      <c r="DZ532" s="121"/>
      <c r="EA532" s="121"/>
      <c r="EB532" s="121"/>
      <c r="EC532" s="121"/>
      <c r="ED532" s="121"/>
      <c r="EE532" s="121"/>
      <c r="EF532" s="121"/>
      <c r="EG532" s="121"/>
      <c r="EH532" s="121"/>
      <c r="EI532" s="121"/>
      <c r="EJ532" s="121"/>
      <c r="EK532" s="121"/>
      <c r="EL532" s="121"/>
      <c r="EM532" s="121"/>
      <c r="EN532" s="121"/>
      <c r="EO532" s="121"/>
      <c r="EP532" s="121"/>
      <c r="EQ532" s="121"/>
      <c r="ER532" s="121"/>
      <c r="ES532" s="121"/>
      <c r="ET532" s="121"/>
      <c r="EU532" s="121"/>
      <c r="EV532" s="121"/>
      <c r="EW532" s="121"/>
      <c r="EX532" s="121"/>
      <c r="EY532" s="121"/>
      <c r="EZ532" s="121"/>
      <c r="FA532" s="121"/>
      <c r="FB532" s="121"/>
      <c r="FC532" s="121"/>
      <c r="FD532" s="121"/>
      <c r="FE532" s="121"/>
      <c r="FF532" s="121"/>
      <c r="FG532" s="121"/>
      <c r="FH532" s="121"/>
      <c r="FI532" s="121"/>
      <c r="FJ532" s="121"/>
      <c r="FK532" s="121"/>
      <c r="FL532" s="121"/>
      <c r="FM532" s="121"/>
      <c r="FN532" s="121"/>
      <c r="FO532" s="121"/>
      <c r="FP532" s="121"/>
      <c r="FQ532" s="121"/>
      <c r="FR532" s="121"/>
      <c r="FS532" s="121"/>
      <c r="FT532" s="121"/>
      <c r="FU532" s="121"/>
      <c r="FV532" s="121"/>
      <c r="FW532" s="121"/>
      <c r="FX532" s="121"/>
      <c r="FY532" s="121"/>
      <c r="FZ532" s="121"/>
      <c r="GA532" s="121"/>
      <c r="GB532" s="121"/>
      <c r="GC532" s="121"/>
      <c r="GD532" s="121"/>
      <c r="GE532" s="121"/>
      <c r="GF532" s="121"/>
      <c r="GG532" s="121"/>
      <c r="GH532" s="121"/>
      <c r="GI532" s="121"/>
      <c r="GJ532" s="121"/>
      <c r="GK532" s="121"/>
      <c r="GL532" s="121"/>
      <c r="GM532" s="121"/>
      <c r="GN532" s="121"/>
      <c r="GO532" s="121"/>
      <c r="GP532" s="121"/>
      <c r="GQ532" s="121"/>
      <c r="GR532" s="121"/>
      <c r="GS532" s="121"/>
      <c r="GT532" s="121"/>
      <c r="GU532" s="121"/>
      <c r="GV532" s="121"/>
      <c r="GW532" s="121"/>
      <c r="GX532" s="121"/>
      <c r="GY532" s="121"/>
      <c r="GZ532" s="121"/>
      <c r="HA532" s="121"/>
      <c r="HB532" s="121"/>
      <c r="HC532" s="121"/>
      <c r="HD532" s="121"/>
      <c r="HE532" s="121"/>
      <c r="HF532" s="121"/>
      <c r="HG532" s="121"/>
      <c r="HH532" s="121"/>
      <c r="HI532" s="121"/>
      <c r="HJ532" s="121"/>
      <c r="HK532" s="121"/>
      <c r="HL532" s="121"/>
      <c r="HM532" s="121"/>
      <c r="HN532" s="121"/>
      <c r="HO532" s="121"/>
      <c r="HP532" s="121"/>
      <c r="HQ532" s="121"/>
      <c r="HR532" s="121"/>
      <c r="HS532" s="121"/>
      <c r="HT532" s="121"/>
      <c r="HU532" s="121"/>
      <c r="HV532" s="121"/>
      <c r="HW532" s="121"/>
      <c r="HX532" s="121"/>
      <c r="HY532" s="121"/>
      <c r="HZ532" s="121"/>
      <c r="IA532" s="121"/>
    </row>
    <row r="533" spans="1:16" ht="23.25" customHeight="1">
      <c r="A533" s="21" t="s">
        <v>208</v>
      </c>
      <c r="B533" s="7"/>
      <c r="C533" s="7"/>
      <c r="D533" s="14"/>
      <c r="E533" s="14"/>
      <c r="F533" s="14"/>
      <c r="G533" s="14"/>
      <c r="H533" s="14"/>
      <c r="I533" s="14"/>
      <c r="J533" s="14"/>
      <c r="K533" s="14"/>
      <c r="L533" s="14"/>
      <c r="M533" s="14"/>
      <c r="N533" s="14"/>
      <c r="O533" s="14"/>
      <c r="P533" s="14"/>
    </row>
    <row r="534" spans="1:235" s="92" customFormat="1" ht="27.75" customHeight="1">
      <c r="A534" s="82" t="s">
        <v>396</v>
      </c>
      <c r="B534" s="88"/>
      <c r="C534" s="88"/>
      <c r="D534" s="89">
        <f>D536</f>
        <v>2200000</v>
      </c>
      <c r="E534" s="89"/>
      <c r="F534" s="89">
        <f>D534</f>
        <v>2200000</v>
      </c>
      <c r="G534" s="89">
        <f>G538*G540</f>
        <v>5886610</v>
      </c>
      <c r="H534" s="89"/>
      <c r="I534" s="89"/>
      <c r="J534" s="89">
        <f>G534</f>
        <v>5886610</v>
      </c>
      <c r="K534" s="89"/>
      <c r="L534" s="89"/>
      <c r="M534" s="89"/>
      <c r="N534" s="89">
        <f>N538*N540</f>
        <v>6169560</v>
      </c>
      <c r="O534" s="89">
        <f>O538*O540</f>
        <v>0</v>
      </c>
      <c r="P534" s="89">
        <f>N534</f>
        <v>6169560</v>
      </c>
      <c r="Q534" s="91"/>
      <c r="R534" s="91"/>
      <c r="S534" s="91"/>
      <c r="T534" s="91"/>
      <c r="U534" s="91"/>
      <c r="V534" s="91"/>
      <c r="W534" s="91"/>
      <c r="X534" s="91"/>
      <c r="Y534" s="91"/>
      <c r="Z534" s="91"/>
      <c r="AA534" s="91"/>
      <c r="AB534" s="91"/>
      <c r="AC534" s="91"/>
      <c r="AD534" s="91"/>
      <c r="AE534" s="91"/>
      <c r="AF534" s="91"/>
      <c r="AG534" s="91"/>
      <c r="AH534" s="91"/>
      <c r="AI534" s="91"/>
      <c r="AJ534" s="91"/>
      <c r="AK534" s="91"/>
      <c r="AL534" s="91"/>
      <c r="AM534" s="91"/>
      <c r="AN534" s="91"/>
      <c r="AO534" s="91"/>
      <c r="AP534" s="91"/>
      <c r="AQ534" s="91"/>
      <c r="AR534" s="91"/>
      <c r="AS534" s="91"/>
      <c r="AT534" s="91"/>
      <c r="AU534" s="91"/>
      <c r="AV534" s="91"/>
      <c r="AW534" s="91"/>
      <c r="AX534" s="91"/>
      <c r="AY534" s="91"/>
      <c r="AZ534" s="91"/>
      <c r="BA534" s="91"/>
      <c r="BB534" s="91"/>
      <c r="BC534" s="91"/>
      <c r="BD534" s="91"/>
      <c r="BE534" s="91"/>
      <c r="BF534" s="91"/>
      <c r="BG534" s="91"/>
      <c r="BH534" s="91"/>
      <c r="BI534" s="91"/>
      <c r="BJ534" s="91"/>
      <c r="BK534" s="91"/>
      <c r="BL534" s="91"/>
      <c r="BM534" s="91"/>
      <c r="BN534" s="91"/>
      <c r="BO534" s="91"/>
      <c r="BP534" s="91"/>
      <c r="BQ534" s="91"/>
      <c r="BR534" s="91"/>
      <c r="BS534" s="91"/>
      <c r="BT534" s="91"/>
      <c r="BU534" s="91"/>
      <c r="BV534" s="91"/>
      <c r="BW534" s="91"/>
      <c r="BX534" s="91"/>
      <c r="BY534" s="91"/>
      <c r="BZ534" s="91"/>
      <c r="CA534" s="91"/>
      <c r="CB534" s="91"/>
      <c r="CC534" s="91"/>
      <c r="CD534" s="91"/>
      <c r="CE534" s="91"/>
      <c r="CF534" s="91"/>
      <c r="CG534" s="91"/>
      <c r="CH534" s="91"/>
      <c r="CI534" s="91"/>
      <c r="CJ534" s="91"/>
      <c r="CK534" s="91"/>
      <c r="CL534" s="91"/>
      <c r="CM534" s="91"/>
      <c r="CN534" s="91"/>
      <c r="CO534" s="91"/>
      <c r="CP534" s="91"/>
      <c r="CQ534" s="91"/>
      <c r="CR534" s="91"/>
      <c r="CS534" s="91"/>
      <c r="CT534" s="91"/>
      <c r="CU534" s="91"/>
      <c r="CV534" s="91"/>
      <c r="CW534" s="91"/>
      <c r="CX534" s="91"/>
      <c r="CY534" s="91"/>
      <c r="CZ534" s="91"/>
      <c r="DA534" s="91"/>
      <c r="DB534" s="91"/>
      <c r="DC534" s="91"/>
      <c r="DD534" s="91"/>
      <c r="DE534" s="91"/>
      <c r="DF534" s="91"/>
      <c r="DG534" s="91"/>
      <c r="DH534" s="91"/>
      <c r="DI534" s="91"/>
      <c r="DJ534" s="91"/>
      <c r="DK534" s="91"/>
      <c r="DL534" s="91"/>
      <c r="DM534" s="91"/>
      <c r="DN534" s="91"/>
      <c r="DO534" s="91"/>
      <c r="DP534" s="91"/>
      <c r="DQ534" s="91"/>
      <c r="DR534" s="91"/>
      <c r="DS534" s="91"/>
      <c r="DT534" s="91"/>
      <c r="DU534" s="91"/>
      <c r="DV534" s="91"/>
      <c r="DW534" s="91"/>
      <c r="DX534" s="91"/>
      <c r="DY534" s="91"/>
      <c r="DZ534" s="91"/>
      <c r="EA534" s="91"/>
      <c r="EB534" s="91"/>
      <c r="EC534" s="91"/>
      <c r="ED534" s="91"/>
      <c r="EE534" s="91"/>
      <c r="EF534" s="91"/>
      <c r="EG534" s="91"/>
      <c r="EH534" s="91"/>
      <c r="EI534" s="91"/>
      <c r="EJ534" s="91"/>
      <c r="EK534" s="91"/>
      <c r="EL534" s="91"/>
      <c r="EM534" s="91"/>
      <c r="EN534" s="91"/>
      <c r="EO534" s="91"/>
      <c r="EP534" s="91"/>
      <c r="EQ534" s="91"/>
      <c r="ER534" s="91"/>
      <c r="ES534" s="91"/>
      <c r="ET534" s="91"/>
      <c r="EU534" s="91"/>
      <c r="EV534" s="91"/>
      <c r="EW534" s="91"/>
      <c r="EX534" s="91"/>
      <c r="EY534" s="91"/>
      <c r="EZ534" s="91"/>
      <c r="FA534" s="91"/>
      <c r="FB534" s="91"/>
      <c r="FC534" s="91"/>
      <c r="FD534" s="91"/>
      <c r="FE534" s="91"/>
      <c r="FF534" s="91"/>
      <c r="FG534" s="91"/>
      <c r="FH534" s="91"/>
      <c r="FI534" s="91"/>
      <c r="FJ534" s="91"/>
      <c r="FK534" s="91"/>
      <c r="FL534" s="91"/>
      <c r="FM534" s="91"/>
      <c r="FN534" s="91"/>
      <c r="FO534" s="91"/>
      <c r="FP534" s="91"/>
      <c r="FQ534" s="91"/>
      <c r="FR534" s="91"/>
      <c r="FS534" s="91"/>
      <c r="FT534" s="91"/>
      <c r="FU534" s="91"/>
      <c r="FV534" s="91"/>
      <c r="FW534" s="91"/>
      <c r="FX534" s="91"/>
      <c r="FY534" s="91"/>
      <c r="FZ534" s="91"/>
      <c r="GA534" s="91"/>
      <c r="GB534" s="91"/>
      <c r="GC534" s="91"/>
      <c r="GD534" s="91"/>
      <c r="GE534" s="91"/>
      <c r="GF534" s="91"/>
      <c r="GG534" s="91"/>
      <c r="GH534" s="91"/>
      <c r="GI534" s="91"/>
      <c r="GJ534" s="91"/>
      <c r="GK534" s="91"/>
      <c r="GL534" s="91"/>
      <c r="GM534" s="91"/>
      <c r="GN534" s="91"/>
      <c r="GO534" s="91"/>
      <c r="GP534" s="91"/>
      <c r="GQ534" s="91"/>
      <c r="GR534" s="91"/>
      <c r="GS534" s="91"/>
      <c r="GT534" s="91"/>
      <c r="GU534" s="91"/>
      <c r="GV534" s="91"/>
      <c r="GW534" s="91"/>
      <c r="GX534" s="91"/>
      <c r="GY534" s="91"/>
      <c r="GZ534" s="91"/>
      <c r="HA534" s="91"/>
      <c r="HB534" s="91"/>
      <c r="HC534" s="91"/>
      <c r="HD534" s="91"/>
      <c r="HE534" s="91"/>
      <c r="HF534" s="91"/>
      <c r="HG534" s="91"/>
      <c r="HH534" s="91"/>
      <c r="HI534" s="91"/>
      <c r="HJ534" s="91"/>
      <c r="HK534" s="91"/>
      <c r="HL534" s="91"/>
      <c r="HM534" s="91"/>
      <c r="HN534" s="91"/>
      <c r="HO534" s="91"/>
      <c r="HP534" s="91"/>
      <c r="HQ534" s="91"/>
      <c r="HR534" s="91"/>
      <c r="HS534" s="91"/>
      <c r="HT534" s="91"/>
      <c r="HU534" s="91"/>
      <c r="HV534" s="91"/>
      <c r="HW534" s="91"/>
      <c r="HX534" s="91"/>
      <c r="HY534" s="91"/>
      <c r="HZ534" s="91"/>
      <c r="IA534" s="91"/>
    </row>
    <row r="535" spans="1:16" ht="12" customHeight="1">
      <c r="A535" s="20" t="s">
        <v>4</v>
      </c>
      <c r="B535" s="7"/>
      <c r="C535" s="7"/>
      <c r="D535" s="14"/>
      <c r="E535" s="14"/>
      <c r="F535" s="14"/>
      <c r="G535" s="14"/>
      <c r="H535" s="14"/>
      <c r="I535" s="14"/>
      <c r="J535" s="14"/>
      <c r="K535" s="14"/>
      <c r="L535" s="14"/>
      <c r="M535" s="14"/>
      <c r="N535" s="14"/>
      <c r="O535" s="14"/>
      <c r="P535" s="14"/>
    </row>
    <row r="536" spans="1:16" ht="13.5" customHeight="1">
      <c r="A536" s="21" t="s">
        <v>63</v>
      </c>
      <c r="B536" s="7"/>
      <c r="C536" s="7"/>
      <c r="D536" s="14">
        <v>2200000</v>
      </c>
      <c r="E536" s="14"/>
      <c r="F536" s="14">
        <f>D536</f>
        <v>2200000</v>
      </c>
      <c r="G536" s="14">
        <f>G538*G540</f>
        <v>5886610</v>
      </c>
      <c r="H536" s="14"/>
      <c r="I536" s="14"/>
      <c r="J536" s="14">
        <f>G536</f>
        <v>5886610</v>
      </c>
      <c r="K536" s="14"/>
      <c r="L536" s="14"/>
      <c r="M536" s="14"/>
      <c r="N536" s="14">
        <f>N538*N540</f>
        <v>6169560</v>
      </c>
      <c r="O536" s="14"/>
      <c r="P536" s="14">
        <f>N536</f>
        <v>6169560</v>
      </c>
    </row>
    <row r="537" spans="1:16" ht="12" customHeight="1">
      <c r="A537" s="20" t="s">
        <v>5</v>
      </c>
      <c r="B537" s="7"/>
      <c r="C537" s="7"/>
      <c r="D537" s="14"/>
      <c r="E537" s="14"/>
      <c r="F537" s="14"/>
      <c r="G537" s="14"/>
      <c r="H537" s="14"/>
      <c r="I537" s="14"/>
      <c r="J537" s="14"/>
      <c r="K537" s="14"/>
      <c r="L537" s="14"/>
      <c r="M537" s="14"/>
      <c r="N537" s="14"/>
      <c r="O537" s="14"/>
      <c r="P537" s="14"/>
    </row>
    <row r="538" spans="1:16" ht="33" customHeight="1">
      <c r="A538" s="21" t="s">
        <v>64</v>
      </c>
      <c r="B538" s="7"/>
      <c r="C538" s="7"/>
      <c r="D538" s="14">
        <v>1</v>
      </c>
      <c r="E538" s="14"/>
      <c r="F538" s="14">
        <v>1</v>
      </c>
      <c r="G538" s="14">
        <v>1</v>
      </c>
      <c r="H538" s="14"/>
      <c r="I538" s="14"/>
      <c r="J538" s="14">
        <v>1</v>
      </c>
      <c r="K538" s="14"/>
      <c r="L538" s="14"/>
      <c r="M538" s="14"/>
      <c r="N538" s="14">
        <v>1</v>
      </c>
      <c r="O538" s="14"/>
      <c r="P538" s="14">
        <f>N538</f>
        <v>1</v>
      </c>
    </row>
    <row r="539" spans="1:16" ht="11.25">
      <c r="A539" s="20" t="s">
        <v>7</v>
      </c>
      <c r="B539" s="7"/>
      <c r="C539" s="7"/>
      <c r="D539" s="14"/>
      <c r="E539" s="14"/>
      <c r="F539" s="14"/>
      <c r="G539" s="14"/>
      <c r="H539" s="14"/>
      <c r="I539" s="14"/>
      <c r="J539" s="14"/>
      <c r="K539" s="14"/>
      <c r="L539" s="14"/>
      <c r="M539" s="14"/>
      <c r="N539" s="14"/>
      <c r="O539" s="14"/>
      <c r="P539" s="14"/>
    </row>
    <row r="540" spans="1:16" ht="21" customHeight="1">
      <c r="A540" s="21" t="s">
        <v>210</v>
      </c>
      <c r="B540" s="7"/>
      <c r="C540" s="7"/>
      <c r="D540" s="14">
        <f>D536/D538</f>
        <v>2200000</v>
      </c>
      <c r="E540" s="14"/>
      <c r="F540" s="14">
        <f>D540</f>
        <v>2200000</v>
      </c>
      <c r="G540" s="14">
        <f>4829000+1057610</f>
        <v>5886610</v>
      </c>
      <c r="H540" s="14"/>
      <c r="I540" s="14"/>
      <c r="J540" s="14">
        <f>G540</f>
        <v>5886610</v>
      </c>
      <c r="K540" s="14"/>
      <c r="L540" s="14"/>
      <c r="M540" s="14"/>
      <c r="N540" s="14">
        <v>6169560</v>
      </c>
      <c r="O540" s="14"/>
      <c r="P540" s="14">
        <f>N540</f>
        <v>6169560</v>
      </c>
    </row>
    <row r="541" spans="1:235" s="92" customFormat="1" ht="25.5" customHeight="1">
      <c r="A541" s="82" t="s">
        <v>397</v>
      </c>
      <c r="B541" s="88"/>
      <c r="C541" s="88"/>
      <c r="D541" s="89"/>
      <c r="E541" s="89"/>
      <c r="F541" s="89"/>
      <c r="G541" s="89">
        <f>G545*G547</f>
        <v>70000</v>
      </c>
      <c r="H541" s="89"/>
      <c r="I541" s="89"/>
      <c r="J541" s="89">
        <f>G541</f>
        <v>70000</v>
      </c>
      <c r="K541" s="89"/>
      <c r="L541" s="89"/>
      <c r="M541" s="89"/>
      <c r="N541" s="89">
        <f>N547*N545</f>
        <v>70000</v>
      </c>
      <c r="O541" s="89"/>
      <c r="P541" s="89">
        <f>N541</f>
        <v>70000</v>
      </c>
      <c r="Q541" s="91"/>
      <c r="R541" s="91"/>
      <c r="S541" s="91"/>
      <c r="T541" s="91"/>
      <c r="U541" s="91"/>
      <c r="V541" s="91"/>
      <c r="W541" s="91"/>
      <c r="X541" s="91"/>
      <c r="Y541" s="91"/>
      <c r="Z541" s="91"/>
      <c r="AA541" s="91"/>
      <c r="AB541" s="91"/>
      <c r="AC541" s="91"/>
      <c r="AD541" s="91"/>
      <c r="AE541" s="91"/>
      <c r="AF541" s="91"/>
      <c r="AG541" s="91"/>
      <c r="AH541" s="91"/>
      <c r="AI541" s="91"/>
      <c r="AJ541" s="91"/>
      <c r="AK541" s="91"/>
      <c r="AL541" s="91"/>
      <c r="AM541" s="91"/>
      <c r="AN541" s="91"/>
      <c r="AO541" s="91"/>
      <c r="AP541" s="91"/>
      <c r="AQ541" s="91"/>
      <c r="AR541" s="91"/>
      <c r="AS541" s="91"/>
      <c r="AT541" s="91"/>
      <c r="AU541" s="91"/>
      <c r="AV541" s="91"/>
      <c r="AW541" s="91"/>
      <c r="AX541" s="91"/>
      <c r="AY541" s="91"/>
      <c r="AZ541" s="91"/>
      <c r="BA541" s="91"/>
      <c r="BB541" s="91"/>
      <c r="BC541" s="91"/>
      <c r="BD541" s="91"/>
      <c r="BE541" s="91"/>
      <c r="BF541" s="91"/>
      <c r="BG541" s="91"/>
      <c r="BH541" s="91"/>
      <c r="BI541" s="91"/>
      <c r="BJ541" s="91"/>
      <c r="BK541" s="91"/>
      <c r="BL541" s="91"/>
      <c r="BM541" s="91"/>
      <c r="BN541" s="91"/>
      <c r="BO541" s="91"/>
      <c r="BP541" s="91"/>
      <c r="BQ541" s="91"/>
      <c r="BR541" s="91"/>
      <c r="BS541" s="91"/>
      <c r="BT541" s="91"/>
      <c r="BU541" s="91"/>
      <c r="BV541" s="91"/>
      <c r="BW541" s="91"/>
      <c r="BX541" s="91"/>
      <c r="BY541" s="91"/>
      <c r="BZ541" s="91"/>
      <c r="CA541" s="91"/>
      <c r="CB541" s="91"/>
      <c r="CC541" s="91"/>
      <c r="CD541" s="91"/>
      <c r="CE541" s="91"/>
      <c r="CF541" s="91"/>
      <c r="CG541" s="91"/>
      <c r="CH541" s="91"/>
      <c r="CI541" s="91"/>
      <c r="CJ541" s="91"/>
      <c r="CK541" s="91"/>
      <c r="CL541" s="91"/>
      <c r="CM541" s="91"/>
      <c r="CN541" s="91"/>
      <c r="CO541" s="91"/>
      <c r="CP541" s="91"/>
      <c r="CQ541" s="91"/>
      <c r="CR541" s="91"/>
      <c r="CS541" s="91"/>
      <c r="CT541" s="91"/>
      <c r="CU541" s="91"/>
      <c r="CV541" s="91"/>
      <c r="CW541" s="91"/>
      <c r="CX541" s="91"/>
      <c r="CY541" s="91"/>
      <c r="CZ541" s="91"/>
      <c r="DA541" s="91"/>
      <c r="DB541" s="91"/>
      <c r="DC541" s="91"/>
      <c r="DD541" s="91"/>
      <c r="DE541" s="91"/>
      <c r="DF541" s="91"/>
      <c r="DG541" s="91"/>
      <c r="DH541" s="91"/>
      <c r="DI541" s="91"/>
      <c r="DJ541" s="91"/>
      <c r="DK541" s="91"/>
      <c r="DL541" s="91"/>
      <c r="DM541" s="91"/>
      <c r="DN541" s="91"/>
      <c r="DO541" s="91"/>
      <c r="DP541" s="91"/>
      <c r="DQ541" s="91"/>
      <c r="DR541" s="91"/>
      <c r="DS541" s="91"/>
      <c r="DT541" s="91"/>
      <c r="DU541" s="91"/>
      <c r="DV541" s="91"/>
      <c r="DW541" s="91"/>
      <c r="DX541" s="91"/>
      <c r="DY541" s="91"/>
      <c r="DZ541" s="91"/>
      <c r="EA541" s="91"/>
      <c r="EB541" s="91"/>
      <c r="EC541" s="91"/>
      <c r="ED541" s="91"/>
      <c r="EE541" s="91"/>
      <c r="EF541" s="91"/>
      <c r="EG541" s="91"/>
      <c r="EH541" s="91"/>
      <c r="EI541" s="91"/>
      <c r="EJ541" s="91"/>
      <c r="EK541" s="91"/>
      <c r="EL541" s="91"/>
      <c r="EM541" s="91"/>
      <c r="EN541" s="91"/>
      <c r="EO541" s="91"/>
      <c r="EP541" s="91"/>
      <c r="EQ541" s="91"/>
      <c r="ER541" s="91"/>
      <c r="ES541" s="91"/>
      <c r="ET541" s="91"/>
      <c r="EU541" s="91"/>
      <c r="EV541" s="91"/>
      <c r="EW541" s="91"/>
      <c r="EX541" s="91"/>
      <c r="EY541" s="91"/>
      <c r="EZ541" s="91"/>
      <c r="FA541" s="91"/>
      <c r="FB541" s="91"/>
      <c r="FC541" s="91"/>
      <c r="FD541" s="91"/>
      <c r="FE541" s="91"/>
      <c r="FF541" s="91"/>
      <c r="FG541" s="91"/>
      <c r="FH541" s="91"/>
      <c r="FI541" s="91"/>
      <c r="FJ541" s="91"/>
      <c r="FK541" s="91"/>
      <c r="FL541" s="91"/>
      <c r="FM541" s="91"/>
      <c r="FN541" s="91"/>
      <c r="FO541" s="91"/>
      <c r="FP541" s="91"/>
      <c r="FQ541" s="91"/>
      <c r="FR541" s="91"/>
      <c r="FS541" s="91"/>
      <c r="FT541" s="91"/>
      <c r="FU541" s="91"/>
      <c r="FV541" s="91"/>
      <c r="FW541" s="91"/>
      <c r="FX541" s="91"/>
      <c r="FY541" s="91"/>
      <c r="FZ541" s="91"/>
      <c r="GA541" s="91"/>
      <c r="GB541" s="91"/>
      <c r="GC541" s="91"/>
      <c r="GD541" s="91"/>
      <c r="GE541" s="91"/>
      <c r="GF541" s="91"/>
      <c r="GG541" s="91"/>
      <c r="GH541" s="91"/>
      <c r="GI541" s="91"/>
      <c r="GJ541" s="91"/>
      <c r="GK541" s="91"/>
      <c r="GL541" s="91"/>
      <c r="GM541" s="91"/>
      <c r="GN541" s="91"/>
      <c r="GO541" s="91"/>
      <c r="GP541" s="91"/>
      <c r="GQ541" s="91"/>
      <c r="GR541" s="91"/>
      <c r="GS541" s="91"/>
      <c r="GT541" s="91"/>
      <c r="GU541" s="91"/>
      <c r="GV541" s="91"/>
      <c r="GW541" s="91"/>
      <c r="GX541" s="91"/>
      <c r="GY541" s="91"/>
      <c r="GZ541" s="91"/>
      <c r="HA541" s="91"/>
      <c r="HB541" s="91"/>
      <c r="HC541" s="91"/>
      <c r="HD541" s="91"/>
      <c r="HE541" s="91"/>
      <c r="HF541" s="91"/>
      <c r="HG541" s="91"/>
      <c r="HH541" s="91"/>
      <c r="HI541" s="91"/>
      <c r="HJ541" s="91"/>
      <c r="HK541" s="91"/>
      <c r="HL541" s="91"/>
      <c r="HM541" s="91"/>
      <c r="HN541" s="91"/>
      <c r="HO541" s="91"/>
      <c r="HP541" s="91"/>
      <c r="HQ541" s="91"/>
      <c r="HR541" s="91"/>
      <c r="HS541" s="91"/>
      <c r="HT541" s="91"/>
      <c r="HU541" s="91"/>
      <c r="HV541" s="91"/>
      <c r="HW541" s="91"/>
      <c r="HX541" s="91"/>
      <c r="HY541" s="91"/>
      <c r="HZ541" s="91"/>
      <c r="IA541" s="91"/>
    </row>
    <row r="542" spans="1:16" ht="11.25">
      <c r="A542" s="20" t="s">
        <v>4</v>
      </c>
      <c r="B542" s="7"/>
      <c r="C542" s="7"/>
      <c r="D542" s="14"/>
      <c r="E542" s="14"/>
      <c r="F542" s="14"/>
      <c r="G542" s="14"/>
      <c r="H542" s="14"/>
      <c r="I542" s="14"/>
      <c r="J542" s="14"/>
      <c r="K542" s="14"/>
      <c r="L542" s="14"/>
      <c r="M542" s="14"/>
      <c r="N542" s="14"/>
      <c r="O542" s="14"/>
      <c r="P542" s="14"/>
    </row>
    <row r="543" spans="1:16" ht="14.25" customHeight="1">
      <c r="A543" s="21" t="s">
        <v>63</v>
      </c>
      <c r="B543" s="7"/>
      <c r="C543" s="7"/>
      <c r="D543" s="14"/>
      <c r="E543" s="14"/>
      <c r="F543" s="14"/>
      <c r="G543" s="14">
        <v>70000</v>
      </c>
      <c r="H543" s="14"/>
      <c r="I543" s="14"/>
      <c r="J543" s="14">
        <f>G543</f>
        <v>70000</v>
      </c>
      <c r="K543" s="14"/>
      <c r="L543" s="14"/>
      <c r="M543" s="14"/>
      <c r="N543" s="14">
        <v>50000</v>
      </c>
      <c r="O543" s="14"/>
      <c r="P543" s="14">
        <v>50000</v>
      </c>
    </row>
    <row r="544" spans="1:16" ht="11.25">
      <c r="A544" s="20" t="s">
        <v>5</v>
      </c>
      <c r="B544" s="7"/>
      <c r="C544" s="7"/>
      <c r="D544" s="14"/>
      <c r="E544" s="14"/>
      <c r="F544" s="14"/>
      <c r="G544" s="14"/>
      <c r="H544" s="14"/>
      <c r="I544" s="14"/>
      <c r="J544" s="14"/>
      <c r="K544" s="14"/>
      <c r="L544" s="14"/>
      <c r="M544" s="14"/>
      <c r="N544" s="14"/>
      <c r="O544" s="14"/>
      <c r="P544" s="14"/>
    </row>
    <row r="545" spans="1:16" ht="23.25" customHeight="1">
      <c r="A545" s="21" t="s">
        <v>209</v>
      </c>
      <c r="B545" s="7"/>
      <c r="C545" s="7"/>
      <c r="D545" s="14"/>
      <c r="E545" s="14"/>
      <c r="F545" s="14"/>
      <c r="G545" s="14">
        <v>2</v>
      </c>
      <c r="H545" s="14"/>
      <c r="I545" s="14"/>
      <c r="J545" s="14">
        <v>2</v>
      </c>
      <c r="K545" s="14"/>
      <c r="L545" s="14"/>
      <c r="M545" s="14"/>
      <c r="N545" s="14">
        <v>1</v>
      </c>
      <c r="O545" s="14"/>
      <c r="P545" s="14">
        <v>1</v>
      </c>
    </row>
    <row r="546" spans="1:16" ht="11.25">
      <c r="A546" s="20" t="s">
        <v>7</v>
      </c>
      <c r="B546" s="7"/>
      <c r="C546" s="7"/>
      <c r="D546" s="14"/>
      <c r="E546" s="14"/>
      <c r="F546" s="14"/>
      <c r="G546" s="14"/>
      <c r="H546" s="14"/>
      <c r="I546" s="14"/>
      <c r="J546" s="14"/>
      <c r="K546" s="14"/>
      <c r="L546" s="14"/>
      <c r="M546" s="14"/>
      <c r="N546" s="14"/>
      <c r="O546" s="14"/>
      <c r="P546" s="14"/>
    </row>
    <row r="547" spans="1:16" ht="24.75" customHeight="1">
      <c r="A547" s="21" t="s">
        <v>211</v>
      </c>
      <c r="B547" s="7"/>
      <c r="C547" s="7"/>
      <c r="D547" s="14"/>
      <c r="E547" s="14"/>
      <c r="F547" s="14"/>
      <c r="G547" s="14">
        <v>35000</v>
      </c>
      <c r="H547" s="14"/>
      <c r="I547" s="14"/>
      <c r="J547" s="14">
        <f>G547</f>
        <v>35000</v>
      </c>
      <c r="K547" s="14"/>
      <c r="L547" s="14"/>
      <c r="M547" s="14"/>
      <c r="N547" s="14">
        <v>70000</v>
      </c>
      <c r="O547" s="14"/>
      <c r="P547" s="14">
        <v>50000</v>
      </c>
    </row>
    <row r="548" spans="1:235" s="92" customFormat="1" ht="15" customHeight="1">
      <c r="A548" s="82" t="s">
        <v>398</v>
      </c>
      <c r="B548" s="88"/>
      <c r="C548" s="88"/>
      <c r="D548" s="89">
        <f>D550</f>
        <v>150400</v>
      </c>
      <c r="E548" s="89"/>
      <c r="F548" s="89">
        <f>D548</f>
        <v>150400</v>
      </c>
      <c r="G548" s="89"/>
      <c r="H548" s="89"/>
      <c r="I548" s="89"/>
      <c r="J548" s="89"/>
      <c r="K548" s="89"/>
      <c r="L548" s="89"/>
      <c r="M548" s="89"/>
      <c r="N548" s="89"/>
      <c r="O548" s="89"/>
      <c r="P548" s="89"/>
      <c r="Q548" s="91"/>
      <c r="R548" s="91"/>
      <c r="S548" s="91"/>
      <c r="T548" s="91"/>
      <c r="U548" s="91"/>
      <c r="V548" s="91"/>
      <c r="W548" s="91"/>
      <c r="X548" s="91"/>
      <c r="Y548" s="91"/>
      <c r="Z548" s="91"/>
      <c r="AA548" s="91"/>
      <c r="AB548" s="91"/>
      <c r="AC548" s="91"/>
      <c r="AD548" s="91"/>
      <c r="AE548" s="91"/>
      <c r="AF548" s="91"/>
      <c r="AG548" s="91"/>
      <c r="AH548" s="91"/>
      <c r="AI548" s="91"/>
      <c r="AJ548" s="91"/>
      <c r="AK548" s="91"/>
      <c r="AL548" s="91"/>
      <c r="AM548" s="91"/>
      <c r="AN548" s="91"/>
      <c r="AO548" s="91"/>
      <c r="AP548" s="91"/>
      <c r="AQ548" s="91"/>
      <c r="AR548" s="91"/>
      <c r="AS548" s="91"/>
      <c r="AT548" s="91"/>
      <c r="AU548" s="91"/>
      <c r="AV548" s="91"/>
      <c r="AW548" s="91"/>
      <c r="AX548" s="91"/>
      <c r="AY548" s="91"/>
      <c r="AZ548" s="91"/>
      <c r="BA548" s="91"/>
      <c r="BB548" s="91"/>
      <c r="BC548" s="91"/>
      <c r="BD548" s="91"/>
      <c r="BE548" s="91"/>
      <c r="BF548" s="91"/>
      <c r="BG548" s="91"/>
      <c r="BH548" s="91"/>
      <c r="BI548" s="91"/>
      <c r="BJ548" s="91"/>
      <c r="BK548" s="91"/>
      <c r="BL548" s="91"/>
      <c r="BM548" s="91"/>
      <c r="BN548" s="91"/>
      <c r="BO548" s="91"/>
      <c r="BP548" s="91"/>
      <c r="BQ548" s="91"/>
      <c r="BR548" s="91"/>
      <c r="BS548" s="91"/>
      <c r="BT548" s="91"/>
      <c r="BU548" s="91"/>
      <c r="BV548" s="91"/>
      <c r="BW548" s="91"/>
      <c r="BX548" s="91"/>
      <c r="BY548" s="91"/>
      <c r="BZ548" s="91"/>
      <c r="CA548" s="91"/>
      <c r="CB548" s="91"/>
      <c r="CC548" s="91"/>
      <c r="CD548" s="91"/>
      <c r="CE548" s="91"/>
      <c r="CF548" s="91"/>
      <c r="CG548" s="91"/>
      <c r="CH548" s="91"/>
      <c r="CI548" s="91"/>
      <c r="CJ548" s="91"/>
      <c r="CK548" s="91"/>
      <c r="CL548" s="91"/>
      <c r="CM548" s="91"/>
      <c r="CN548" s="91"/>
      <c r="CO548" s="91"/>
      <c r="CP548" s="91"/>
      <c r="CQ548" s="91"/>
      <c r="CR548" s="91"/>
      <c r="CS548" s="91"/>
      <c r="CT548" s="91"/>
      <c r="CU548" s="91"/>
      <c r="CV548" s="91"/>
      <c r="CW548" s="91"/>
      <c r="CX548" s="91"/>
      <c r="CY548" s="91"/>
      <c r="CZ548" s="91"/>
      <c r="DA548" s="91"/>
      <c r="DB548" s="91"/>
      <c r="DC548" s="91"/>
      <c r="DD548" s="91"/>
      <c r="DE548" s="91"/>
      <c r="DF548" s="91"/>
      <c r="DG548" s="91"/>
      <c r="DH548" s="91"/>
      <c r="DI548" s="91"/>
      <c r="DJ548" s="91"/>
      <c r="DK548" s="91"/>
      <c r="DL548" s="91"/>
      <c r="DM548" s="91"/>
      <c r="DN548" s="91"/>
      <c r="DO548" s="91"/>
      <c r="DP548" s="91"/>
      <c r="DQ548" s="91"/>
      <c r="DR548" s="91"/>
      <c r="DS548" s="91"/>
      <c r="DT548" s="91"/>
      <c r="DU548" s="91"/>
      <c r="DV548" s="91"/>
      <c r="DW548" s="91"/>
      <c r="DX548" s="91"/>
      <c r="DY548" s="91"/>
      <c r="DZ548" s="91"/>
      <c r="EA548" s="91"/>
      <c r="EB548" s="91"/>
      <c r="EC548" s="91"/>
      <c r="ED548" s="91"/>
      <c r="EE548" s="91"/>
      <c r="EF548" s="91"/>
      <c r="EG548" s="91"/>
      <c r="EH548" s="91"/>
      <c r="EI548" s="91"/>
      <c r="EJ548" s="91"/>
      <c r="EK548" s="91"/>
      <c r="EL548" s="91"/>
      <c r="EM548" s="91"/>
      <c r="EN548" s="91"/>
      <c r="EO548" s="91"/>
      <c r="EP548" s="91"/>
      <c r="EQ548" s="91"/>
      <c r="ER548" s="91"/>
      <c r="ES548" s="91"/>
      <c r="ET548" s="91"/>
      <c r="EU548" s="91"/>
      <c r="EV548" s="91"/>
      <c r="EW548" s="91"/>
      <c r="EX548" s="91"/>
      <c r="EY548" s="91"/>
      <c r="EZ548" s="91"/>
      <c r="FA548" s="91"/>
      <c r="FB548" s="91"/>
      <c r="FC548" s="91"/>
      <c r="FD548" s="91"/>
      <c r="FE548" s="91"/>
      <c r="FF548" s="91"/>
      <c r="FG548" s="91"/>
      <c r="FH548" s="91"/>
      <c r="FI548" s="91"/>
      <c r="FJ548" s="91"/>
      <c r="FK548" s="91"/>
      <c r="FL548" s="91"/>
      <c r="FM548" s="91"/>
      <c r="FN548" s="91"/>
      <c r="FO548" s="91"/>
      <c r="FP548" s="91"/>
      <c r="FQ548" s="91"/>
      <c r="FR548" s="91"/>
      <c r="FS548" s="91"/>
      <c r="FT548" s="91"/>
      <c r="FU548" s="91"/>
      <c r="FV548" s="91"/>
      <c r="FW548" s="91"/>
      <c r="FX548" s="91"/>
      <c r="FY548" s="91"/>
      <c r="FZ548" s="91"/>
      <c r="GA548" s="91"/>
      <c r="GB548" s="91"/>
      <c r="GC548" s="91"/>
      <c r="GD548" s="91"/>
      <c r="GE548" s="91"/>
      <c r="GF548" s="91"/>
      <c r="GG548" s="91"/>
      <c r="GH548" s="91"/>
      <c r="GI548" s="91"/>
      <c r="GJ548" s="91"/>
      <c r="GK548" s="91"/>
      <c r="GL548" s="91"/>
      <c r="GM548" s="91"/>
      <c r="GN548" s="91"/>
      <c r="GO548" s="91"/>
      <c r="GP548" s="91"/>
      <c r="GQ548" s="91"/>
      <c r="GR548" s="91"/>
      <c r="GS548" s="91"/>
      <c r="GT548" s="91"/>
      <c r="GU548" s="91"/>
      <c r="GV548" s="91"/>
      <c r="GW548" s="91"/>
      <c r="GX548" s="91"/>
      <c r="GY548" s="91"/>
      <c r="GZ548" s="91"/>
      <c r="HA548" s="91"/>
      <c r="HB548" s="91"/>
      <c r="HC548" s="91"/>
      <c r="HD548" s="91"/>
      <c r="HE548" s="91"/>
      <c r="HF548" s="91"/>
      <c r="HG548" s="91"/>
      <c r="HH548" s="91"/>
      <c r="HI548" s="91"/>
      <c r="HJ548" s="91"/>
      <c r="HK548" s="91"/>
      <c r="HL548" s="91"/>
      <c r="HM548" s="91"/>
      <c r="HN548" s="91"/>
      <c r="HO548" s="91"/>
      <c r="HP548" s="91"/>
      <c r="HQ548" s="91"/>
      <c r="HR548" s="91"/>
      <c r="HS548" s="91"/>
      <c r="HT548" s="91"/>
      <c r="HU548" s="91"/>
      <c r="HV548" s="91"/>
      <c r="HW548" s="91"/>
      <c r="HX548" s="91"/>
      <c r="HY548" s="91"/>
      <c r="HZ548" s="91"/>
      <c r="IA548" s="91"/>
    </row>
    <row r="549" spans="1:16" ht="12" customHeight="1">
      <c r="A549" s="20" t="s">
        <v>4</v>
      </c>
      <c r="B549" s="7"/>
      <c r="C549" s="7"/>
      <c r="D549" s="14"/>
      <c r="E549" s="14"/>
      <c r="F549" s="14"/>
      <c r="G549" s="14"/>
      <c r="H549" s="14"/>
      <c r="I549" s="14"/>
      <c r="J549" s="14"/>
      <c r="K549" s="14"/>
      <c r="L549" s="14"/>
      <c r="M549" s="14"/>
      <c r="N549" s="14"/>
      <c r="O549" s="14"/>
      <c r="P549" s="14"/>
    </row>
    <row r="550" spans="1:16" ht="12" customHeight="1">
      <c r="A550" s="21" t="s">
        <v>63</v>
      </c>
      <c r="B550" s="7"/>
      <c r="C550" s="7"/>
      <c r="D550" s="14">
        <f>(D552*D555)+(D553*D556)-0.03</f>
        <v>150400</v>
      </c>
      <c r="E550" s="14"/>
      <c r="F550" s="14">
        <f>D550</f>
        <v>150400</v>
      </c>
      <c r="G550" s="14"/>
      <c r="H550" s="14"/>
      <c r="I550" s="14"/>
      <c r="J550" s="14"/>
      <c r="K550" s="14"/>
      <c r="L550" s="14"/>
      <c r="M550" s="14"/>
      <c r="N550" s="14"/>
      <c r="O550" s="14"/>
      <c r="P550" s="14"/>
    </row>
    <row r="551" spans="1:16" ht="12" customHeight="1">
      <c r="A551" s="20" t="s">
        <v>5</v>
      </c>
      <c r="B551" s="7"/>
      <c r="C551" s="7"/>
      <c r="D551" s="14"/>
      <c r="E551" s="14"/>
      <c r="F551" s="14"/>
      <c r="G551" s="14"/>
      <c r="H551" s="14"/>
      <c r="I551" s="14"/>
      <c r="J551" s="14"/>
      <c r="K551" s="14"/>
      <c r="L551" s="14"/>
      <c r="M551" s="14"/>
      <c r="N551" s="14"/>
      <c r="O551" s="14"/>
      <c r="P551" s="14"/>
    </row>
    <row r="552" spans="1:16" ht="24.75" customHeight="1">
      <c r="A552" s="21" t="s">
        <v>239</v>
      </c>
      <c r="B552" s="7"/>
      <c r="C552" s="7"/>
      <c r="D552" s="14">
        <v>57</v>
      </c>
      <c r="E552" s="14"/>
      <c r="F552" s="14">
        <v>57</v>
      </c>
      <c r="G552" s="14"/>
      <c r="H552" s="14"/>
      <c r="I552" s="14"/>
      <c r="J552" s="14"/>
      <c r="K552" s="14"/>
      <c r="L552" s="14"/>
      <c r="M552" s="14"/>
      <c r="N552" s="14"/>
      <c r="O552" s="14"/>
      <c r="P552" s="14"/>
    </row>
    <row r="553" spans="1:16" ht="15.75" customHeight="1">
      <c r="A553" s="21" t="s">
        <v>237</v>
      </c>
      <c r="B553" s="7"/>
      <c r="C553" s="7"/>
      <c r="D553" s="14">
        <v>145</v>
      </c>
      <c r="E553" s="14"/>
      <c r="F553" s="14">
        <f>D553</f>
        <v>145</v>
      </c>
      <c r="G553" s="14"/>
      <c r="H553" s="14"/>
      <c r="I553" s="14"/>
      <c r="J553" s="14"/>
      <c r="K553" s="14"/>
      <c r="L553" s="14"/>
      <c r="M553" s="14"/>
      <c r="N553" s="14"/>
      <c r="O553" s="14"/>
      <c r="P553" s="14"/>
    </row>
    <row r="554" spans="1:16" ht="12.75" customHeight="1">
      <c r="A554" s="20" t="s">
        <v>7</v>
      </c>
      <c r="B554" s="7"/>
      <c r="C554" s="7"/>
      <c r="D554" s="14"/>
      <c r="E554" s="14"/>
      <c r="F554" s="14"/>
      <c r="G554" s="14"/>
      <c r="H554" s="14"/>
      <c r="I554" s="14"/>
      <c r="J554" s="14"/>
      <c r="K554" s="14"/>
      <c r="L554" s="14"/>
      <c r="M554" s="14"/>
      <c r="N554" s="14"/>
      <c r="O554" s="14"/>
      <c r="P554" s="14"/>
    </row>
    <row r="555" spans="1:16" ht="24.75" customHeight="1">
      <c r="A555" s="21" t="s">
        <v>238</v>
      </c>
      <c r="B555" s="7"/>
      <c r="C555" s="7"/>
      <c r="D555" s="14">
        <v>1950.89</v>
      </c>
      <c r="E555" s="14"/>
      <c r="F555" s="14">
        <f>D555</f>
        <v>1950.89</v>
      </c>
      <c r="G555" s="14"/>
      <c r="H555" s="14"/>
      <c r="I555" s="14"/>
      <c r="J555" s="14"/>
      <c r="K555" s="14"/>
      <c r="L555" s="14"/>
      <c r="M555" s="14"/>
      <c r="N555" s="14"/>
      <c r="O555" s="14"/>
      <c r="P555" s="14"/>
    </row>
    <row r="556" spans="1:16" ht="24.75" customHeight="1">
      <c r="A556" s="21" t="s">
        <v>240</v>
      </c>
      <c r="B556" s="7"/>
      <c r="C556" s="7"/>
      <c r="D556" s="14">
        <v>270.34</v>
      </c>
      <c r="E556" s="14"/>
      <c r="F556" s="14">
        <f>D556</f>
        <v>270.34</v>
      </c>
      <c r="G556" s="14"/>
      <c r="H556" s="14"/>
      <c r="I556" s="14"/>
      <c r="J556" s="14"/>
      <c r="K556" s="14"/>
      <c r="L556" s="14"/>
      <c r="M556" s="14"/>
      <c r="N556" s="14"/>
      <c r="O556" s="14"/>
      <c r="P556" s="14"/>
    </row>
    <row r="557" spans="1:235" s="92" customFormat="1" ht="41.25" customHeight="1">
      <c r="A557" s="82" t="s">
        <v>399</v>
      </c>
      <c r="B557" s="88"/>
      <c r="C557" s="88"/>
      <c r="D557" s="89">
        <v>127900</v>
      </c>
      <c r="E557" s="89"/>
      <c r="F557" s="89">
        <f>D557</f>
        <v>127900</v>
      </c>
      <c r="G557" s="89">
        <f>G561*G563</f>
        <v>130000</v>
      </c>
      <c r="H557" s="89"/>
      <c r="I557" s="89"/>
      <c r="J557" s="89">
        <f>G557</f>
        <v>130000</v>
      </c>
      <c r="K557" s="89"/>
      <c r="L557" s="89"/>
      <c r="M557" s="89"/>
      <c r="N557" s="89"/>
      <c r="O557" s="89"/>
      <c r="P557" s="89"/>
      <c r="Q557" s="91"/>
      <c r="R557" s="91"/>
      <c r="S557" s="91"/>
      <c r="T557" s="91"/>
      <c r="U557" s="91"/>
      <c r="V557" s="91"/>
      <c r="W557" s="91"/>
      <c r="X557" s="91"/>
      <c r="Y557" s="91"/>
      <c r="Z557" s="91"/>
      <c r="AA557" s="91"/>
      <c r="AB557" s="91"/>
      <c r="AC557" s="91"/>
      <c r="AD557" s="91"/>
      <c r="AE557" s="91"/>
      <c r="AF557" s="91"/>
      <c r="AG557" s="91"/>
      <c r="AH557" s="91"/>
      <c r="AI557" s="91"/>
      <c r="AJ557" s="91"/>
      <c r="AK557" s="91"/>
      <c r="AL557" s="91"/>
      <c r="AM557" s="91"/>
      <c r="AN557" s="91"/>
      <c r="AO557" s="91"/>
      <c r="AP557" s="91"/>
      <c r="AQ557" s="91"/>
      <c r="AR557" s="91"/>
      <c r="AS557" s="91"/>
      <c r="AT557" s="91"/>
      <c r="AU557" s="91"/>
      <c r="AV557" s="91"/>
      <c r="AW557" s="91"/>
      <c r="AX557" s="91"/>
      <c r="AY557" s="91"/>
      <c r="AZ557" s="91"/>
      <c r="BA557" s="91"/>
      <c r="BB557" s="91"/>
      <c r="BC557" s="91"/>
      <c r="BD557" s="91"/>
      <c r="BE557" s="91"/>
      <c r="BF557" s="91"/>
      <c r="BG557" s="91"/>
      <c r="BH557" s="91"/>
      <c r="BI557" s="91"/>
      <c r="BJ557" s="91"/>
      <c r="BK557" s="91"/>
      <c r="BL557" s="91"/>
      <c r="BM557" s="91"/>
      <c r="BN557" s="91"/>
      <c r="BO557" s="91"/>
      <c r="BP557" s="91"/>
      <c r="BQ557" s="91"/>
      <c r="BR557" s="91"/>
      <c r="BS557" s="91"/>
      <c r="BT557" s="91"/>
      <c r="BU557" s="91"/>
      <c r="BV557" s="91"/>
      <c r="BW557" s="91"/>
      <c r="BX557" s="91"/>
      <c r="BY557" s="91"/>
      <c r="BZ557" s="91"/>
      <c r="CA557" s="91"/>
      <c r="CB557" s="91"/>
      <c r="CC557" s="91"/>
      <c r="CD557" s="91"/>
      <c r="CE557" s="91"/>
      <c r="CF557" s="91"/>
      <c r="CG557" s="91"/>
      <c r="CH557" s="91"/>
      <c r="CI557" s="91"/>
      <c r="CJ557" s="91"/>
      <c r="CK557" s="91"/>
      <c r="CL557" s="91"/>
      <c r="CM557" s="91"/>
      <c r="CN557" s="91"/>
      <c r="CO557" s="91"/>
      <c r="CP557" s="91"/>
      <c r="CQ557" s="91"/>
      <c r="CR557" s="91"/>
      <c r="CS557" s="91"/>
      <c r="CT557" s="91"/>
      <c r="CU557" s="91"/>
      <c r="CV557" s="91"/>
      <c r="CW557" s="91"/>
      <c r="CX557" s="91"/>
      <c r="CY557" s="91"/>
      <c r="CZ557" s="91"/>
      <c r="DA557" s="91"/>
      <c r="DB557" s="91"/>
      <c r="DC557" s="91"/>
      <c r="DD557" s="91"/>
      <c r="DE557" s="91"/>
      <c r="DF557" s="91"/>
      <c r="DG557" s="91"/>
      <c r="DH557" s="91"/>
      <c r="DI557" s="91"/>
      <c r="DJ557" s="91"/>
      <c r="DK557" s="91"/>
      <c r="DL557" s="91"/>
      <c r="DM557" s="91"/>
      <c r="DN557" s="91"/>
      <c r="DO557" s="91"/>
      <c r="DP557" s="91"/>
      <c r="DQ557" s="91"/>
      <c r="DR557" s="91"/>
      <c r="DS557" s="91"/>
      <c r="DT557" s="91"/>
      <c r="DU557" s="91"/>
      <c r="DV557" s="91"/>
      <c r="DW557" s="91"/>
      <c r="DX557" s="91"/>
      <c r="DY557" s="91"/>
      <c r="DZ557" s="91"/>
      <c r="EA557" s="91"/>
      <c r="EB557" s="91"/>
      <c r="EC557" s="91"/>
      <c r="ED557" s="91"/>
      <c r="EE557" s="91"/>
      <c r="EF557" s="91"/>
      <c r="EG557" s="91"/>
      <c r="EH557" s="91"/>
      <c r="EI557" s="91"/>
      <c r="EJ557" s="91"/>
      <c r="EK557" s="91"/>
      <c r="EL557" s="91"/>
      <c r="EM557" s="91"/>
      <c r="EN557" s="91"/>
      <c r="EO557" s="91"/>
      <c r="EP557" s="91"/>
      <c r="EQ557" s="91"/>
      <c r="ER557" s="91"/>
      <c r="ES557" s="91"/>
      <c r="ET557" s="91"/>
      <c r="EU557" s="91"/>
      <c r="EV557" s="91"/>
      <c r="EW557" s="91"/>
      <c r="EX557" s="91"/>
      <c r="EY557" s="91"/>
      <c r="EZ557" s="91"/>
      <c r="FA557" s="91"/>
      <c r="FB557" s="91"/>
      <c r="FC557" s="91"/>
      <c r="FD557" s="91"/>
      <c r="FE557" s="91"/>
      <c r="FF557" s="91"/>
      <c r="FG557" s="91"/>
      <c r="FH557" s="91"/>
      <c r="FI557" s="91"/>
      <c r="FJ557" s="91"/>
      <c r="FK557" s="91"/>
      <c r="FL557" s="91"/>
      <c r="FM557" s="91"/>
      <c r="FN557" s="91"/>
      <c r="FO557" s="91"/>
      <c r="FP557" s="91"/>
      <c r="FQ557" s="91"/>
      <c r="FR557" s="91"/>
      <c r="FS557" s="91"/>
      <c r="FT557" s="91"/>
      <c r="FU557" s="91"/>
      <c r="FV557" s="91"/>
      <c r="FW557" s="91"/>
      <c r="FX557" s="91"/>
      <c r="FY557" s="91"/>
      <c r="FZ557" s="91"/>
      <c r="GA557" s="91"/>
      <c r="GB557" s="91"/>
      <c r="GC557" s="91"/>
      <c r="GD557" s="91"/>
      <c r="GE557" s="91"/>
      <c r="GF557" s="91"/>
      <c r="GG557" s="91"/>
      <c r="GH557" s="91"/>
      <c r="GI557" s="91"/>
      <c r="GJ557" s="91"/>
      <c r="GK557" s="91"/>
      <c r="GL557" s="91"/>
      <c r="GM557" s="91"/>
      <c r="GN557" s="91"/>
      <c r="GO557" s="91"/>
      <c r="GP557" s="91"/>
      <c r="GQ557" s="91"/>
      <c r="GR557" s="91"/>
      <c r="GS557" s="91"/>
      <c r="GT557" s="91"/>
      <c r="GU557" s="91"/>
      <c r="GV557" s="91"/>
      <c r="GW557" s="91"/>
      <c r="GX557" s="91"/>
      <c r="GY557" s="91"/>
      <c r="GZ557" s="91"/>
      <c r="HA557" s="91"/>
      <c r="HB557" s="91"/>
      <c r="HC557" s="91"/>
      <c r="HD557" s="91"/>
      <c r="HE557" s="91"/>
      <c r="HF557" s="91"/>
      <c r="HG557" s="91"/>
      <c r="HH557" s="91"/>
      <c r="HI557" s="91"/>
      <c r="HJ557" s="91"/>
      <c r="HK557" s="91"/>
      <c r="HL557" s="91"/>
      <c r="HM557" s="91"/>
      <c r="HN557" s="91"/>
      <c r="HO557" s="91"/>
      <c r="HP557" s="91"/>
      <c r="HQ557" s="91"/>
      <c r="HR557" s="91"/>
      <c r="HS557" s="91"/>
      <c r="HT557" s="91"/>
      <c r="HU557" s="91"/>
      <c r="HV557" s="91"/>
      <c r="HW557" s="91"/>
      <c r="HX557" s="91"/>
      <c r="HY557" s="91"/>
      <c r="HZ557" s="91"/>
      <c r="IA557" s="91"/>
    </row>
    <row r="558" spans="1:16" ht="11.25" customHeight="1">
      <c r="A558" s="20" t="s">
        <v>4</v>
      </c>
      <c r="B558" s="7"/>
      <c r="C558" s="7"/>
      <c r="D558" s="14"/>
      <c r="E558" s="14"/>
      <c r="F558" s="14"/>
      <c r="G558" s="14"/>
      <c r="H558" s="14"/>
      <c r="I558" s="14"/>
      <c r="J558" s="14"/>
      <c r="K558" s="14"/>
      <c r="L558" s="14"/>
      <c r="M558" s="14"/>
      <c r="N558" s="14"/>
      <c r="O558" s="14"/>
      <c r="P558" s="14"/>
    </row>
    <row r="559" spans="1:16" ht="14.25" customHeight="1">
      <c r="A559" s="21" t="s">
        <v>63</v>
      </c>
      <c r="B559" s="7"/>
      <c r="C559" s="7"/>
      <c r="D559" s="62">
        <f>D557</f>
        <v>127900</v>
      </c>
      <c r="E559" s="14"/>
      <c r="F559" s="14">
        <f>D559</f>
        <v>127900</v>
      </c>
      <c r="G559" s="14">
        <v>130000</v>
      </c>
      <c r="H559" s="14"/>
      <c r="I559" s="14"/>
      <c r="J559" s="14">
        <f>G559</f>
        <v>130000</v>
      </c>
      <c r="K559" s="14"/>
      <c r="L559" s="14"/>
      <c r="M559" s="14"/>
      <c r="N559" s="14"/>
      <c r="O559" s="14"/>
      <c r="P559" s="14"/>
    </row>
    <row r="560" spans="1:16" ht="10.5" customHeight="1">
      <c r="A560" s="20" t="s">
        <v>5</v>
      </c>
      <c r="B560" s="7"/>
      <c r="C560" s="7"/>
      <c r="D560" s="62"/>
      <c r="E560" s="14"/>
      <c r="F560" s="14"/>
      <c r="G560" s="14"/>
      <c r="H560" s="14"/>
      <c r="I560" s="14"/>
      <c r="J560" s="14"/>
      <c r="K560" s="14"/>
      <c r="L560" s="14"/>
      <c r="M560" s="14"/>
      <c r="N560" s="14"/>
      <c r="O560" s="14"/>
      <c r="P560" s="14"/>
    </row>
    <row r="561" spans="1:16" ht="24.75" customHeight="1">
      <c r="A561" s="21" t="s">
        <v>244</v>
      </c>
      <c r="B561" s="7"/>
      <c r="C561" s="7"/>
      <c r="D561" s="62">
        <v>4</v>
      </c>
      <c r="E561" s="14"/>
      <c r="F561" s="14">
        <f>D561</f>
        <v>4</v>
      </c>
      <c r="G561" s="14">
        <v>4</v>
      </c>
      <c r="H561" s="14"/>
      <c r="I561" s="14"/>
      <c r="J561" s="14">
        <v>4</v>
      </c>
      <c r="K561" s="14"/>
      <c r="L561" s="14"/>
      <c r="M561" s="14"/>
      <c r="N561" s="14"/>
      <c r="O561" s="14"/>
      <c r="P561" s="14"/>
    </row>
    <row r="562" spans="1:16" ht="11.25">
      <c r="A562" s="20" t="s">
        <v>7</v>
      </c>
      <c r="B562" s="7"/>
      <c r="C562" s="7"/>
      <c r="D562" s="62"/>
      <c r="E562" s="14"/>
      <c r="F562" s="14"/>
      <c r="G562" s="14"/>
      <c r="H562" s="14"/>
      <c r="I562" s="14"/>
      <c r="J562" s="14"/>
      <c r="K562" s="14"/>
      <c r="L562" s="14"/>
      <c r="M562" s="14"/>
      <c r="N562" s="14"/>
      <c r="O562" s="14"/>
      <c r="P562" s="14"/>
    </row>
    <row r="563" spans="1:16" ht="24.75" customHeight="1">
      <c r="A563" s="21" t="s">
        <v>243</v>
      </c>
      <c r="B563" s="7"/>
      <c r="C563" s="7"/>
      <c r="D563" s="62">
        <f>D557/D561</f>
        <v>31975</v>
      </c>
      <c r="E563" s="14"/>
      <c r="F563" s="14">
        <f>D563</f>
        <v>31975</v>
      </c>
      <c r="G563" s="14">
        <v>32500</v>
      </c>
      <c r="H563" s="14"/>
      <c r="I563" s="14"/>
      <c r="J563" s="14">
        <f>G563</f>
        <v>32500</v>
      </c>
      <c r="K563" s="14"/>
      <c r="L563" s="14"/>
      <c r="M563" s="14"/>
      <c r="N563" s="14"/>
      <c r="O563" s="14"/>
      <c r="P563" s="14"/>
    </row>
    <row r="564" spans="1:235" s="92" customFormat="1" ht="25.5" customHeight="1">
      <c r="A564" s="82" t="s">
        <v>400</v>
      </c>
      <c r="B564" s="88"/>
      <c r="C564" s="88"/>
      <c r="D564" s="89">
        <v>224200</v>
      </c>
      <c r="E564" s="89"/>
      <c r="F564" s="89">
        <f>D564</f>
        <v>224200</v>
      </c>
      <c r="G564" s="89"/>
      <c r="H564" s="89"/>
      <c r="I564" s="89"/>
      <c r="J564" s="89"/>
      <c r="K564" s="89"/>
      <c r="L564" s="89"/>
      <c r="M564" s="89"/>
      <c r="N564" s="89">
        <f>N566</f>
        <v>199999.995</v>
      </c>
      <c r="O564" s="89"/>
      <c r="P564" s="89">
        <f>N564</f>
        <v>199999.995</v>
      </c>
      <c r="Q564" s="91"/>
      <c r="R564" s="91"/>
      <c r="S564" s="91"/>
      <c r="T564" s="91"/>
      <c r="U564" s="91"/>
      <c r="V564" s="91"/>
      <c r="W564" s="91"/>
      <c r="X564" s="91"/>
      <c r="Y564" s="91"/>
      <c r="Z564" s="91"/>
      <c r="AA564" s="91"/>
      <c r="AB564" s="91"/>
      <c r="AC564" s="91"/>
      <c r="AD564" s="91"/>
      <c r="AE564" s="91"/>
      <c r="AF564" s="91"/>
      <c r="AG564" s="91"/>
      <c r="AH564" s="91"/>
      <c r="AI564" s="91"/>
      <c r="AJ564" s="91"/>
      <c r="AK564" s="91"/>
      <c r="AL564" s="91"/>
      <c r="AM564" s="91"/>
      <c r="AN564" s="91"/>
      <c r="AO564" s="91"/>
      <c r="AP564" s="91"/>
      <c r="AQ564" s="91"/>
      <c r="AR564" s="91"/>
      <c r="AS564" s="91"/>
      <c r="AT564" s="91"/>
      <c r="AU564" s="91"/>
      <c r="AV564" s="91"/>
      <c r="AW564" s="91"/>
      <c r="AX564" s="91"/>
      <c r="AY564" s="91"/>
      <c r="AZ564" s="91"/>
      <c r="BA564" s="91"/>
      <c r="BB564" s="91"/>
      <c r="BC564" s="91"/>
      <c r="BD564" s="91"/>
      <c r="BE564" s="91"/>
      <c r="BF564" s="91"/>
      <c r="BG564" s="91"/>
      <c r="BH564" s="91"/>
      <c r="BI564" s="91"/>
      <c r="BJ564" s="91"/>
      <c r="BK564" s="91"/>
      <c r="BL564" s="91"/>
      <c r="BM564" s="91"/>
      <c r="BN564" s="91"/>
      <c r="BO564" s="91"/>
      <c r="BP564" s="91"/>
      <c r="BQ564" s="91"/>
      <c r="BR564" s="91"/>
      <c r="BS564" s="91"/>
      <c r="BT564" s="91"/>
      <c r="BU564" s="91"/>
      <c r="BV564" s="91"/>
      <c r="BW564" s="91"/>
      <c r="BX564" s="91"/>
      <c r="BY564" s="91"/>
      <c r="BZ564" s="91"/>
      <c r="CA564" s="91"/>
      <c r="CB564" s="91"/>
      <c r="CC564" s="91"/>
      <c r="CD564" s="91"/>
      <c r="CE564" s="91"/>
      <c r="CF564" s="91"/>
      <c r="CG564" s="91"/>
      <c r="CH564" s="91"/>
      <c r="CI564" s="91"/>
      <c r="CJ564" s="91"/>
      <c r="CK564" s="91"/>
      <c r="CL564" s="91"/>
      <c r="CM564" s="91"/>
      <c r="CN564" s="91"/>
      <c r="CO564" s="91"/>
      <c r="CP564" s="91"/>
      <c r="CQ564" s="91"/>
      <c r="CR564" s="91"/>
      <c r="CS564" s="91"/>
      <c r="CT564" s="91"/>
      <c r="CU564" s="91"/>
      <c r="CV564" s="91"/>
      <c r="CW564" s="91"/>
      <c r="CX564" s="91"/>
      <c r="CY564" s="91"/>
      <c r="CZ564" s="91"/>
      <c r="DA564" s="91"/>
      <c r="DB564" s="91"/>
      <c r="DC564" s="91"/>
      <c r="DD564" s="91"/>
      <c r="DE564" s="91"/>
      <c r="DF564" s="91"/>
      <c r="DG564" s="91"/>
      <c r="DH564" s="91"/>
      <c r="DI564" s="91"/>
      <c r="DJ564" s="91"/>
      <c r="DK564" s="91"/>
      <c r="DL564" s="91"/>
      <c r="DM564" s="91"/>
      <c r="DN564" s="91"/>
      <c r="DO564" s="91"/>
      <c r="DP564" s="91"/>
      <c r="DQ564" s="91"/>
      <c r="DR564" s="91"/>
      <c r="DS564" s="91"/>
      <c r="DT564" s="91"/>
      <c r="DU564" s="91"/>
      <c r="DV564" s="91"/>
      <c r="DW564" s="91"/>
      <c r="DX564" s="91"/>
      <c r="DY564" s="91"/>
      <c r="DZ564" s="91"/>
      <c r="EA564" s="91"/>
      <c r="EB564" s="91"/>
      <c r="EC564" s="91"/>
      <c r="ED564" s="91"/>
      <c r="EE564" s="91"/>
      <c r="EF564" s="91"/>
      <c r="EG564" s="91"/>
      <c r="EH564" s="91"/>
      <c r="EI564" s="91"/>
      <c r="EJ564" s="91"/>
      <c r="EK564" s="91"/>
      <c r="EL564" s="91"/>
      <c r="EM564" s="91"/>
      <c r="EN564" s="91"/>
      <c r="EO564" s="91"/>
      <c r="EP564" s="91"/>
      <c r="EQ564" s="91"/>
      <c r="ER564" s="91"/>
      <c r="ES564" s="91"/>
      <c r="ET564" s="91"/>
      <c r="EU564" s="91"/>
      <c r="EV564" s="91"/>
      <c r="EW564" s="91"/>
      <c r="EX564" s="91"/>
      <c r="EY564" s="91"/>
      <c r="EZ564" s="91"/>
      <c r="FA564" s="91"/>
      <c r="FB564" s="91"/>
      <c r="FC564" s="91"/>
      <c r="FD564" s="91"/>
      <c r="FE564" s="91"/>
      <c r="FF564" s="91"/>
      <c r="FG564" s="91"/>
      <c r="FH564" s="91"/>
      <c r="FI564" s="91"/>
      <c r="FJ564" s="91"/>
      <c r="FK564" s="91"/>
      <c r="FL564" s="91"/>
      <c r="FM564" s="91"/>
      <c r="FN564" s="91"/>
      <c r="FO564" s="91"/>
      <c r="FP564" s="91"/>
      <c r="FQ564" s="91"/>
      <c r="FR564" s="91"/>
      <c r="FS564" s="91"/>
      <c r="FT564" s="91"/>
      <c r="FU564" s="91"/>
      <c r="FV564" s="91"/>
      <c r="FW564" s="91"/>
      <c r="FX564" s="91"/>
      <c r="FY564" s="91"/>
      <c r="FZ564" s="91"/>
      <c r="GA564" s="91"/>
      <c r="GB564" s="91"/>
      <c r="GC564" s="91"/>
      <c r="GD564" s="91"/>
      <c r="GE564" s="91"/>
      <c r="GF564" s="91"/>
      <c r="GG564" s="91"/>
      <c r="GH564" s="91"/>
      <c r="GI564" s="91"/>
      <c r="GJ564" s="91"/>
      <c r="GK564" s="91"/>
      <c r="GL564" s="91"/>
      <c r="GM564" s="91"/>
      <c r="GN564" s="91"/>
      <c r="GO564" s="91"/>
      <c r="GP564" s="91"/>
      <c r="GQ564" s="91"/>
      <c r="GR564" s="91"/>
      <c r="GS564" s="91"/>
      <c r="GT564" s="91"/>
      <c r="GU564" s="91"/>
      <c r="GV564" s="91"/>
      <c r="GW564" s="91"/>
      <c r="GX564" s="91"/>
      <c r="GY564" s="91"/>
      <c r="GZ564" s="91"/>
      <c r="HA564" s="91"/>
      <c r="HB564" s="91"/>
      <c r="HC564" s="91"/>
      <c r="HD564" s="91"/>
      <c r="HE564" s="91"/>
      <c r="HF564" s="91"/>
      <c r="HG564" s="91"/>
      <c r="HH564" s="91"/>
      <c r="HI564" s="91"/>
      <c r="HJ564" s="91"/>
      <c r="HK564" s="91"/>
      <c r="HL564" s="91"/>
      <c r="HM564" s="91"/>
      <c r="HN564" s="91"/>
      <c r="HO564" s="91"/>
      <c r="HP564" s="91"/>
      <c r="HQ564" s="91"/>
      <c r="HR564" s="91"/>
      <c r="HS564" s="91"/>
      <c r="HT564" s="91"/>
      <c r="HU564" s="91"/>
      <c r="HV564" s="91"/>
      <c r="HW564" s="91"/>
      <c r="HX564" s="91"/>
      <c r="HY564" s="91"/>
      <c r="HZ564" s="91"/>
      <c r="IA564" s="91"/>
    </row>
    <row r="565" spans="1:16" ht="11.25" customHeight="1">
      <c r="A565" s="20" t="s">
        <v>4</v>
      </c>
      <c r="B565" s="7"/>
      <c r="C565" s="7"/>
      <c r="D565" s="14"/>
      <c r="E565" s="14"/>
      <c r="F565" s="14"/>
      <c r="G565" s="14"/>
      <c r="H565" s="14"/>
      <c r="I565" s="14"/>
      <c r="J565" s="14"/>
      <c r="K565" s="14"/>
      <c r="L565" s="14"/>
      <c r="M565" s="14"/>
      <c r="N565" s="14"/>
      <c r="O565" s="14"/>
      <c r="P565" s="183"/>
    </row>
    <row r="566" spans="1:16" ht="14.25" customHeight="1">
      <c r="A566" s="21" t="s">
        <v>63</v>
      </c>
      <c r="B566" s="7"/>
      <c r="C566" s="7"/>
      <c r="D566" s="62">
        <f>D564</f>
        <v>224200</v>
      </c>
      <c r="E566" s="14"/>
      <c r="F566" s="14">
        <v>224200</v>
      </c>
      <c r="G566" s="14"/>
      <c r="H566" s="14"/>
      <c r="I566" s="14"/>
      <c r="J566" s="14"/>
      <c r="K566" s="14"/>
      <c r="L566" s="14"/>
      <c r="M566" s="14"/>
      <c r="N566" s="14">
        <f>N568*N570+0.01</f>
        <v>199999.995</v>
      </c>
      <c r="O566" s="14"/>
      <c r="P566" s="183">
        <f>N566</f>
        <v>199999.995</v>
      </c>
    </row>
    <row r="567" spans="1:16" ht="10.5" customHeight="1">
      <c r="A567" s="20" t="s">
        <v>5</v>
      </c>
      <c r="B567" s="7"/>
      <c r="C567" s="7"/>
      <c r="D567" s="62"/>
      <c r="E567" s="14"/>
      <c r="F567" s="14"/>
      <c r="G567" s="14"/>
      <c r="H567" s="14"/>
      <c r="I567" s="14"/>
      <c r="J567" s="14"/>
      <c r="K567" s="14"/>
      <c r="L567" s="14"/>
      <c r="M567" s="14"/>
      <c r="N567" s="14"/>
      <c r="O567" s="14"/>
      <c r="P567" s="183"/>
    </row>
    <row r="568" spans="1:16" ht="24.75" customHeight="1">
      <c r="A568" s="21" t="s">
        <v>257</v>
      </c>
      <c r="B568" s="7"/>
      <c r="C568" s="7"/>
      <c r="D568" s="62">
        <v>398</v>
      </c>
      <c r="E568" s="14"/>
      <c r="F568" s="14">
        <f>D568</f>
        <v>398</v>
      </c>
      <c r="G568" s="14"/>
      <c r="H568" s="14"/>
      <c r="I568" s="14"/>
      <c r="J568" s="14"/>
      <c r="K568" s="14"/>
      <c r="L568" s="14"/>
      <c r="M568" s="14"/>
      <c r="N568" s="14">
        <v>85</v>
      </c>
      <c r="O568" s="14"/>
      <c r="P568" s="183">
        <f>N568</f>
        <v>85</v>
      </c>
    </row>
    <row r="569" spans="1:16" ht="11.25">
      <c r="A569" s="20" t="s">
        <v>7</v>
      </c>
      <c r="B569" s="7"/>
      <c r="C569" s="7"/>
      <c r="D569" s="62"/>
      <c r="E569" s="14"/>
      <c r="F569" s="14"/>
      <c r="G569" s="14"/>
      <c r="H569" s="14"/>
      <c r="I569" s="14"/>
      <c r="J569" s="14"/>
      <c r="K569" s="14"/>
      <c r="L569" s="14"/>
      <c r="M569" s="14"/>
      <c r="N569" s="14"/>
      <c r="O569" s="14"/>
      <c r="P569" s="183"/>
    </row>
    <row r="570" spans="1:16" ht="24.75" customHeight="1">
      <c r="A570" s="21" t="s">
        <v>258</v>
      </c>
      <c r="B570" s="7"/>
      <c r="C570" s="7"/>
      <c r="D570" s="62">
        <f>D564/D568</f>
        <v>563.3165829145729</v>
      </c>
      <c r="E570" s="14"/>
      <c r="F570" s="14">
        <f>D570</f>
        <v>563.3165829145729</v>
      </c>
      <c r="G570" s="14"/>
      <c r="H570" s="14"/>
      <c r="I570" s="14"/>
      <c r="J570" s="14"/>
      <c r="K570" s="14"/>
      <c r="L570" s="14"/>
      <c r="M570" s="14"/>
      <c r="N570" s="14">
        <v>2352.941</v>
      </c>
      <c r="O570" s="14"/>
      <c r="P570" s="183">
        <f>N570</f>
        <v>2352.941</v>
      </c>
    </row>
    <row r="571" spans="1:235" s="92" customFormat="1" ht="45.75" customHeight="1">
      <c r="A571" s="82" t="s">
        <v>401</v>
      </c>
      <c r="B571" s="88"/>
      <c r="C571" s="88"/>
      <c r="D571" s="89"/>
      <c r="E571" s="89"/>
      <c r="F571" s="89"/>
      <c r="G571" s="89">
        <f>G575*G577</f>
        <v>70100</v>
      </c>
      <c r="H571" s="89"/>
      <c r="I571" s="89"/>
      <c r="J571" s="89">
        <f>G571</f>
        <v>70100</v>
      </c>
      <c r="K571" s="89"/>
      <c r="L571" s="89"/>
      <c r="M571" s="89"/>
      <c r="N571" s="89"/>
      <c r="O571" s="89"/>
      <c r="P571" s="89"/>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91"/>
      <c r="AN571" s="91"/>
      <c r="AO571" s="91"/>
      <c r="AP571" s="91"/>
      <c r="AQ571" s="91"/>
      <c r="AR571" s="91"/>
      <c r="AS571" s="91"/>
      <c r="AT571" s="91"/>
      <c r="AU571" s="91"/>
      <c r="AV571" s="91"/>
      <c r="AW571" s="91"/>
      <c r="AX571" s="91"/>
      <c r="AY571" s="91"/>
      <c r="AZ571" s="91"/>
      <c r="BA571" s="91"/>
      <c r="BB571" s="91"/>
      <c r="BC571" s="91"/>
      <c r="BD571" s="91"/>
      <c r="BE571" s="91"/>
      <c r="BF571" s="91"/>
      <c r="BG571" s="91"/>
      <c r="BH571" s="91"/>
      <c r="BI571" s="91"/>
      <c r="BJ571" s="91"/>
      <c r="BK571" s="91"/>
      <c r="BL571" s="91"/>
      <c r="BM571" s="91"/>
      <c r="BN571" s="91"/>
      <c r="BO571" s="91"/>
      <c r="BP571" s="91"/>
      <c r="BQ571" s="91"/>
      <c r="BR571" s="91"/>
      <c r="BS571" s="91"/>
      <c r="BT571" s="91"/>
      <c r="BU571" s="91"/>
      <c r="BV571" s="91"/>
      <c r="BW571" s="91"/>
      <c r="BX571" s="91"/>
      <c r="BY571" s="91"/>
      <c r="BZ571" s="91"/>
      <c r="CA571" s="91"/>
      <c r="CB571" s="91"/>
      <c r="CC571" s="91"/>
      <c r="CD571" s="91"/>
      <c r="CE571" s="91"/>
      <c r="CF571" s="91"/>
      <c r="CG571" s="91"/>
      <c r="CH571" s="91"/>
      <c r="CI571" s="91"/>
      <c r="CJ571" s="91"/>
      <c r="CK571" s="91"/>
      <c r="CL571" s="91"/>
      <c r="CM571" s="91"/>
      <c r="CN571" s="91"/>
      <c r="CO571" s="91"/>
      <c r="CP571" s="91"/>
      <c r="CQ571" s="91"/>
      <c r="CR571" s="91"/>
      <c r="CS571" s="91"/>
      <c r="CT571" s="91"/>
      <c r="CU571" s="91"/>
      <c r="CV571" s="91"/>
      <c r="CW571" s="91"/>
      <c r="CX571" s="91"/>
      <c r="CY571" s="91"/>
      <c r="CZ571" s="91"/>
      <c r="DA571" s="91"/>
      <c r="DB571" s="91"/>
      <c r="DC571" s="91"/>
      <c r="DD571" s="91"/>
      <c r="DE571" s="91"/>
      <c r="DF571" s="91"/>
      <c r="DG571" s="91"/>
      <c r="DH571" s="91"/>
      <c r="DI571" s="91"/>
      <c r="DJ571" s="91"/>
      <c r="DK571" s="91"/>
      <c r="DL571" s="91"/>
      <c r="DM571" s="91"/>
      <c r="DN571" s="91"/>
      <c r="DO571" s="91"/>
      <c r="DP571" s="91"/>
      <c r="DQ571" s="91"/>
      <c r="DR571" s="91"/>
      <c r="DS571" s="91"/>
      <c r="DT571" s="91"/>
      <c r="DU571" s="91"/>
      <c r="DV571" s="91"/>
      <c r="DW571" s="91"/>
      <c r="DX571" s="91"/>
      <c r="DY571" s="91"/>
      <c r="DZ571" s="91"/>
      <c r="EA571" s="91"/>
      <c r="EB571" s="91"/>
      <c r="EC571" s="91"/>
      <c r="ED571" s="91"/>
      <c r="EE571" s="91"/>
      <c r="EF571" s="91"/>
      <c r="EG571" s="91"/>
      <c r="EH571" s="91"/>
      <c r="EI571" s="91"/>
      <c r="EJ571" s="91"/>
      <c r="EK571" s="91"/>
      <c r="EL571" s="91"/>
      <c r="EM571" s="91"/>
      <c r="EN571" s="91"/>
      <c r="EO571" s="91"/>
      <c r="EP571" s="91"/>
      <c r="EQ571" s="91"/>
      <c r="ER571" s="91"/>
      <c r="ES571" s="91"/>
      <c r="ET571" s="91"/>
      <c r="EU571" s="91"/>
      <c r="EV571" s="91"/>
      <c r="EW571" s="91"/>
      <c r="EX571" s="91"/>
      <c r="EY571" s="91"/>
      <c r="EZ571" s="91"/>
      <c r="FA571" s="91"/>
      <c r="FB571" s="91"/>
      <c r="FC571" s="91"/>
      <c r="FD571" s="91"/>
      <c r="FE571" s="91"/>
      <c r="FF571" s="91"/>
      <c r="FG571" s="91"/>
      <c r="FH571" s="91"/>
      <c r="FI571" s="91"/>
      <c r="FJ571" s="91"/>
      <c r="FK571" s="91"/>
      <c r="FL571" s="91"/>
      <c r="FM571" s="91"/>
      <c r="FN571" s="91"/>
      <c r="FO571" s="91"/>
      <c r="FP571" s="91"/>
      <c r="FQ571" s="91"/>
      <c r="FR571" s="91"/>
      <c r="FS571" s="91"/>
      <c r="FT571" s="91"/>
      <c r="FU571" s="91"/>
      <c r="FV571" s="91"/>
      <c r="FW571" s="91"/>
      <c r="FX571" s="91"/>
      <c r="FY571" s="91"/>
      <c r="FZ571" s="91"/>
      <c r="GA571" s="91"/>
      <c r="GB571" s="91"/>
      <c r="GC571" s="91"/>
      <c r="GD571" s="91"/>
      <c r="GE571" s="91"/>
      <c r="GF571" s="91"/>
      <c r="GG571" s="91"/>
      <c r="GH571" s="91"/>
      <c r="GI571" s="91"/>
      <c r="GJ571" s="91"/>
      <c r="GK571" s="91"/>
      <c r="GL571" s="91"/>
      <c r="GM571" s="91"/>
      <c r="GN571" s="91"/>
      <c r="GO571" s="91"/>
      <c r="GP571" s="91"/>
      <c r="GQ571" s="91"/>
      <c r="GR571" s="91"/>
      <c r="GS571" s="91"/>
      <c r="GT571" s="91"/>
      <c r="GU571" s="91"/>
      <c r="GV571" s="91"/>
      <c r="GW571" s="91"/>
      <c r="GX571" s="91"/>
      <c r="GY571" s="91"/>
      <c r="GZ571" s="91"/>
      <c r="HA571" s="91"/>
      <c r="HB571" s="91"/>
      <c r="HC571" s="91"/>
      <c r="HD571" s="91"/>
      <c r="HE571" s="91"/>
      <c r="HF571" s="91"/>
      <c r="HG571" s="91"/>
      <c r="HH571" s="91"/>
      <c r="HI571" s="91"/>
      <c r="HJ571" s="91"/>
      <c r="HK571" s="91"/>
      <c r="HL571" s="91"/>
      <c r="HM571" s="91"/>
      <c r="HN571" s="91"/>
      <c r="HO571" s="91"/>
      <c r="HP571" s="91"/>
      <c r="HQ571" s="91"/>
      <c r="HR571" s="91"/>
      <c r="HS571" s="91"/>
      <c r="HT571" s="91"/>
      <c r="HU571" s="91"/>
      <c r="HV571" s="91"/>
      <c r="HW571" s="91"/>
      <c r="HX571" s="91"/>
      <c r="HY571" s="91"/>
      <c r="HZ571" s="91"/>
      <c r="IA571" s="91"/>
    </row>
    <row r="572" spans="1:16" ht="12.75" customHeight="1">
      <c r="A572" s="20" t="s">
        <v>4</v>
      </c>
      <c r="B572" s="7"/>
      <c r="C572" s="7"/>
      <c r="D572" s="62"/>
      <c r="E572" s="14"/>
      <c r="F572" s="14"/>
      <c r="G572" s="14"/>
      <c r="H572" s="14"/>
      <c r="I572" s="14"/>
      <c r="J572" s="14"/>
      <c r="K572" s="14"/>
      <c r="L572" s="14"/>
      <c r="M572" s="14"/>
      <c r="N572" s="14"/>
      <c r="O572" s="14"/>
      <c r="P572" s="14"/>
    </row>
    <row r="573" spans="1:16" ht="11.25">
      <c r="A573" s="21" t="s">
        <v>63</v>
      </c>
      <c r="B573" s="7"/>
      <c r="C573" s="7"/>
      <c r="D573" s="62"/>
      <c r="E573" s="14"/>
      <c r="F573" s="14"/>
      <c r="G573" s="14">
        <v>70100</v>
      </c>
      <c r="H573" s="14"/>
      <c r="I573" s="14"/>
      <c r="J573" s="14">
        <f>G573</f>
        <v>70100</v>
      </c>
      <c r="K573" s="14"/>
      <c r="L573" s="14"/>
      <c r="M573" s="14"/>
      <c r="N573" s="14"/>
      <c r="O573" s="14"/>
      <c r="P573" s="14"/>
    </row>
    <row r="574" spans="1:16" ht="11.25">
      <c r="A574" s="20" t="s">
        <v>5</v>
      </c>
      <c r="B574" s="7"/>
      <c r="C574" s="7"/>
      <c r="D574" s="62"/>
      <c r="E574" s="14"/>
      <c r="F574" s="14"/>
      <c r="G574" s="14"/>
      <c r="H574" s="14"/>
      <c r="I574" s="14"/>
      <c r="J574" s="14"/>
      <c r="K574" s="14"/>
      <c r="L574" s="14"/>
      <c r="M574" s="14"/>
      <c r="N574" s="14"/>
      <c r="O574" s="14"/>
      <c r="P574" s="14"/>
    </row>
    <row r="575" spans="1:16" ht="15" customHeight="1">
      <c r="A575" s="21" t="s">
        <v>294</v>
      </c>
      <c r="B575" s="7"/>
      <c r="C575" s="7"/>
      <c r="D575" s="62"/>
      <c r="E575" s="14"/>
      <c r="F575" s="14"/>
      <c r="G575" s="14">
        <v>1</v>
      </c>
      <c r="H575" s="14"/>
      <c r="I575" s="14"/>
      <c r="J575" s="14">
        <v>1</v>
      </c>
      <c r="K575" s="14"/>
      <c r="L575" s="14"/>
      <c r="M575" s="14"/>
      <c r="N575" s="14"/>
      <c r="O575" s="14"/>
      <c r="P575" s="14"/>
    </row>
    <row r="576" spans="1:16" ht="11.25">
      <c r="A576" s="20" t="s">
        <v>7</v>
      </c>
      <c r="B576" s="7"/>
      <c r="C576" s="7"/>
      <c r="D576" s="62"/>
      <c r="E576" s="14"/>
      <c r="F576" s="14"/>
      <c r="G576" s="14"/>
      <c r="H576" s="14"/>
      <c r="I576" s="14"/>
      <c r="J576" s="14"/>
      <c r="K576" s="14"/>
      <c r="L576" s="14"/>
      <c r="M576" s="14"/>
      <c r="N576" s="14"/>
      <c r="O576" s="14"/>
      <c r="P576" s="14"/>
    </row>
    <row r="577" spans="1:16" ht="22.5">
      <c r="A577" s="21" t="s">
        <v>295</v>
      </c>
      <c r="B577" s="7"/>
      <c r="C577" s="7"/>
      <c r="D577" s="62"/>
      <c r="E577" s="14"/>
      <c r="F577" s="14"/>
      <c r="G577" s="14">
        <v>70100</v>
      </c>
      <c r="H577" s="14"/>
      <c r="I577" s="14"/>
      <c r="J577" s="14">
        <f>G577</f>
        <v>70100</v>
      </c>
      <c r="K577" s="14"/>
      <c r="L577" s="14"/>
      <c r="M577" s="14"/>
      <c r="N577" s="14"/>
      <c r="O577" s="14"/>
      <c r="P577" s="14"/>
    </row>
    <row r="578" spans="1:235" s="92" customFormat="1" ht="24.75" customHeight="1">
      <c r="A578" s="82" t="s">
        <v>402</v>
      </c>
      <c r="B578" s="88"/>
      <c r="C578" s="88"/>
      <c r="D578" s="89"/>
      <c r="E578" s="89"/>
      <c r="F578" s="89"/>
      <c r="G578" s="89">
        <f>G582*G584</f>
        <v>50100</v>
      </c>
      <c r="H578" s="89"/>
      <c r="I578" s="89"/>
      <c r="J578" s="89">
        <f>G578</f>
        <v>50100</v>
      </c>
      <c r="K578" s="89"/>
      <c r="L578" s="89"/>
      <c r="M578" s="89"/>
      <c r="N578" s="89"/>
      <c r="O578" s="89"/>
      <c r="P578" s="89"/>
      <c r="Q578" s="91"/>
      <c r="R578" s="91"/>
      <c r="S578" s="91"/>
      <c r="T578" s="91"/>
      <c r="U578" s="91"/>
      <c r="V578" s="91"/>
      <c r="W578" s="91"/>
      <c r="X578" s="91"/>
      <c r="Y578" s="91"/>
      <c r="Z578" s="91"/>
      <c r="AA578" s="91"/>
      <c r="AB578" s="91"/>
      <c r="AC578" s="91"/>
      <c r="AD578" s="91"/>
      <c r="AE578" s="91"/>
      <c r="AF578" s="91"/>
      <c r="AG578" s="91"/>
      <c r="AH578" s="91"/>
      <c r="AI578" s="91"/>
      <c r="AJ578" s="91"/>
      <c r="AK578" s="91"/>
      <c r="AL578" s="91"/>
      <c r="AM578" s="91"/>
      <c r="AN578" s="91"/>
      <c r="AO578" s="91"/>
      <c r="AP578" s="91"/>
      <c r="AQ578" s="91"/>
      <c r="AR578" s="91"/>
      <c r="AS578" s="91"/>
      <c r="AT578" s="91"/>
      <c r="AU578" s="91"/>
      <c r="AV578" s="91"/>
      <c r="AW578" s="91"/>
      <c r="AX578" s="91"/>
      <c r="AY578" s="91"/>
      <c r="AZ578" s="91"/>
      <c r="BA578" s="91"/>
      <c r="BB578" s="91"/>
      <c r="BC578" s="91"/>
      <c r="BD578" s="91"/>
      <c r="BE578" s="91"/>
      <c r="BF578" s="91"/>
      <c r="BG578" s="91"/>
      <c r="BH578" s="91"/>
      <c r="BI578" s="91"/>
      <c r="BJ578" s="91"/>
      <c r="BK578" s="91"/>
      <c r="BL578" s="91"/>
      <c r="BM578" s="91"/>
      <c r="BN578" s="91"/>
      <c r="BO578" s="91"/>
      <c r="BP578" s="91"/>
      <c r="BQ578" s="91"/>
      <c r="BR578" s="91"/>
      <c r="BS578" s="91"/>
      <c r="BT578" s="91"/>
      <c r="BU578" s="91"/>
      <c r="BV578" s="91"/>
      <c r="BW578" s="91"/>
      <c r="BX578" s="91"/>
      <c r="BY578" s="91"/>
      <c r="BZ578" s="91"/>
      <c r="CA578" s="91"/>
      <c r="CB578" s="91"/>
      <c r="CC578" s="91"/>
      <c r="CD578" s="91"/>
      <c r="CE578" s="91"/>
      <c r="CF578" s="91"/>
      <c r="CG578" s="91"/>
      <c r="CH578" s="91"/>
      <c r="CI578" s="91"/>
      <c r="CJ578" s="91"/>
      <c r="CK578" s="91"/>
      <c r="CL578" s="91"/>
      <c r="CM578" s="91"/>
      <c r="CN578" s="91"/>
      <c r="CO578" s="91"/>
      <c r="CP578" s="91"/>
      <c r="CQ578" s="91"/>
      <c r="CR578" s="91"/>
      <c r="CS578" s="91"/>
      <c r="CT578" s="91"/>
      <c r="CU578" s="91"/>
      <c r="CV578" s="91"/>
      <c r="CW578" s="91"/>
      <c r="CX578" s="91"/>
      <c r="CY578" s="91"/>
      <c r="CZ578" s="91"/>
      <c r="DA578" s="91"/>
      <c r="DB578" s="91"/>
      <c r="DC578" s="91"/>
      <c r="DD578" s="91"/>
      <c r="DE578" s="91"/>
      <c r="DF578" s="91"/>
      <c r="DG578" s="91"/>
      <c r="DH578" s="91"/>
      <c r="DI578" s="91"/>
      <c r="DJ578" s="91"/>
      <c r="DK578" s="91"/>
      <c r="DL578" s="91"/>
      <c r="DM578" s="91"/>
      <c r="DN578" s="91"/>
      <c r="DO578" s="91"/>
      <c r="DP578" s="91"/>
      <c r="DQ578" s="91"/>
      <c r="DR578" s="91"/>
      <c r="DS578" s="91"/>
      <c r="DT578" s="91"/>
      <c r="DU578" s="91"/>
      <c r="DV578" s="91"/>
      <c r="DW578" s="91"/>
      <c r="DX578" s="91"/>
      <c r="DY578" s="91"/>
      <c r="DZ578" s="91"/>
      <c r="EA578" s="91"/>
      <c r="EB578" s="91"/>
      <c r="EC578" s="91"/>
      <c r="ED578" s="91"/>
      <c r="EE578" s="91"/>
      <c r="EF578" s="91"/>
      <c r="EG578" s="91"/>
      <c r="EH578" s="91"/>
      <c r="EI578" s="91"/>
      <c r="EJ578" s="91"/>
      <c r="EK578" s="91"/>
      <c r="EL578" s="91"/>
      <c r="EM578" s="91"/>
      <c r="EN578" s="91"/>
      <c r="EO578" s="91"/>
      <c r="EP578" s="91"/>
      <c r="EQ578" s="91"/>
      <c r="ER578" s="91"/>
      <c r="ES578" s="91"/>
      <c r="ET578" s="91"/>
      <c r="EU578" s="91"/>
      <c r="EV578" s="91"/>
      <c r="EW578" s="91"/>
      <c r="EX578" s="91"/>
      <c r="EY578" s="91"/>
      <c r="EZ578" s="91"/>
      <c r="FA578" s="91"/>
      <c r="FB578" s="91"/>
      <c r="FC578" s="91"/>
      <c r="FD578" s="91"/>
      <c r="FE578" s="91"/>
      <c r="FF578" s="91"/>
      <c r="FG578" s="91"/>
      <c r="FH578" s="91"/>
      <c r="FI578" s="91"/>
      <c r="FJ578" s="91"/>
      <c r="FK578" s="91"/>
      <c r="FL578" s="91"/>
      <c r="FM578" s="91"/>
      <c r="FN578" s="91"/>
      <c r="FO578" s="91"/>
      <c r="FP578" s="91"/>
      <c r="FQ578" s="91"/>
      <c r="FR578" s="91"/>
      <c r="FS578" s="91"/>
      <c r="FT578" s="91"/>
      <c r="FU578" s="91"/>
      <c r="FV578" s="91"/>
      <c r="FW578" s="91"/>
      <c r="FX578" s="91"/>
      <c r="FY578" s="91"/>
      <c r="FZ578" s="91"/>
      <c r="GA578" s="91"/>
      <c r="GB578" s="91"/>
      <c r="GC578" s="91"/>
      <c r="GD578" s="91"/>
      <c r="GE578" s="91"/>
      <c r="GF578" s="91"/>
      <c r="GG578" s="91"/>
      <c r="GH578" s="91"/>
      <c r="GI578" s="91"/>
      <c r="GJ578" s="91"/>
      <c r="GK578" s="91"/>
      <c r="GL578" s="91"/>
      <c r="GM578" s="91"/>
      <c r="GN578" s="91"/>
      <c r="GO578" s="91"/>
      <c r="GP578" s="91"/>
      <c r="GQ578" s="91"/>
      <c r="GR578" s="91"/>
      <c r="GS578" s="91"/>
      <c r="GT578" s="91"/>
      <c r="GU578" s="91"/>
      <c r="GV578" s="91"/>
      <c r="GW578" s="91"/>
      <c r="GX578" s="91"/>
      <c r="GY578" s="91"/>
      <c r="GZ578" s="91"/>
      <c r="HA578" s="91"/>
      <c r="HB578" s="91"/>
      <c r="HC578" s="91"/>
      <c r="HD578" s="91"/>
      <c r="HE578" s="91"/>
      <c r="HF578" s="91"/>
      <c r="HG578" s="91"/>
      <c r="HH578" s="91"/>
      <c r="HI578" s="91"/>
      <c r="HJ578" s="91"/>
      <c r="HK578" s="91"/>
      <c r="HL578" s="91"/>
      <c r="HM578" s="91"/>
      <c r="HN578" s="91"/>
      <c r="HO578" s="91"/>
      <c r="HP578" s="91"/>
      <c r="HQ578" s="91"/>
      <c r="HR578" s="91"/>
      <c r="HS578" s="91"/>
      <c r="HT578" s="91"/>
      <c r="HU578" s="91"/>
      <c r="HV578" s="91"/>
      <c r="HW578" s="91"/>
      <c r="HX578" s="91"/>
      <c r="HY578" s="91"/>
      <c r="HZ578" s="91"/>
      <c r="IA578" s="91"/>
    </row>
    <row r="579" spans="1:16" ht="11.25">
      <c r="A579" s="20" t="s">
        <v>4</v>
      </c>
      <c r="B579" s="7"/>
      <c r="C579" s="7"/>
      <c r="D579" s="62"/>
      <c r="E579" s="14"/>
      <c r="F579" s="14"/>
      <c r="G579" s="14"/>
      <c r="H579" s="14"/>
      <c r="I579" s="14"/>
      <c r="J579" s="14"/>
      <c r="K579" s="14"/>
      <c r="L579" s="14"/>
      <c r="M579" s="14"/>
      <c r="N579" s="14"/>
      <c r="O579" s="14"/>
      <c r="P579" s="14"/>
    </row>
    <row r="580" spans="1:16" ht="11.25">
      <c r="A580" s="21" t="s">
        <v>63</v>
      </c>
      <c r="B580" s="7"/>
      <c r="C580" s="7"/>
      <c r="D580" s="62"/>
      <c r="E580" s="14"/>
      <c r="F580" s="14"/>
      <c r="G580" s="14">
        <v>50100</v>
      </c>
      <c r="H580" s="14"/>
      <c r="I580" s="14"/>
      <c r="J580" s="14">
        <f>G580</f>
        <v>50100</v>
      </c>
      <c r="K580" s="14"/>
      <c r="L580" s="14"/>
      <c r="M580" s="14"/>
      <c r="N580" s="14"/>
      <c r="O580" s="14"/>
      <c r="P580" s="14"/>
    </row>
    <row r="581" spans="1:16" ht="11.25">
      <c r="A581" s="20" t="s">
        <v>5</v>
      </c>
      <c r="B581" s="7"/>
      <c r="C581" s="7"/>
      <c r="D581" s="62"/>
      <c r="E581" s="14"/>
      <c r="F581" s="14"/>
      <c r="G581" s="14"/>
      <c r="H581" s="14"/>
      <c r="I581" s="14"/>
      <c r="J581" s="14"/>
      <c r="K581" s="14"/>
      <c r="L581" s="14"/>
      <c r="M581" s="14"/>
      <c r="N581" s="14"/>
      <c r="O581" s="14"/>
      <c r="P581" s="14"/>
    </row>
    <row r="582" spans="1:16" ht="14.25" customHeight="1">
      <c r="A582" s="21" t="s">
        <v>385</v>
      </c>
      <c r="B582" s="7"/>
      <c r="C582" s="7"/>
      <c r="D582" s="62"/>
      <c r="E582" s="14"/>
      <c r="F582" s="14"/>
      <c r="G582" s="14">
        <v>1</v>
      </c>
      <c r="H582" s="14"/>
      <c r="I582" s="14"/>
      <c r="J582" s="14">
        <v>1</v>
      </c>
      <c r="K582" s="14"/>
      <c r="L582" s="14"/>
      <c r="M582" s="14"/>
      <c r="N582" s="14"/>
      <c r="O582" s="14"/>
      <c r="P582" s="14"/>
    </row>
    <row r="583" spans="1:16" ht="12" customHeight="1">
      <c r="A583" s="20" t="s">
        <v>7</v>
      </c>
      <c r="B583" s="7"/>
      <c r="C583" s="7"/>
      <c r="D583" s="62"/>
      <c r="E583" s="14"/>
      <c r="F583" s="14"/>
      <c r="G583" s="14"/>
      <c r="H583" s="14"/>
      <c r="I583" s="14"/>
      <c r="J583" s="14"/>
      <c r="K583" s="14"/>
      <c r="L583" s="14"/>
      <c r="M583" s="14"/>
      <c r="N583" s="14"/>
      <c r="O583" s="14"/>
      <c r="P583" s="14"/>
    </row>
    <row r="584" spans="1:16" ht="24.75" customHeight="1">
      <c r="A584" s="21" t="s">
        <v>295</v>
      </c>
      <c r="B584" s="7"/>
      <c r="C584" s="7"/>
      <c r="D584" s="62"/>
      <c r="E584" s="14"/>
      <c r="F584" s="14"/>
      <c r="G584" s="14">
        <v>50100</v>
      </c>
      <c r="H584" s="14"/>
      <c r="I584" s="14"/>
      <c r="J584" s="14">
        <f>G584</f>
        <v>50100</v>
      </c>
      <c r="K584" s="14"/>
      <c r="L584" s="14"/>
      <c r="M584" s="14"/>
      <c r="N584" s="14"/>
      <c r="O584" s="14"/>
      <c r="P584" s="14"/>
    </row>
    <row r="585" spans="1:235" s="92" customFormat="1" ht="24.75" customHeight="1">
      <c r="A585" s="82" t="s">
        <v>403</v>
      </c>
      <c r="B585" s="88"/>
      <c r="C585" s="88"/>
      <c r="D585" s="89"/>
      <c r="E585" s="89"/>
      <c r="F585" s="89"/>
      <c r="G585" s="89"/>
      <c r="H585" s="89">
        <f>H589*H591</f>
        <v>4700000</v>
      </c>
      <c r="I585" s="89"/>
      <c r="J585" s="89">
        <f>G585+H585</f>
        <v>4700000</v>
      </c>
      <c r="K585" s="89"/>
      <c r="L585" s="89"/>
      <c r="M585" s="89"/>
      <c r="N585" s="89"/>
      <c r="O585" s="89">
        <f>O589*O591</f>
        <v>0</v>
      </c>
      <c r="P585" s="89">
        <f>O585</f>
        <v>0</v>
      </c>
      <c r="Q585" s="91"/>
      <c r="R585" s="91"/>
      <c r="S585" s="91"/>
      <c r="T585" s="91"/>
      <c r="U585" s="91"/>
      <c r="V585" s="91"/>
      <c r="W585" s="91"/>
      <c r="X585" s="91"/>
      <c r="Y585" s="91"/>
      <c r="Z585" s="91"/>
      <c r="AA585" s="91"/>
      <c r="AB585" s="91"/>
      <c r="AC585" s="91"/>
      <c r="AD585" s="91"/>
      <c r="AE585" s="91"/>
      <c r="AF585" s="91"/>
      <c r="AG585" s="91"/>
      <c r="AH585" s="91"/>
      <c r="AI585" s="91"/>
      <c r="AJ585" s="91"/>
      <c r="AK585" s="91"/>
      <c r="AL585" s="91"/>
      <c r="AM585" s="91"/>
      <c r="AN585" s="91"/>
      <c r="AO585" s="91"/>
      <c r="AP585" s="91"/>
      <c r="AQ585" s="91"/>
      <c r="AR585" s="91"/>
      <c r="AS585" s="91"/>
      <c r="AT585" s="91"/>
      <c r="AU585" s="91"/>
      <c r="AV585" s="91"/>
      <c r="AW585" s="91"/>
      <c r="AX585" s="91"/>
      <c r="AY585" s="91"/>
      <c r="AZ585" s="91"/>
      <c r="BA585" s="91"/>
      <c r="BB585" s="91"/>
      <c r="BC585" s="91"/>
      <c r="BD585" s="91"/>
      <c r="BE585" s="91"/>
      <c r="BF585" s="91"/>
      <c r="BG585" s="91"/>
      <c r="BH585" s="91"/>
      <c r="BI585" s="91"/>
      <c r="BJ585" s="91"/>
      <c r="BK585" s="91"/>
      <c r="BL585" s="91"/>
      <c r="BM585" s="91"/>
      <c r="BN585" s="91"/>
      <c r="BO585" s="91"/>
      <c r="BP585" s="91"/>
      <c r="BQ585" s="91"/>
      <c r="BR585" s="91"/>
      <c r="BS585" s="91"/>
      <c r="BT585" s="91"/>
      <c r="BU585" s="91"/>
      <c r="BV585" s="91"/>
      <c r="BW585" s="91"/>
      <c r="BX585" s="91"/>
      <c r="BY585" s="91"/>
      <c r="BZ585" s="91"/>
      <c r="CA585" s="91"/>
      <c r="CB585" s="91"/>
      <c r="CC585" s="91"/>
      <c r="CD585" s="91"/>
      <c r="CE585" s="91"/>
      <c r="CF585" s="91"/>
      <c r="CG585" s="91"/>
      <c r="CH585" s="91"/>
      <c r="CI585" s="91"/>
      <c r="CJ585" s="91"/>
      <c r="CK585" s="91"/>
      <c r="CL585" s="91"/>
      <c r="CM585" s="91"/>
      <c r="CN585" s="91"/>
      <c r="CO585" s="91"/>
      <c r="CP585" s="91"/>
      <c r="CQ585" s="91"/>
      <c r="CR585" s="91"/>
      <c r="CS585" s="91"/>
      <c r="CT585" s="91"/>
      <c r="CU585" s="91"/>
      <c r="CV585" s="91"/>
      <c r="CW585" s="91"/>
      <c r="CX585" s="91"/>
      <c r="CY585" s="91"/>
      <c r="CZ585" s="91"/>
      <c r="DA585" s="91"/>
      <c r="DB585" s="91"/>
      <c r="DC585" s="91"/>
      <c r="DD585" s="91"/>
      <c r="DE585" s="91"/>
      <c r="DF585" s="91"/>
      <c r="DG585" s="91"/>
      <c r="DH585" s="91"/>
      <c r="DI585" s="91"/>
      <c r="DJ585" s="91"/>
      <c r="DK585" s="91"/>
      <c r="DL585" s="91"/>
      <c r="DM585" s="91"/>
      <c r="DN585" s="91"/>
      <c r="DO585" s="91"/>
      <c r="DP585" s="91"/>
      <c r="DQ585" s="91"/>
      <c r="DR585" s="91"/>
      <c r="DS585" s="91"/>
      <c r="DT585" s="91"/>
      <c r="DU585" s="91"/>
      <c r="DV585" s="91"/>
      <c r="DW585" s="91"/>
      <c r="DX585" s="91"/>
      <c r="DY585" s="91"/>
      <c r="DZ585" s="91"/>
      <c r="EA585" s="91"/>
      <c r="EB585" s="91"/>
      <c r="EC585" s="91"/>
      <c r="ED585" s="91"/>
      <c r="EE585" s="91"/>
      <c r="EF585" s="91"/>
      <c r="EG585" s="91"/>
      <c r="EH585" s="91"/>
      <c r="EI585" s="91"/>
      <c r="EJ585" s="91"/>
      <c r="EK585" s="91"/>
      <c r="EL585" s="91"/>
      <c r="EM585" s="91"/>
      <c r="EN585" s="91"/>
      <c r="EO585" s="91"/>
      <c r="EP585" s="91"/>
      <c r="EQ585" s="91"/>
      <c r="ER585" s="91"/>
      <c r="ES585" s="91"/>
      <c r="ET585" s="91"/>
      <c r="EU585" s="91"/>
      <c r="EV585" s="91"/>
      <c r="EW585" s="91"/>
      <c r="EX585" s="91"/>
      <c r="EY585" s="91"/>
      <c r="EZ585" s="91"/>
      <c r="FA585" s="91"/>
      <c r="FB585" s="91"/>
      <c r="FC585" s="91"/>
      <c r="FD585" s="91"/>
      <c r="FE585" s="91"/>
      <c r="FF585" s="91"/>
      <c r="FG585" s="91"/>
      <c r="FH585" s="91"/>
      <c r="FI585" s="91"/>
      <c r="FJ585" s="91"/>
      <c r="FK585" s="91"/>
      <c r="FL585" s="91"/>
      <c r="FM585" s="91"/>
      <c r="FN585" s="91"/>
      <c r="FO585" s="91"/>
      <c r="FP585" s="91"/>
      <c r="FQ585" s="91"/>
      <c r="FR585" s="91"/>
      <c r="FS585" s="91"/>
      <c r="FT585" s="91"/>
      <c r="FU585" s="91"/>
      <c r="FV585" s="91"/>
      <c r="FW585" s="91"/>
      <c r="FX585" s="91"/>
      <c r="FY585" s="91"/>
      <c r="FZ585" s="91"/>
      <c r="GA585" s="91"/>
      <c r="GB585" s="91"/>
      <c r="GC585" s="91"/>
      <c r="GD585" s="91"/>
      <c r="GE585" s="91"/>
      <c r="GF585" s="91"/>
      <c r="GG585" s="91"/>
      <c r="GH585" s="91"/>
      <c r="GI585" s="91"/>
      <c r="GJ585" s="91"/>
      <c r="GK585" s="91"/>
      <c r="GL585" s="91"/>
      <c r="GM585" s="91"/>
      <c r="GN585" s="91"/>
      <c r="GO585" s="91"/>
      <c r="GP585" s="91"/>
      <c r="GQ585" s="91"/>
      <c r="GR585" s="91"/>
      <c r="GS585" s="91"/>
      <c r="GT585" s="91"/>
      <c r="GU585" s="91"/>
      <c r="GV585" s="91"/>
      <c r="GW585" s="91"/>
      <c r="GX585" s="91"/>
      <c r="GY585" s="91"/>
      <c r="GZ585" s="91"/>
      <c r="HA585" s="91"/>
      <c r="HB585" s="91"/>
      <c r="HC585" s="91"/>
      <c r="HD585" s="91"/>
      <c r="HE585" s="91"/>
      <c r="HF585" s="91"/>
      <c r="HG585" s="91"/>
      <c r="HH585" s="91"/>
      <c r="HI585" s="91"/>
      <c r="HJ585" s="91"/>
      <c r="HK585" s="91"/>
      <c r="HL585" s="91"/>
      <c r="HM585" s="91"/>
      <c r="HN585" s="91"/>
      <c r="HO585" s="91"/>
      <c r="HP585" s="91"/>
      <c r="HQ585" s="91"/>
      <c r="HR585" s="91"/>
      <c r="HS585" s="91"/>
      <c r="HT585" s="91"/>
      <c r="HU585" s="91"/>
      <c r="HV585" s="91"/>
      <c r="HW585" s="91"/>
      <c r="HX585" s="91"/>
      <c r="HY585" s="91"/>
      <c r="HZ585" s="91"/>
      <c r="IA585" s="91"/>
    </row>
    <row r="586" spans="1:16" ht="11.25">
      <c r="A586" s="20" t="s">
        <v>4</v>
      </c>
      <c r="B586" s="7"/>
      <c r="C586" s="7"/>
      <c r="D586" s="62"/>
      <c r="E586" s="14"/>
      <c r="F586" s="14"/>
      <c r="G586" s="14"/>
      <c r="H586" s="14"/>
      <c r="I586" s="14"/>
      <c r="J586" s="14"/>
      <c r="K586" s="14"/>
      <c r="L586" s="14"/>
      <c r="M586" s="14"/>
      <c r="N586" s="14"/>
      <c r="O586" s="14"/>
      <c r="P586" s="14"/>
    </row>
    <row r="587" spans="1:16" ht="11.25">
      <c r="A587" s="21" t="s">
        <v>63</v>
      </c>
      <c r="B587" s="7"/>
      <c r="C587" s="7"/>
      <c r="D587" s="62"/>
      <c r="E587" s="14"/>
      <c r="F587" s="14"/>
      <c r="G587" s="14"/>
      <c r="H587" s="14">
        <f>3129500+300702+664532+174600+200666</f>
        <v>4470000</v>
      </c>
      <c r="I587" s="14"/>
      <c r="J587" s="14">
        <f>G587+H587</f>
        <v>4470000</v>
      </c>
      <c r="K587" s="14"/>
      <c r="L587" s="14"/>
      <c r="M587" s="14"/>
      <c r="N587" s="14"/>
      <c r="O587" s="14">
        <f>O589*O591</f>
        <v>0</v>
      </c>
      <c r="P587" s="14">
        <f>O587</f>
        <v>0</v>
      </c>
    </row>
    <row r="588" spans="1:16" ht="11.25">
      <c r="A588" s="20" t="s">
        <v>5</v>
      </c>
      <c r="B588" s="7"/>
      <c r="C588" s="7"/>
      <c r="D588" s="62"/>
      <c r="E588" s="14"/>
      <c r="F588" s="14"/>
      <c r="G588" s="14"/>
      <c r="H588" s="14"/>
      <c r="I588" s="14"/>
      <c r="J588" s="14"/>
      <c r="K588" s="14"/>
      <c r="L588" s="14"/>
      <c r="M588" s="14"/>
      <c r="N588" s="14"/>
      <c r="O588" s="14"/>
      <c r="P588" s="14"/>
    </row>
    <row r="589" spans="1:16" ht="22.5">
      <c r="A589" s="93" t="s">
        <v>315</v>
      </c>
      <c r="B589" s="7"/>
      <c r="C589" s="7"/>
      <c r="D589" s="62"/>
      <c r="E589" s="14"/>
      <c r="F589" s="14"/>
      <c r="G589" s="14"/>
      <c r="H589" s="14">
        <v>10</v>
      </c>
      <c r="I589" s="14"/>
      <c r="J589" s="14">
        <f>G589+H589</f>
        <v>10</v>
      </c>
      <c r="K589" s="14"/>
      <c r="L589" s="14"/>
      <c r="M589" s="14"/>
      <c r="N589" s="14"/>
      <c r="O589" s="14"/>
      <c r="P589" s="14">
        <f>O589</f>
        <v>0</v>
      </c>
    </row>
    <row r="590" spans="1:16" ht="11.25">
      <c r="A590" s="20" t="s">
        <v>7</v>
      </c>
      <c r="B590" s="7"/>
      <c r="C590" s="7"/>
      <c r="D590" s="62"/>
      <c r="E590" s="14"/>
      <c r="F590" s="14"/>
      <c r="G590" s="14"/>
      <c r="H590" s="14"/>
      <c r="I590" s="14"/>
      <c r="J590" s="14"/>
      <c r="K590" s="14"/>
      <c r="L590" s="14"/>
      <c r="M590" s="14"/>
      <c r="N590" s="14"/>
      <c r="O590" s="14"/>
      <c r="P590" s="14"/>
    </row>
    <row r="591" spans="1:16" ht="22.5">
      <c r="A591" s="55" t="s">
        <v>174</v>
      </c>
      <c r="B591" s="7"/>
      <c r="C591" s="7"/>
      <c r="D591" s="62"/>
      <c r="E591" s="14"/>
      <c r="F591" s="14"/>
      <c r="G591" s="14"/>
      <c r="H591" s="14">
        <v>470000</v>
      </c>
      <c r="I591" s="14"/>
      <c r="J591" s="14">
        <f>G591+H591</f>
        <v>470000</v>
      </c>
      <c r="K591" s="14"/>
      <c r="L591" s="14"/>
      <c r="M591" s="14"/>
      <c r="N591" s="14"/>
      <c r="O591" s="14"/>
      <c r="P591" s="14">
        <f>O591</f>
        <v>0</v>
      </c>
    </row>
    <row r="592" spans="1:235" s="92" customFormat="1" ht="24.75" customHeight="1">
      <c r="A592" s="82" t="s">
        <v>404</v>
      </c>
      <c r="B592" s="88"/>
      <c r="C592" s="88"/>
      <c r="D592" s="89"/>
      <c r="E592" s="89"/>
      <c r="F592" s="89"/>
      <c r="G592" s="89">
        <f>G596*G598</f>
        <v>0</v>
      </c>
      <c r="H592" s="89"/>
      <c r="I592" s="89"/>
      <c r="J592" s="89">
        <f>G592</f>
        <v>0</v>
      </c>
      <c r="K592" s="89"/>
      <c r="L592" s="89"/>
      <c r="M592" s="89"/>
      <c r="N592" s="89">
        <f>N598*N596</f>
        <v>180000</v>
      </c>
      <c r="O592" s="89">
        <f>O598*O596</f>
        <v>0</v>
      </c>
      <c r="P592" s="89">
        <f>P598*P596</f>
        <v>180000</v>
      </c>
      <c r="Q592" s="91"/>
      <c r="R592" s="91"/>
      <c r="S592" s="91"/>
      <c r="T592" s="91"/>
      <c r="U592" s="91"/>
      <c r="V592" s="91"/>
      <c r="W592" s="91"/>
      <c r="X592" s="91"/>
      <c r="Y592" s="91"/>
      <c r="Z592" s="91"/>
      <c r="AA592" s="91"/>
      <c r="AB592" s="91"/>
      <c r="AC592" s="91"/>
      <c r="AD592" s="91"/>
      <c r="AE592" s="91"/>
      <c r="AF592" s="91"/>
      <c r="AG592" s="91"/>
      <c r="AH592" s="91"/>
      <c r="AI592" s="91"/>
      <c r="AJ592" s="91"/>
      <c r="AK592" s="91"/>
      <c r="AL592" s="91"/>
      <c r="AM592" s="91"/>
      <c r="AN592" s="91"/>
      <c r="AO592" s="91"/>
      <c r="AP592" s="91"/>
      <c r="AQ592" s="91"/>
      <c r="AR592" s="91"/>
      <c r="AS592" s="91"/>
      <c r="AT592" s="91"/>
      <c r="AU592" s="91"/>
      <c r="AV592" s="91"/>
      <c r="AW592" s="91"/>
      <c r="AX592" s="91"/>
      <c r="AY592" s="91"/>
      <c r="AZ592" s="91"/>
      <c r="BA592" s="91"/>
      <c r="BB592" s="91"/>
      <c r="BC592" s="91"/>
      <c r="BD592" s="91"/>
      <c r="BE592" s="91"/>
      <c r="BF592" s="91"/>
      <c r="BG592" s="91"/>
      <c r="BH592" s="91"/>
      <c r="BI592" s="91"/>
      <c r="BJ592" s="91"/>
      <c r="BK592" s="91"/>
      <c r="BL592" s="91"/>
      <c r="BM592" s="91"/>
      <c r="BN592" s="91"/>
      <c r="BO592" s="91"/>
      <c r="BP592" s="91"/>
      <c r="BQ592" s="91"/>
      <c r="BR592" s="91"/>
      <c r="BS592" s="91"/>
      <c r="BT592" s="91"/>
      <c r="BU592" s="91"/>
      <c r="BV592" s="91"/>
      <c r="BW592" s="91"/>
      <c r="BX592" s="91"/>
      <c r="BY592" s="91"/>
      <c r="BZ592" s="91"/>
      <c r="CA592" s="91"/>
      <c r="CB592" s="91"/>
      <c r="CC592" s="91"/>
      <c r="CD592" s="91"/>
      <c r="CE592" s="91"/>
      <c r="CF592" s="91"/>
      <c r="CG592" s="91"/>
      <c r="CH592" s="91"/>
      <c r="CI592" s="91"/>
      <c r="CJ592" s="91"/>
      <c r="CK592" s="91"/>
      <c r="CL592" s="91"/>
      <c r="CM592" s="91"/>
      <c r="CN592" s="91"/>
      <c r="CO592" s="91"/>
      <c r="CP592" s="91"/>
      <c r="CQ592" s="91"/>
      <c r="CR592" s="91"/>
      <c r="CS592" s="91"/>
      <c r="CT592" s="91"/>
      <c r="CU592" s="91"/>
      <c r="CV592" s="91"/>
      <c r="CW592" s="91"/>
      <c r="CX592" s="91"/>
      <c r="CY592" s="91"/>
      <c r="CZ592" s="91"/>
      <c r="DA592" s="91"/>
      <c r="DB592" s="91"/>
      <c r="DC592" s="91"/>
      <c r="DD592" s="91"/>
      <c r="DE592" s="91"/>
      <c r="DF592" s="91"/>
      <c r="DG592" s="91"/>
      <c r="DH592" s="91"/>
      <c r="DI592" s="91"/>
      <c r="DJ592" s="91"/>
      <c r="DK592" s="91"/>
      <c r="DL592" s="91"/>
      <c r="DM592" s="91"/>
      <c r="DN592" s="91"/>
      <c r="DO592" s="91"/>
      <c r="DP592" s="91"/>
      <c r="DQ592" s="91"/>
      <c r="DR592" s="91"/>
      <c r="DS592" s="91"/>
      <c r="DT592" s="91"/>
      <c r="DU592" s="91"/>
      <c r="DV592" s="91"/>
      <c r="DW592" s="91"/>
      <c r="DX592" s="91"/>
      <c r="DY592" s="91"/>
      <c r="DZ592" s="91"/>
      <c r="EA592" s="91"/>
      <c r="EB592" s="91"/>
      <c r="EC592" s="91"/>
      <c r="ED592" s="91"/>
      <c r="EE592" s="91"/>
      <c r="EF592" s="91"/>
      <c r="EG592" s="91"/>
      <c r="EH592" s="91"/>
      <c r="EI592" s="91"/>
      <c r="EJ592" s="91"/>
      <c r="EK592" s="91"/>
      <c r="EL592" s="91"/>
      <c r="EM592" s="91"/>
      <c r="EN592" s="91"/>
      <c r="EO592" s="91"/>
      <c r="EP592" s="91"/>
      <c r="EQ592" s="91"/>
      <c r="ER592" s="91"/>
      <c r="ES592" s="91"/>
      <c r="ET592" s="91"/>
      <c r="EU592" s="91"/>
      <c r="EV592" s="91"/>
      <c r="EW592" s="91"/>
      <c r="EX592" s="91"/>
      <c r="EY592" s="91"/>
      <c r="EZ592" s="91"/>
      <c r="FA592" s="91"/>
      <c r="FB592" s="91"/>
      <c r="FC592" s="91"/>
      <c r="FD592" s="91"/>
      <c r="FE592" s="91"/>
      <c r="FF592" s="91"/>
      <c r="FG592" s="91"/>
      <c r="FH592" s="91"/>
      <c r="FI592" s="91"/>
      <c r="FJ592" s="91"/>
      <c r="FK592" s="91"/>
      <c r="FL592" s="91"/>
      <c r="FM592" s="91"/>
      <c r="FN592" s="91"/>
      <c r="FO592" s="91"/>
      <c r="FP592" s="91"/>
      <c r="FQ592" s="91"/>
      <c r="FR592" s="91"/>
      <c r="FS592" s="91"/>
      <c r="FT592" s="91"/>
      <c r="FU592" s="91"/>
      <c r="FV592" s="91"/>
      <c r="FW592" s="91"/>
      <c r="FX592" s="91"/>
      <c r="FY592" s="91"/>
      <c r="FZ592" s="91"/>
      <c r="GA592" s="91"/>
      <c r="GB592" s="91"/>
      <c r="GC592" s="91"/>
      <c r="GD592" s="91"/>
      <c r="GE592" s="91"/>
      <c r="GF592" s="91"/>
      <c r="GG592" s="91"/>
      <c r="GH592" s="91"/>
      <c r="GI592" s="91"/>
      <c r="GJ592" s="91"/>
      <c r="GK592" s="91"/>
      <c r="GL592" s="91"/>
      <c r="GM592" s="91"/>
      <c r="GN592" s="91"/>
      <c r="GO592" s="91"/>
      <c r="GP592" s="91"/>
      <c r="GQ592" s="91"/>
      <c r="GR592" s="91"/>
      <c r="GS592" s="91"/>
      <c r="GT592" s="91"/>
      <c r="GU592" s="91"/>
      <c r="GV592" s="91"/>
      <c r="GW592" s="91"/>
      <c r="GX592" s="91"/>
      <c r="GY592" s="91"/>
      <c r="GZ592" s="91"/>
      <c r="HA592" s="91"/>
      <c r="HB592" s="91"/>
      <c r="HC592" s="91"/>
      <c r="HD592" s="91"/>
      <c r="HE592" s="91"/>
      <c r="HF592" s="91"/>
      <c r="HG592" s="91"/>
      <c r="HH592" s="91"/>
      <c r="HI592" s="91"/>
      <c r="HJ592" s="91"/>
      <c r="HK592" s="91"/>
      <c r="HL592" s="91"/>
      <c r="HM592" s="91"/>
      <c r="HN592" s="91"/>
      <c r="HO592" s="91"/>
      <c r="HP592" s="91"/>
      <c r="HQ592" s="91"/>
      <c r="HR592" s="91"/>
      <c r="HS592" s="91"/>
      <c r="HT592" s="91"/>
      <c r="HU592" s="91"/>
      <c r="HV592" s="91"/>
      <c r="HW592" s="91"/>
      <c r="HX592" s="91"/>
      <c r="HY592" s="91"/>
      <c r="HZ592" s="91"/>
      <c r="IA592" s="91"/>
    </row>
    <row r="593" spans="1:16" ht="11.25">
      <c r="A593" s="20" t="s">
        <v>4</v>
      </c>
      <c r="B593" s="7"/>
      <c r="C593" s="7"/>
      <c r="D593" s="62"/>
      <c r="E593" s="14"/>
      <c r="F593" s="14"/>
      <c r="G593" s="14"/>
      <c r="H593" s="14"/>
      <c r="I593" s="14"/>
      <c r="J593" s="14"/>
      <c r="K593" s="14"/>
      <c r="L593" s="14"/>
      <c r="M593" s="14"/>
      <c r="N593" s="14"/>
      <c r="O593" s="14"/>
      <c r="P593" s="14"/>
    </row>
    <row r="594" spans="1:16" ht="11.25">
      <c r="A594" s="21" t="s">
        <v>63</v>
      </c>
      <c r="B594" s="7"/>
      <c r="C594" s="7"/>
      <c r="D594" s="62"/>
      <c r="E594" s="14"/>
      <c r="F594" s="14"/>
      <c r="G594" s="14"/>
      <c r="H594" s="14"/>
      <c r="I594" s="14"/>
      <c r="J594" s="14"/>
      <c r="K594" s="14"/>
      <c r="L594" s="14"/>
      <c r="M594" s="14"/>
      <c r="N594" s="14">
        <v>180000</v>
      </c>
      <c r="O594" s="14"/>
      <c r="P594" s="14">
        <f>N594+O594</f>
        <v>180000</v>
      </c>
    </row>
    <row r="595" spans="1:16" ht="11.25">
      <c r="A595" s="20" t="s">
        <v>5</v>
      </c>
      <c r="B595" s="7"/>
      <c r="C595" s="7"/>
      <c r="D595" s="62"/>
      <c r="E595" s="14"/>
      <c r="F595" s="14"/>
      <c r="G595" s="14"/>
      <c r="H595" s="14"/>
      <c r="I595" s="14"/>
      <c r="J595" s="14"/>
      <c r="K595" s="14"/>
      <c r="L595" s="14"/>
      <c r="M595" s="14"/>
      <c r="N595" s="14"/>
      <c r="O595" s="14"/>
      <c r="P595" s="14"/>
    </row>
    <row r="596" spans="1:16" ht="14.25" customHeight="1">
      <c r="A596" s="21" t="s">
        <v>385</v>
      </c>
      <c r="B596" s="7"/>
      <c r="C596" s="7"/>
      <c r="D596" s="62"/>
      <c r="E596" s="14"/>
      <c r="F596" s="14"/>
      <c r="G596" s="14"/>
      <c r="H596" s="14"/>
      <c r="I596" s="14"/>
      <c r="J596" s="14"/>
      <c r="K596" s="14"/>
      <c r="L596" s="14"/>
      <c r="M596" s="14"/>
      <c r="N596" s="14">
        <v>18</v>
      </c>
      <c r="O596" s="14"/>
      <c r="P596" s="14">
        <f>N596+O596</f>
        <v>18</v>
      </c>
    </row>
    <row r="597" spans="1:16" ht="12" customHeight="1">
      <c r="A597" s="20" t="s">
        <v>7</v>
      </c>
      <c r="B597" s="7"/>
      <c r="C597" s="7"/>
      <c r="D597" s="62"/>
      <c r="E597" s="14"/>
      <c r="F597" s="14"/>
      <c r="G597" s="14"/>
      <c r="H597" s="14"/>
      <c r="I597" s="14"/>
      <c r="J597" s="14"/>
      <c r="K597" s="14"/>
      <c r="L597" s="14"/>
      <c r="M597" s="14"/>
      <c r="N597" s="14"/>
      <c r="O597" s="14"/>
      <c r="P597" s="14"/>
    </row>
    <row r="598" spans="1:16" ht="24.75" customHeight="1">
      <c r="A598" s="21" t="s">
        <v>295</v>
      </c>
      <c r="B598" s="7"/>
      <c r="C598" s="7"/>
      <c r="D598" s="62"/>
      <c r="E598" s="14"/>
      <c r="F598" s="14"/>
      <c r="G598" s="14"/>
      <c r="H598" s="14"/>
      <c r="I598" s="14"/>
      <c r="J598" s="14"/>
      <c r="K598" s="14"/>
      <c r="L598" s="14"/>
      <c r="M598" s="14"/>
      <c r="N598" s="14">
        <f>N594/N596</f>
        <v>10000</v>
      </c>
      <c r="O598" s="14"/>
      <c r="P598" s="14">
        <f>N598+O598</f>
        <v>10000</v>
      </c>
    </row>
    <row r="599" spans="1:235" s="85" customFormat="1" ht="13.5" customHeight="1">
      <c r="A599" s="108" t="s">
        <v>428</v>
      </c>
      <c r="B599" s="77"/>
      <c r="C599" s="77"/>
      <c r="D599" s="89">
        <f>D602</f>
        <v>6000</v>
      </c>
      <c r="E599" s="89">
        <v>0</v>
      </c>
      <c r="F599" s="89">
        <f>D599</f>
        <v>6000</v>
      </c>
      <c r="G599" s="89">
        <f>G602</f>
        <v>495500</v>
      </c>
      <c r="H599" s="89">
        <f>H602</f>
        <v>0</v>
      </c>
      <c r="I599" s="89">
        <f>I602</f>
        <v>0</v>
      </c>
      <c r="J599" s="89">
        <f>J602</f>
        <v>495500</v>
      </c>
      <c r="K599" s="89"/>
      <c r="L599" s="89"/>
      <c r="M599" s="89"/>
      <c r="N599" s="89">
        <f>N602</f>
        <v>7870000</v>
      </c>
      <c r="O599" s="89">
        <f>O602</f>
        <v>0</v>
      </c>
      <c r="P599" s="89">
        <f>P602</f>
        <v>7870000</v>
      </c>
      <c r="Q599" s="89">
        <v>5500</v>
      </c>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c r="AN599" s="121"/>
      <c r="AO599" s="121"/>
      <c r="AP599" s="121"/>
      <c r="AQ599" s="121"/>
      <c r="AR599" s="121"/>
      <c r="AS599" s="121"/>
      <c r="AT599" s="121"/>
      <c r="AU599" s="121"/>
      <c r="AV599" s="121"/>
      <c r="AW599" s="121"/>
      <c r="AX599" s="121"/>
      <c r="AY599" s="121"/>
      <c r="AZ599" s="121"/>
      <c r="BA599" s="121"/>
      <c r="BB599" s="121"/>
      <c r="BC599" s="121"/>
      <c r="BD599" s="121"/>
      <c r="BE599" s="121"/>
      <c r="BF599" s="121"/>
      <c r="BG599" s="121"/>
      <c r="BH599" s="121"/>
      <c r="BI599" s="121"/>
      <c r="BJ599" s="121"/>
      <c r="BK599" s="121"/>
      <c r="BL599" s="121"/>
      <c r="BM599" s="121"/>
      <c r="BN599" s="121"/>
      <c r="BO599" s="121"/>
      <c r="BP599" s="121"/>
      <c r="BQ599" s="121"/>
      <c r="BR599" s="121"/>
      <c r="BS599" s="121"/>
      <c r="BT599" s="121"/>
      <c r="BU599" s="121"/>
      <c r="BV599" s="121"/>
      <c r="BW599" s="121"/>
      <c r="BX599" s="121"/>
      <c r="BY599" s="121"/>
      <c r="BZ599" s="121"/>
      <c r="CA599" s="121"/>
      <c r="CB599" s="121"/>
      <c r="CC599" s="121"/>
      <c r="CD599" s="121"/>
      <c r="CE599" s="121"/>
      <c r="CF599" s="121"/>
      <c r="CG599" s="121"/>
      <c r="CH599" s="121"/>
      <c r="CI599" s="121"/>
      <c r="CJ599" s="121"/>
      <c r="CK599" s="121"/>
      <c r="CL599" s="121"/>
      <c r="CM599" s="121"/>
      <c r="CN599" s="121"/>
      <c r="CO599" s="121"/>
      <c r="CP599" s="121"/>
      <c r="CQ599" s="121"/>
      <c r="CR599" s="121"/>
      <c r="CS599" s="121"/>
      <c r="CT599" s="121"/>
      <c r="CU599" s="121"/>
      <c r="CV599" s="121"/>
      <c r="CW599" s="121"/>
      <c r="CX599" s="121"/>
      <c r="CY599" s="121"/>
      <c r="CZ599" s="121"/>
      <c r="DA599" s="121"/>
      <c r="DB599" s="121"/>
      <c r="DC599" s="121"/>
      <c r="DD599" s="121"/>
      <c r="DE599" s="121"/>
      <c r="DF599" s="121"/>
      <c r="DG599" s="121"/>
      <c r="DH599" s="121"/>
      <c r="DI599" s="121"/>
      <c r="DJ599" s="121"/>
      <c r="DK599" s="121"/>
      <c r="DL599" s="121"/>
      <c r="DM599" s="121"/>
      <c r="DN599" s="121"/>
      <c r="DO599" s="121"/>
      <c r="DP599" s="121"/>
      <c r="DQ599" s="121"/>
      <c r="DR599" s="121"/>
      <c r="DS599" s="121"/>
      <c r="DT599" s="121"/>
      <c r="DU599" s="121"/>
      <c r="DV599" s="121"/>
      <c r="DW599" s="121"/>
      <c r="DX599" s="121"/>
      <c r="DY599" s="121"/>
      <c r="DZ599" s="121"/>
      <c r="EA599" s="121"/>
      <c r="EB599" s="121"/>
      <c r="EC599" s="121"/>
      <c r="ED599" s="121"/>
      <c r="EE599" s="121"/>
      <c r="EF599" s="121"/>
      <c r="EG599" s="121"/>
      <c r="EH599" s="121"/>
      <c r="EI599" s="121"/>
      <c r="EJ599" s="121"/>
      <c r="EK599" s="121"/>
      <c r="EL599" s="121"/>
      <c r="EM599" s="121"/>
      <c r="EN599" s="121"/>
      <c r="EO599" s="121"/>
      <c r="EP599" s="121"/>
      <c r="EQ599" s="121"/>
      <c r="ER599" s="121"/>
      <c r="ES599" s="121"/>
      <c r="ET599" s="121"/>
      <c r="EU599" s="121"/>
      <c r="EV599" s="121"/>
      <c r="EW599" s="121"/>
      <c r="EX599" s="121"/>
      <c r="EY599" s="121"/>
      <c r="EZ599" s="121"/>
      <c r="FA599" s="121"/>
      <c r="FB599" s="121"/>
      <c r="FC599" s="121"/>
      <c r="FD599" s="121"/>
      <c r="FE599" s="121"/>
      <c r="FF599" s="121"/>
      <c r="FG599" s="121"/>
      <c r="FH599" s="121"/>
      <c r="FI599" s="121"/>
      <c r="FJ599" s="121"/>
      <c r="FK599" s="121"/>
      <c r="FL599" s="121"/>
      <c r="FM599" s="121"/>
      <c r="FN599" s="121"/>
      <c r="FO599" s="121"/>
      <c r="FP599" s="121"/>
      <c r="FQ599" s="121"/>
      <c r="FR599" s="121"/>
      <c r="FS599" s="121"/>
      <c r="FT599" s="121"/>
      <c r="FU599" s="121"/>
      <c r="FV599" s="121"/>
      <c r="FW599" s="121"/>
      <c r="FX599" s="121"/>
      <c r="FY599" s="121"/>
      <c r="FZ599" s="121"/>
      <c r="GA599" s="121"/>
      <c r="GB599" s="121"/>
      <c r="GC599" s="121"/>
      <c r="GD599" s="121"/>
      <c r="GE599" s="121"/>
      <c r="GF599" s="121"/>
      <c r="GG599" s="121"/>
      <c r="GH599" s="121"/>
      <c r="GI599" s="121"/>
      <c r="GJ599" s="121"/>
      <c r="GK599" s="121"/>
      <c r="GL599" s="121"/>
      <c r="GM599" s="121"/>
      <c r="GN599" s="121"/>
      <c r="GO599" s="121"/>
      <c r="GP599" s="121"/>
      <c r="GQ599" s="121"/>
      <c r="GR599" s="121"/>
      <c r="GS599" s="121"/>
      <c r="GT599" s="121"/>
      <c r="GU599" s="121"/>
      <c r="GV599" s="121"/>
      <c r="GW599" s="121"/>
      <c r="GX599" s="121"/>
      <c r="GY599" s="121"/>
      <c r="GZ599" s="121"/>
      <c r="HA599" s="121"/>
      <c r="HB599" s="121"/>
      <c r="HC599" s="121"/>
      <c r="HD599" s="121"/>
      <c r="HE599" s="121"/>
      <c r="HF599" s="121"/>
      <c r="HG599" s="121"/>
      <c r="HH599" s="121"/>
      <c r="HI599" s="121"/>
      <c r="HJ599" s="121"/>
      <c r="HK599" s="121"/>
      <c r="HL599" s="121"/>
      <c r="HM599" s="121"/>
      <c r="HN599" s="121"/>
      <c r="HO599" s="121"/>
      <c r="HP599" s="121"/>
      <c r="HQ599" s="121"/>
      <c r="HR599" s="121"/>
      <c r="HS599" s="121"/>
      <c r="HT599" s="121"/>
      <c r="HU599" s="121"/>
      <c r="HV599" s="121"/>
      <c r="HW599" s="121"/>
      <c r="HX599" s="121"/>
      <c r="HY599" s="121"/>
      <c r="HZ599" s="121"/>
      <c r="IA599" s="121"/>
    </row>
    <row r="600" spans="1:17" ht="31.5" customHeight="1">
      <c r="A600" s="22" t="s">
        <v>245</v>
      </c>
      <c r="B600" s="7"/>
      <c r="C600" s="7"/>
      <c r="D600" s="14"/>
      <c r="E600" s="14"/>
      <c r="F600" s="14"/>
      <c r="G600" s="14"/>
      <c r="H600" s="14"/>
      <c r="I600" s="14"/>
      <c r="J600" s="14"/>
      <c r="K600" s="14"/>
      <c r="L600" s="14"/>
      <c r="M600" s="14"/>
      <c r="N600" s="14"/>
      <c r="O600" s="14"/>
      <c r="P600" s="14"/>
      <c r="Q600" s="6"/>
    </row>
    <row r="601" spans="1:17" ht="24.75" customHeight="1">
      <c r="A601" s="21" t="s">
        <v>242</v>
      </c>
      <c r="B601" s="7"/>
      <c r="C601" s="7"/>
      <c r="D601" s="62"/>
      <c r="E601" s="14"/>
      <c r="F601" s="14"/>
      <c r="G601" s="14"/>
      <c r="H601" s="14"/>
      <c r="I601" s="14"/>
      <c r="J601" s="14"/>
      <c r="K601" s="14"/>
      <c r="L601" s="14"/>
      <c r="M601" s="14"/>
      <c r="N601" s="14"/>
      <c r="O601" s="14"/>
      <c r="P601" s="14"/>
      <c r="Q601" s="6"/>
    </row>
    <row r="602" spans="1:235" s="92" customFormat="1" ht="15" customHeight="1">
      <c r="A602" s="82" t="s">
        <v>406</v>
      </c>
      <c r="B602" s="88"/>
      <c r="C602" s="88"/>
      <c r="D602" s="144">
        <f>D604</f>
        <v>6000</v>
      </c>
      <c r="E602" s="144"/>
      <c r="F602" s="144">
        <f>D602</f>
        <v>6000</v>
      </c>
      <c r="G602" s="89">
        <f>G604</f>
        <v>495500</v>
      </c>
      <c r="H602" s="89">
        <v>0</v>
      </c>
      <c r="I602" s="89">
        <f>I604</f>
        <v>0</v>
      </c>
      <c r="J602" s="89">
        <f>J604</f>
        <v>495500</v>
      </c>
      <c r="K602" s="89"/>
      <c r="L602" s="89"/>
      <c r="M602" s="89"/>
      <c r="N602" s="89">
        <f>N604</f>
        <v>7870000</v>
      </c>
      <c r="O602" s="89"/>
      <c r="P602" s="89">
        <f>N602</f>
        <v>7870000</v>
      </c>
      <c r="Q602" s="90">
        <v>5500</v>
      </c>
      <c r="R602" s="91"/>
      <c r="S602" s="91"/>
      <c r="T602" s="91"/>
      <c r="U602" s="91"/>
      <c r="V602" s="91"/>
      <c r="W602" s="91"/>
      <c r="X602" s="91"/>
      <c r="Y602" s="91"/>
      <c r="Z602" s="91"/>
      <c r="AA602" s="91"/>
      <c r="AB602" s="91"/>
      <c r="AC602" s="91"/>
      <c r="AD602" s="91"/>
      <c r="AE602" s="91"/>
      <c r="AF602" s="91"/>
      <c r="AG602" s="91"/>
      <c r="AH602" s="91"/>
      <c r="AI602" s="91"/>
      <c r="AJ602" s="91"/>
      <c r="AK602" s="91"/>
      <c r="AL602" s="91"/>
      <c r="AM602" s="91"/>
      <c r="AN602" s="91"/>
      <c r="AO602" s="91"/>
      <c r="AP602" s="91"/>
      <c r="AQ602" s="91"/>
      <c r="AR602" s="91"/>
      <c r="AS602" s="91"/>
      <c r="AT602" s="91"/>
      <c r="AU602" s="91"/>
      <c r="AV602" s="91"/>
      <c r="AW602" s="91"/>
      <c r="AX602" s="91"/>
      <c r="AY602" s="91"/>
      <c r="AZ602" s="91"/>
      <c r="BA602" s="91"/>
      <c r="BB602" s="91"/>
      <c r="BC602" s="91"/>
      <c r="BD602" s="91"/>
      <c r="BE602" s="91"/>
      <c r="BF602" s="91"/>
      <c r="BG602" s="91"/>
      <c r="BH602" s="91"/>
      <c r="BI602" s="91"/>
      <c r="BJ602" s="91"/>
      <c r="BK602" s="91"/>
      <c r="BL602" s="91"/>
      <c r="BM602" s="91"/>
      <c r="BN602" s="91"/>
      <c r="BO602" s="91"/>
      <c r="BP602" s="91"/>
      <c r="BQ602" s="91"/>
      <c r="BR602" s="91"/>
      <c r="BS602" s="91"/>
      <c r="BT602" s="91"/>
      <c r="BU602" s="91"/>
      <c r="BV602" s="91"/>
      <c r="BW602" s="91"/>
      <c r="BX602" s="91"/>
      <c r="BY602" s="91"/>
      <c r="BZ602" s="91"/>
      <c r="CA602" s="91"/>
      <c r="CB602" s="91"/>
      <c r="CC602" s="91"/>
      <c r="CD602" s="91"/>
      <c r="CE602" s="91"/>
      <c r="CF602" s="91"/>
      <c r="CG602" s="91"/>
      <c r="CH602" s="91"/>
      <c r="CI602" s="91"/>
      <c r="CJ602" s="91"/>
      <c r="CK602" s="91"/>
      <c r="CL602" s="91"/>
      <c r="CM602" s="91"/>
      <c r="CN602" s="91"/>
      <c r="CO602" s="91"/>
      <c r="CP602" s="91"/>
      <c r="CQ602" s="91"/>
      <c r="CR602" s="91"/>
      <c r="CS602" s="91"/>
      <c r="CT602" s="91"/>
      <c r="CU602" s="91"/>
      <c r="CV602" s="91"/>
      <c r="CW602" s="91"/>
      <c r="CX602" s="91"/>
      <c r="CY602" s="91"/>
      <c r="CZ602" s="91"/>
      <c r="DA602" s="91"/>
      <c r="DB602" s="91"/>
      <c r="DC602" s="91"/>
      <c r="DD602" s="91"/>
      <c r="DE602" s="91"/>
      <c r="DF602" s="91"/>
      <c r="DG602" s="91"/>
      <c r="DH602" s="91"/>
      <c r="DI602" s="91"/>
      <c r="DJ602" s="91"/>
      <c r="DK602" s="91"/>
      <c r="DL602" s="91"/>
      <c r="DM602" s="91"/>
      <c r="DN602" s="91"/>
      <c r="DO602" s="91"/>
      <c r="DP602" s="91"/>
      <c r="DQ602" s="91"/>
      <c r="DR602" s="91"/>
      <c r="DS602" s="91"/>
      <c r="DT602" s="91"/>
      <c r="DU602" s="91"/>
      <c r="DV602" s="91"/>
      <c r="DW602" s="91"/>
      <c r="DX602" s="91"/>
      <c r="DY602" s="91"/>
      <c r="DZ602" s="91"/>
      <c r="EA602" s="91"/>
      <c r="EB602" s="91"/>
      <c r="EC602" s="91"/>
      <c r="ED602" s="91"/>
      <c r="EE602" s="91"/>
      <c r="EF602" s="91"/>
      <c r="EG602" s="91"/>
      <c r="EH602" s="91"/>
      <c r="EI602" s="91"/>
      <c r="EJ602" s="91"/>
      <c r="EK602" s="91"/>
      <c r="EL602" s="91"/>
      <c r="EM602" s="91"/>
      <c r="EN602" s="91"/>
      <c r="EO602" s="91"/>
      <c r="EP602" s="91"/>
      <c r="EQ602" s="91"/>
      <c r="ER602" s="91"/>
      <c r="ES602" s="91"/>
      <c r="ET602" s="91"/>
      <c r="EU602" s="91"/>
      <c r="EV602" s="91"/>
      <c r="EW602" s="91"/>
      <c r="EX602" s="91"/>
      <c r="EY602" s="91"/>
      <c r="EZ602" s="91"/>
      <c r="FA602" s="91"/>
      <c r="FB602" s="91"/>
      <c r="FC602" s="91"/>
      <c r="FD602" s="91"/>
      <c r="FE602" s="91"/>
      <c r="FF602" s="91"/>
      <c r="FG602" s="91"/>
      <c r="FH602" s="91"/>
      <c r="FI602" s="91"/>
      <c r="FJ602" s="91"/>
      <c r="FK602" s="91"/>
      <c r="FL602" s="91"/>
      <c r="FM602" s="91"/>
      <c r="FN602" s="91"/>
      <c r="FO602" s="91"/>
      <c r="FP602" s="91"/>
      <c r="FQ602" s="91"/>
      <c r="FR602" s="91"/>
      <c r="FS602" s="91"/>
      <c r="FT602" s="91"/>
      <c r="FU602" s="91"/>
      <c r="FV602" s="91"/>
      <c r="FW602" s="91"/>
      <c r="FX602" s="91"/>
      <c r="FY602" s="91"/>
      <c r="FZ602" s="91"/>
      <c r="GA602" s="91"/>
      <c r="GB602" s="91"/>
      <c r="GC602" s="91"/>
      <c r="GD602" s="91"/>
      <c r="GE602" s="91"/>
      <c r="GF602" s="91"/>
      <c r="GG602" s="91"/>
      <c r="GH602" s="91"/>
      <c r="GI602" s="91"/>
      <c r="GJ602" s="91"/>
      <c r="GK602" s="91"/>
      <c r="GL602" s="91"/>
      <c r="GM602" s="91"/>
      <c r="GN602" s="91"/>
      <c r="GO602" s="91"/>
      <c r="GP602" s="91"/>
      <c r="GQ602" s="91"/>
      <c r="GR602" s="91"/>
      <c r="GS602" s="91"/>
      <c r="GT602" s="91"/>
      <c r="GU602" s="91"/>
      <c r="GV602" s="91"/>
      <c r="GW602" s="91"/>
      <c r="GX602" s="91"/>
      <c r="GY602" s="91"/>
      <c r="GZ602" s="91"/>
      <c r="HA602" s="91"/>
      <c r="HB602" s="91"/>
      <c r="HC602" s="91"/>
      <c r="HD602" s="91"/>
      <c r="HE602" s="91"/>
      <c r="HF602" s="91"/>
      <c r="HG602" s="91"/>
      <c r="HH602" s="91"/>
      <c r="HI602" s="91"/>
      <c r="HJ602" s="91"/>
      <c r="HK602" s="91"/>
      <c r="HL602" s="91"/>
      <c r="HM602" s="91"/>
      <c r="HN602" s="91"/>
      <c r="HO602" s="91"/>
      <c r="HP602" s="91"/>
      <c r="HQ602" s="91"/>
      <c r="HR602" s="91"/>
      <c r="HS602" s="91"/>
      <c r="HT602" s="91"/>
      <c r="HU602" s="91"/>
      <c r="HV602" s="91"/>
      <c r="HW602" s="91"/>
      <c r="HX602" s="91"/>
      <c r="HY602" s="91"/>
      <c r="HZ602" s="91"/>
      <c r="IA602" s="91"/>
    </row>
    <row r="603" spans="1:17" ht="12" customHeight="1">
      <c r="A603" s="20" t="s">
        <v>4</v>
      </c>
      <c r="B603" s="7"/>
      <c r="C603" s="7"/>
      <c r="D603" s="145"/>
      <c r="E603" s="146"/>
      <c r="F603" s="146"/>
      <c r="G603" s="14"/>
      <c r="H603" s="14"/>
      <c r="I603" s="14"/>
      <c r="J603" s="14"/>
      <c r="K603" s="14"/>
      <c r="L603" s="14"/>
      <c r="M603" s="14"/>
      <c r="N603" s="14"/>
      <c r="O603" s="14"/>
      <c r="P603" s="14"/>
      <c r="Q603" s="6"/>
    </row>
    <row r="604" spans="1:17" ht="12" customHeight="1">
      <c r="A604" s="21" t="s">
        <v>63</v>
      </c>
      <c r="B604" s="7"/>
      <c r="C604" s="7"/>
      <c r="D604" s="145">
        <f>(D606*D612)+(D607*D613)</f>
        <v>6000</v>
      </c>
      <c r="E604" s="146"/>
      <c r="F604" s="146">
        <f>D604</f>
        <v>6000</v>
      </c>
      <c r="G604" s="14">
        <v>495500</v>
      </c>
      <c r="H604" s="14"/>
      <c r="I604" s="14"/>
      <c r="J604" s="14">
        <f>J609*J614-1.6</f>
        <v>495500</v>
      </c>
      <c r="K604" s="14"/>
      <c r="L604" s="14"/>
      <c r="M604" s="14"/>
      <c r="N604" s="14">
        <f>N609*N614+65658+70000</f>
        <v>7870000</v>
      </c>
      <c r="O604" s="14"/>
      <c r="P604" s="14">
        <f>N604</f>
        <v>7870000</v>
      </c>
      <c r="Q604" s="6">
        <v>5500</v>
      </c>
    </row>
    <row r="605" spans="1:17" ht="12.75" customHeight="1">
      <c r="A605" s="20" t="s">
        <v>5</v>
      </c>
      <c r="B605" s="7"/>
      <c r="C605" s="7"/>
      <c r="D605" s="145"/>
      <c r="E605" s="146"/>
      <c r="F605" s="146"/>
      <c r="G605" s="14"/>
      <c r="H605" s="14"/>
      <c r="I605" s="14"/>
      <c r="J605" s="14"/>
      <c r="K605" s="14"/>
      <c r="L605" s="14"/>
      <c r="M605" s="14"/>
      <c r="N605" s="14"/>
      <c r="O605" s="14"/>
      <c r="P605" s="14"/>
      <c r="Q605" s="6"/>
    </row>
    <row r="606" spans="1:17" ht="23.25" customHeight="1">
      <c r="A606" s="21" t="s">
        <v>247</v>
      </c>
      <c r="B606" s="7"/>
      <c r="C606" s="7"/>
      <c r="D606" s="145">
        <v>1</v>
      </c>
      <c r="E606" s="146"/>
      <c r="F606" s="146">
        <f>D606</f>
        <v>1</v>
      </c>
      <c r="G606" s="14"/>
      <c r="H606" s="14"/>
      <c r="I606" s="14"/>
      <c r="J606" s="14"/>
      <c r="K606" s="14"/>
      <c r="L606" s="14"/>
      <c r="M606" s="14"/>
      <c r="N606" s="14"/>
      <c r="O606" s="14"/>
      <c r="P606" s="14"/>
      <c r="Q606" s="9">
        <v>1</v>
      </c>
    </row>
    <row r="607" spans="1:17" ht="22.5">
      <c r="A607" s="21" t="s">
        <v>260</v>
      </c>
      <c r="B607" s="7"/>
      <c r="C607" s="7"/>
      <c r="D607" s="145">
        <v>1</v>
      </c>
      <c r="E607" s="146"/>
      <c r="F607" s="146">
        <v>1</v>
      </c>
      <c r="G607" s="14"/>
      <c r="H607" s="14"/>
      <c r="I607" s="14"/>
      <c r="J607" s="14"/>
      <c r="K607" s="14"/>
      <c r="L607" s="14"/>
      <c r="M607" s="14"/>
      <c r="N607" s="14"/>
      <c r="O607" s="14"/>
      <c r="P607" s="14"/>
      <c r="Q607" s="9"/>
    </row>
    <row r="608" spans="1:17" ht="22.5">
      <c r="A608" s="21" t="s">
        <v>460</v>
      </c>
      <c r="B608" s="7"/>
      <c r="C608" s="7"/>
      <c r="D608" s="145"/>
      <c r="E608" s="146"/>
      <c r="F608" s="146"/>
      <c r="G608" s="14"/>
      <c r="H608" s="14"/>
      <c r="I608" s="14"/>
      <c r="J608" s="14"/>
      <c r="K608" s="14"/>
      <c r="L608" s="14"/>
      <c r="M608" s="14"/>
      <c r="N608" s="14">
        <v>1</v>
      </c>
      <c r="O608" s="14"/>
      <c r="P608" s="14">
        <f>N608</f>
        <v>1</v>
      </c>
      <c r="Q608" s="9"/>
    </row>
    <row r="609" spans="1:17" ht="22.5">
      <c r="A609" s="21" t="s">
        <v>292</v>
      </c>
      <c r="B609" s="7"/>
      <c r="C609" s="7"/>
      <c r="D609" s="145"/>
      <c r="E609" s="146"/>
      <c r="F609" s="146"/>
      <c r="G609" s="184">
        <v>165</v>
      </c>
      <c r="H609" s="14"/>
      <c r="I609" s="14"/>
      <c r="J609" s="14">
        <v>165</v>
      </c>
      <c r="K609" s="14"/>
      <c r="L609" s="14"/>
      <c r="M609" s="14"/>
      <c r="N609" s="14">
        <v>1155</v>
      </c>
      <c r="O609" s="14"/>
      <c r="P609" s="14">
        <f>N609</f>
        <v>1155</v>
      </c>
      <c r="Q609" s="9"/>
    </row>
    <row r="610" spans="1:17" ht="11.25">
      <c r="A610" s="21" t="s">
        <v>381</v>
      </c>
      <c r="B610" s="7"/>
      <c r="C610" s="7"/>
      <c r="D610" s="145"/>
      <c r="E610" s="146"/>
      <c r="F610" s="146"/>
      <c r="G610" s="184"/>
      <c r="H610" s="14"/>
      <c r="I610" s="14"/>
      <c r="J610" s="14"/>
      <c r="K610" s="14"/>
      <c r="L610" s="14"/>
      <c r="M610" s="14"/>
      <c r="N610" s="14"/>
      <c r="O610" s="14"/>
      <c r="P610" s="14"/>
      <c r="Q610" s="9"/>
    </row>
    <row r="611" spans="1:17" ht="12.75" customHeight="1">
      <c r="A611" s="20" t="s">
        <v>7</v>
      </c>
      <c r="B611" s="7"/>
      <c r="C611" s="7"/>
      <c r="D611" s="145"/>
      <c r="E611" s="146"/>
      <c r="F611" s="146"/>
      <c r="G611" s="14"/>
      <c r="H611" s="14"/>
      <c r="I611" s="14"/>
      <c r="J611" s="14"/>
      <c r="K611" s="14"/>
      <c r="L611" s="14"/>
      <c r="M611" s="14"/>
      <c r="N611" s="14"/>
      <c r="O611" s="14"/>
      <c r="P611" s="14"/>
      <c r="Q611" s="6"/>
    </row>
    <row r="612" spans="1:17" ht="24" customHeight="1">
      <c r="A612" s="21" t="s">
        <v>246</v>
      </c>
      <c r="B612" s="7"/>
      <c r="C612" s="7"/>
      <c r="D612" s="145">
        <v>3000</v>
      </c>
      <c r="E612" s="146"/>
      <c r="F612" s="146">
        <f>D612</f>
        <v>3000</v>
      </c>
      <c r="G612" s="14"/>
      <c r="H612" s="14"/>
      <c r="I612" s="14"/>
      <c r="J612" s="14"/>
      <c r="K612" s="14"/>
      <c r="L612" s="14"/>
      <c r="M612" s="14"/>
      <c r="N612" s="14"/>
      <c r="O612" s="14"/>
      <c r="P612" s="14"/>
      <c r="Q612" s="6"/>
    </row>
    <row r="613" spans="1:17" ht="26.25" customHeight="1">
      <c r="A613" s="21" t="s">
        <v>261</v>
      </c>
      <c r="B613" s="7"/>
      <c r="C613" s="7"/>
      <c r="D613" s="147">
        <v>3000</v>
      </c>
      <c r="E613" s="132"/>
      <c r="F613" s="132">
        <f>D613</f>
        <v>3000</v>
      </c>
      <c r="G613" s="14"/>
      <c r="H613" s="14"/>
      <c r="I613" s="14"/>
      <c r="J613" s="14"/>
      <c r="K613" s="14"/>
      <c r="L613" s="14"/>
      <c r="M613" s="14"/>
      <c r="N613" s="14"/>
      <c r="O613" s="14"/>
      <c r="P613" s="14"/>
      <c r="Q613" s="6">
        <v>5500</v>
      </c>
    </row>
    <row r="614" spans="1:17" ht="22.5">
      <c r="A614" s="21" t="s">
        <v>293</v>
      </c>
      <c r="B614" s="7"/>
      <c r="C614" s="7"/>
      <c r="D614" s="147"/>
      <c r="E614" s="132"/>
      <c r="F614" s="132"/>
      <c r="G614" s="14">
        <v>3003.03</v>
      </c>
      <c r="H614" s="14"/>
      <c r="I614" s="14"/>
      <c r="J614" s="14">
        <v>3003.04</v>
      </c>
      <c r="K614" s="14"/>
      <c r="L614" s="14"/>
      <c r="M614" s="14"/>
      <c r="N614" s="14">
        <v>6696.4</v>
      </c>
      <c r="O614" s="14"/>
      <c r="P614" s="14">
        <f>N614</f>
        <v>6696.4</v>
      </c>
      <c r="Q614" s="73"/>
    </row>
    <row r="615" spans="1:17" ht="22.5">
      <c r="A615" s="21" t="s">
        <v>461</v>
      </c>
      <c r="B615" s="7"/>
      <c r="C615" s="7"/>
      <c r="D615" s="147"/>
      <c r="E615" s="132"/>
      <c r="F615" s="132"/>
      <c r="G615" s="14"/>
      <c r="H615" s="14"/>
      <c r="I615" s="14"/>
      <c r="J615" s="14"/>
      <c r="K615" s="14"/>
      <c r="L615" s="14"/>
      <c r="M615" s="14"/>
      <c r="N615" s="14">
        <v>70000</v>
      </c>
      <c r="O615" s="14"/>
      <c r="P615" s="14">
        <f>N615</f>
        <v>70000</v>
      </c>
      <c r="Q615" s="73"/>
    </row>
    <row r="616" spans="1:235" s="85" customFormat="1" ht="12">
      <c r="A616" s="108" t="s">
        <v>429</v>
      </c>
      <c r="B616" s="77"/>
      <c r="C616" s="77"/>
      <c r="D616" s="89">
        <f>D619</f>
        <v>1214000</v>
      </c>
      <c r="E616" s="89">
        <v>0</v>
      </c>
      <c r="F616" s="89">
        <f>D616</f>
        <v>1214000</v>
      </c>
      <c r="G616" s="89">
        <f>G619</f>
        <v>8080000</v>
      </c>
      <c r="H616" s="89"/>
      <c r="I616" s="89">
        <f>I619</f>
        <v>0</v>
      </c>
      <c r="J616" s="89">
        <f>J619</f>
        <v>8080000</v>
      </c>
      <c r="K616" s="89"/>
      <c r="L616" s="89"/>
      <c r="M616" s="89"/>
      <c r="N616" s="89">
        <f>N619</f>
        <v>12000000</v>
      </c>
      <c r="O616" s="89"/>
      <c r="P616" s="89">
        <f>N616</f>
        <v>12000000</v>
      </c>
      <c r="Q616" s="84"/>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c r="AN616" s="121"/>
      <c r="AO616" s="121"/>
      <c r="AP616" s="121"/>
      <c r="AQ616" s="121"/>
      <c r="AR616" s="121"/>
      <c r="AS616" s="121"/>
      <c r="AT616" s="121"/>
      <c r="AU616" s="121"/>
      <c r="AV616" s="121"/>
      <c r="AW616" s="121"/>
      <c r="AX616" s="121"/>
      <c r="AY616" s="121"/>
      <c r="AZ616" s="121"/>
      <c r="BA616" s="121"/>
      <c r="BB616" s="121"/>
      <c r="BC616" s="121"/>
      <c r="BD616" s="121"/>
      <c r="BE616" s="121"/>
      <c r="BF616" s="121"/>
      <c r="BG616" s="121"/>
      <c r="BH616" s="121"/>
      <c r="BI616" s="121"/>
      <c r="BJ616" s="121"/>
      <c r="BK616" s="121"/>
      <c r="BL616" s="121"/>
      <c r="BM616" s="121"/>
      <c r="BN616" s="121"/>
      <c r="BO616" s="121"/>
      <c r="BP616" s="121"/>
      <c r="BQ616" s="121"/>
      <c r="BR616" s="121"/>
      <c r="BS616" s="121"/>
      <c r="BT616" s="121"/>
      <c r="BU616" s="121"/>
      <c r="BV616" s="121"/>
      <c r="BW616" s="121"/>
      <c r="BX616" s="121"/>
      <c r="BY616" s="121"/>
      <c r="BZ616" s="121"/>
      <c r="CA616" s="121"/>
      <c r="CB616" s="121"/>
      <c r="CC616" s="121"/>
      <c r="CD616" s="121"/>
      <c r="CE616" s="121"/>
      <c r="CF616" s="121"/>
      <c r="CG616" s="121"/>
      <c r="CH616" s="121"/>
      <c r="CI616" s="121"/>
      <c r="CJ616" s="121"/>
      <c r="CK616" s="121"/>
      <c r="CL616" s="121"/>
      <c r="CM616" s="121"/>
      <c r="CN616" s="121"/>
      <c r="CO616" s="121"/>
      <c r="CP616" s="121"/>
      <c r="CQ616" s="121"/>
      <c r="CR616" s="121"/>
      <c r="CS616" s="121"/>
      <c r="CT616" s="121"/>
      <c r="CU616" s="121"/>
      <c r="CV616" s="121"/>
      <c r="CW616" s="121"/>
      <c r="CX616" s="121"/>
      <c r="CY616" s="121"/>
      <c r="CZ616" s="121"/>
      <c r="DA616" s="121"/>
      <c r="DB616" s="121"/>
      <c r="DC616" s="121"/>
      <c r="DD616" s="121"/>
      <c r="DE616" s="121"/>
      <c r="DF616" s="121"/>
      <c r="DG616" s="121"/>
      <c r="DH616" s="121"/>
      <c r="DI616" s="121"/>
      <c r="DJ616" s="121"/>
      <c r="DK616" s="121"/>
      <c r="DL616" s="121"/>
      <c r="DM616" s="121"/>
      <c r="DN616" s="121"/>
      <c r="DO616" s="121"/>
      <c r="DP616" s="121"/>
      <c r="DQ616" s="121"/>
      <c r="DR616" s="121"/>
      <c r="DS616" s="121"/>
      <c r="DT616" s="121"/>
      <c r="DU616" s="121"/>
      <c r="DV616" s="121"/>
      <c r="DW616" s="121"/>
      <c r="DX616" s="121"/>
      <c r="DY616" s="121"/>
      <c r="DZ616" s="121"/>
      <c r="EA616" s="121"/>
      <c r="EB616" s="121"/>
      <c r="EC616" s="121"/>
      <c r="ED616" s="121"/>
      <c r="EE616" s="121"/>
      <c r="EF616" s="121"/>
      <c r="EG616" s="121"/>
      <c r="EH616" s="121"/>
      <c r="EI616" s="121"/>
      <c r="EJ616" s="121"/>
      <c r="EK616" s="121"/>
      <c r="EL616" s="121"/>
      <c r="EM616" s="121"/>
      <c r="EN616" s="121"/>
      <c r="EO616" s="121"/>
      <c r="EP616" s="121"/>
      <c r="EQ616" s="121"/>
      <c r="ER616" s="121"/>
      <c r="ES616" s="121"/>
      <c r="ET616" s="121"/>
      <c r="EU616" s="121"/>
      <c r="EV616" s="121"/>
      <c r="EW616" s="121"/>
      <c r="EX616" s="121"/>
      <c r="EY616" s="121"/>
      <c r="EZ616" s="121"/>
      <c r="FA616" s="121"/>
      <c r="FB616" s="121"/>
      <c r="FC616" s="121"/>
      <c r="FD616" s="121"/>
      <c r="FE616" s="121"/>
      <c r="FF616" s="121"/>
      <c r="FG616" s="121"/>
      <c r="FH616" s="121"/>
      <c r="FI616" s="121"/>
      <c r="FJ616" s="121"/>
      <c r="FK616" s="121"/>
      <c r="FL616" s="121"/>
      <c r="FM616" s="121"/>
      <c r="FN616" s="121"/>
      <c r="FO616" s="121"/>
      <c r="FP616" s="121"/>
      <c r="FQ616" s="121"/>
      <c r="FR616" s="121"/>
      <c r="FS616" s="121"/>
      <c r="FT616" s="121"/>
      <c r="FU616" s="121"/>
      <c r="FV616" s="121"/>
      <c r="FW616" s="121"/>
      <c r="FX616" s="121"/>
      <c r="FY616" s="121"/>
      <c r="FZ616" s="121"/>
      <c r="GA616" s="121"/>
      <c r="GB616" s="121"/>
      <c r="GC616" s="121"/>
      <c r="GD616" s="121"/>
      <c r="GE616" s="121"/>
      <c r="GF616" s="121"/>
      <c r="GG616" s="121"/>
      <c r="GH616" s="121"/>
      <c r="GI616" s="121"/>
      <c r="GJ616" s="121"/>
      <c r="GK616" s="121"/>
      <c r="GL616" s="121"/>
      <c r="GM616" s="121"/>
      <c r="GN616" s="121"/>
      <c r="GO616" s="121"/>
      <c r="GP616" s="121"/>
      <c r="GQ616" s="121"/>
      <c r="GR616" s="121"/>
      <c r="GS616" s="121"/>
      <c r="GT616" s="121"/>
      <c r="GU616" s="121"/>
      <c r="GV616" s="121"/>
      <c r="GW616" s="121"/>
      <c r="GX616" s="121"/>
      <c r="GY616" s="121"/>
      <c r="GZ616" s="121"/>
      <c r="HA616" s="121"/>
      <c r="HB616" s="121"/>
      <c r="HC616" s="121"/>
      <c r="HD616" s="121"/>
      <c r="HE616" s="121"/>
      <c r="HF616" s="121"/>
      <c r="HG616" s="121"/>
      <c r="HH616" s="121"/>
      <c r="HI616" s="121"/>
      <c r="HJ616" s="121"/>
      <c r="HK616" s="121"/>
      <c r="HL616" s="121"/>
      <c r="HM616" s="121"/>
      <c r="HN616" s="121"/>
      <c r="HO616" s="121"/>
      <c r="HP616" s="121"/>
      <c r="HQ616" s="121"/>
      <c r="HR616" s="121"/>
      <c r="HS616" s="121"/>
      <c r="HT616" s="121"/>
      <c r="HU616" s="121"/>
      <c r="HV616" s="121"/>
      <c r="HW616" s="121"/>
      <c r="HX616" s="121"/>
      <c r="HY616" s="121"/>
      <c r="HZ616" s="121"/>
      <c r="IA616" s="121"/>
    </row>
    <row r="617" spans="1:17" ht="33.75">
      <c r="A617" s="22" t="s">
        <v>245</v>
      </c>
      <c r="B617" s="7"/>
      <c r="C617" s="7"/>
      <c r="D617" s="14"/>
      <c r="E617" s="14"/>
      <c r="F617" s="14"/>
      <c r="G617" s="14"/>
      <c r="H617" s="14"/>
      <c r="I617" s="14"/>
      <c r="J617" s="14"/>
      <c r="K617" s="14"/>
      <c r="L617" s="14"/>
      <c r="M617" s="14"/>
      <c r="N617" s="14"/>
      <c r="O617" s="14"/>
      <c r="P617" s="14"/>
      <c r="Q617" s="73"/>
    </row>
    <row r="618" spans="1:17" ht="67.5">
      <c r="A618" s="21" t="s">
        <v>316</v>
      </c>
      <c r="B618" s="7"/>
      <c r="C618" s="7"/>
      <c r="D618" s="62"/>
      <c r="E618" s="14"/>
      <c r="F618" s="14"/>
      <c r="G618" s="14"/>
      <c r="H618" s="14"/>
      <c r="I618" s="14"/>
      <c r="J618" s="14"/>
      <c r="K618" s="14"/>
      <c r="L618" s="14"/>
      <c r="M618" s="14"/>
      <c r="N618" s="14"/>
      <c r="O618" s="14"/>
      <c r="P618" s="14"/>
      <c r="Q618" s="73"/>
    </row>
    <row r="619" spans="1:17" ht="102.75" customHeight="1">
      <c r="A619" s="19" t="s">
        <v>407</v>
      </c>
      <c r="B619" s="26"/>
      <c r="C619" s="26"/>
      <c r="D619" s="131">
        <f>D621</f>
        <v>1214000</v>
      </c>
      <c r="E619" s="131"/>
      <c r="F619" s="131">
        <f>D619</f>
        <v>1214000</v>
      </c>
      <c r="G619" s="25">
        <f>G621</f>
        <v>8080000</v>
      </c>
      <c r="H619" s="25"/>
      <c r="I619" s="25"/>
      <c r="J619" s="25">
        <f>J621</f>
        <v>8080000</v>
      </c>
      <c r="K619" s="25"/>
      <c r="L619" s="25"/>
      <c r="M619" s="25"/>
      <c r="N619" s="25">
        <f>N621</f>
        <v>12000000</v>
      </c>
      <c r="O619" s="25"/>
      <c r="P619" s="25">
        <f>N619</f>
        <v>12000000</v>
      </c>
      <c r="Q619" s="73"/>
    </row>
    <row r="620" spans="1:17" ht="11.25">
      <c r="A620" s="20" t="s">
        <v>4</v>
      </c>
      <c r="B620" s="7"/>
      <c r="C620" s="7"/>
      <c r="D620" s="145"/>
      <c r="E620" s="146"/>
      <c r="F620" s="146"/>
      <c r="G620" s="14"/>
      <c r="H620" s="14"/>
      <c r="I620" s="14"/>
      <c r="J620" s="14"/>
      <c r="K620" s="14"/>
      <c r="L620" s="14"/>
      <c r="M620" s="14"/>
      <c r="N620" s="14"/>
      <c r="O620" s="14"/>
      <c r="P620" s="14"/>
      <c r="Q620" s="73"/>
    </row>
    <row r="621" spans="1:17" ht="11.25">
      <c r="A621" s="21" t="s">
        <v>63</v>
      </c>
      <c r="B621" s="7"/>
      <c r="C621" s="7"/>
      <c r="D621" s="145">
        <f>D626*D623</f>
        <v>1214000</v>
      </c>
      <c r="E621" s="146"/>
      <c r="F621" s="146">
        <f>D621</f>
        <v>1214000</v>
      </c>
      <c r="G621" s="14">
        <f>G626*G623</f>
        <v>8080000</v>
      </c>
      <c r="H621" s="14"/>
      <c r="I621" s="14"/>
      <c r="J621" s="14">
        <f>G621</f>
        <v>8080000</v>
      </c>
      <c r="K621" s="14"/>
      <c r="L621" s="14"/>
      <c r="M621" s="14"/>
      <c r="N621" s="14">
        <f>N623*N626</f>
        <v>12000000</v>
      </c>
      <c r="O621" s="14"/>
      <c r="P621" s="14">
        <f>N621</f>
        <v>12000000</v>
      </c>
      <c r="Q621" s="73"/>
    </row>
    <row r="622" spans="1:17" ht="11.25">
      <c r="A622" s="20" t="s">
        <v>5</v>
      </c>
      <c r="B622" s="7"/>
      <c r="C622" s="7"/>
      <c r="D622" s="145"/>
      <c r="E622" s="146"/>
      <c r="F622" s="146"/>
      <c r="G622" s="14"/>
      <c r="H622" s="14"/>
      <c r="I622" s="14"/>
      <c r="J622" s="14"/>
      <c r="K622" s="14"/>
      <c r="L622" s="14"/>
      <c r="M622" s="14"/>
      <c r="N622" s="14"/>
      <c r="O622" s="14"/>
      <c r="P622" s="14"/>
      <c r="Q622" s="73"/>
    </row>
    <row r="623" spans="1:17" ht="22.5">
      <c r="A623" s="21" t="s">
        <v>309</v>
      </c>
      <c r="B623" s="7"/>
      <c r="C623" s="7"/>
      <c r="D623" s="145">
        <v>2</v>
      </c>
      <c r="E623" s="146"/>
      <c r="F623" s="146">
        <v>2</v>
      </c>
      <c r="G623" s="14">
        <v>2</v>
      </c>
      <c r="H623" s="14"/>
      <c r="I623" s="14"/>
      <c r="J623" s="14">
        <f>G623</f>
        <v>2</v>
      </c>
      <c r="K623" s="14"/>
      <c r="L623" s="14"/>
      <c r="M623" s="14"/>
      <c r="N623" s="14">
        <v>1</v>
      </c>
      <c r="O623" s="14"/>
      <c r="P623" s="14">
        <v>1</v>
      </c>
      <c r="Q623" s="73"/>
    </row>
    <row r="624" spans="1:17" ht="22.5" hidden="1">
      <c r="A624" s="21" t="s">
        <v>260</v>
      </c>
      <c r="B624" s="7"/>
      <c r="C624" s="7"/>
      <c r="D624" s="145"/>
      <c r="E624" s="146"/>
      <c r="F624" s="146"/>
      <c r="G624" s="14"/>
      <c r="H624" s="14"/>
      <c r="I624" s="14"/>
      <c r="J624" s="14"/>
      <c r="K624" s="14"/>
      <c r="L624" s="14"/>
      <c r="M624" s="14"/>
      <c r="N624" s="14"/>
      <c r="O624" s="14"/>
      <c r="P624" s="14"/>
      <c r="Q624" s="73"/>
    </row>
    <row r="625" spans="1:17" ht="11.25">
      <c r="A625" s="20" t="s">
        <v>7</v>
      </c>
      <c r="B625" s="7"/>
      <c r="C625" s="7"/>
      <c r="D625" s="145"/>
      <c r="E625" s="146"/>
      <c r="F625" s="146"/>
      <c r="G625" s="14"/>
      <c r="H625" s="14"/>
      <c r="I625" s="14"/>
      <c r="J625" s="14"/>
      <c r="K625" s="14"/>
      <c r="L625" s="14"/>
      <c r="M625" s="14"/>
      <c r="N625" s="14"/>
      <c r="O625" s="14"/>
      <c r="P625" s="14"/>
      <c r="Q625" s="73"/>
    </row>
    <row r="626" spans="1:17" ht="22.5">
      <c r="A626" s="21" t="s">
        <v>310</v>
      </c>
      <c r="B626" s="7"/>
      <c r="C626" s="7"/>
      <c r="D626" s="145">
        <v>607000</v>
      </c>
      <c r="E626" s="146"/>
      <c r="F626" s="146">
        <f>D626</f>
        <v>607000</v>
      </c>
      <c r="G626" s="14">
        <v>4040000</v>
      </c>
      <c r="H626" s="14"/>
      <c r="I626" s="14"/>
      <c r="J626" s="14">
        <f>G626</f>
        <v>4040000</v>
      </c>
      <c r="K626" s="14"/>
      <c r="L626" s="14"/>
      <c r="M626" s="14"/>
      <c r="N626" s="14">
        <v>12000000</v>
      </c>
      <c r="O626" s="14"/>
      <c r="P626" s="14">
        <f>N626</f>
        <v>12000000</v>
      </c>
      <c r="Q626" s="73"/>
    </row>
    <row r="627" spans="1:235" ht="33.75" hidden="1">
      <c r="A627" s="21" t="s">
        <v>261</v>
      </c>
      <c r="B627" s="7"/>
      <c r="C627" s="7"/>
      <c r="D627" s="147"/>
      <c r="E627" s="132"/>
      <c r="F627" s="132"/>
      <c r="G627" s="14"/>
      <c r="H627" s="14"/>
      <c r="I627" s="14"/>
      <c r="J627" s="14"/>
      <c r="K627" s="14"/>
      <c r="L627" s="14"/>
      <c r="M627" s="14"/>
      <c r="N627" s="14"/>
      <c r="O627" s="14"/>
      <c r="P627" s="14"/>
      <c r="Q627" s="73"/>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row>
    <row r="628" spans="1:17" s="85" customFormat="1" ht="12">
      <c r="A628" s="108" t="s">
        <v>430</v>
      </c>
      <c r="B628" s="77"/>
      <c r="C628" s="77"/>
      <c r="D628" s="89">
        <f>D631</f>
        <v>0</v>
      </c>
      <c r="E628" s="89">
        <v>0</v>
      </c>
      <c r="F628" s="89">
        <f>D628</f>
        <v>0</v>
      </c>
      <c r="G628" s="89">
        <f>G631</f>
        <v>1200000</v>
      </c>
      <c r="H628" s="89"/>
      <c r="I628" s="89">
        <f>I631</f>
        <v>0</v>
      </c>
      <c r="J628" s="89">
        <f>J631</f>
        <v>1200000</v>
      </c>
      <c r="K628" s="89"/>
      <c r="L628" s="89"/>
      <c r="M628" s="89"/>
      <c r="N628" s="89">
        <f>N631</f>
        <v>1000000</v>
      </c>
      <c r="O628" s="89"/>
      <c r="P628" s="89">
        <f>P631</f>
        <v>1000000</v>
      </c>
      <c r="Q628" s="84"/>
    </row>
    <row r="629" spans="1:235" ht="33.75">
      <c r="A629" s="22" t="s">
        <v>245</v>
      </c>
      <c r="B629" s="7"/>
      <c r="C629" s="7"/>
      <c r="D629" s="14"/>
      <c r="E629" s="14"/>
      <c r="F629" s="14"/>
      <c r="G629" s="14"/>
      <c r="H629" s="14"/>
      <c r="I629" s="14"/>
      <c r="J629" s="14"/>
      <c r="K629" s="14"/>
      <c r="L629" s="14"/>
      <c r="M629" s="14"/>
      <c r="N629" s="14"/>
      <c r="O629" s="14"/>
      <c r="P629" s="14"/>
      <c r="Q629" s="73"/>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row>
    <row r="630" spans="1:235" ht="54.75" customHeight="1">
      <c r="A630" s="21" t="s">
        <v>264</v>
      </c>
      <c r="B630" s="7"/>
      <c r="C630" s="7"/>
      <c r="D630" s="62"/>
      <c r="E630" s="14"/>
      <c r="F630" s="14"/>
      <c r="G630" s="14"/>
      <c r="H630" s="14"/>
      <c r="I630" s="14"/>
      <c r="J630" s="14"/>
      <c r="K630" s="14"/>
      <c r="L630" s="14"/>
      <c r="M630" s="14"/>
      <c r="N630" s="14"/>
      <c r="O630" s="14"/>
      <c r="P630" s="14"/>
      <c r="Q630" s="73"/>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row>
    <row r="631" spans="1:17" s="173" customFormat="1" ht="21">
      <c r="A631" s="174" t="s">
        <v>408</v>
      </c>
      <c r="B631" s="170"/>
      <c r="C631" s="170"/>
      <c r="D631" s="171">
        <f>200000-200000</f>
        <v>0</v>
      </c>
      <c r="E631" s="171"/>
      <c r="F631" s="171">
        <f>D631</f>
        <v>0</v>
      </c>
      <c r="G631" s="151">
        <f>G632+G639</f>
        <v>1200000</v>
      </c>
      <c r="H631" s="151"/>
      <c r="I631" s="151"/>
      <c r="J631" s="151">
        <f>G631</f>
        <v>1200000</v>
      </c>
      <c r="K631" s="151"/>
      <c r="L631" s="151"/>
      <c r="M631" s="151"/>
      <c r="N631" s="151">
        <f>N632+N639</f>
        <v>1000000</v>
      </c>
      <c r="O631" s="151"/>
      <c r="P631" s="151">
        <f>N631</f>
        <v>1000000</v>
      </c>
      <c r="Q631" s="172"/>
    </row>
    <row r="632" spans="1:17" s="203" customFormat="1" ht="45">
      <c r="A632" s="204" t="s">
        <v>439</v>
      </c>
      <c r="B632" s="170"/>
      <c r="C632" s="170"/>
      <c r="D632" s="171"/>
      <c r="E632" s="171"/>
      <c r="F632" s="171"/>
      <c r="G632" s="151">
        <f>G636*G638</f>
        <v>1000000</v>
      </c>
      <c r="H632" s="151">
        <f aca="true" t="shared" si="45" ref="H632:P632">H636*H638</f>
        <v>0</v>
      </c>
      <c r="I632" s="151">
        <f t="shared" si="45"/>
        <v>0</v>
      </c>
      <c r="J632" s="151">
        <f>G632</f>
        <v>1000000</v>
      </c>
      <c r="K632" s="151">
        <f t="shared" si="45"/>
        <v>0</v>
      </c>
      <c r="L632" s="151">
        <f t="shared" si="45"/>
        <v>0</v>
      </c>
      <c r="M632" s="151">
        <f t="shared" si="45"/>
        <v>0</v>
      </c>
      <c r="N632" s="151">
        <f>N636*N638</f>
        <v>800000</v>
      </c>
      <c r="O632" s="151">
        <f t="shared" si="45"/>
        <v>0</v>
      </c>
      <c r="P632" s="151">
        <f t="shared" si="45"/>
        <v>800000</v>
      </c>
      <c r="Q632" s="202"/>
    </row>
    <row r="633" spans="1:17" s="203" customFormat="1" ht="11.25">
      <c r="A633" s="20" t="s">
        <v>4</v>
      </c>
      <c r="B633" s="200"/>
      <c r="C633" s="200"/>
      <c r="D633" s="201"/>
      <c r="E633" s="201"/>
      <c r="F633" s="201"/>
      <c r="G633" s="169"/>
      <c r="H633" s="169"/>
      <c r="I633" s="169"/>
      <c r="J633" s="169"/>
      <c r="K633" s="169"/>
      <c r="L633" s="169"/>
      <c r="M633" s="169"/>
      <c r="N633" s="169"/>
      <c r="O633" s="169"/>
      <c r="P633" s="169"/>
      <c r="Q633" s="202"/>
    </row>
    <row r="634" spans="1:17" s="203" customFormat="1" ht="27.75" customHeight="1">
      <c r="A634" s="21" t="s">
        <v>271</v>
      </c>
      <c r="B634" s="200"/>
      <c r="C634" s="200"/>
      <c r="D634" s="201"/>
      <c r="E634" s="201"/>
      <c r="F634" s="201"/>
      <c r="G634" s="114">
        <v>100</v>
      </c>
      <c r="H634" s="169"/>
      <c r="I634" s="169"/>
      <c r="J634" s="114">
        <f>G634</f>
        <v>100</v>
      </c>
      <c r="K634" s="169"/>
      <c r="L634" s="169"/>
      <c r="M634" s="169"/>
      <c r="N634" s="114">
        <v>100</v>
      </c>
      <c r="O634" s="114"/>
      <c r="P634" s="114">
        <f>N634</f>
        <v>100</v>
      </c>
      <c r="Q634" s="202"/>
    </row>
    <row r="635" spans="1:17" s="203" customFormat="1" ht="11.25">
      <c r="A635" s="20" t="s">
        <v>5</v>
      </c>
      <c r="B635" s="200"/>
      <c r="C635" s="200"/>
      <c r="D635" s="201"/>
      <c r="E635" s="201"/>
      <c r="F635" s="201"/>
      <c r="G635" s="169"/>
      <c r="H635" s="169"/>
      <c r="I635" s="169"/>
      <c r="J635" s="169"/>
      <c r="K635" s="169"/>
      <c r="L635" s="169"/>
      <c r="M635" s="169"/>
      <c r="N635" s="169"/>
      <c r="O635" s="169"/>
      <c r="P635" s="169"/>
      <c r="Q635" s="202"/>
    </row>
    <row r="636" spans="1:17" s="203" customFormat="1" ht="22.5">
      <c r="A636" s="21" t="s">
        <v>272</v>
      </c>
      <c r="B636" s="200"/>
      <c r="C636" s="200"/>
      <c r="D636" s="201"/>
      <c r="E636" s="201"/>
      <c r="F636" s="201"/>
      <c r="G636" s="114">
        <f>G634</f>
        <v>100</v>
      </c>
      <c r="H636" s="114"/>
      <c r="I636" s="114"/>
      <c r="J636" s="114">
        <f>J634</f>
        <v>100</v>
      </c>
      <c r="K636" s="114">
        <f aca="true" t="shared" si="46" ref="K636:P636">K634</f>
        <v>0</v>
      </c>
      <c r="L636" s="114">
        <f t="shared" si="46"/>
        <v>0</v>
      </c>
      <c r="M636" s="114">
        <f t="shared" si="46"/>
        <v>0</v>
      </c>
      <c r="N636" s="114">
        <f t="shared" si="46"/>
        <v>100</v>
      </c>
      <c r="O636" s="114">
        <f t="shared" si="46"/>
        <v>0</v>
      </c>
      <c r="P636" s="114">
        <f t="shared" si="46"/>
        <v>100</v>
      </c>
      <c r="Q636" s="202"/>
    </row>
    <row r="637" spans="1:17" s="203" customFormat="1" ht="11.25">
      <c r="A637" s="20" t="s">
        <v>7</v>
      </c>
      <c r="B637" s="200"/>
      <c r="C637" s="200"/>
      <c r="D637" s="201"/>
      <c r="E637" s="201"/>
      <c r="F637" s="201"/>
      <c r="G637" s="169"/>
      <c r="H637" s="169"/>
      <c r="I637" s="169"/>
      <c r="J637" s="169"/>
      <c r="K637" s="169"/>
      <c r="L637" s="169"/>
      <c r="M637" s="169"/>
      <c r="N637" s="169"/>
      <c r="O637" s="169"/>
      <c r="P637" s="169"/>
      <c r="Q637" s="202"/>
    </row>
    <row r="638" spans="1:17" s="203" customFormat="1" ht="17.25" customHeight="1">
      <c r="A638" s="21" t="s">
        <v>273</v>
      </c>
      <c r="B638" s="200"/>
      <c r="C638" s="200"/>
      <c r="D638" s="201"/>
      <c r="E638" s="201"/>
      <c r="F638" s="201"/>
      <c r="G638" s="114">
        <v>10000</v>
      </c>
      <c r="H638" s="169"/>
      <c r="I638" s="169"/>
      <c r="J638" s="169"/>
      <c r="K638" s="169"/>
      <c r="L638" s="169"/>
      <c r="M638" s="169"/>
      <c r="N638" s="114">
        <v>8000</v>
      </c>
      <c r="O638" s="114"/>
      <c r="P638" s="114">
        <v>8000</v>
      </c>
      <c r="Q638" s="202"/>
    </row>
    <row r="639" spans="1:17" s="203" customFormat="1" ht="65.25" customHeight="1">
      <c r="A639" s="204" t="s">
        <v>440</v>
      </c>
      <c r="B639" s="170"/>
      <c r="C639" s="170"/>
      <c r="D639" s="171"/>
      <c r="E639" s="171"/>
      <c r="F639" s="171"/>
      <c r="G639" s="151">
        <f>G643*G646</f>
        <v>200000</v>
      </c>
      <c r="H639" s="151">
        <f aca="true" t="shared" si="47" ref="H639:P639">H643*H646</f>
        <v>0</v>
      </c>
      <c r="I639" s="151">
        <f t="shared" si="47"/>
        <v>0</v>
      </c>
      <c r="J639" s="151">
        <f t="shared" si="47"/>
        <v>200000</v>
      </c>
      <c r="K639" s="151">
        <f t="shared" si="47"/>
        <v>0</v>
      </c>
      <c r="L639" s="151">
        <f t="shared" si="47"/>
        <v>0</v>
      </c>
      <c r="M639" s="151">
        <f t="shared" si="47"/>
        <v>0</v>
      </c>
      <c r="N639" s="151">
        <f t="shared" si="47"/>
        <v>200000</v>
      </c>
      <c r="O639" s="151">
        <f t="shared" si="47"/>
        <v>0</v>
      </c>
      <c r="P639" s="151">
        <f t="shared" si="47"/>
        <v>200000</v>
      </c>
      <c r="Q639" s="202"/>
    </row>
    <row r="640" spans="1:235" ht="11.25">
      <c r="A640" s="20" t="s">
        <v>4</v>
      </c>
      <c r="B640" s="7"/>
      <c r="C640" s="7"/>
      <c r="D640" s="145"/>
      <c r="E640" s="146"/>
      <c r="F640" s="146"/>
      <c r="G640" s="14"/>
      <c r="H640" s="14"/>
      <c r="I640" s="14"/>
      <c r="J640" s="14"/>
      <c r="K640" s="14"/>
      <c r="L640" s="14"/>
      <c r="M640" s="14"/>
      <c r="N640" s="14"/>
      <c r="O640" s="14"/>
      <c r="P640" s="14"/>
      <c r="Q640" s="73"/>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row>
    <row r="641" spans="1:235" ht="33.75">
      <c r="A641" s="21" t="s">
        <v>271</v>
      </c>
      <c r="B641" s="7"/>
      <c r="C641" s="7"/>
      <c r="D641" s="145">
        <v>120</v>
      </c>
      <c r="E641" s="146"/>
      <c r="F641" s="146">
        <f>D641</f>
        <v>120</v>
      </c>
      <c r="G641" s="146">
        <v>20</v>
      </c>
      <c r="H641" s="146"/>
      <c r="I641" s="146"/>
      <c r="J641" s="146">
        <f>G641</f>
        <v>20</v>
      </c>
      <c r="K641" s="146">
        <f>H641</f>
        <v>0</v>
      </c>
      <c r="L641" s="146">
        <f>J641</f>
        <v>20</v>
      </c>
      <c r="M641" s="146">
        <f>K641</f>
        <v>0</v>
      </c>
      <c r="N641" s="146">
        <v>20</v>
      </c>
      <c r="O641" s="146"/>
      <c r="P641" s="146">
        <f>N641</f>
        <v>20</v>
      </c>
      <c r="Q641" s="73"/>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row>
    <row r="642" spans="1:235" ht="11.25">
      <c r="A642" s="20" t="s">
        <v>5</v>
      </c>
      <c r="B642" s="7"/>
      <c r="C642" s="7"/>
      <c r="D642" s="145"/>
      <c r="E642" s="146"/>
      <c r="F642" s="146"/>
      <c r="G642" s="14"/>
      <c r="H642" s="14"/>
      <c r="I642" s="14"/>
      <c r="J642" s="14"/>
      <c r="K642" s="14"/>
      <c r="L642" s="14"/>
      <c r="M642" s="14"/>
      <c r="N642" s="14"/>
      <c r="O642" s="14"/>
      <c r="P642" s="14"/>
      <c r="Q642" s="73"/>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row>
    <row r="643" spans="1:235" ht="32.25" customHeight="1">
      <c r="A643" s="21" t="s">
        <v>272</v>
      </c>
      <c r="B643" s="7"/>
      <c r="C643" s="7"/>
      <c r="D643" s="145">
        <v>120</v>
      </c>
      <c r="E643" s="146"/>
      <c r="F643" s="146">
        <v>120</v>
      </c>
      <c r="G643" s="14">
        <v>20</v>
      </c>
      <c r="H643" s="14"/>
      <c r="I643" s="14"/>
      <c r="J643" s="14">
        <f>G643</f>
        <v>20</v>
      </c>
      <c r="K643" s="14"/>
      <c r="L643" s="14"/>
      <c r="M643" s="14"/>
      <c r="N643" s="14">
        <v>20</v>
      </c>
      <c r="O643" s="14"/>
      <c r="P643" s="14">
        <f>N643</f>
        <v>20</v>
      </c>
      <c r="Q643" s="7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row>
    <row r="644" spans="1:235" ht="22.5" hidden="1">
      <c r="A644" s="21" t="s">
        <v>260</v>
      </c>
      <c r="B644" s="7"/>
      <c r="C644" s="7"/>
      <c r="D644" s="145"/>
      <c r="E644" s="146"/>
      <c r="F644" s="146"/>
      <c r="G644" s="14"/>
      <c r="H644" s="14"/>
      <c r="I644" s="14"/>
      <c r="J644" s="14"/>
      <c r="K644" s="14"/>
      <c r="L644" s="14"/>
      <c r="M644" s="14"/>
      <c r="N644" s="14"/>
      <c r="O644" s="14"/>
      <c r="P644" s="14"/>
      <c r="Q644" s="73"/>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row>
    <row r="645" spans="1:235" ht="11.25">
      <c r="A645" s="20" t="s">
        <v>7</v>
      </c>
      <c r="B645" s="7"/>
      <c r="C645" s="7"/>
      <c r="D645" s="145"/>
      <c r="E645" s="146"/>
      <c r="F645" s="146"/>
      <c r="G645" s="14"/>
      <c r="H645" s="14"/>
      <c r="I645" s="14"/>
      <c r="J645" s="14"/>
      <c r="K645" s="14"/>
      <c r="L645" s="14"/>
      <c r="M645" s="14"/>
      <c r="N645" s="14"/>
      <c r="O645" s="14"/>
      <c r="P645" s="14"/>
      <c r="Q645" s="73"/>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row>
    <row r="646" spans="1:235" ht="22.5">
      <c r="A646" s="21" t="s">
        <v>273</v>
      </c>
      <c r="B646" s="7"/>
      <c r="C646" s="7"/>
      <c r="D646" s="145">
        <f>D631/D643</f>
        <v>0</v>
      </c>
      <c r="E646" s="146"/>
      <c r="F646" s="146">
        <f>D646</f>
        <v>0</v>
      </c>
      <c r="G646" s="14">
        <v>10000</v>
      </c>
      <c r="H646" s="14"/>
      <c r="I646" s="14"/>
      <c r="J646" s="14">
        <f>G646</f>
        <v>10000</v>
      </c>
      <c r="K646" s="14"/>
      <c r="L646" s="14"/>
      <c r="M646" s="14"/>
      <c r="N646" s="14">
        <v>10000</v>
      </c>
      <c r="O646" s="14"/>
      <c r="P646" s="14">
        <f>N646</f>
        <v>10000</v>
      </c>
      <c r="Q646" s="73"/>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row>
    <row r="647" spans="1:235" ht="11.25" hidden="1">
      <c r="A647" s="71"/>
      <c r="B647" s="53"/>
      <c r="C647" s="53"/>
      <c r="D647" s="148"/>
      <c r="E647" s="149"/>
      <c r="F647" s="149"/>
      <c r="G647" s="72"/>
      <c r="H647" s="72"/>
      <c r="I647" s="72"/>
      <c r="J647" s="72"/>
      <c r="K647" s="72"/>
      <c r="L647" s="72"/>
      <c r="M647" s="72"/>
      <c r="N647" s="72"/>
      <c r="O647" s="72"/>
      <c r="P647" s="72"/>
      <c r="Q647" s="73"/>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row>
    <row r="648" spans="1:235" ht="11.25" hidden="1">
      <c r="A648" s="71"/>
      <c r="B648" s="53"/>
      <c r="C648" s="53"/>
      <c r="D648" s="148"/>
      <c r="E648" s="149"/>
      <c r="F648" s="149"/>
      <c r="G648" s="72"/>
      <c r="H648" s="72"/>
      <c r="I648" s="72"/>
      <c r="J648" s="72"/>
      <c r="K648" s="72"/>
      <c r="L648" s="72"/>
      <c r="M648" s="72"/>
      <c r="N648" s="72"/>
      <c r="O648" s="72"/>
      <c r="P648" s="72"/>
      <c r="Q648" s="73"/>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row>
    <row r="649" spans="1:235" ht="11.25" hidden="1">
      <c r="A649" s="71"/>
      <c r="B649" s="53"/>
      <c r="C649" s="53"/>
      <c r="D649" s="148"/>
      <c r="E649" s="149"/>
      <c r="F649" s="149"/>
      <c r="G649" s="72"/>
      <c r="H649" s="72"/>
      <c r="I649" s="72"/>
      <c r="J649" s="72"/>
      <c r="K649" s="72"/>
      <c r="L649" s="72"/>
      <c r="M649" s="72"/>
      <c r="N649" s="72"/>
      <c r="O649" s="72"/>
      <c r="P649" s="72"/>
      <c r="Q649" s="73"/>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row>
    <row r="650" spans="1:235" ht="11.25" hidden="1">
      <c r="A650" s="71"/>
      <c r="B650" s="53"/>
      <c r="C650" s="53"/>
      <c r="D650" s="148"/>
      <c r="E650" s="149"/>
      <c r="F650" s="149"/>
      <c r="G650" s="72"/>
      <c r="H650" s="72"/>
      <c r="I650" s="72"/>
      <c r="J650" s="72"/>
      <c r="K650" s="72"/>
      <c r="L650" s="72"/>
      <c r="M650" s="72"/>
      <c r="N650" s="72"/>
      <c r="O650" s="72"/>
      <c r="P650" s="72"/>
      <c r="Q650" s="73"/>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row>
    <row r="651" spans="1:17" s="85" customFormat="1" ht="12">
      <c r="A651" s="108" t="s">
        <v>431</v>
      </c>
      <c r="B651" s="77"/>
      <c r="C651" s="77"/>
      <c r="D651" s="89">
        <f>D654</f>
        <v>0</v>
      </c>
      <c r="E651" s="89">
        <f>E654</f>
        <v>1084420</v>
      </c>
      <c r="F651" s="89">
        <f>D651+E651</f>
        <v>1084420</v>
      </c>
      <c r="G651" s="89"/>
      <c r="H651" s="89">
        <f>H654</f>
        <v>3699999.9999893</v>
      </c>
      <c r="I651" s="89">
        <f>I654</f>
        <v>0</v>
      </c>
      <c r="J651" s="89">
        <f>J654</f>
        <v>3699999.9999893</v>
      </c>
      <c r="K651" s="89"/>
      <c r="L651" s="89"/>
      <c r="M651" s="89"/>
      <c r="N651" s="89"/>
      <c r="O651" s="89">
        <f>O654</f>
        <v>1000000</v>
      </c>
      <c r="P651" s="89">
        <f>O651</f>
        <v>1000000</v>
      </c>
      <c r="Q651" s="84"/>
    </row>
    <row r="652" spans="1:235" ht="33.75">
      <c r="A652" s="22" t="s">
        <v>245</v>
      </c>
      <c r="B652" s="7"/>
      <c r="C652" s="7"/>
      <c r="D652" s="14"/>
      <c r="E652" s="14"/>
      <c r="F652" s="14"/>
      <c r="G652" s="14"/>
      <c r="H652" s="14"/>
      <c r="I652" s="14"/>
      <c r="J652" s="14"/>
      <c r="K652" s="14"/>
      <c r="L652" s="14"/>
      <c r="M652" s="14"/>
      <c r="N652" s="14"/>
      <c r="O652" s="14"/>
      <c r="P652" s="14"/>
      <c r="Q652" s="73"/>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row>
    <row r="653" spans="1:235" ht="22.5">
      <c r="A653" s="21" t="s">
        <v>274</v>
      </c>
      <c r="B653" s="7"/>
      <c r="C653" s="7"/>
      <c r="D653" s="14"/>
      <c r="E653" s="14"/>
      <c r="F653" s="14"/>
      <c r="G653" s="14"/>
      <c r="H653" s="14"/>
      <c r="I653" s="14"/>
      <c r="J653" s="14"/>
      <c r="K653" s="14"/>
      <c r="L653" s="14"/>
      <c r="M653" s="14"/>
      <c r="N653" s="14"/>
      <c r="O653" s="14"/>
      <c r="P653" s="14"/>
      <c r="Q653" s="7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row>
    <row r="654" spans="1:17" s="92" customFormat="1" ht="22.5">
      <c r="A654" s="82" t="s">
        <v>409</v>
      </c>
      <c r="B654" s="88"/>
      <c r="C654" s="88"/>
      <c r="D654" s="89"/>
      <c r="E654" s="89">
        <v>1084420</v>
      </c>
      <c r="F654" s="89">
        <f>D654+E654</f>
        <v>1084420</v>
      </c>
      <c r="G654" s="89"/>
      <c r="H654" s="89">
        <f>H658*H661</f>
        <v>3699999.9999893</v>
      </c>
      <c r="I654" s="89"/>
      <c r="J654" s="89">
        <f>H654</f>
        <v>3699999.9999893</v>
      </c>
      <c r="K654" s="89"/>
      <c r="L654" s="89"/>
      <c r="M654" s="89"/>
      <c r="N654" s="89"/>
      <c r="O654" s="89">
        <f>O656</f>
        <v>1000000</v>
      </c>
      <c r="P654" s="89">
        <f>O654</f>
        <v>1000000</v>
      </c>
      <c r="Q654" s="106"/>
    </row>
    <row r="655" spans="1:235" ht="11.25">
      <c r="A655" s="20" t="s">
        <v>4</v>
      </c>
      <c r="B655" s="7"/>
      <c r="C655" s="7"/>
      <c r="D655" s="14"/>
      <c r="E655" s="14"/>
      <c r="F655" s="14"/>
      <c r="G655" s="14"/>
      <c r="H655" s="14"/>
      <c r="I655" s="14"/>
      <c r="J655" s="14"/>
      <c r="K655" s="14"/>
      <c r="L655" s="14"/>
      <c r="M655" s="14"/>
      <c r="N655" s="14"/>
      <c r="O655" s="14"/>
      <c r="P655" s="14"/>
      <c r="Q655" s="73"/>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row>
    <row r="656" spans="1:235" ht="11.25">
      <c r="A656" s="21" t="s">
        <v>63</v>
      </c>
      <c r="B656" s="7"/>
      <c r="C656" s="7"/>
      <c r="D656" s="14"/>
      <c r="E656" s="14">
        <f>E654</f>
        <v>1084420</v>
      </c>
      <c r="F656" s="14">
        <f>D656+E656</f>
        <v>1084420</v>
      </c>
      <c r="G656" s="14"/>
      <c r="H656" s="14">
        <f>H654</f>
        <v>3699999.9999893</v>
      </c>
      <c r="I656" s="14"/>
      <c r="J656" s="14">
        <f>H656</f>
        <v>3699999.9999893</v>
      </c>
      <c r="K656" s="14"/>
      <c r="L656" s="14"/>
      <c r="M656" s="14"/>
      <c r="O656" s="14">
        <v>1000000</v>
      </c>
      <c r="P656" s="14">
        <f>O656</f>
        <v>1000000</v>
      </c>
      <c r="Q656" s="73"/>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row>
    <row r="657" spans="1:235" ht="11.25">
      <c r="A657" s="20" t="s">
        <v>5</v>
      </c>
      <c r="B657" s="7"/>
      <c r="C657" s="7"/>
      <c r="D657" s="14"/>
      <c r="E657" s="14"/>
      <c r="F657" s="14"/>
      <c r="G657" s="14"/>
      <c r="H657" s="14"/>
      <c r="I657" s="14"/>
      <c r="J657" s="14"/>
      <c r="K657" s="14"/>
      <c r="L657" s="14"/>
      <c r="M657" s="14"/>
      <c r="N657" s="14"/>
      <c r="O657" s="14"/>
      <c r="P657" s="14"/>
      <c r="Q657" s="73"/>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row>
    <row r="658" spans="1:235" ht="26.25" customHeight="1">
      <c r="A658" s="21" t="s">
        <v>275</v>
      </c>
      <c r="B658" s="7"/>
      <c r="C658" s="7"/>
      <c r="D658" s="14"/>
      <c r="E658" s="14">
        <v>39</v>
      </c>
      <c r="F658" s="14">
        <f>D658+E658</f>
        <v>39</v>
      </c>
      <c r="G658" s="14"/>
      <c r="H658" s="14">
        <v>133</v>
      </c>
      <c r="I658" s="14"/>
      <c r="J658" s="14">
        <f>H658</f>
        <v>133</v>
      </c>
      <c r="K658" s="14"/>
      <c r="L658" s="14"/>
      <c r="M658" s="14"/>
      <c r="N658" s="14"/>
      <c r="O658" s="14">
        <v>28</v>
      </c>
      <c r="P658" s="14">
        <v>28</v>
      </c>
      <c r="Q658" s="73"/>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row>
    <row r="659" spans="1:235" ht="11.25" hidden="1">
      <c r="A659" s="21" t="s">
        <v>237</v>
      </c>
      <c r="B659" s="7"/>
      <c r="C659" s="7"/>
      <c r="D659" s="14">
        <v>145</v>
      </c>
      <c r="E659" s="14"/>
      <c r="F659" s="14">
        <f>D659</f>
        <v>145</v>
      </c>
      <c r="G659" s="14"/>
      <c r="H659" s="14"/>
      <c r="I659" s="14"/>
      <c r="J659" s="14"/>
      <c r="K659" s="14"/>
      <c r="L659" s="14"/>
      <c r="M659" s="14"/>
      <c r="N659" s="14"/>
      <c r="O659" s="14"/>
      <c r="P659" s="14"/>
      <c r="Q659" s="73"/>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row>
    <row r="660" spans="1:235" ht="11.25">
      <c r="A660" s="20" t="s">
        <v>7</v>
      </c>
      <c r="B660" s="7"/>
      <c r="C660" s="7"/>
      <c r="D660" s="14"/>
      <c r="E660" s="14"/>
      <c r="F660" s="14"/>
      <c r="G660" s="14"/>
      <c r="H660" s="14"/>
      <c r="I660" s="14"/>
      <c r="J660" s="14"/>
      <c r="K660" s="14"/>
      <c r="L660" s="14"/>
      <c r="M660" s="14"/>
      <c r="N660" s="14"/>
      <c r="O660" s="14"/>
      <c r="P660" s="14"/>
      <c r="Q660" s="73"/>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row>
    <row r="661" spans="1:235" ht="22.5">
      <c r="A661" s="21" t="s">
        <v>276</v>
      </c>
      <c r="B661" s="7"/>
      <c r="C661" s="7"/>
      <c r="D661" s="14"/>
      <c r="E661" s="14">
        <f>E656/E658</f>
        <v>27805.641025641027</v>
      </c>
      <c r="F661" s="14">
        <f>F656/F658</f>
        <v>27805.641025641027</v>
      </c>
      <c r="G661" s="14"/>
      <c r="H661" s="14">
        <v>27819.5488721</v>
      </c>
      <c r="I661" s="14"/>
      <c r="J661" s="14">
        <f>H661</f>
        <v>27819.5488721</v>
      </c>
      <c r="K661" s="14"/>
      <c r="L661" s="14"/>
      <c r="M661" s="14"/>
      <c r="N661" s="14"/>
      <c r="O661" s="14">
        <f>O656/O658</f>
        <v>35714.28571428572</v>
      </c>
      <c r="P661" s="14">
        <f>O661</f>
        <v>35714.28571428572</v>
      </c>
      <c r="Q661" s="73"/>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row>
    <row r="662" spans="1:235" ht="22.5" hidden="1">
      <c r="A662" s="21" t="s">
        <v>240</v>
      </c>
      <c r="B662" s="7"/>
      <c r="C662" s="7"/>
      <c r="D662" s="14">
        <v>270.34</v>
      </c>
      <c r="E662" s="14"/>
      <c r="F662" s="14">
        <f>D662</f>
        <v>270.34</v>
      </c>
      <c r="G662" s="14"/>
      <c r="H662" s="14"/>
      <c r="I662" s="14"/>
      <c r="J662" s="14"/>
      <c r="K662" s="14"/>
      <c r="L662" s="14"/>
      <c r="M662" s="14"/>
      <c r="N662" s="14"/>
      <c r="O662" s="14"/>
      <c r="P662" s="14"/>
      <c r="Q662" s="73"/>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row>
    <row r="663" spans="1:17" s="85" customFormat="1" ht="12">
      <c r="A663" s="108" t="s">
        <v>432</v>
      </c>
      <c r="B663" s="77"/>
      <c r="C663" s="77"/>
      <c r="D663" s="89">
        <f>D666</f>
        <v>0</v>
      </c>
      <c r="E663" s="89">
        <v>0</v>
      </c>
      <c r="F663" s="89">
        <f>D663</f>
        <v>0</v>
      </c>
      <c r="G663" s="89">
        <f>G666+G681</f>
        <v>1198800</v>
      </c>
      <c r="H663" s="89"/>
      <c r="I663" s="89">
        <f>I666</f>
        <v>0</v>
      </c>
      <c r="J663" s="89">
        <f>J666+J681</f>
        <v>1198800</v>
      </c>
      <c r="K663" s="89"/>
      <c r="L663" s="89"/>
      <c r="M663" s="89"/>
      <c r="N663" s="89">
        <f>N666</f>
        <v>780000</v>
      </c>
      <c r="O663" s="89"/>
      <c r="P663" s="89">
        <f>P666</f>
        <v>780000</v>
      </c>
      <c r="Q663" s="84"/>
    </row>
    <row r="664" spans="1:235" ht="33.75">
      <c r="A664" s="22" t="s">
        <v>245</v>
      </c>
      <c r="B664" s="7"/>
      <c r="C664" s="7"/>
      <c r="D664" s="14"/>
      <c r="E664" s="14"/>
      <c r="F664" s="14"/>
      <c r="G664" s="14"/>
      <c r="H664" s="14"/>
      <c r="I664" s="14"/>
      <c r="J664" s="14"/>
      <c r="K664" s="14"/>
      <c r="L664" s="14"/>
      <c r="M664" s="14"/>
      <c r="N664" s="14"/>
      <c r="O664" s="14"/>
      <c r="P664" s="14"/>
      <c r="Q664" s="73"/>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row>
    <row r="665" spans="1:235" ht="11.25">
      <c r="A665" s="21" t="s">
        <v>297</v>
      </c>
      <c r="B665" s="7"/>
      <c r="C665" s="7"/>
      <c r="D665" s="62"/>
      <c r="E665" s="14"/>
      <c r="F665" s="14"/>
      <c r="G665" s="14"/>
      <c r="H665" s="14"/>
      <c r="I665" s="14"/>
      <c r="J665" s="14"/>
      <c r="K665" s="14"/>
      <c r="L665" s="14"/>
      <c r="M665" s="14"/>
      <c r="N665" s="14"/>
      <c r="O665" s="14"/>
      <c r="P665" s="14"/>
      <c r="Q665" s="73"/>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row>
    <row r="666" spans="1:17" s="92" customFormat="1" ht="22.5">
      <c r="A666" s="82" t="s">
        <v>410</v>
      </c>
      <c r="B666" s="88"/>
      <c r="C666" s="88"/>
      <c r="D666" s="144"/>
      <c r="E666" s="144"/>
      <c r="F666" s="144">
        <f>D666</f>
        <v>0</v>
      </c>
      <c r="G666" s="89">
        <f>G671*G674</f>
        <v>998800</v>
      </c>
      <c r="H666" s="89"/>
      <c r="I666" s="89"/>
      <c r="J666" s="89">
        <f>G666</f>
        <v>998800</v>
      </c>
      <c r="K666" s="89"/>
      <c r="L666" s="89"/>
      <c r="M666" s="89"/>
      <c r="N666" s="89">
        <f>N668</f>
        <v>780000</v>
      </c>
      <c r="O666" s="89"/>
      <c r="P666" s="89">
        <f>N666</f>
        <v>780000</v>
      </c>
      <c r="Q666" s="106"/>
    </row>
    <row r="667" spans="1:235" ht="11.25">
      <c r="A667" s="20" t="s">
        <v>4</v>
      </c>
      <c r="B667" s="7"/>
      <c r="C667" s="7"/>
      <c r="D667" s="145"/>
      <c r="E667" s="146"/>
      <c r="F667" s="146"/>
      <c r="G667" s="14"/>
      <c r="H667" s="14"/>
      <c r="I667" s="14"/>
      <c r="J667" s="14"/>
      <c r="K667" s="14"/>
      <c r="L667" s="14"/>
      <c r="M667" s="14"/>
      <c r="N667" s="14"/>
      <c r="O667" s="14"/>
      <c r="P667" s="14"/>
      <c r="Q667" s="73"/>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row>
    <row r="668" spans="1:235" ht="10.5" customHeight="1">
      <c r="A668" s="21" t="s">
        <v>63</v>
      </c>
      <c r="B668" s="7"/>
      <c r="C668" s="7"/>
      <c r="D668" s="145"/>
      <c r="E668" s="146"/>
      <c r="F668" s="146"/>
      <c r="G668" s="14">
        <f>G674</f>
        <v>499400</v>
      </c>
      <c r="H668" s="14"/>
      <c r="I668" s="14"/>
      <c r="J668" s="14">
        <f>G668</f>
        <v>499400</v>
      </c>
      <c r="K668" s="14"/>
      <c r="L668" s="14"/>
      <c r="M668" s="14"/>
      <c r="N668" s="14">
        <f>N671*N674</f>
        <v>780000</v>
      </c>
      <c r="O668" s="14"/>
      <c r="P668" s="14">
        <f>N668</f>
        <v>780000</v>
      </c>
      <c r="Q668" s="73"/>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row>
    <row r="669" spans="1:235" ht="11.25" hidden="1">
      <c r="A669" s="21" t="s">
        <v>63</v>
      </c>
      <c r="B669" s="7"/>
      <c r="C669" s="7"/>
      <c r="D669" s="145"/>
      <c r="E669" s="146"/>
      <c r="F669" s="146"/>
      <c r="G669" s="14"/>
      <c r="H669" s="14"/>
      <c r="I669" s="14"/>
      <c r="J669" s="14"/>
      <c r="K669" s="14"/>
      <c r="L669" s="14"/>
      <c r="M669" s="14"/>
      <c r="N669" s="14"/>
      <c r="O669" s="14"/>
      <c r="P669" s="14"/>
      <c r="Q669" s="73"/>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row>
    <row r="670" spans="1:235" ht="11.25">
      <c r="A670" s="20" t="s">
        <v>5</v>
      </c>
      <c r="B670" s="7"/>
      <c r="C670" s="7"/>
      <c r="D670" s="145"/>
      <c r="E670" s="146"/>
      <c r="F670" s="146"/>
      <c r="G670" s="14"/>
      <c r="H670" s="14"/>
      <c r="I670" s="14"/>
      <c r="J670" s="14"/>
      <c r="K670" s="14"/>
      <c r="L670" s="14"/>
      <c r="M670" s="14"/>
      <c r="N670" s="14"/>
      <c r="O670" s="14"/>
      <c r="P670" s="14"/>
      <c r="Q670" s="73"/>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row>
    <row r="671" spans="1:235" ht="10.5" customHeight="1">
      <c r="A671" s="21" t="s">
        <v>277</v>
      </c>
      <c r="B671" s="7"/>
      <c r="C671" s="7"/>
      <c r="D671" s="145"/>
      <c r="E671" s="146"/>
      <c r="F671" s="146">
        <f>D671</f>
        <v>0</v>
      </c>
      <c r="G671" s="146">
        <v>2</v>
      </c>
      <c r="H671" s="146"/>
      <c r="I671" s="146"/>
      <c r="J671" s="146">
        <v>2</v>
      </c>
      <c r="K671" s="146">
        <f>H671</f>
        <v>0</v>
      </c>
      <c r="L671" s="146">
        <f>J671</f>
        <v>2</v>
      </c>
      <c r="M671" s="146">
        <f>K671</f>
        <v>0</v>
      </c>
      <c r="N671" s="146">
        <v>2</v>
      </c>
      <c r="O671" s="146"/>
      <c r="P671" s="146">
        <v>1</v>
      </c>
      <c r="Q671" s="73"/>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row>
    <row r="672" spans="1:235" ht="11.25" hidden="1">
      <c r="A672" s="21" t="s">
        <v>290</v>
      </c>
      <c r="B672" s="7"/>
      <c r="C672" s="7"/>
      <c r="D672" s="145"/>
      <c r="E672" s="146"/>
      <c r="F672" s="146"/>
      <c r="G672" s="146">
        <v>1487</v>
      </c>
      <c r="H672" s="146"/>
      <c r="I672" s="146"/>
      <c r="J672" s="146">
        <f>G672</f>
        <v>1487</v>
      </c>
      <c r="K672" s="146"/>
      <c r="L672" s="146"/>
      <c r="M672" s="146"/>
      <c r="N672" s="146"/>
      <c r="O672" s="146"/>
      <c r="P672" s="146"/>
      <c r="Q672" s="73"/>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row>
    <row r="673" spans="1:235" ht="11.25">
      <c r="A673" s="20" t="s">
        <v>7</v>
      </c>
      <c r="B673" s="7"/>
      <c r="C673" s="7"/>
      <c r="D673" s="145"/>
      <c r="E673" s="146"/>
      <c r="F673" s="146"/>
      <c r="G673" s="14"/>
      <c r="H673" s="14"/>
      <c r="I673" s="14"/>
      <c r="J673" s="14"/>
      <c r="K673" s="14"/>
      <c r="L673" s="14"/>
      <c r="M673" s="14"/>
      <c r="N673" s="14"/>
      <c r="O673" s="14"/>
      <c r="P673" s="14"/>
      <c r="Q673" s="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row>
    <row r="674" spans="1:235" ht="11.25">
      <c r="A674" s="21" t="s">
        <v>278</v>
      </c>
      <c r="B674" s="7"/>
      <c r="C674" s="7"/>
      <c r="D674" s="145"/>
      <c r="E674" s="146"/>
      <c r="F674" s="146"/>
      <c r="G674" s="14">
        <f>465000+34400</f>
        <v>499400</v>
      </c>
      <c r="H674" s="14"/>
      <c r="I674" s="14"/>
      <c r="J674" s="14">
        <f>G674</f>
        <v>499400</v>
      </c>
      <c r="K674" s="14"/>
      <c r="L674" s="14"/>
      <c r="M674" s="14"/>
      <c r="N674" s="14">
        <v>390000</v>
      </c>
      <c r="O674" s="14"/>
      <c r="P674" s="14">
        <f>N674</f>
        <v>390000</v>
      </c>
      <c r="Q674" s="73"/>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row>
    <row r="675" spans="1:235" ht="11.25" hidden="1">
      <c r="A675" s="21"/>
      <c r="B675" s="7"/>
      <c r="C675" s="7"/>
      <c r="D675" s="14"/>
      <c r="E675" s="14"/>
      <c r="F675" s="14"/>
      <c r="G675" s="14"/>
      <c r="H675" s="14"/>
      <c r="I675" s="14"/>
      <c r="J675" s="14"/>
      <c r="K675" s="14"/>
      <c r="L675" s="14"/>
      <c r="M675" s="14"/>
      <c r="N675" s="14"/>
      <c r="O675" s="14"/>
      <c r="P675" s="14"/>
      <c r="Q675" s="73"/>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row>
    <row r="676" spans="1:235" ht="11.25" hidden="1">
      <c r="A676" s="21"/>
      <c r="B676" s="7"/>
      <c r="C676" s="7"/>
      <c r="D676" s="14"/>
      <c r="E676" s="14"/>
      <c r="F676" s="14"/>
      <c r="G676" s="14"/>
      <c r="H676" s="14"/>
      <c r="I676" s="14"/>
      <c r="J676" s="14"/>
      <c r="K676" s="14"/>
      <c r="L676" s="14"/>
      <c r="M676" s="14"/>
      <c r="N676" s="14"/>
      <c r="O676" s="14"/>
      <c r="P676" s="14"/>
      <c r="Q676" s="73"/>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row>
    <row r="677" spans="1:235" ht="11.25" hidden="1">
      <c r="A677" s="21"/>
      <c r="B677" s="7"/>
      <c r="C677" s="7"/>
      <c r="D677" s="14"/>
      <c r="E677" s="14"/>
      <c r="F677" s="14"/>
      <c r="G677" s="14"/>
      <c r="H677" s="14"/>
      <c r="I677" s="14"/>
      <c r="J677" s="14"/>
      <c r="K677" s="14"/>
      <c r="L677" s="14"/>
      <c r="M677" s="14"/>
      <c r="N677" s="14"/>
      <c r="O677" s="14"/>
      <c r="P677" s="14"/>
      <c r="Q677" s="73"/>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row>
    <row r="678" spans="1:235" ht="11.25" hidden="1">
      <c r="A678" s="21"/>
      <c r="B678" s="7"/>
      <c r="C678" s="7"/>
      <c r="D678" s="14"/>
      <c r="E678" s="14"/>
      <c r="F678" s="14"/>
      <c r="G678" s="14"/>
      <c r="H678" s="14"/>
      <c r="I678" s="14"/>
      <c r="J678" s="14"/>
      <c r="K678" s="14"/>
      <c r="L678" s="14"/>
      <c r="M678" s="14"/>
      <c r="N678" s="14"/>
      <c r="O678" s="14"/>
      <c r="P678" s="14"/>
      <c r="Q678" s="73"/>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row>
    <row r="679" spans="1:235" ht="11.25" hidden="1">
      <c r="A679" s="21"/>
      <c r="B679" s="7"/>
      <c r="C679" s="7"/>
      <c r="D679" s="14"/>
      <c r="E679" s="14"/>
      <c r="F679" s="14"/>
      <c r="G679" s="14"/>
      <c r="H679" s="14"/>
      <c r="I679" s="14"/>
      <c r="J679" s="14"/>
      <c r="K679" s="14"/>
      <c r="L679" s="14"/>
      <c r="M679" s="14"/>
      <c r="N679" s="14"/>
      <c r="O679" s="14"/>
      <c r="P679" s="14"/>
      <c r="Q679" s="73"/>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row>
    <row r="680" spans="1:235" ht="21" customHeight="1" hidden="1">
      <c r="A680" s="21" t="s">
        <v>291</v>
      </c>
      <c r="B680" s="7"/>
      <c r="C680" s="7"/>
      <c r="D680" s="14"/>
      <c r="E680" s="14"/>
      <c r="F680" s="14"/>
      <c r="G680" s="14">
        <v>3000</v>
      </c>
      <c r="H680" s="14"/>
      <c r="I680" s="14"/>
      <c r="J680" s="14">
        <f>G680</f>
        <v>3000</v>
      </c>
      <c r="K680" s="14"/>
      <c r="L680" s="14"/>
      <c r="M680" s="14"/>
      <c r="N680" s="14"/>
      <c r="O680" s="14"/>
      <c r="P680" s="14"/>
      <c r="Q680" s="73"/>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row>
    <row r="681" spans="1:17" s="92" customFormat="1" ht="22.5">
      <c r="A681" s="82" t="s">
        <v>411</v>
      </c>
      <c r="B681" s="88"/>
      <c r="C681" s="88"/>
      <c r="D681" s="144"/>
      <c r="E681" s="144"/>
      <c r="F681" s="144">
        <f>D681</f>
        <v>0</v>
      </c>
      <c r="G681" s="89">
        <f>G686*G689</f>
        <v>200000</v>
      </c>
      <c r="H681" s="89"/>
      <c r="I681" s="89"/>
      <c r="J681" s="89">
        <f>G681</f>
        <v>200000</v>
      </c>
      <c r="K681" s="89"/>
      <c r="L681" s="89"/>
      <c r="M681" s="89"/>
      <c r="N681" s="89"/>
      <c r="O681" s="89"/>
      <c r="P681" s="89"/>
      <c r="Q681" s="106"/>
    </row>
    <row r="682" spans="1:235" ht="11.25">
      <c r="A682" s="20" t="s">
        <v>4</v>
      </c>
      <c r="B682" s="7"/>
      <c r="C682" s="7"/>
      <c r="D682" s="145"/>
      <c r="E682" s="146"/>
      <c r="F682" s="146"/>
      <c r="G682" s="14"/>
      <c r="H682" s="14"/>
      <c r="I682" s="14"/>
      <c r="J682" s="14"/>
      <c r="K682" s="14"/>
      <c r="L682" s="14"/>
      <c r="M682" s="14"/>
      <c r="N682" s="14"/>
      <c r="O682" s="14"/>
      <c r="P682" s="14"/>
      <c r="Q682" s="73"/>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row>
    <row r="683" spans="1:235" ht="10.5" customHeight="1">
      <c r="A683" s="21" t="s">
        <v>63</v>
      </c>
      <c r="B683" s="7"/>
      <c r="C683" s="7"/>
      <c r="D683" s="145"/>
      <c r="E683" s="146"/>
      <c r="F683" s="146"/>
      <c r="G683" s="14">
        <f>G686*G689</f>
        <v>200000</v>
      </c>
      <c r="H683" s="14"/>
      <c r="I683" s="14"/>
      <c r="J683" s="14">
        <f>G683</f>
        <v>200000</v>
      </c>
      <c r="K683" s="14"/>
      <c r="L683" s="14"/>
      <c r="M683" s="14"/>
      <c r="N683" s="14"/>
      <c r="O683" s="14"/>
      <c r="P683" s="14"/>
      <c r="Q683" s="7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row>
    <row r="684" spans="1:235" ht="11.25" hidden="1">
      <c r="A684" s="21" t="s">
        <v>63</v>
      </c>
      <c r="B684" s="7"/>
      <c r="C684" s="7"/>
      <c r="D684" s="145"/>
      <c r="E684" s="146"/>
      <c r="F684" s="146"/>
      <c r="G684" s="14"/>
      <c r="H684" s="14"/>
      <c r="I684" s="14"/>
      <c r="J684" s="14"/>
      <c r="K684" s="14"/>
      <c r="L684" s="14"/>
      <c r="M684" s="14"/>
      <c r="N684" s="14"/>
      <c r="O684" s="14"/>
      <c r="P684" s="14"/>
      <c r="Q684" s="73"/>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row>
    <row r="685" spans="1:235" ht="11.25">
      <c r="A685" s="20" t="s">
        <v>5</v>
      </c>
      <c r="B685" s="7"/>
      <c r="C685" s="7"/>
      <c r="D685" s="145"/>
      <c r="E685" s="146"/>
      <c r="F685" s="146"/>
      <c r="G685" s="14"/>
      <c r="H685" s="14"/>
      <c r="I685" s="14"/>
      <c r="J685" s="14"/>
      <c r="K685" s="14"/>
      <c r="L685" s="14"/>
      <c r="M685" s="14"/>
      <c r="N685" s="14"/>
      <c r="O685" s="14"/>
      <c r="P685" s="14"/>
      <c r="Q685" s="73"/>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row>
    <row r="686" spans="1:235" ht="10.5" customHeight="1">
      <c r="A686" s="21" t="s">
        <v>325</v>
      </c>
      <c r="B686" s="7"/>
      <c r="C686" s="7"/>
      <c r="D686" s="145"/>
      <c r="E686" s="146"/>
      <c r="F686" s="146">
        <f>D686</f>
        <v>0</v>
      </c>
      <c r="G686" s="146">
        <v>1</v>
      </c>
      <c r="H686" s="146"/>
      <c r="I686" s="146"/>
      <c r="J686" s="146">
        <f>G686</f>
        <v>1</v>
      </c>
      <c r="K686" s="146">
        <f>H686</f>
        <v>0</v>
      </c>
      <c r="L686" s="146">
        <f>J686</f>
        <v>1</v>
      </c>
      <c r="M686" s="146">
        <f>K686</f>
        <v>0</v>
      </c>
      <c r="N686" s="146"/>
      <c r="O686" s="146"/>
      <c r="P686" s="146"/>
      <c r="Q686" s="73"/>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row>
    <row r="687" spans="1:235" ht="11.25" hidden="1">
      <c r="A687" s="21" t="s">
        <v>290</v>
      </c>
      <c r="B687" s="7"/>
      <c r="C687" s="7"/>
      <c r="D687" s="145"/>
      <c r="E687" s="146"/>
      <c r="F687" s="146"/>
      <c r="G687" s="146">
        <v>1487</v>
      </c>
      <c r="H687" s="146"/>
      <c r="I687" s="146"/>
      <c r="J687" s="146">
        <f>G687</f>
        <v>1487</v>
      </c>
      <c r="K687" s="146"/>
      <c r="L687" s="146"/>
      <c r="M687" s="146"/>
      <c r="N687" s="146"/>
      <c r="O687" s="146"/>
      <c r="P687" s="146"/>
      <c r="Q687" s="73"/>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row>
    <row r="688" spans="1:235" ht="11.25">
      <c r="A688" s="20" t="s">
        <v>7</v>
      </c>
      <c r="B688" s="7"/>
      <c r="C688" s="7"/>
      <c r="D688" s="145"/>
      <c r="E688" s="146"/>
      <c r="F688" s="146"/>
      <c r="G688" s="14"/>
      <c r="H688" s="14"/>
      <c r="I688" s="14"/>
      <c r="J688" s="14"/>
      <c r="K688" s="14"/>
      <c r="L688" s="14"/>
      <c r="M688" s="14"/>
      <c r="N688" s="14"/>
      <c r="O688" s="14"/>
      <c r="P688" s="14"/>
      <c r="Q688" s="73"/>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row>
    <row r="689" spans="1:235" ht="22.5">
      <c r="A689" s="21" t="s">
        <v>326</v>
      </c>
      <c r="B689" s="7"/>
      <c r="C689" s="7"/>
      <c r="D689" s="145"/>
      <c r="E689" s="146"/>
      <c r="F689" s="146"/>
      <c r="G689" s="14">
        <v>200000</v>
      </c>
      <c r="H689" s="14"/>
      <c r="I689" s="14"/>
      <c r="J689" s="14">
        <f>G689</f>
        <v>200000</v>
      </c>
      <c r="K689" s="14"/>
      <c r="L689" s="14"/>
      <c r="M689" s="14"/>
      <c r="N689" s="14"/>
      <c r="O689" s="14"/>
      <c r="P689" s="14"/>
      <c r="Q689" s="73"/>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row>
    <row r="690" spans="1:17" s="85" customFormat="1" ht="12">
      <c r="A690" s="108" t="s">
        <v>433</v>
      </c>
      <c r="B690" s="77"/>
      <c r="C690" s="77"/>
      <c r="D690" s="89">
        <f>D692+D706+D773+D782+D789</f>
        <v>0</v>
      </c>
      <c r="E690" s="89"/>
      <c r="F690" s="89">
        <f>D690</f>
        <v>0</v>
      </c>
      <c r="G690" s="89"/>
      <c r="H690" s="89">
        <f>H692</f>
        <v>79404991</v>
      </c>
      <c r="I690" s="89">
        <f>I692</f>
        <v>47000</v>
      </c>
      <c r="J690" s="89">
        <f>H690+I690</f>
        <v>79451991</v>
      </c>
      <c r="K690" s="89"/>
      <c r="L690" s="89"/>
      <c r="M690" s="89"/>
      <c r="N690" s="89"/>
      <c r="O690" s="89">
        <f>O692</f>
        <v>135897224</v>
      </c>
      <c r="P690" s="89">
        <f>P692</f>
        <v>135897224</v>
      </c>
      <c r="Q690" s="84"/>
    </row>
    <row r="691" spans="1:235" ht="22.5">
      <c r="A691" s="21" t="s">
        <v>279</v>
      </c>
      <c r="B691" s="7"/>
      <c r="C691" s="7"/>
      <c r="D691" s="14"/>
      <c r="E691" s="14"/>
      <c r="F691" s="14"/>
      <c r="G691" s="14"/>
      <c r="H691" s="14"/>
      <c r="I691" s="14"/>
      <c r="J691" s="14"/>
      <c r="K691" s="14"/>
      <c r="L691" s="14"/>
      <c r="M691" s="14"/>
      <c r="N691" s="14"/>
      <c r="O691" s="14"/>
      <c r="P691" s="14"/>
      <c r="Q691" s="73"/>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row>
    <row r="692" spans="1:17" s="92" customFormat="1" ht="33.75">
      <c r="A692" s="82" t="s">
        <v>412</v>
      </c>
      <c r="B692" s="88"/>
      <c r="C692" s="88"/>
      <c r="D692" s="89"/>
      <c r="E692" s="89"/>
      <c r="F692" s="89">
        <f>D692</f>
        <v>0</v>
      </c>
      <c r="G692" s="89"/>
      <c r="H692" s="89">
        <f>H696*H698</f>
        <v>79404991</v>
      </c>
      <c r="I692" s="89">
        <f>I694</f>
        <v>47000</v>
      </c>
      <c r="J692" s="89">
        <f>H692+I692</f>
        <v>79451991</v>
      </c>
      <c r="K692" s="89"/>
      <c r="L692" s="89"/>
      <c r="M692" s="89"/>
      <c r="N692" s="89"/>
      <c r="O692" s="89">
        <f>O696*O698</f>
        <v>135897224</v>
      </c>
      <c r="P692" s="89">
        <f>O692</f>
        <v>135897224</v>
      </c>
      <c r="Q692" s="106"/>
    </row>
    <row r="693" spans="1:235" ht="11.25">
      <c r="A693" s="20" t="s">
        <v>4</v>
      </c>
      <c r="B693" s="7"/>
      <c r="C693" s="7"/>
      <c r="D693" s="14"/>
      <c r="E693" s="14"/>
      <c r="F693" s="14"/>
      <c r="G693" s="14"/>
      <c r="H693" s="14"/>
      <c r="I693" s="14"/>
      <c r="J693" s="14"/>
      <c r="K693" s="14"/>
      <c r="L693" s="14"/>
      <c r="M693" s="14"/>
      <c r="N693" s="14"/>
      <c r="O693" s="14"/>
      <c r="P693" s="14"/>
      <c r="Q693" s="7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row>
    <row r="694" spans="1:235" ht="11.25">
      <c r="A694" s="21" t="s">
        <v>63</v>
      </c>
      <c r="B694" s="7"/>
      <c r="C694" s="7"/>
      <c r="D694" s="14"/>
      <c r="E694" s="14"/>
      <c r="F694" s="14">
        <f>D694</f>
        <v>0</v>
      </c>
      <c r="G694" s="14"/>
      <c r="H694" s="14">
        <f>49855600+12000000+250000+1116250+339900+677700+277200+14159+17372+292000+50+5000+2725000+1800000+1470000+21000+72610+1134950+5798800+317600+470000+700000+49800</f>
        <v>79404991</v>
      </c>
      <c r="I694" s="14">
        <v>47000</v>
      </c>
      <c r="J694" s="14">
        <f>H694+I694</f>
        <v>79451991</v>
      </c>
      <c r="K694" s="14"/>
      <c r="L694" s="14"/>
      <c r="M694" s="14"/>
      <c r="N694" s="14"/>
      <c r="O694" s="14">
        <f>88015624+24068600+13700000+4000000+543000+370000+2200000</f>
        <v>132897224</v>
      </c>
      <c r="P694" s="14">
        <f>O694</f>
        <v>132897224</v>
      </c>
      <c r="Q694" s="73"/>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row>
    <row r="695" spans="1:235" ht="11.25">
      <c r="A695" s="20" t="s">
        <v>5</v>
      </c>
      <c r="B695" s="7"/>
      <c r="C695" s="7"/>
      <c r="D695" s="14"/>
      <c r="E695" s="14"/>
      <c r="F695" s="14"/>
      <c r="G695" s="14"/>
      <c r="H695" s="14"/>
      <c r="I695" s="14"/>
      <c r="J695" s="14"/>
      <c r="K695" s="14"/>
      <c r="L695" s="14"/>
      <c r="M695" s="14"/>
      <c r="N695" s="14"/>
      <c r="O695" s="14"/>
      <c r="P695" s="14"/>
      <c r="Q695" s="73"/>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row>
    <row r="696" spans="1:235" ht="33.75">
      <c r="A696" s="21" t="s">
        <v>280</v>
      </c>
      <c r="B696" s="7"/>
      <c r="C696" s="7"/>
      <c r="D696" s="14"/>
      <c r="E696" s="14"/>
      <c r="F696" s="14"/>
      <c r="G696" s="14"/>
      <c r="H696" s="14">
        <v>8</v>
      </c>
      <c r="I696" s="14"/>
      <c r="J696" s="14">
        <v>8</v>
      </c>
      <c r="K696" s="14"/>
      <c r="L696" s="14"/>
      <c r="M696" s="14"/>
      <c r="N696" s="14"/>
      <c r="O696" s="14">
        <v>8</v>
      </c>
      <c r="P696" s="14">
        <f>O696</f>
        <v>8</v>
      </c>
      <c r="Q696" s="73"/>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row>
    <row r="697" spans="1:235" ht="11.25">
      <c r="A697" s="20" t="s">
        <v>7</v>
      </c>
      <c r="B697" s="7"/>
      <c r="C697" s="7"/>
      <c r="D697" s="14"/>
      <c r="E697" s="14"/>
      <c r="F697" s="14"/>
      <c r="G697" s="14"/>
      <c r="H697" s="14"/>
      <c r="I697" s="14"/>
      <c r="J697" s="14"/>
      <c r="K697" s="14"/>
      <c r="L697" s="14"/>
      <c r="M697" s="14"/>
      <c r="N697" s="14"/>
      <c r="O697" s="14"/>
      <c r="P697" s="14"/>
      <c r="Q697" s="73"/>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row>
    <row r="698" spans="1:235" ht="24.75" customHeight="1">
      <c r="A698" s="21" t="s">
        <v>281</v>
      </c>
      <c r="B698" s="7"/>
      <c r="C698" s="7"/>
      <c r="D698" s="14"/>
      <c r="E698" s="14"/>
      <c r="F698" s="14"/>
      <c r="G698" s="14"/>
      <c r="H698" s="14">
        <f>H694/H696</f>
        <v>9925623.875</v>
      </c>
      <c r="I698" s="14"/>
      <c r="J698" s="14">
        <f>J694/J696</f>
        <v>9931498.875</v>
      </c>
      <c r="K698" s="14"/>
      <c r="L698" s="14"/>
      <c r="M698" s="14"/>
      <c r="N698" s="14"/>
      <c r="O698" s="14">
        <v>16987153</v>
      </c>
      <c r="P698" s="72">
        <f>O698</f>
        <v>16987153</v>
      </c>
      <c r="Q698" s="73"/>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row>
    <row r="699" spans="1:235" ht="11.25" hidden="1">
      <c r="A699" s="21"/>
      <c r="B699" s="7"/>
      <c r="C699" s="7"/>
      <c r="D699" s="14"/>
      <c r="E699" s="14"/>
      <c r="F699" s="14"/>
      <c r="G699" s="14"/>
      <c r="H699" s="14"/>
      <c r="I699" s="14"/>
      <c r="J699" s="14"/>
      <c r="K699" s="14"/>
      <c r="L699" s="14"/>
      <c r="M699" s="14"/>
      <c r="N699" s="14"/>
      <c r="O699" s="14"/>
      <c r="P699" s="72"/>
      <c r="Q699" s="73"/>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row>
    <row r="700" spans="1:235" ht="11.25" hidden="1">
      <c r="A700" s="21"/>
      <c r="B700" s="7"/>
      <c r="C700" s="7"/>
      <c r="D700" s="14"/>
      <c r="E700" s="14"/>
      <c r="F700" s="14"/>
      <c r="G700" s="14"/>
      <c r="H700" s="14"/>
      <c r="I700" s="14"/>
      <c r="J700" s="14"/>
      <c r="K700" s="14"/>
      <c r="L700" s="14"/>
      <c r="M700" s="14"/>
      <c r="N700" s="14"/>
      <c r="O700" s="14"/>
      <c r="P700" s="72"/>
      <c r="Q700" s="73"/>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row>
    <row r="701" spans="1:235" ht="11.25" hidden="1">
      <c r="A701" s="21"/>
      <c r="B701" s="7"/>
      <c r="C701" s="7"/>
      <c r="D701" s="14"/>
      <c r="E701" s="14"/>
      <c r="F701" s="14"/>
      <c r="G701" s="14"/>
      <c r="H701" s="14"/>
      <c r="I701" s="14"/>
      <c r="J701" s="14"/>
      <c r="K701" s="14"/>
      <c r="L701" s="14"/>
      <c r="M701" s="14"/>
      <c r="N701" s="14"/>
      <c r="O701" s="14"/>
      <c r="P701" s="72"/>
      <c r="Q701" s="73"/>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row>
    <row r="702" spans="1:235" ht="11.25" hidden="1">
      <c r="A702" s="21"/>
      <c r="B702" s="7"/>
      <c r="C702" s="7"/>
      <c r="D702" s="14"/>
      <c r="E702" s="14"/>
      <c r="F702" s="14"/>
      <c r="G702" s="14"/>
      <c r="H702" s="14"/>
      <c r="I702" s="14"/>
      <c r="J702" s="14"/>
      <c r="K702" s="14"/>
      <c r="L702" s="14"/>
      <c r="M702" s="14"/>
      <c r="N702" s="14"/>
      <c r="O702" s="14"/>
      <c r="P702" s="72"/>
      <c r="Q702" s="73"/>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row>
    <row r="703" spans="1:235" ht="11.25" hidden="1">
      <c r="A703" s="21"/>
      <c r="B703" s="7"/>
      <c r="C703" s="7"/>
      <c r="D703" s="14"/>
      <c r="E703" s="14"/>
      <c r="F703" s="14"/>
      <c r="G703" s="14"/>
      <c r="H703" s="14"/>
      <c r="I703" s="14"/>
      <c r="J703" s="14"/>
      <c r="K703" s="14"/>
      <c r="L703" s="14"/>
      <c r="M703" s="14"/>
      <c r="N703" s="14"/>
      <c r="O703" s="14"/>
      <c r="P703" s="72"/>
      <c r="Q703" s="7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row>
    <row r="704" spans="1:235" ht="11.25" hidden="1">
      <c r="A704" s="21"/>
      <c r="B704" s="7"/>
      <c r="C704" s="7"/>
      <c r="D704" s="14"/>
      <c r="E704" s="14"/>
      <c r="F704" s="14"/>
      <c r="G704" s="14"/>
      <c r="H704" s="14"/>
      <c r="I704" s="14"/>
      <c r="J704" s="14"/>
      <c r="K704" s="14"/>
      <c r="L704" s="14"/>
      <c r="M704" s="14"/>
      <c r="N704" s="14"/>
      <c r="O704" s="14"/>
      <c r="P704" s="72"/>
      <c r="Q704" s="73"/>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row>
    <row r="705" spans="1:235" ht="11.25" hidden="1">
      <c r="A705" s="21"/>
      <c r="B705" s="7"/>
      <c r="C705" s="7"/>
      <c r="D705" s="14"/>
      <c r="E705" s="14"/>
      <c r="F705" s="14"/>
      <c r="G705" s="14"/>
      <c r="H705" s="14"/>
      <c r="I705" s="14"/>
      <c r="J705" s="14"/>
      <c r="K705" s="14"/>
      <c r="L705" s="14"/>
      <c r="M705" s="14"/>
      <c r="N705" s="14"/>
      <c r="O705" s="14"/>
      <c r="P705" s="72"/>
      <c r="Q705" s="73"/>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row>
    <row r="706" spans="1:17" s="85" customFormat="1" ht="12">
      <c r="A706" s="108" t="s">
        <v>434</v>
      </c>
      <c r="B706" s="77"/>
      <c r="C706" s="77"/>
      <c r="D706" s="89">
        <f>D708+D782+D791+D816</f>
        <v>0</v>
      </c>
      <c r="E706" s="89"/>
      <c r="F706" s="89">
        <f>D706</f>
        <v>0</v>
      </c>
      <c r="G706" s="89">
        <f>G708</f>
        <v>679500</v>
      </c>
      <c r="H706" s="89">
        <f>H708</f>
        <v>750500</v>
      </c>
      <c r="I706" s="89">
        <f>I708</f>
        <v>0</v>
      </c>
      <c r="J706" s="89">
        <f>G706+H706</f>
        <v>1430000</v>
      </c>
      <c r="K706" s="89"/>
      <c r="L706" s="89"/>
      <c r="M706" s="89"/>
      <c r="N706" s="89">
        <f>N708</f>
        <v>758500</v>
      </c>
      <c r="O706" s="89">
        <f>O708</f>
        <v>1221500</v>
      </c>
      <c r="P706" s="89">
        <f>N706+O706</f>
        <v>1980000</v>
      </c>
      <c r="Q706" s="84"/>
    </row>
    <row r="707" spans="1:235" ht="56.25">
      <c r="A707" s="21" t="s">
        <v>304</v>
      </c>
      <c r="B707" s="7"/>
      <c r="C707" s="7"/>
      <c r="D707" s="14"/>
      <c r="E707" s="14"/>
      <c r="F707" s="14"/>
      <c r="G707" s="14"/>
      <c r="H707" s="14"/>
      <c r="I707" s="14"/>
      <c r="J707" s="14"/>
      <c r="K707" s="14"/>
      <c r="L707" s="14"/>
      <c r="M707" s="14"/>
      <c r="N707" s="14"/>
      <c r="O707" s="14"/>
      <c r="P707" s="14"/>
      <c r="Q707" s="73"/>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row>
    <row r="708" spans="1:17" s="92" customFormat="1" ht="36" customHeight="1">
      <c r="A708" s="82" t="s">
        <v>413</v>
      </c>
      <c r="B708" s="88"/>
      <c r="C708" s="88"/>
      <c r="D708" s="89"/>
      <c r="E708" s="89"/>
      <c r="F708" s="89">
        <f>D708</f>
        <v>0</v>
      </c>
      <c r="G708" s="89">
        <f>G712*G714</f>
        <v>679500</v>
      </c>
      <c r="H708" s="89">
        <f>H710</f>
        <v>750500</v>
      </c>
      <c r="I708" s="89"/>
      <c r="J708" s="89">
        <f>G708+H708</f>
        <v>1430000</v>
      </c>
      <c r="K708" s="89"/>
      <c r="L708" s="89"/>
      <c r="M708" s="89"/>
      <c r="N708" s="89">
        <f>N712*N714</f>
        <v>758500</v>
      </c>
      <c r="O708" s="89">
        <f>O712*O714</f>
        <v>1221500</v>
      </c>
      <c r="P708" s="89">
        <f>N708+O708</f>
        <v>1980000</v>
      </c>
      <c r="Q708" s="106"/>
    </row>
    <row r="709" spans="1:235" ht="11.25">
      <c r="A709" s="20" t="s">
        <v>4</v>
      </c>
      <c r="B709" s="7"/>
      <c r="C709" s="7"/>
      <c r="D709" s="14"/>
      <c r="E709" s="14"/>
      <c r="F709" s="14"/>
      <c r="G709" s="14"/>
      <c r="H709" s="14"/>
      <c r="I709" s="14"/>
      <c r="J709" s="14"/>
      <c r="K709" s="14"/>
      <c r="L709" s="14"/>
      <c r="M709" s="14"/>
      <c r="N709" s="14"/>
      <c r="O709" s="14"/>
      <c r="P709" s="14"/>
      <c r="Q709" s="73"/>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row>
    <row r="710" spans="1:235" ht="11.25">
      <c r="A710" s="21" t="s">
        <v>63</v>
      </c>
      <c r="B710" s="7"/>
      <c r="C710" s="7"/>
      <c r="D710" s="14"/>
      <c r="E710" s="14"/>
      <c r="F710" s="14">
        <f>D710</f>
        <v>0</v>
      </c>
      <c r="G710" s="14">
        <v>679500</v>
      </c>
      <c r="H710" s="14">
        <v>750500</v>
      </c>
      <c r="I710" s="14"/>
      <c r="J710" s="14">
        <f>G710+H710</f>
        <v>1430000</v>
      </c>
      <c r="K710" s="14"/>
      <c r="L710" s="14"/>
      <c r="M710" s="14"/>
      <c r="N710" s="14">
        <v>758500</v>
      </c>
      <c r="O710" s="14">
        <v>1221500</v>
      </c>
      <c r="P710" s="14">
        <f>N710+O710</f>
        <v>1980000</v>
      </c>
      <c r="Q710" s="73"/>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row>
    <row r="711" spans="1:235" ht="11.25">
      <c r="A711" s="20" t="s">
        <v>5</v>
      </c>
      <c r="B711" s="7"/>
      <c r="C711" s="7"/>
      <c r="D711" s="14"/>
      <c r="E711" s="14"/>
      <c r="F711" s="14"/>
      <c r="G711" s="14"/>
      <c r="H711" s="14"/>
      <c r="I711" s="14"/>
      <c r="J711" s="14"/>
      <c r="K711" s="14"/>
      <c r="L711" s="14"/>
      <c r="M711" s="14"/>
      <c r="N711" s="14"/>
      <c r="O711" s="14"/>
      <c r="P711" s="14"/>
      <c r="Q711" s="73"/>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row>
    <row r="712" spans="1:235" ht="22.5">
      <c r="A712" s="21" t="s">
        <v>307</v>
      </c>
      <c r="B712" s="7"/>
      <c r="C712" s="7"/>
      <c r="D712" s="14"/>
      <c r="E712" s="14"/>
      <c r="F712" s="14"/>
      <c r="G712" s="14">
        <v>1</v>
      </c>
      <c r="H712" s="14">
        <v>1</v>
      </c>
      <c r="I712" s="14"/>
      <c r="J712" s="14">
        <v>1</v>
      </c>
      <c r="K712" s="14"/>
      <c r="L712" s="14"/>
      <c r="M712" s="14"/>
      <c r="N712" s="14">
        <v>1</v>
      </c>
      <c r="O712" s="14">
        <v>1</v>
      </c>
      <c r="P712" s="14">
        <v>1</v>
      </c>
      <c r="Q712" s="73"/>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row>
    <row r="713" spans="1:235" ht="11.25">
      <c r="A713" s="20" t="s">
        <v>7</v>
      </c>
      <c r="B713" s="7"/>
      <c r="C713" s="7"/>
      <c r="D713" s="14"/>
      <c r="E713" s="14"/>
      <c r="F713" s="14"/>
      <c r="G713" s="14"/>
      <c r="H713" s="14"/>
      <c r="I713" s="14"/>
      <c r="J713" s="14"/>
      <c r="K713" s="14"/>
      <c r="L713" s="14"/>
      <c r="M713" s="14"/>
      <c r="N713" s="14"/>
      <c r="O713" s="14"/>
      <c r="P713" s="14"/>
      <c r="Q713" s="7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row>
    <row r="714" spans="1:235" ht="22.5">
      <c r="A714" s="21" t="s">
        <v>308</v>
      </c>
      <c r="B714" s="7"/>
      <c r="C714" s="7"/>
      <c r="D714" s="14"/>
      <c r="E714" s="14"/>
      <c r="F714" s="14"/>
      <c r="G714" s="14">
        <v>679500</v>
      </c>
      <c r="H714" s="14">
        <f>H710/H712</f>
        <v>750500</v>
      </c>
      <c r="I714" s="150"/>
      <c r="J714" s="150">
        <f>J710/J712</f>
        <v>1430000</v>
      </c>
      <c r="K714" s="150"/>
      <c r="L714" s="150"/>
      <c r="M714" s="150"/>
      <c r="N714" s="150">
        <v>758500</v>
      </c>
      <c r="O714" s="150">
        <v>1221500</v>
      </c>
      <c r="P714" s="14">
        <f>N714+O714</f>
        <v>1980000</v>
      </c>
      <c r="Q714" s="73"/>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row>
    <row r="715" spans="1:17" s="85" customFormat="1" ht="12">
      <c r="A715" s="108" t="s">
        <v>435</v>
      </c>
      <c r="B715" s="77"/>
      <c r="C715" s="77"/>
      <c r="D715" s="89">
        <f>D718</f>
        <v>0</v>
      </c>
      <c r="E715" s="89">
        <v>0</v>
      </c>
      <c r="F715" s="89">
        <f>D715</f>
        <v>0</v>
      </c>
      <c r="G715" s="89">
        <f>G718</f>
        <v>2000000</v>
      </c>
      <c r="H715" s="89"/>
      <c r="I715" s="89">
        <f>I718</f>
        <v>0</v>
      </c>
      <c r="J715" s="89">
        <f>J718</f>
        <v>2000000</v>
      </c>
      <c r="K715" s="89"/>
      <c r="L715" s="89"/>
      <c r="M715" s="89"/>
      <c r="N715" s="89">
        <f>N718</f>
        <v>3200000</v>
      </c>
      <c r="O715" s="89"/>
      <c r="P715" s="89">
        <f>P718</f>
        <v>3200000</v>
      </c>
      <c r="Q715" s="84"/>
    </row>
    <row r="716" spans="1:235" ht="33.75">
      <c r="A716" s="22" t="s">
        <v>245</v>
      </c>
      <c r="B716" s="7"/>
      <c r="C716" s="7"/>
      <c r="D716" s="14"/>
      <c r="E716" s="14"/>
      <c r="F716" s="14"/>
      <c r="G716" s="14"/>
      <c r="H716" s="14"/>
      <c r="I716" s="14"/>
      <c r="J716" s="14"/>
      <c r="K716" s="14"/>
      <c r="L716" s="14"/>
      <c r="M716" s="14"/>
      <c r="N716" s="14"/>
      <c r="O716" s="14"/>
      <c r="P716" s="14"/>
      <c r="Q716" s="73"/>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row>
    <row r="717" spans="1:235" ht="22.5">
      <c r="A717" s="21" t="s">
        <v>296</v>
      </c>
      <c r="B717" s="7"/>
      <c r="C717" s="7"/>
      <c r="D717" s="62"/>
      <c r="E717" s="14"/>
      <c r="F717" s="14"/>
      <c r="G717" s="14"/>
      <c r="H717" s="14"/>
      <c r="I717" s="14"/>
      <c r="J717" s="14"/>
      <c r="K717" s="14"/>
      <c r="L717" s="14"/>
      <c r="M717" s="14"/>
      <c r="N717" s="14"/>
      <c r="O717" s="14"/>
      <c r="P717" s="14"/>
      <c r="Q717" s="73"/>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row>
    <row r="718" spans="1:17" s="92" customFormat="1" ht="37.5" customHeight="1">
      <c r="A718" s="82" t="s">
        <v>414</v>
      </c>
      <c r="B718" s="88"/>
      <c r="C718" s="88"/>
      <c r="D718" s="144"/>
      <c r="E718" s="144"/>
      <c r="F718" s="144">
        <f>D718</f>
        <v>0</v>
      </c>
      <c r="G718" s="89">
        <f>G724*G733</f>
        <v>2000000</v>
      </c>
      <c r="H718" s="89"/>
      <c r="I718" s="89"/>
      <c r="J718" s="89">
        <f>J720</f>
        <v>2000000</v>
      </c>
      <c r="K718" s="89"/>
      <c r="L718" s="89"/>
      <c r="M718" s="89"/>
      <c r="N718" s="89">
        <f>N720</f>
        <v>3200000</v>
      </c>
      <c r="O718" s="89"/>
      <c r="P718" s="89">
        <f>N718</f>
        <v>3200000</v>
      </c>
      <c r="Q718" s="106"/>
    </row>
    <row r="719" spans="1:235" ht="11.25">
      <c r="A719" s="20" t="s">
        <v>4</v>
      </c>
      <c r="B719" s="7"/>
      <c r="C719" s="7"/>
      <c r="D719" s="145"/>
      <c r="E719" s="146"/>
      <c r="F719" s="146"/>
      <c r="G719" s="14"/>
      <c r="H719" s="14"/>
      <c r="I719" s="14"/>
      <c r="J719" s="14"/>
      <c r="K719" s="14"/>
      <c r="L719" s="14"/>
      <c r="M719" s="14"/>
      <c r="N719" s="14"/>
      <c r="O719" s="14"/>
      <c r="P719" s="14"/>
      <c r="Q719" s="73"/>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row>
    <row r="720" spans="1:235" ht="10.5" customHeight="1">
      <c r="A720" s="21" t="s">
        <v>63</v>
      </c>
      <c r="B720" s="7"/>
      <c r="C720" s="7"/>
      <c r="D720" s="145"/>
      <c r="E720" s="146"/>
      <c r="F720" s="146"/>
      <c r="G720" s="14">
        <v>2000000</v>
      </c>
      <c r="H720" s="14"/>
      <c r="I720" s="14"/>
      <c r="J720" s="14">
        <f>J724*J733</f>
        <v>2000000</v>
      </c>
      <c r="K720" s="14"/>
      <c r="L720" s="14"/>
      <c r="M720" s="14"/>
      <c r="N720" s="14">
        <v>3200000</v>
      </c>
      <c r="O720" s="14"/>
      <c r="P720" s="14">
        <f>N720</f>
        <v>3200000</v>
      </c>
      <c r="Q720" s="73"/>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row>
    <row r="721" spans="1:235" ht="11.25" hidden="1">
      <c r="A721" s="21" t="s">
        <v>63</v>
      </c>
      <c r="B721" s="7"/>
      <c r="C721" s="7"/>
      <c r="D721" s="145"/>
      <c r="E721" s="146"/>
      <c r="F721" s="146"/>
      <c r="G721" s="14"/>
      <c r="H721" s="14"/>
      <c r="I721" s="14"/>
      <c r="J721" s="14"/>
      <c r="K721" s="14"/>
      <c r="L721" s="14"/>
      <c r="M721" s="14"/>
      <c r="N721" s="14"/>
      <c r="O721" s="14"/>
      <c r="P721" s="14">
        <f aca="true" t="shared" si="48" ref="P721:P733">N721</f>
        <v>0</v>
      </c>
      <c r="Q721" s="73"/>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row>
    <row r="722" spans="1:235" ht="11.25">
      <c r="A722" s="20" t="s">
        <v>5</v>
      </c>
      <c r="B722" s="7"/>
      <c r="C722" s="7"/>
      <c r="D722" s="145"/>
      <c r="E722" s="146"/>
      <c r="F722" s="146"/>
      <c r="G722" s="14"/>
      <c r="H722" s="14"/>
      <c r="I722" s="14"/>
      <c r="J722" s="14"/>
      <c r="K722" s="14"/>
      <c r="L722" s="14"/>
      <c r="M722" s="14"/>
      <c r="N722" s="14"/>
      <c r="O722" s="14"/>
      <c r="P722" s="14"/>
      <c r="Q722" s="73"/>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row>
    <row r="723" spans="1:235" ht="0.75" customHeight="1" hidden="1">
      <c r="A723" s="21" t="s">
        <v>277</v>
      </c>
      <c r="B723" s="7"/>
      <c r="C723" s="7"/>
      <c r="D723" s="145"/>
      <c r="E723" s="146"/>
      <c r="F723" s="146">
        <f>D723</f>
        <v>0</v>
      </c>
      <c r="G723" s="146">
        <v>1</v>
      </c>
      <c r="H723" s="146"/>
      <c r="I723" s="146"/>
      <c r="J723" s="146">
        <f>G723</f>
        <v>1</v>
      </c>
      <c r="K723" s="14"/>
      <c r="L723" s="14"/>
      <c r="M723" s="14"/>
      <c r="N723" s="14"/>
      <c r="O723" s="14"/>
      <c r="P723" s="14">
        <f t="shared" si="48"/>
        <v>0</v>
      </c>
      <c r="Q723" s="7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row>
    <row r="724" spans="1:235" ht="11.25">
      <c r="A724" s="21" t="s">
        <v>290</v>
      </c>
      <c r="B724" s="7"/>
      <c r="C724" s="7"/>
      <c r="D724" s="145"/>
      <c r="E724" s="146"/>
      <c r="F724" s="146"/>
      <c r="G724" s="146">
        <v>500</v>
      </c>
      <c r="H724" s="146"/>
      <c r="I724" s="146"/>
      <c r="J724" s="146">
        <v>500</v>
      </c>
      <c r="K724" s="14"/>
      <c r="L724" s="14"/>
      <c r="M724" s="14"/>
      <c r="N724" s="14">
        <v>1244</v>
      </c>
      <c r="O724" s="14"/>
      <c r="P724" s="14">
        <f t="shared" si="48"/>
        <v>1244</v>
      </c>
      <c r="Q724" s="73"/>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row>
    <row r="725" spans="1:235" ht="22.5">
      <c r="A725" s="21" t="s">
        <v>382</v>
      </c>
      <c r="B725" s="7"/>
      <c r="C725" s="7"/>
      <c r="D725" s="145"/>
      <c r="E725" s="146"/>
      <c r="F725" s="146"/>
      <c r="G725" s="146">
        <f>G724*4000</f>
        <v>2000000</v>
      </c>
      <c r="H725" s="146"/>
      <c r="I725" s="146"/>
      <c r="J725" s="146">
        <f>G725</f>
        <v>2000000</v>
      </c>
      <c r="K725" s="14"/>
      <c r="L725" s="14"/>
      <c r="M725" s="14"/>
      <c r="N725" s="14">
        <f>N724*4000</f>
        <v>4976000</v>
      </c>
      <c r="O725" s="14"/>
      <c r="P725" s="14">
        <f>N725</f>
        <v>4976000</v>
      </c>
      <c r="Q725" s="73"/>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row>
    <row r="726" spans="1:235" ht="10.5" customHeight="1">
      <c r="A726" s="20" t="s">
        <v>7</v>
      </c>
      <c r="B726" s="7"/>
      <c r="C726" s="7"/>
      <c r="D726" s="145"/>
      <c r="E726" s="146"/>
      <c r="F726" s="146"/>
      <c r="G726" s="14"/>
      <c r="H726" s="14"/>
      <c r="I726" s="14"/>
      <c r="J726" s="14"/>
      <c r="K726" s="14"/>
      <c r="L726" s="14"/>
      <c r="M726" s="14"/>
      <c r="N726" s="14"/>
      <c r="O726" s="14"/>
      <c r="P726" s="14"/>
      <c r="Q726" s="73"/>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row>
    <row r="727" spans="1:235" ht="15" customHeight="1" hidden="1">
      <c r="A727" s="21" t="s">
        <v>278</v>
      </c>
      <c r="B727" s="7"/>
      <c r="C727" s="7"/>
      <c r="D727" s="145"/>
      <c r="E727" s="146"/>
      <c r="F727" s="146"/>
      <c r="G727" s="14">
        <v>465000</v>
      </c>
      <c r="H727" s="14"/>
      <c r="I727" s="14"/>
      <c r="J727" s="14">
        <f>G727</f>
        <v>465000</v>
      </c>
      <c r="K727" s="14"/>
      <c r="L727" s="14"/>
      <c r="M727" s="14"/>
      <c r="N727" s="14"/>
      <c r="O727" s="14"/>
      <c r="P727" s="14">
        <f t="shared" si="48"/>
        <v>0</v>
      </c>
      <c r="Q727" s="73"/>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row>
    <row r="728" spans="1:235" ht="11.25" hidden="1">
      <c r="A728" s="21"/>
      <c r="B728" s="7"/>
      <c r="C728" s="7"/>
      <c r="D728" s="14"/>
      <c r="E728" s="14"/>
      <c r="F728" s="14"/>
      <c r="G728" s="14"/>
      <c r="H728" s="14"/>
      <c r="I728" s="14"/>
      <c r="J728" s="14"/>
      <c r="K728" s="14"/>
      <c r="L728" s="14"/>
      <c r="M728" s="14"/>
      <c r="N728" s="14"/>
      <c r="O728" s="14"/>
      <c r="P728" s="14">
        <f t="shared" si="48"/>
        <v>0</v>
      </c>
      <c r="Q728" s="73"/>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row>
    <row r="729" spans="1:235" ht="11.25" hidden="1">
      <c r="A729" s="21"/>
      <c r="B729" s="7"/>
      <c r="C729" s="7"/>
      <c r="D729" s="14"/>
      <c r="E729" s="14"/>
      <c r="F729" s="14"/>
      <c r="G729" s="14"/>
      <c r="H729" s="14"/>
      <c r="I729" s="14"/>
      <c r="J729" s="14"/>
      <c r="K729" s="14"/>
      <c r="L729" s="14"/>
      <c r="M729" s="14"/>
      <c r="N729" s="14"/>
      <c r="O729" s="14"/>
      <c r="P729" s="14">
        <f t="shared" si="48"/>
        <v>0</v>
      </c>
      <c r="Q729" s="73"/>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row>
    <row r="730" spans="1:235" ht="11.25" hidden="1">
      <c r="A730" s="21"/>
      <c r="B730" s="7"/>
      <c r="C730" s="7"/>
      <c r="D730" s="14"/>
      <c r="E730" s="14"/>
      <c r="F730" s="14"/>
      <c r="G730" s="14"/>
      <c r="H730" s="14"/>
      <c r="I730" s="14"/>
      <c r="J730" s="14"/>
      <c r="K730" s="14"/>
      <c r="L730" s="14"/>
      <c r="M730" s="14"/>
      <c r="N730" s="14"/>
      <c r="O730" s="14"/>
      <c r="P730" s="14">
        <f t="shared" si="48"/>
        <v>0</v>
      </c>
      <c r="Q730" s="73"/>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row>
    <row r="731" spans="1:235" ht="11.25" hidden="1">
      <c r="A731" s="21"/>
      <c r="B731" s="7"/>
      <c r="C731" s="7"/>
      <c r="D731" s="14"/>
      <c r="E731" s="14"/>
      <c r="F731" s="14"/>
      <c r="G731" s="14"/>
      <c r="H731" s="14"/>
      <c r="I731" s="14"/>
      <c r="J731" s="14"/>
      <c r="K731" s="14"/>
      <c r="L731" s="14"/>
      <c r="M731" s="14"/>
      <c r="N731" s="14"/>
      <c r="O731" s="14"/>
      <c r="P731" s="14">
        <f t="shared" si="48"/>
        <v>0</v>
      </c>
      <c r="Q731" s="73"/>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row>
    <row r="732" spans="1:235" ht="11.25" hidden="1">
      <c r="A732" s="21"/>
      <c r="B732" s="7"/>
      <c r="C732" s="7"/>
      <c r="D732" s="14"/>
      <c r="E732" s="14"/>
      <c r="F732" s="14"/>
      <c r="G732" s="14"/>
      <c r="H732" s="14"/>
      <c r="I732" s="14"/>
      <c r="J732" s="14"/>
      <c r="K732" s="14"/>
      <c r="L732" s="14"/>
      <c r="M732" s="14"/>
      <c r="N732" s="14"/>
      <c r="O732" s="14"/>
      <c r="P732" s="14">
        <f t="shared" si="48"/>
        <v>0</v>
      </c>
      <c r="Q732" s="73"/>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row>
    <row r="733" spans="1:235" ht="12.75" customHeight="1">
      <c r="A733" s="21" t="s">
        <v>291</v>
      </c>
      <c r="B733" s="7"/>
      <c r="C733" s="7"/>
      <c r="D733" s="14"/>
      <c r="E733" s="14"/>
      <c r="F733" s="14"/>
      <c r="G733" s="14">
        <v>4000</v>
      </c>
      <c r="H733" s="14"/>
      <c r="I733" s="14"/>
      <c r="J733" s="14">
        <v>4000</v>
      </c>
      <c r="K733" s="14"/>
      <c r="L733" s="14"/>
      <c r="M733" s="14"/>
      <c r="N733" s="14">
        <v>2572.339</v>
      </c>
      <c r="O733" s="14"/>
      <c r="P733" s="14">
        <f t="shared" si="48"/>
        <v>2572.339</v>
      </c>
      <c r="Q733" s="7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row>
    <row r="734" spans="1:235" ht="11.25">
      <c r="A734" s="21" t="s">
        <v>380</v>
      </c>
      <c r="B734" s="7"/>
      <c r="C734" s="7"/>
      <c r="D734" s="14"/>
      <c r="E734" s="14"/>
      <c r="F734" s="14"/>
      <c r="G734" s="14">
        <f>G720/G725</f>
        <v>1</v>
      </c>
      <c r="H734" s="14"/>
      <c r="I734" s="14"/>
      <c r="J734" s="14"/>
      <c r="K734" s="14"/>
      <c r="L734" s="14"/>
      <c r="M734" s="14"/>
      <c r="N734" s="14">
        <f>N720/N725</f>
        <v>0.6430868167202572</v>
      </c>
      <c r="O734" s="14"/>
      <c r="P734" s="14">
        <f>N734</f>
        <v>0.6430868167202572</v>
      </c>
      <c r="Q734" s="73"/>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row>
    <row r="735" spans="1:17" s="85" customFormat="1" ht="12.75">
      <c r="A735" s="83" t="s">
        <v>436</v>
      </c>
      <c r="B735" s="77"/>
      <c r="C735" s="77"/>
      <c r="D735" s="78"/>
      <c r="E735" s="78"/>
      <c r="F735" s="78"/>
      <c r="G735" s="151">
        <f>G736</f>
        <v>349999.999992</v>
      </c>
      <c r="H735" s="151"/>
      <c r="I735" s="151">
        <f>I736</f>
        <v>0</v>
      </c>
      <c r="J735" s="151">
        <f>G735</f>
        <v>349999.999992</v>
      </c>
      <c r="K735" s="78"/>
      <c r="L735" s="78"/>
      <c r="M735" s="78"/>
      <c r="N735" s="151">
        <f>N736</f>
        <v>550000</v>
      </c>
      <c r="O735" s="151"/>
      <c r="P735" s="151">
        <f>N735</f>
        <v>550000</v>
      </c>
      <c r="Q735" s="84"/>
    </row>
    <row r="736" spans="1:17" s="92" customFormat="1" ht="22.5">
      <c r="A736" s="82" t="s">
        <v>415</v>
      </c>
      <c r="B736" s="88"/>
      <c r="C736" s="88"/>
      <c r="D736" s="89"/>
      <c r="E736" s="89"/>
      <c r="F736" s="89"/>
      <c r="G736" s="89">
        <f>G740*G742</f>
        <v>349999.999992</v>
      </c>
      <c r="H736" s="89"/>
      <c r="I736" s="89"/>
      <c r="J736" s="89">
        <f>G736</f>
        <v>349999.999992</v>
      </c>
      <c r="K736" s="89"/>
      <c r="L736" s="89"/>
      <c r="M736" s="89"/>
      <c r="N736" s="89">
        <f>N740*N742</f>
        <v>550000</v>
      </c>
      <c r="O736" s="89"/>
      <c r="P736" s="151">
        <f>N736</f>
        <v>550000</v>
      </c>
      <c r="Q736" s="106"/>
    </row>
    <row r="737" spans="1:235" ht="11.25">
      <c r="A737" s="20" t="s">
        <v>4</v>
      </c>
      <c r="B737" s="7"/>
      <c r="C737" s="7"/>
      <c r="D737" s="14"/>
      <c r="E737" s="14"/>
      <c r="F737" s="14"/>
      <c r="G737" s="14"/>
      <c r="H737" s="14"/>
      <c r="I737" s="14"/>
      <c r="J737" s="14"/>
      <c r="K737" s="14"/>
      <c r="L737" s="14"/>
      <c r="M737" s="14"/>
      <c r="N737" s="14"/>
      <c r="O737" s="14"/>
      <c r="P737" s="14"/>
      <c r="Q737" s="73"/>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row>
    <row r="738" spans="1:235" ht="22.5">
      <c r="A738" s="55" t="s">
        <v>78</v>
      </c>
      <c r="B738" s="7"/>
      <c r="C738" s="7"/>
      <c r="D738" s="14"/>
      <c r="E738" s="14"/>
      <c r="F738" s="14"/>
      <c r="G738" s="14">
        <f>G740*G742</f>
        <v>349999.999992</v>
      </c>
      <c r="H738" s="14"/>
      <c r="I738" s="14"/>
      <c r="J738" s="14">
        <f>G738</f>
        <v>349999.999992</v>
      </c>
      <c r="K738" s="14"/>
      <c r="L738" s="14"/>
      <c r="M738" s="14"/>
      <c r="N738" s="14">
        <f>N740*N742</f>
        <v>550000</v>
      </c>
      <c r="O738" s="14"/>
      <c r="P738" s="14">
        <f>N738</f>
        <v>550000</v>
      </c>
      <c r="Q738" s="73"/>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row>
    <row r="739" spans="1:235" ht="11.25">
      <c r="A739" s="20" t="s">
        <v>5</v>
      </c>
      <c r="B739" s="7"/>
      <c r="C739" s="7"/>
      <c r="D739" s="14"/>
      <c r="E739" s="14"/>
      <c r="F739" s="14"/>
      <c r="G739" s="14"/>
      <c r="H739" s="14"/>
      <c r="I739" s="14"/>
      <c r="J739" s="14"/>
      <c r="K739" s="14"/>
      <c r="L739" s="14"/>
      <c r="M739" s="14"/>
      <c r="N739" s="14"/>
      <c r="O739" s="14"/>
      <c r="P739" s="14"/>
      <c r="Q739" s="73"/>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row>
    <row r="740" spans="1:235" ht="27.75" customHeight="1">
      <c r="A740" s="55" t="s">
        <v>77</v>
      </c>
      <c r="B740" s="7"/>
      <c r="C740" s="7"/>
      <c r="D740" s="14"/>
      <c r="E740" s="14"/>
      <c r="F740" s="14"/>
      <c r="G740" s="14">
        <v>12</v>
      </c>
      <c r="H740" s="14"/>
      <c r="I740" s="14"/>
      <c r="J740" s="14">
        <f>G740</f>
        <v>12</v>
      </c>
      <c r="K740" s="14"/>
      <c r="L740" s="14"/>
      <c r="M740" s="14"/>
      <c r="N740" s="14">
        <v>16</v>
      </c>
      <c r="O740" s="14"/>
      <c r="P740" s="14">
        <f>N740</f>
        <v>16</v>
      </c>
      <c r="Q740" s="73"/>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row>
    <row r="741" spans="1:235" ht="11.25">
      <c r="A741" s="20" t="s">
        <v>7</v>
      </c>
      <c r="B741" s="7"/>
      <c r="C741" s="7"/>
      <c r="D741" s="14"/>
      <c r="E741" s="14"/>
      <c r="F741" s="14"/>
      <c r="G741" s="14"/>
      <c r="H741" s="14"/>
      <c r="I741" s="14"/>
      <c r="J741" s="14"/>
      <c r="K741" s="14"/>
      <c r="L741" s="14"/>
      <c r="M741" s="14"/>
      <c r="N741" s="14"/>
      <c r="O741" s="14"/>
      <c r="P741" s="14"/>
      <c r="Q741" s="73"/>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row>
    <row r="742" spans="1:235" ht="33.75">
      <c r="A742" s="55" t="s">
        <v>81</v>
      </c>
      <c r="B742" s="7"/>
      <c r="C742" s="7"/>
      <c r="D742" s="14"/>
      <c r="E742" s="14"/>
      <c r="F742" s="14"/>
      <c r="G742" s="14">
        <v>29166.666666</v>
      </c>
      <c r="H742" s="14"/>
      <c r="I742" s="14"/>
      <c r="J742" s="14">
        <f>G742</f>
        <v>29166.666666</v>
      </c>
      <c r="K742" s="14"/>
      <c r="L742" s="14"/>
      <c r="M742" s="14"/>
      <c r="N742" s="14">
        <v>34375</v>
      </c>
      <c r="O742" s="14"/>
      <c r="P742" s="14">
        <f>N742</f>
        <v>34375</v>
      </c>
      <c r="Q742" s="73"/>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row>
    <row r="743" spans="1:17" s="85" customFormat="1" ht="12">
      <c r="A743" s="108" t="s">
        <v>437</v>
      </c>
      <c r="B743" s="77"/>
      <c r="C743" s="77"/>
      <c r="D743" s="89">
        <f>D746</f>
        <v>0</v>
      </c>
      <c r="E743" s="89">
        <v>0</v>
      </c>
      <c r="F743" s="89">
        <f>D743</f>
        <v>0</v>
      </c>
      <c r="G743" s="89">
        <f>G746+G755</f>
        <v>0</v>
      </c>
      <c r="H743" s="89">
        <f aca="true" t="shared" si="49" ref="H743:P743">H746+H755</f>
        <v>2092800</v>
      </c>
      <c r="I743" s="89">
        <f t="shared" si="49"/>
        <v>0</v>
      </c>
      <c r="J743" s="89">
        <f t="shared" si="49"/>
        <v>2092800</v>
      </c>
      <c r="K743" s="89">
        <f t="shared" si="49"/>
        <v>0</v>
      </c>
      <c r="L743" s="89">
        <f t="shared" si="49"/>
        <v>0</v>
      </c>
      <c r="M743" s="89">
        <f t="shared" si="49"/>
        <v>0</v>
      </c>
      <c r="N743" s="89">
        <f t="shared" si="49"/>
        <v>0</v>
      </c>
      <c r="O743" s="89">
        <f t="shared" si="49"/>
        <v>20816200</v>
      </c>
      <c r="P743" s="89">
        <f t="shared" si="49"/>
        <v>20816200</v>
      </c>
      <c r="Q743" s="84"/>
    </row>
    <row r="744" spans="1:235" ht="24.75" customHeight="1">
      <c r="A744" s="22" t="s">
        <v>331</v>
      </c>
      <c r="B744" s="7"/>
      <c r="C744" s="7"/>
      <c r="D744" s="14"/>
      <c r="E744" s="14"/>
      <c r="F744" s="14"/>
      <c r="G744" s="14"/>
      <c r="H744" s="14"/>
      <c r="I744" s="14"/>
      <c r="J744" s="14"/>
      <c r="K744" s="14"/>
      <c r="L744" s="14"/>
      <c r="M744" s="14"/>
      <c r="N744" s="14"/>
      <c r="O744" s="14"/>
      <c r="P744" s="14"/>
      <c r="Q744" s="73"/>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row>
    <row r="745" spans="1:235" ht="22.5">
      <c r="A745" s="21" t="s">
        <v>454</v>
      </c>
      <c r="B745" s="7"/>
      <c r="C745" s="7"/>
      <c r="D745" s="62"/>
      <c r="E745" s="14"/>
      <c r="F745" s="14"/>
      <c r="G745" s="14"/>
      <c r="H745" s="14"/>
      <c r="I745" s="14"/>
      <c r="J745" s="14"/>
      <c r="K745" s="14"/>
      <c r="L745" s="14"/>
      <c r="M745" s="14"/>
      <c r="N745" s="14"/>
      <c r="O745" s="14"/>
      <c r="P745" s="14"/>
      <c r="Q745" s="73"/>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row>
    <row r="746" spans="1:17" s="92" customFormat="1" ht="22.5">
      <c r="A746" s="82" t="s">
        <v>455</v>
      </c>
      <c r="B746" s="88"/>
      <c r="C746" s="88"/>
      <c r="D746" s="144"/>
      <c r="E746" s="144"/>
      <c r="F746" s="144">
        <f>D746</f>
        <v>0</v>
      </c>
      <c r="G746" s="89">
        <f>G751*G754</f>
        <v>0</v>
      </c>
      <c r="H746" s="89">
        <f>H748</f>
        <v>0</v>
      </c>
      <c r="I746" s="89">
        <f>I751*I754</f>
        <v>0</v>
      </c>
      <c r="J746" s="89">
        <f>J748</f>
        <v>0</v>
      </c>
      <c r="K746" s="89"/>
      <c r="L746" s="89"/>
      <c r="M746" s="89"/>
      <c r="N746" s="89"/>
      <c r="O746" s="89">
        <f>O748</f>
        <v>4200000</v>
      </c>
      <c r="P746" s="89">
        <f>P748</f>
        <v>4200000</v>
      </c>
      <c r="Q746" s="106"/>
    </row>
    <row r="747" spans="1:235" ht="11.25">
      <c r="A747" s="20" t="s">
        <v>4</v>
      </c>
      <c r="B747" s="7"/>
      <c r="C747" s="7"/>
      <c r="D747" s="145"/>
      <c r="E747" s="146"/>
      <c r="F747" s="146"/>
      <c r="G747" s="14"/>
      <c r="H747" s="14"/>
      <c r="I747" s="14"/>
      <c r="J747" s="14"/>
      <c r="K747" s="14"/>
      <c r="L747" s="14"/>
      <c r="M747" s="14"/>
      <c r="N747" s="14"/>
      <c r="O747" s="14"/>
      <c r="P747" s="14"/>
      <c r="Q747" s="73"/>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row>
    <row r="748" spans="1:235" ht="10.5" customHeight="1">
      <c r="A748" s="21" t="s">
        <v>63</v>
      </c>
      <c r="B748" s="7"/>
      <c r="C748" s="7"/>
      <c r="D748" s="145"/>
      <c r="E748" s="146"/>
      <c r="F748" s="146"/>
      <c r="G748" s="14"/>
      <c r="H748" s="14"/>
      <c r="I748" s="14"/>
      <c r="J748" s="14">
        <f>H748</f>
        <v>0</v>
      </c>
      <c r="K748" s="14"/>
      <c r="L748" s="14"/>
      <c r="M748" s="14"/>
      <c r="N748" s="14"/>
      <c r="O748" s="14">
        <v>4200000</v>
      </c>
      <c r="P748" s="14">
        <f>O748</f>
        <v>4200000</v>
      </c>
      <c r="Q748" s="73"/>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row>
    <row r="749" spans="1:235" ht="11.25" hidden="1">
      <c r="A749" s="21" t="s">
        <v>63</v>
      </c>
      <c r="B749" s="7"/>
      <c r="C749" s="7"/>
      <c r="D749" s="145"/>
      <c r="E749" s="146"/>
      <c r="F749" s="146"/>
      <c r="G749" s="14"/>
      <c r="H749" s="14"/>
      <c r="I749" s="14"/>
      <c r="J749" s="14"/>
      <c r="K749" s="14"/>
      <c r="L749" s="14"/>
      <c r="M749" s="14"/>
      <c r="N749" s="14"/>
      <c r="O749" s="14"/>
      <c r="P749" s="14"/>
      <c r="Q749" s="73"/>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row>
    <row r="750" spans="1:235" ht="11.25">
      <c r="A750" s="20" t="s">
        <v>5</v>
      </c>
      <c r="B750" s="7"/>
      <c r="C750" s="7"/>
      <c r="D750" s="145"/>
      <c r="E750" s="146"/>
      <c r="F750" s="146"/>
      <c r="G750" s="14"/>
      <c r="H750" s="14"/>
      <c r="I750" s="14"/>
      <c r="J750" s="14"/>
      <c r="K750" s="14"/>
      <c r="L750" s="14"/>
      <c r="M750" s="14"/>
      <c r="N750" s="14"/>
      <c r="O750" s="14"/>
      <c r="P750" s="14"/>
      <c r="Q750" s="73"/>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row>
    <row r="751" spans="1:235" ht="10.5" customHeight="1">
      <c r="A751" s="21" t="s">
        <v>327</v>
      </c>
      <c r="B751" s="7"/>
      <c r="C751" s="7"/>
      <c r="D751" s="145"/>
      <c r="E751" s="146"/>
      <c r="F751" s="146">
        <f>D751</f>
        <v>0</v>
      </c>
      <c r="G751" s="146"/>
      <c r="H751" s="146"/>
      <c r="I751" s="146"/>
      <c r="J751" s="146"/>
      <c r="K751" s="146">
        <f>H751</f>
        <v>0</v>
      </c>
      <c r="L751" s="146">
        <f>J751</f>
        <v>0</v>
      </c>
      <c r="M751" s="146">
        <f>K751</f>
        <v>0</v>
      </c>
      <c r="N751" s="146"/>
      <c r="O751" s="146">
        <v>1</v>
      </c>
      <c r="P751" s="146">
        <v>1</v>
      </c>
      <c r="Q751" s="73"/>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row>
    <row r="752" spans="1:235" ht="11.25" hidden="1">
      <c r="A752" s="21" t="s">
        <v>290</v>
      </c>
      <c r="B752" s="7"/>
      <c r="C752" s="7"/>
      <c r="D752" s="145"/>
      <c r="E752" s="146"/>
      <c r="F752" s="146"/>
      <c r="G752" s="146">
        <v>1487</v>
      </c>
      <c r="H752" s="146"/>
      <c r="I752" s="146"/>
      <c r="J752" s="146">
        <f>G752</f>
        <v>1487</v>
      </c>
      <c r="K752" s="146"/>
      <c r="L752" s="146"/>
      <c r="M752" s="146"/>
      <c r="N752" s="146"/>
      <c r="O752" s="146"/>
      <c r="P752" s="146"/>
      <c r="Q752" s="73"/>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row>
    <row r="753" spans="1:235" ht="11.25">
      <c r="A753" s="20" t="s">
        <v>7</v>
      </c>
      <c r="B753" s="7"/>
      <c r="C753" s="7"/>
      <c r="D753" s="145"/>
      <c r="E753" s="146"/>
      <c r="F753" s="146"/>
      <c r="G753" s="14"/>
      <c r="H753" s="14"/>
      <c r="I753" s="14"/>
      <c r="J753" s="14"/>
      <c r="K753" s="14"/>
      <c r="L753" s="14"/>
      <c r="M753" s="14"/>
      <c r="N753" s="14"/>
      <c r="O753" s="14"/>
      <c r="P753" s="14"/>
      <c r="Q753" s="7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row>
    <row r="754" spans="1:235" ht="22.5">
      <c r="A754" s="21" t="s">
        <v>453</v>
      </c>
      <c r="B754" s="7"/>
      <c r="C754" s="7"/>
      <c r="D754" s="145"/>
      <c r="E754" s="146"/>
      <c r="F754" s="146"/>
      <c r="G754" s="14"/>
      <c r="H754" s="14"/>
      <c r="I754" s="14"/>
      <c r="J754" s="14"/>
      <c r="K754" s="14"/>
      <c r="L754" s="14"/>
      <c r="M754" s="14"/>
      <c r="N754" s="14"/>
      <c r="O754" s="14">
        <f>O748/O751</f>
        <v>4200000</v>
      </c>
      <c r="P754" s="14">
        <f>P748/P751</f>
        <v>4200000</v>
      </c>
      <c r="Q754" s="14" t="e">
        <f>Q748/Q751</f>
        <v>#DIV/0!</v>
      </c>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row>
    <row r="755" spans="1:17" s="92" customFormat="1" ht="56.25">
      <c r="A755" s="82" t="s">
        <v>452</v>
      </c>
      <c r="B755" s="88"/>
      <c r="C755" s="88"/>
      <c r="D755" s="144"/>
      <c r="E755" s="144"/>
      <c r="F755" s="144">
        <f>D755</f>
        <v>0</v>
      </c>
      <c r="G755" s="89">
        <f>G757</f>
        <v>0</v>
      </c>
      <c r="H755" s="89">
        <f>H760*H763</f>
        <v>2092800</v>
      </c>
      <c r="I755" s="89"/>
      <c r="J755" s="89">
        <f>G755+H755+I755</f>
        <v>2092800</v>
      </c>
      <c r="K755" s="89"/>
      <c r="L755" s="89"/>
      <c r="M755" s="89"/>
      <c r="N755" s="89"/>
      <c r="O755" s="89">
        <f>O757</f>
        <v>16616200</v>
      </c>
      <c r="P755" s="89">
        <f>N755+O755</f>
        <v>16616200</v>
      </c>
      <c r="Q755" s="106"/>
    </row>
    <row r="756" spans="1:235" ht="11.25">
      <c r="A756" s="20" t="s">
        <v>4</v>
      </c>
      <c r="B756" s="7"/>
      <c r="C756" s="7"/>
      <c r="D756" s="145"/>
      <c r="E756" s="146"/>
      <c r="F756" s="146"/>
      <c r="G756" s="14"/>
      <c r="H756" s="14"/>
      <c r="I756" s="14"/>
      <c r="J756" s="14"/>
      <c r="K756" s="14"/>
      <c r="L756" s="14"/>
      <c r="M756" s="14"/>
      <c r="N756" s="14"/>
      <c r="O756" s="14"/>
      <c r="P756" s="14"/>
      <c r="Q756" s="73"/>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row>
    <row r="757" spans="1:235" ht="10.5" customHeight="1">
      <c r="A757" s="21" t="s">
        <v>63</v>
      </c>
      <c r="B757" s="7"/>
      <c r="C757" s="7"/>
      <c r="D757" s="145"/>
      <c r="E757" s="146"/>
      <c r="F757" s="146"/>
      <c r="G757" s="14"/>
      <c r="H757" s="14">
        <f>1473000+619800</f>
        <v>2092800</v>
      </c>
      <c r="I757" s="14"/>
      <c r="J757" s="14">
        <f>H757</f>
        <v>2092800</v>
      </c>
      <c r="K757" s="14"/>
      <c r="L757" s="14"/>
      <c r="M757" s="14"/>
      <c r="N757" s="14"/>
      <c r="O757" s="14">
        <f>5200000+1575000+6000000+750000+341000+2750200</f>
        <v>16616200</v>
      </c>
      <c r="P757" s="14">
        <f>O757</f>
        <v>16616200</v>
      </c>
      <c r="Q757" s="73"/>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row>
    <row r="758" spans="1:235" ht="11.25" hidden="1">
      <c r="A758" s="21" t="s">
        <v>63</v>
      </c>
      <c r="B758" s="7"/>
      <c r="C758" s="7"/>
      <c r="D758" s="145"/>
      <c r="E758" s="146"/>
      <c r="F758" s="146"/>
      <c r="G758" s="14"/>
      <c r="H758" s="14"/>
      <c r="I758" s="14"/>
      <c r="J758" s="14">
        <f aca="true" t="shared" si="50" ref="J758:J763">H758</f>
        <v>0</v>
      </c>
      <c r="K758" s="14"/>
      <c r="L758" s="14"/>
      <c r="M758" s="14"/>
      <c r="N758" s="14"/>
      <c r="O758" s="14"/>
      <c r="P758" s="14"/>
      <c r="Q758" s="73"/>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row>
    <row r="759" spans="1:235" ht="11.25">
      <c r="A759" s="20" t="s">
        <v>5</v>
      </c>
      <c r="B759" s="7"/>
      <c r="C759" s="7"/>
      <c r="D759" s="145"/>
      <c r="E759" s="146"/>
      <c r="F759" s="146"/>
      <c r="G759" s="14"/>
      <c r="H759" s="14"/>
      <c r="I759" s="14"/>
      <c r="J759" s="14"/>
      <c r="K759" s="14"/>
      <c r="L759" s="14"/>
      <c r="M759" s="14"/>
      <c r="N759" s="14"/>
      <c r="O759" s="14"/>
      <c r="P759" s="14"/>
      <c r="Q759" s="73"/>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row>
    <row r="760" spans="1:235" ht="10.5" customHeight="1">
      <c r="A760" s="21" t="s">
        <v>327</v>
      </c>
      <c r="B760" s="7"/>
      <c r="C760" s="7"/>
      <c r="D760" s="145"/>
      <c r="E760" s="146"/>
      <c r="F760" s="146">
        <f>D760</f>
        <v>0</v>
      </c>
      <c r="G760" s="146"/>
      <c r="H760" s="146">
        <v>5</v>
      </c>
      <c r="I760" s="146"/>
      <c r="J760" s="14">
        <f t="shared" si="50"/>
        <v>5</v>
      </c>
      <c r="K760" s="146">
        <f>H760</f>
        <v>5</v>
      </c>
      <c r="L760" s="146">
        <f>J760</f>
        <v>5</v>
      </c>
      <c r="M760" s="146">
        <f>K760</f>
        <v>5</v>
      </c>
      <c r="N760" s="146"/>
      <c r="O760" s="146">
        <f>1+3+1+2</f>
        <v>7</v>
      </c>
      <c r="P760" s="146">
        <f>O760</f>
        <v>7</v>
      </c>
      <c r="Q760" s="73"/>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row>
    <row r="761" spans="1:235" ht="11.25" hidden="1">
      <c r="A761" s="21" t="s">
        <v>290</v>
      </c>
      <c r="B761" s="7"/>
      <c r="C761" s="7"/>
      <c r="D761" s="145"/>
      <c r="E761" s="146"/>
      <c r="F761" s="146"/>
      <c r="G761" s="146">
        <v>1487</v>
      </c>
      <c r="H761" s="146"/>
      <c r="I761" s="146"/>
      <c r="J761" s="14">
        <f t="shared" si="50"/>
        <v>0</v>
      </c>
      <c r="K761" s="146"/>
      <c r="L761" s="146"/>
      <c r="M761" s="146"/>
      <c r="N761" s="146"/>
      <c r="O761" s="146"/>
      <c r="P761" s="146"/>
      <c r="Q761" s="73"/>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row>
    <row r="762" spans="1:235" ht="11.25">
      <c r="A762" s="20" t="s">
        <v>7</v>
      </c>
      <c r="B762" s="7"/>
      <c r="C762" s="7"/>
      <c r="D762" s="145"/>
      <c r="E762" s="146"/>
      <c r="F762" s="146"/>
      <c r="G762" s="14"/>
      <c r="H762" s="14"/>
      <c r="I762" s="14"/>
      <c r="J762" s="14"/>
      <c r="K762" s="14"/>
      <c r="L762" s="14"/>
      <c r="M762" s="14"/>
      <c r="N762" s="14"/>
      <c r="O762" s="14"/>
      <c r="P762" s="14"/>
      <c r="Q762" s="73"/>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row>
    <row r="763" spans="1:235" ht="22.5">
      <c r="A763" s="21" t="s">
        <v>330</v>
      </c>
      <c r="B763" s="7"/>
      <c r="C763" s="7"/>
      <c r="D763" s="145"/>
      <c r="E763" s="146"/>
      <c r="F763" s="146"/>
      <c r="G763" s="14"/>
      <c r="H763" s="14">
        <f>H757/H760</f>
        <v>418560</v>
      </c>
      <c r="I763" s="14"/>
      <c r="J763" s="14">
        <f t="shared" si="50"/>
        <v>418560</v>
      </c>
      <c r="K763" s="14"/>
      <c r="L763" s="14"/>
      <c r="M763" s="14"/>
      <c r="N763" s="14"/>
      <c r="O763" s="14">
        <f>O757/O760</f>
        <v>2373742.8571428573</v>
      </c>
      <c r="P763" s="14">
        <f>O763</f>
        <v>2373742.8571428573</v>
      </c>
      <c r="Q763" s="7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row>
    <row r="764" spans="1:235" ht="12">
      <c r="A764" s="108" t="s">
        <v>438</v>
      </c>
      <c r="B764" s="77"/>
      <c r="C764" s="77"/>
      <c r="D764" s="189"/>
      <c r="E764" s="189"/>
      <c r="F764" s="189"/>
      <c r="G764" s="78"/>
      <c r="H764" s="89">
        <f>H766</f>
        <v>-2804000</v>
      </c>
      <c r="I764" s="89"/>
      <c r="J764" s="89">
        <f>H764</f>
        <v>-2804000</v>
      </c>
      <c r="K764" s="89"/>
      <c r="L764" s="89"/>
      <c r="M764" s="89"/>
      <c r="N764" s="89"/>
      <c r="O764" s="89">
        <f>O766</f>
        <v>-2104092</v>
      </c>
      <c r="P764" s="89">
        <f>O764</f>
        <v>-2104092</v>
      </c>
      <c r="Q764" s="73"/>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row>
    <row r="765" spans="1:235" ht="17.25" customHeight="1">
      <c r="A765" s="21" t="s">
        <v>416</v>
      </c>
      <c r="B765" s="7"/>
      <c r="C765" s="7"/>
      <c r="D765" s="145"/>
      <c r="E765" s="146"/>
      <c r="F765" s="146"/>
      <c r="G765" s="14"/>
      <c r="H765" s="14"/>
      <c r="I765" s="14"/>
      <c r="J765" s="14"/>
      <c r="K765" s="14"/>
      <c r="L765" s="14"/>
      <c r="M765" s="14"/>
      <c r="N765" s="14"/>
      <c r="O765" s="14"/>
      <c r="P765" s="14"/>
      <c r="Q765" s="73"/>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row>
    <row r="766" spans="1:235" ht="22.5">
      <c r="A766" s="82" t="s">
        <v>417</v>
      </c>
      <c r="B766" s="77"/>
      <c r="C766" s="77"/>
      <c r="D766" s="189"/>
      <c r="E766" s="189"/>
      <c r="F766" s="189"/>
      <c r="G766" s="78"/>
      <c r="H766" s="89">
        <f>H768</f>
        <v>-2804000</v>
      </c>
      <c r="I766" s="89"/>
      <c r="J766" s="89">
        <f>H766</f>
        <v>-2804000</v>
      </c>
      <c r="K766" s="89"/>
      <c r="L766" s="89"/>
      <c r="M766" s="89"/>
      <c r="N766" s="89"/>
      <c r="O766" s="89">
        <f>O768</f>
        <v>-2104092</v>
      </c>
      <c r="P766" s="89">
        <f>O766</f>
        <v>-2104092</v>
      </c>
      <c r="Q766" s="73"/>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row>
    <row r="767" spans="1:235" ht="11.25">
      <c r="A767" s="20" t="s">
        <v>4</v>
      </c>
      <c r="B767" s="7"/>
      <c r="C767" s="7"/>
      <c r="D767" s="145"/>
      <c r="E767" s="146"/>
      <c r="F767" s="146"/>
      <c r="G767" s="14"/>
      <c r="H767" s="14"/>
      <c r="I767" s="14"/>
      <c r="J767" s="14"/>
      <c r="K767" s="14"/>
      <c r="L767" s="14"/>
      <c r="M767" s="14"/>
      <c r="N767" s="14"/>
      <c r="O767" s="14"/>
      <c r="P767" s="14"/>
      <c r="Q767" s="73"/>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row>
    <row r="768" spans="1:235" ht="22.5">
      <c r="A768" s="21" t="s">
        <v>420</v>
      </c>
      <c r="B768" s="7"/>
      <c r="C768" s="7"/>
      <c r="D768" s="145"/>
      <c r="E768" s="146"/>
      <c r="F768" s="146"/>
      <c r="G768" s="14"/>
      <c r="H768" s="14">
        <v>-2804000</v>
      </c>
      <c r="I768" s="14"/>
      <c r="J768" s="14">
        <f>H768</f>
        <v>-2804000</v>
      </c>
      <c r="K768" s="14"/>
      <c r="L768" s="14"/>
      <c r="M768" s="14"/>
      <c r="N768" s="14"/>
      <c r="O768" s="14">
        <v>-2104092</v>
      </c>
      <c r="P768" s="14">
        <f>O768</f>
        <v>-2104092</v>
      </c>
      <c r="Q768" s="73"/>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row>
    <row r="769" spans="1:235" ht="11.25">
      <c r="A769" s="20" t="s">
        <v>5</v>
      </c>
      <c r="B769" s="7"/>
      <c r="C769" s="7"/>
      <c r="D769" s="145"/>
      <c r="E769" s="146"/>
      <c r="F769" s="146"/>
      <c r="G769" s="14"/>
      <c r="H769" s="14"/>
      <c r="I769" s="14"/>
      <c r="J769" s="14"/>
      <c r="K769" s="14"/>
      <c r="L769" s="14"/>
      <c r="M769" s="14"/>
      <c r="N769" s="14"/>
      <c r="O769" s="14"/>
      <c r="P769" s="14"/>
      <c r="Q769" s="73"/>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row>
    <row r="770" spans="1:235" ht="22.5">
      <c r="A770" s="21" t="s">
        <v>418</v>
      </c>
      <c r="B770" s="7"/>
      <c r="C770" s="7"/>
      <c r="D770" s="145"/>
      <c r="E770" s="146"/>
      <c r="F770" s="146"/>
      <c r="G770" s="14"/>
      <c r="H770" s="184">
        <v>3</v>
      </c>
      <c r="I770" s="14"/>
      <c r="J770" s="184">
        <f>H770</f>
        <v>3</v>
      </c>
      <c r="K770" s="14"/>
      <c r="L770" s="14"/>
      <c r="M770" s="14"/>
      <c r="N770" s="14"/>
      <c r="O770" s="184">
        <v>2</v>
      </c>
      <c r="P770" s="184">
        <v>2</v>
      </c>
      <c r="Q770" s="73"/>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row>
    <row r="771" spans="1:235" ht="11.25">
      <c r="A771" s="20" t="s">
        <v>7</v>
      </c>
      <c r="B771" s="7"/>
      <c r="C771" s="7"/>
      <c r="D771" s="145"/>
      <c r="E771" s="146"/>
      <c r="F771" s="146"/>
      <c r="G771" s="14"/>
      <c r="H771" s="14"/>
      <c r="I771" s="14"/>
      <c r="J771" s="14"/>
      <c r="K771" s="14"/>
      <c r="L771" s="14"/>
      <c r="M771" s="14"/>
      <c r="N771" s="14"/>
      <c r="O771" s="14"/>
      <c r="P771" s="14"/>
      <c r="Q771" s="73"/>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row>
    <row r="772" spans="1:235" ht="22.5" hidden="1">
      <c r="A772" s="188" t="s">
        <v>330</v>
      </c>
      <c r="B772" s="53"/>
      <c r="C772" s="53"/>
      <c r="D772" s="72"/>
      <c r="E772" s="72"/>
      <c r="F772" s="72"/>
      <c r="G772" s="72"/>
      <c r="H772" s="72"/>
      <c r="I772" s="72"/>
      <c r="J772" s="72"/>
      <c r="K772" s="72"/>
      <c r="L772" s="72"/>
      <c r="M772" s="72"/>
      <c r="N772" s="72"/>
      <c r="O772" s="72"/>
      <c r="P772" s="72"/>
      <c r="Q772" s="73"/>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row>
    <row r="773" spans="1:235" ht="11.25" hidden="1">
      <c r="A773" s="71"/>
      <c r="B773" s="53"/>
      <c r="C773" s="53"/>
      <c r="D773" s="72"/>
      <c r="E773" s="72"/>
      <c r="F773" s="72"/>
      <c r="G773" s="72"/>
      <c r="H773" s="72"/>
      <c r="I773" s="72"/>
      <c r="J773" s="72"/>
      <c r="K773" s="72"/>
      <c r="L773" s="72"/>
      <c r="M773" s="72"/>
      <c r="N773" s="72"/>
      <c r="O773" s="72"/>
      <c r="P773" s="72"/>
      <c r="Q773" s="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row>
    <row r="774" spans="1:235" ht="11.25" hidden="1">
      <c r="A774" s="71"/>
      <c r="B774" s="53"/>
      <c r="C774" s="53"/>
      <c r="D774" s="72"/>
      <c r="E774" s="72"/>
      <c r="F774" s="72"/>
      <c r="G774" s="72"/>
      <c r="H774" s="72"/>
      <c r="I774" s="72"/>
      <c r="J774" s="72"/>
      <c r="K774" s="72"/>
      <c r="L774" s="72"/>
      <c r="M774" s="72"/>
      <c r="N774" s="72"/>
      <c r="O774" s="72"/>
      <c r="P774" s="72"/>
      <c r="Q774" s="73"/>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row>
    <row r="775" spans="1:235" ht="11.25" hidden="1">
      <c r="A775" s="71"/>
      <c r="B775" s="53"/>
      <c r="C775" s="53"/>
      <c r="D775" s="72"/>
      <c r="E775" s="72"/>
      <c r="F775" s="72"/>
      <c r="G775" s="72"/>
      <c r="H775" s="72"/>
      <c r="I775" s="72"/>
      <c r="J775" s="72"/>
      <c r="K775" s="72"/>
      <c r="L775" s="72"/>
      <c r="M775" s="72"/>
      <c r="N775" s="72"/>
      <c r="O775" s="72"/>
      <c r="P775" s="72"/>
      <c r="Q775" s="73"/>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row>
    <row r="776" spans="1:235" ht="11.25" hidden="1">
      <c r="A776" s="71"/>
      <c r="B776" s="53"/>
      <c r="C776" s="53"/>
      <c r="D776" s="72"/>
      <c r="E776" s="72"/>
      <c r="F776" s="72"/>
      <c r="G776" s="72"/>
      <c r="H776" s="72"/>
      <c r="I776" s="72"/>
      <c r="J776" s="72"/>
      <c r="K776" s="72"/>
      <c r="L776" s="72"/>
      <c r="M776" s="72"/>
      <c r="N776" s="72"/>
      <c r="O776" s="72"/>
      <c r="P776" s="72"/>
      <c r="Q776" s="73"/>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row>
    <row r="777" spans="1:235" ht="11.25" hidden="1">
      <c r="A777" s="71"/>
      <c r="B777" s="53"/>
      <c r="C777" s="53"/>
      <c r="D777" s="72"/>
      <c r="E777" s="72"/>
      <c r="F777" s="72"/>
      <c r="G777" s="72"/>
      <c r="H777" s="72"/>
      <c r="I777" s="72"/>
      <c r="J777" s="72"/>
      <c r="K777" s="72"/>
      <c r="L777" s="72"/>
      <c r="M777" s="72"/>
      <c r="N777" s="72"/>
      <c r="O777" s="72"/>
      <c r="P777" s="72"/>
      <c r="Q777" s="73"/>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row>
    <row r="778" spans="1:235" ht="11.25" hidden="1">
      <c r="A778" s="71"/>
      <c r="B778" s="53"/>
      <c r="C778" s="53"/>
      <c r="D778" s="72"/>
      <c r="E778" s="72"/>
      <c r="F778" s="72"/>
      <c r="G778" s="72"/>
      <c r="H778" s="72"/>
      <c r="I778" s="72"/>
      <c r="J778" s="72"/>
      <c r="K778" s="72"/>
      <c r="L778" s="72"/>
      <c r="M778" s="72"/>
      <c r="N778" s="72"/>
      <c r="O778" s="72"/>
      <c r="P778" s="72"/>
      <c r="Q778" s="73"/>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row>
    <row r="779" spans="1:235" ht="11.25" hidden="1">
      <c r="A779" s="71"/>
      <c r="B779" s="53"/>
      <c r="C779" s="53"/>
      <c r="D779" s="72"/>
      <c r="E779" s="72"/>
      <c r="F779" s="72"/>
      <c r="G779" s="72"/>
      <c r="H779" s="72"/>
      <c r="I779" s="72"/>
      <c r="J779" s="72"/>
      <c r="K779" s="72"/>
      <c r="L779" s="72"/>
      <c r="M779" s="72"/>
      <c r="N779" s="72"/>
      <c r="O779" s="72"/>
      <c r="P779" s="72"/>
      <c r="Q779" s="73"/>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row>
    <row r="780" spans="1:235" ht="11.25" hidden="1">
      <c r="A780" s="71"/>
      <c r="B780" s="53"/>
      <c r="C780" s="53"/>
      <c r="D780" s="72"/>
      <c r="E780" s="72"/>
      <c r="F780" s="72"/>
      <c r="G780" s="72"/>
      <c r="H780" s="72"/>
      <c r="I780" s="72"/>
      <c r="J780" s="72"/>
      <c r="K780" s="72"/>
      <c r="L780" s="72"/>
      <c r="M780" s="72"/>
      <c r="N780" s="72"/>
      <c r="O780" s="72"/>
      <c r="P780" s="72"/>
      <c r="Q780" s="73"/>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row>
    <row r="781" spans="1:235" ht="10.5" customHeight="1" hidden="1">
      <c r="A781" s="71"/>
      <c r="B781" s="53"/>
      <c r="C781" s="53"/>
      <c r="D781" s="148"/>
      <c r="E781" s="149"/>
      <c r="F781" s="149"/>
      <c r="G781" s="72"/>
      <c r="H781" s="72"/>
      <c r="I781" s="72"/>
      <c r="J781" s="72"/>
      <c r="K781" s="72"/>
      <c r="L781" s="72"/>
      <c r="M781" s="72"/>
      <c r="N781" s="72"/>
      <c r="O781" s="72"/>
      <c r="P781" s="72"/>
      <c r="Q781" s="73"/>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row>
    <row r="782" spans="1:235" ht="11.25" hidden="1">
      <c r="A782" s="71"/>
      <c r="B782" s="53"/>
      <c r="C782" s="53"/>
      <c r="D782" s="148"/>
      <c r="E782" s="149"/>
      <c r="F782" s="149"/>
      <c r="G782" s="72"/>
      <c r="H782" s="72"/>
      <c r="I782" s="72"/>
      <c r="J782" s="72"/>
      <c r="K782" s="72"/>
      <c r="L782" s="72"/>
      <c r="M782" s="72"/>
      <c r="N782" s="72"/>
      <c r="O782" s="72"/>
      <c r="P782" s="72"/>
      <c r="Q782" s="73"/>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row>
    <row r="783" spans="1:235" ht="11.25" hidden="1">
      <c r="A783" s="71"/>
      <c r="B783" s="53"/>
      <c r="C783" s="53"/>
      <c r="D783" s="148"/>
      <c r="E783" s="149"/>
      <c r="F783" s="149"/>
      <c r="G783" s="72"/>
      <c r="H783" s="72"/>
      <c r="I783" s="72"/>
      <c r="J783" s="72"/>
      <c r="K783" s="72"/>
      <c r="L783" s="72"/>
      <c r="M783" s="72"/>
      <c r="N783" s="72"/>
      <c r="O783" s="72"/>
      <c r="P783" s="72"/>
      <c r="Q783" s="7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row>
    <row r="784" spans="1:235" ht="11.25" hidden="1">
      <c r="A784" s="71"/>
      <c r="B784" s="53"/>
      <c r="C784" s="53"/>
      <c r="D784" s="148"/>
      <c r="E784" s="149"/>
      <c r="F784" s="149"/>
      <c r="G784" s="72"/>
      <c r="H784" s="72"/>
      <c r="I784" s="72"/>
      <c r="J784" s="72"/>
      <c r="K784" s="72"/>
      <c r="L784" s="72"/>
      <c r="M784" s="72"/>
      <c r="N784" s="72"/>
      <c r="O784" s="72"/>
      <c r="P784" s="72"/>
      <c r="Q784" s="73"/>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row>
    <row r="785" spans="1:235" ht="11.25" hidden="1">
      <c r="A785" s="71"/>
      <c r="B785" s="53"/>
      <c r="C785" s="53"/>
      <c r="D785" s="148"/>
      <c r="E785" s="149"/>
      <c r="F785" s="149"/>
      <c r="G785" s="72"/>
      <c r="H785" s="72"/>
      <c r="I785" s="72"/>
      <c r="J785" s="72"/>
      <c r="K785" s="72"/>
      <c r="L785" s="72"/>
      <c r="M785" s="72"/>
      <c r="N785" s="72"/>
      <c r="O785" s="72"/>
      <c r="P785" s="72"/>
      <c r="Q785" s="73"/>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row>
    <row r="786" spans="1:235" ht="11.25" hidden="1">
      <c r="A786" s="71"/>
      <c r="B786" s="53"/>
      <c r="C786" s="53"/>
      <c r="D786" s="148"/>
      <c r="E786" s="149"/>
      <c r="F786" s="149"/>
      <c r="G786" s="72"/>
      <c r="H786" s="72"/>
      <c r="I786" s="72"/>
      <c r="J786" s="72"/>
      <c r="K786" s="72"/>
      <c r="L786" s="72"/>
      <c r="M786" s="72"/>
      <c r="N786" s="72"/>
      <c r="O786" s="72"/>
      <c r="P786" s="72"/>
      <c r="Q786" s="73"/>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row>
    <row r="787" spans="1:235" ht="11.25" hidden="1">
      <c r="A787" s="71"/>
      <c r="B787" s="53"/>
      <c r="C787" s="53"/>
      <c r="D787" s="148"/>
      <c r="E787" s="149"/>
      <c r="F787" s="149"/>
      <c r="G787" s="72"/>
      <c r="H787" s="72"/>
      <c r="I787" s="72"/>
      <c r="J787" s="72"/>
      <c r="K787" s="72"/>
      <c r="L787" s="72"/>
      <c r="M787" s="72"/>
      <c r="N787" s="72"/>
      <c r="O787" s="72"/>
      <c r="P787" s="72"/>
      <c r="Q787" s="73"/>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row>
    <row r="788" spans="1:235" ht="11.25" hidden="1">
      <c r="A788" s="71"/>
      <c r="B788" s="53"/>
      <c r="C788" s="53"/>
      <c r="D788" s="148"/>
      <c r="E788" s="149"/>
      <c r="F788" s="149"/>
      <c r="G788" s="72"/>
      <c r="H788" s="72"/>
      <c r="I788" s="72"/>
      <c r="J788" s="72"/>
      <c r="K788" s="72"/>
      <c r="L788" s="72"/>
      <c r="M788" s="72"/>
      <c r="N788" s="72"/>
      <c r="O788" s="72"/>
      <c r="P788" s="72"/>
      <c r="Q788" s="73"/>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row>
    <row r="789" spans="1:235" ht="11.25" hidden="1">
      <c r="A789" s="71"/>
      <c r="B789" s="53"/>
      <c r="C789" s="53"/>
      <c r="D789" s="148"/>
      <c r="E789" s="149"/>
      <c r="F789" s="149"/>
      <c r="G789" s="72"/>
      <c r="H789" s="72"/>
      <c r="I789" s="72"/>
      <c r="J789" s="72"/>
      <c r="K789" s="72"/>
      <c r="L789" s="72"/>
      <c r="M789" s="72"/>
      <c r="N789" s="72"/>
      <c r="O789" s="72"/>
      <c r="P789" s="72"/>
      <c r="Q789" s="73"/>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row>
    <row r="790" spans="1:235" ht="12" customHeight="1" hidden="1">
      <c r="A790" s="71"/>
      <c r="B790" s="53"/>
      <c r="C790" s="53"/>
      <c r="D790" s="148"/>
      <c r="E790" s="149"/>
      <c r="F790" s="149"/>
      <c r="G790" s="72"/>
      <c r="H790" s="72"/>
      <c r="I790" s="72"/>
      <c r="J790" s="72"/>
      <c r="K790" s="72"/>
      <c r="L790" s="72"/>
      <c r="M790" s="72"/>
      <c r="N790" s="72"/>
      <c r="O790" s="72"/>
      <c r="P790" s="72"/>
      <c r="Q790" s="73"/>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row>
    <row r="791" spans="1:235" ht="11.25" hidden="1">
      <c r="A791" s="71"/>
      <c r="B791" s="53"/>
      <c r="C791" s="53"/>
      <c r="D791" s="148"/>
      <c r="E791" s="149"/>
      <c r="F791" s="149"/>
      <c r="G791" s="72"/>
      <c r="H791" s="72"/>
      <c r="I791" s="72"/>
      <c r="J791" s="72"/>
      <c r="K791" s="72"/>
      <c r="L791" s="72"/>
      <c r="M791" s="72"/>
      <c r="N791" s="72"/>
      <c r="O791" s="72"/>
      <c r="P791" s="72"/>
      <c r="Q791" s="73"/>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row>
    <row r="792" spans="1:235" ht="29.25" customHeight="1" hidden="1">
      <c r="A792" s="66"/>
      <c r="B792" s="66"/>
      <c r="C792" s="66"/>
      <c r="D792" s="152"/>
      <c r="E792" s="153"/>
      <c r="F792" s="153"/>
      <c r="G792" s="153"/>
      <c r="H792" s="153"/>
      <c r="I792" s="153"/>
      <c r="J792" s="154"/>
      <c r="K792" s="154"/>
      <c r="L792" s="154"/>
      <c r="M792" s="154"/>
      <c r="N792" s="154"/>
      <c r="O792" s="154"/>
      <c r="P792" s="154"/>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row>
    <row r="793" spans="1:235" ht="29.25" customHeight="1">
      <c r="A793" s="21" t="s">
        <v>419</v>
      </c>
      <c r="B793" s="190"/>
      <c r="C793" s="190"/>
      <c r="D793" s="191"/>
      <c r="E793" s="192"/>
      <c r="F793" s="192"/>
      <c r="G793" s="192"/>
      <c r="H793" s="14">
        <f>H768/H770</f>
        <v>-934666.6666666666</v>
      </c>
      <c r="I793" s="192"/>
      <c r="J793" s="17">
        <f>H793</f>
        <v>-934666.6666666666</v>
      </c>
      <c r="K793" s="193"/>
      <c r="L793" s="193"/>
      <c r="M793" s="193"/>
      <c r="N793" s="193"/>
      <c r="O793" s="17">
        <f>O768/O770</f>
        <v>-1052046</v>
      </c>
      <c r="P793" s="17">
        <f>P768/P770</f>
        <v>-1052046</v>
      </c>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row>
    <row r="794" spans="1:235" ht="21" customHeight="1">
      <c r="A794" s="108" t="s">
        <v>448</v>
      </c>
      <c r="B794" s="190"/>
      <c r="C794" s="190"/>
      <c r="D794" s="208"/>
      <c r="E794" s="209"/>
      <c r="F794" s="209"/>
      <c r="G794" s="209"/>
      <c r="H794" s="89"/>
      <c r="I794" s="209"/>
      <c r="J794" s="89"/>
      <c r="K794" s="210"/>
      <c r="L794" s="210"/>
      <c r="M794" s="210"/>
      <c r="N794" s="210"/>
      <c r="O794" s="89">
        <f>O796</f>
        <v>3000000</v>
      </c>
      <c r="P794" s="89">
        <f>P796</f>
        <v>3000000</v>
      </c>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row>
    <row r="795" spans="1:235" ht="27" customHeight="1">
      <c r="A795" s="23" t="s">
        <v>447</v>
      </c>
      <c r="B795" s="190"/>
      <c r="C795" s="190"/>
      <c r="D795" s="191"/>
      <c r="E795" s="192"/>
      <c r="F795" s="192"/>
      <c r="G795" s="192"/>
      <c r="H795" s="14"/>
      <c r="I795" s="192"/>
      <c r="J795" s="17"/>
      <c r="K795" s="193"/>
      <c r="L795" s="193"/>
      <c r="M795" s="193"/>
      <c r="N795" s="193"/>
      <c r="O795" s="17"/>
      <c r="P795" s="17"/>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row>
    <row r="796" spans="1:235" ht="29.25" customHeight="1">
      <c r="A796" s="82" t="s">
        <v>442</v>
      </c>
      <c r="B796" s="207"/>
      <c r="C796" s="207"/>
      <c r="D796" s="208"/>
      <c r="E796" s="209"/>
      <c r="F796" s="209"/>
      <c r="G796" s="209"/>
      <c r="H796" s="89"/>
      <c r="I796" s="209"/>
      <c r="J796" s="89"/>
      <c r="K796" s="210"/>
      <c r="L796" s="210"/>
      <c r="M796" s="210"/>
      <c r="N796" s="210"/>
      <c r="O796" s="89">
        <f>O800*O802</f>
        <v>3000000</v>
      </c>
      <c r="P796" s="89">
        <f>O796</f>
        <v>3000000</v>
      </c>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row>
    <row r="797" spans="1:235" ht="15" customHeight="1">
      <c r="A797" s="54" t="s">
        <v>4</v>
      </c>
      <c r="B797" s="190"/>
      <c r="C797" s="190"/>
      <c r="D797" s="191"/>
      <c r="E797" s="192"/>
      <c r="F797" s="192"/>
      <c r="G797" s="192"/>
      <c r="H797" s="14"/>
      <c r="I797" s="192"/>
      <c r="J797" s="17"/>
      <c r="K797" s="193"/>
      <c r="L797" s="193"/>
      <c r="M797" s="193"/>
      <c r="N797" s="193"/>
      <c r="O797" s="17"/>
      <c r="P797" s="17">
        <f>O797</f>
        <v>0</v>
      </c>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row>
    <row r="798" spans="1:235" ht="24" customHeight="1">
      <c r="A798" s="109" t="s">
        <v>443</v>
      </c>
      <c r="B798" s="190"/>
      <c r="C798" s="190"/>
      <c r="D798" s="191"/>
      <c r="E798" s="192"/>
      <c r="F798" s="192"/>
      <c r="G798" s="192"/>
      <c r="H798" s="14"/>
      <c r="I798" s="192"/>
      <c r="J798" s="17"/>
      <c r="K798" s="193"/>
      <c r="L798" s="193"/>
      <c r="M798" s="193"/>
      <c r="N798" s="193"/>
      <c r="O798" s="17">
        <v>2</v>
      </c>
      <c r="P798" s="17">
        <f>O798</f>
        <v>2</v>
      </c>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row>
    <row r="799" spans="1:235" ht="16.5" customHeight="1">
      <c r="A799" s="182" t="s">
        <v>5</v>
      </c>
      <c r="B799" s="190"/>
      <c r="C799" s="190"/>
      <c r="D799" s="191"/>
      <c r="E799" s="192"/>
      <c r="F799" s="192"/>
      <c r="G799" s="192"/>
      <c r="H799" s="14"/>
      <c r="I799" s="192"/>
      <c r="J799" s="17"/>
      <c r="K799" s="193"/>
      <c r="L799" s="193"/>
      <c r="M799" s="193"/>
      <c r="N799" s="193"/>
      <c r="O799" s="17"/>
      <c r="P799" s="17">
        <f aca="true" t="shared" si="51" ref="P799:P804">O799</f>
        <v>0</v>
      </c>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row>
    <row r="800" spans="1:235" ht="25.5" customHeight="1">
      <c r="A800" s="109" t="s">
        <v>444</v>
      </c>
      <c r="B800" s="190"/>
      <c r="C800" s="190"/>
      <c r="D800" s="191"/>
      <c r="E800" s="192"/>
      <c r="F800" s="192"/>
      <c r="G800" s="192"/>
      <c r="H800" s="14"/>
      <c r="I800" s="192"/>
      <c r="J800" s="17"/>
      <c r="K800" s="193"/>
      <c r="L800" s="193"/>
      <c r="M800" s="193"/>
      <c r="N800" s="193"/>
      <c r="O800" s="17">
        <v>2</v>
      </c>
      <c r="P800" s="17">
        <f t="shared" si="51"/>
        <v>2</v>
      </c>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row>
    <row r="801" spans="1:235" ht="15" customHeight="1">
      <c r="A801" s="182" t="s">
        <v>7</v>
      </c>
      <c r="B801" s="190"/>
      <c r="C801" s="190"/>
      <c r="D801" s="191"/>
      <c r="E801" s="192"/>
      <c r="F801" s="192"/>
      <c r="G801" s="192"/>
      <c r="H801" s="14"/>
      <c r="I801" s="192"/>
      <c r="J801" s="17"/>
      <c r="K801" s="193"/>
      <c r="L801" s="193"/>
      <c r="M801" s="193"/>
      <c r="N801" s="193"/>
      <c r="O801" s="17"/>
      <c r="P801" s="17">
        <f t="shared" si="51"/>
        <v>0</v>
      </c>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row>
    <row r="802" spans="1:235" ht="21.75" customHeight="1">
      <c r="A802" s="109" t="s">
        <v>445</v>
      </c>
      <c r="B802" s="190"/>
      <c r="C802" s="190"/>
      <c r="D802" s="191"/>
      <c r="E802" s="192"/>
      <c r="F802" s="192"/>
      <c r="G802" s="192"/>
      <c r="H802" s="14"/>
      <c r="I802" s="192"/>
      <c r="J802" s="17"/>
      <c r="K802" s="193"/>
      <c r="L802" s="193"/>
      <c r="M802" s="193"/>
      <c r="N802" s="193"/>
      <c r="O802" s="17">
        <v>1500000</v>
      </c>
      <c r="P802" s="17">
        <f t="shared" si="51"/>
        <v>1500000</v>
      </c>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row>
    <row r="803" spans="1:235" ht="17.25" customHeight="1">
      <c r="A803" s="182" t="s">
        <v>6</v>
      </c>
      <c r="B803" s="190"/>
      <c r="C803" s="190"/>
      <c r="D803" s="191"/>
      <c r="E803" s="192"/>
      <c r="F803" s="192"/>
      <c r="G803" s="192"/>
      <c r="H803" s="14"/>
      <c r="I803" s="192"/>
      <c r="J803" s="17"/>
      <c r="K803" s="193"/>
      <c r="L803" s="193"/>
      <c r="M803" s="193"/>
      <c r="N803" s="193"/>
      <c r="O803" s="17"/>
      <c r="P803" s="17">
        <f t="shared" si="51"/>
        <v>0</v>
      </c>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row>
    <row r="804" spans="1:235" ht="48" customHeight="1">
      <c r="A804" s="109" t="s">
        <v>446</v>
      </c>
      <c r="B804" s="190"/>
      <c r="C804" s="190"/>
      <c r="D804" s="191"/>
      <c r="E804" s="192"/>
      <c r="F804" s="192"/>
      <c r="G804" s="192"/>
      <c r="H804" s="192"/>
      <c r="I804" s="192"/>
      <c r="J804" s="193"/>
      <c r="K804" s="193"/>
      <c r="L804" s="193"/>
      <c r="M804" s="193"/>
      <c r="N804" s="193"/>
      <c r="O804" s="17">
        <f>O800/O798</f>
        <v>1</v>
      </c>
      <c r="P804" s="17">
        <f t="shared" si="51"/>
        <v>1</v>
      </c>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row>
    <row r="805" spans="1:235" ht="21.75" customHeight="1">
      <c r="A805" s="206"/>
      <c r="B805" s="66"/>
      <c r="C805" s="66"/>
      <c r="D805" s="152"/>
      <c r="E805" s="194"/>
      <c r="F805" s="194"/>
      <c r="G805" s="194"/>
      <c r="H805" s="194"/>
      <c r="I805" s="194"/>
      <c r="J805" s="154"/>
      <c r="K805" s="154"/>
      <c r="L805" s="154"/>
      <c r="M805" s="154"/>
      <c r="N805" s="154"/>
      <c r="O805" s="154"/>
      <c r="P805" s="154"/>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row>
    <row r="806" spans="1:235" ht="21.75" customHeight="1">
      <c r="A806" s="206"/>
      <c r="B806" s="66"/>
      <c r="C806" s="66"/>
      <c r="D806" s="152"/>
      <c r="E806" s="194"/>
      <c r="F806" s="194"/>
      <c r="G806" s="194"/>
      <c r="H806" s="194"/>
      <c r="I806" s="194"/>
      <c r="J806" s="154"/>
      <c r="K806" s="154"/>
      <c r="L806" s="154"/>
      <c r="M806" s="154"/>
      <c r="N806" s="154"/>
      <c r="O806" s="154"/>
      <c r="P806" s="154"/>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row>
    <row r="807" spans="1:235" ht="24.75" customHeight="1">
      <c r="A807" s="66"/>
      <c r="B807" s="66"/>
      <c r="C807" s="66"/>
      <c r="D807" s="152"/>
      <c r="E807" s="153"/>
      <c r="F807" s="153"/>
      <c r="G807" s="153"/>
      <c r="H807" s="153"/>
      <c r="I807" s="153"/>
      <c r="J807" s="154"/>
      <c r="K807" s="154"/>
      <c r="L807" s="154"/>
      <c r="M807" s="154"/>
      <c r="N807" s="154"/>
      <c r="O807" s="154"/>
      <c r="P807" s="154"/>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row>
    <row r="808" spans="1:235" ht="21.75" customHeight="1">
      <c r="A808" s="66"/>
      <c r="B808" s="66"/>
      <c r="C808" s="66"/>
      <c r="D808" s="152"/>
      <c r="E808" s="153"/>
      <c r="F808" s="153"/>
      <c r="G808" s="153"/>
      <c r="H808" s="153"/>
      <c r="I808" s="153"/>
      <c r="J808" s="154"/>
      <c r="K808" s="154"/>
      <c r="L808" s="154"/>
      <c r="M808" s="154"/>
      <c r="N808" s="154"/>
      <c r="O808" s="154"/>
      <c r="P808" s="154"/>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row>
    <row r="809" spans="1:235" ht="20.25" customHeight="1">
      <c r="A809" s="233" t="s">
        <v>386</v>
      </c>
      <c r="B809" s="233"/>
      <c r="C809" s="233"/>
      <c r="D809" s="155"/>
      <c r="E809" s="155"/>
      <c r="F809" s="156"/>
      <c r="G809" s="157"/>
      <c r="H809" s="157"/>
      <c r="I809" s="157"/>
      <c r="J809" s="158"/>
      <c r="K809" s="158"/>
      <c r="L809" s="158"/>
      <c r="M809" s="158"/>
      <c r="N809" s="157"/>
      <c r="O809" s="217" t="s">
        <v>231</v>
      </c>
      <c r="P809" s="217"/>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row>
    <row r="810" spans="1:235" ht="20.25" customHeight="1">
      <c r="A810" s="94"/>
      <c r="B810" s="94"/>
      <c r="C810" s="94"/>
      <c r="D810" s="155"/>
      <c r="E810" s="155"/>
      <c r="F810" s="156"/>
      <c r="G810" s="157"/>
      <c r="H810" s="157"/>
      <c r="I810" s="157"/>
      <c r="J810" s="158"/>
      <c r="K810" s="158"/>
      <c r="L810" s="158"/>
      <c r="M810" s="158"/>
      <c r="N810" s="157"/>
      <c r="O810" s="159"/>
      <c r="P810" s="159"/>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row>
    <row r="811" spans="1:235" ht="12.75" customHeight="1">
      <c r="A811" s="94"/>
      <c r="B811" s="94"/>
      <c r="C811" s="94"/>
      <c r="D811" s="155"/>
      <c r="E811" s="155"/>
      <c r="F811" s="156"/>
      <c r="G811" s="157"/>
      <c r="H811" s="157"/>
      <c r="I811" s="157"/>
      <c r="J811" s="158"/>
      <c r="K811" s="158"/>
      <c r="L811" s="158"/>
      <c r="M811" s="158"/>
      <c r="N811" s="157"/>
      <c r="O811" s="159"/>
      <c r="P811" s="159"/>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18.75" customHeight="1">
      <c r="A812" s="232" t="s">
        <v>259</v>
      </c>
      <c r="B812" s="232"/>
      <c r="C812" s="67"/>
      <c r="D812" s="160"/>
      <c r="E812" s="155"/>
      <c r="F812" s="157"/>
      <c r="G812" s="155"/>
      <c r="H812" s="155"/>
      <c r="I812" s="155"/>
      <c r="J812" s="161"/>
      <c r="K812" s="161"/>
      <c r="L812" s="161"/>
      <c r="M812" s="161"/>
      <c r="N812" s="161"/>
      <c r="O812" s="161"/>
      <c r="P812" s="161"/>
      <c r="Q812" s="68"/>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27.75" customHeight="1">
      <c r="A813" s="48" t="s">
        <v>232</v>
      </c>
      <c r="B813" s="48"/>
      <c r="C813" s="30"/>
      <c r="D813" s="162"/>
      <c r="E813" s="162"/>
      <c r="F813" s="162"/>
      <c r="G813" s="162"/>
      <c r="H813" s="162"/>
      <c r="I813" s="162"/>
      <c r="J813" s="162"/>
      <c r="K813" s="162"/>
      <c r="L813" s="162"/>
      <c r="M813" s="162"/>
      <c r="N813" s="162"/>
      <c r="O813" s="162"/>
      <c r="P813" s="162"/>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28.5" customHeight="1">
      <c r="A814" s="28"/>
      <c r="B814" s="29"/>
      <c r="C814" s="24"/>
      <c r="D814" s="163"/>
      <c r="E814" s="163"/>
      <c r="F814" s="162"/>
      <c r="G814" s="162"/>
      <c r="H814" s="162"/>
      <c r="I814" s="162"/>
      <c r="J814" s="162"/>
      <c r="K814" s="162"/>
      <c r="L814" s="162"/>
      <c r="M814" s="162"/>
      <c r="N814" s="162"/>
      <c r="O814" s="162"/>
      <c r="P814" s="162"/>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11.25">
      <c r="A815" s="4"/>
      <c r="B815" s="4"/>
      <c r="C815" s="4"/>
      <c r="D815" s="164"/>
      <c r="E815" s="164"/>
      <c r="F815" s="164"/>
      <c r="G815" s="164"/>
      <c r="H815" s="164"/>
      <c r="I815" s="164"/>
      <c r="J815" s="164"/>
      <c r="K815" s="165"/>
      <c r="L815" s="165"/>
      <c r="M815" s="16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11.25">
      <c r="A816" s="4"/>
      <c r="B816" s="4"/>
      <c r="C816" s="4"/>
      <c r="D816" s="164"/>
      <c r="E816" s="164"/>
      <c r="F816" s="164"/>
      <c r="G816" s="164"/>
      <c r="H816" s="164"/>
      <c r="I816" s="164"/>
      <c r="J816" s="164"/>
      <c r="K816" s="165"/>
      <c r="L816" s="165"/>
      <c r="M816" s="165"/>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11.25">
      <c r="A817" s="4"/>
      <c r="B817" s="4"/>
      <c r="C817" s="4"/>
      <c r="D817" s="164"/>
      <c r="E817" s="164"/>
      <c r="F817" s="164"/>
      <c r="G817" s="164"/>
      <c r="H817" s="164"/>
      <c r="I817" s="164"/>
      <c r="J817" s="164"/>
      <c r="K817" s="165"/>
      <c r="L817" s="165"/>
      <c r="M817" s="165"/>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11.25">
      <c r="A818" s="4"/>
      <c r="B818" s="4"/>
      <c r="C818" s="4"/>
      <c r="D818" s="164"/>
      <c r="E818" s="164"/>
      <c r="F818" s="164"/>
      <c r="G818" s="164"/>
      <c r="H818" s="164"/>
      <c r="I818" s="164"/>
      <c r="J818" s="164"/>
      <c r="K818" s="165"/>
      <c r="L818" s="165"/>
      <c r="M818" s="165"/>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11.25">
      <c r="A819" s="2"/>
      <c r="B819" s="2"/>
      <c r="C819" s="2"/>
      <c r="D819" s="165"/>
      <c r="E819" s="165"/>
      <c r="F819" s="165"/>
      <c r="G819" s="165"/>
      <c r="H819" s="165"/>
      <c r="I819" s="165"/>
      <c r="J819" s="165"/>
      <c r="K819" s="165"/>
      <c r="L819" s="165"/>
      <c r="M819" s="165"/>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1.25">
      <c r="A820" s="2"/>
      <c r="B820" s="2"/>
      <c r="C820" s="2"/>
      <c r="D820" s="165"/>
      <c r="E820" s="165"/>
      <c r="F820" s="165"/>
      <c r="G820" s="165"/>
      <c r="H820" s="165"/>
      <c r="I820" s="165"/>
      <c r="J820" s="165"/>
      <c r="K820" s="165"/>
      <c r="L820" s="165"/>
      <c r="M820" s="165"/>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11.25">
      <c r="A821" s="2"/>
      <c r="B821" s="2"/>
      <c r="C821" s="2"/>
      <c r="D821" s="165"/>
      <c r="E821" s="165"/>
      <c r="F821" s="165"/>
      <c r="G821" s="165"/>
      <c r="H821" s="165"/>
      <c r="I821" s="165"/>
      <c r="J821" s="165"/>
      <c r="K821" s="165"/>
      <c r="L821" s="165"/>
      <c r="M821" s="165"/>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11.25">
      <c r="A822" s="2"/>
      <c r="B822" s="2"/>
      <c r="C822" s="2"/>
      <c r="D822" s="165"/>
      <c r="E822" s="165"/>
      <c r="F822" s="165"/>
      <c r="G822" s="165"/>
      <c r="H822" s="165"/>
      <c r="I822" s="165"/>
      <c r="J822" s="165"/>
      <c r="K822" s="165"/>
      <c r="L822" s="165"/>
      <c r="M822" s="165"/>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2"/>
      <c r="B823" s="2"/>
      <c r="C823" s="2"/>
      <c r="D823" s="165"/>
      <c r="E823" s="165"/>
      <c r="F823" s="165"/>
      <c r="G823" s="165"/>
      <c r="H823" s="165"/>
      <c r="I823" s="165"/>
      <c r="J823" s="165"/>
      <c r="K823" s="165"/>
      <c r="L823" s="165"/>
      <c r="M823" s="165"/>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2"/>
      <c r="B824" s="2"/>
      <c r="C824" s="2"/>
      <c r="D824" s="165"/>
      <c r="E824" s="165"/>
      <c r="F824" s="165"/>
      <c r="G824" s="165"/>
      <c r="H824" s="165"/>
      <c r="I824" s="165"/>
      <c r="J824" s="165"/>
      <c r="K824" s="165"/>
      <c r="L824" s="165"/>
      <c r="M824" s="165"/>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2"/>
      <c r="B825" s="2"/>
      <c r="C825" s="2"/>
      <c r="D825" s="165"/>
      <c r="E825" s="165"/>
      <c r="F825" s="165"/>
      <c r="G825" s="165"/>
      <c r="H825" s="165"/>
      <c r="I825" s="165"/>
      <c r="J825" s="165"/>
      <c r="K825" s="165"/>
      <c r="L825" s="165"/>
      <c r="M825" s="16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2"/>
      <c r="B826" s="2"/>
      <c r="C826" s="2"/>
      <c r="D826" s="165"/>
      <c r="E826" s="165"/>
      <c r="F826" s="165"/>
      <c r="G826" s="165"/>
      <c r="H826" s="165"/>
      <c r="I826" s="165"/>
      <c r="J826" s="165"/>
      <c r="K826" s="165"/>
      <c r="L826" s="165"/>
      <c r="M826" s="165"/>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165"/>
      <c r="E827" s="165"/>
      <c r="F827" s="165"/>
      <c r="G827" s="165"/>
      <c r="H827" s="165"/>
      <c r="I827" s="165"/>
      <c r="J827" s="165"/>
      <c r="K827" s="165"/>
      <c r="L827" s="165"/>
      <c r="M827" s="165"/>
      <c r="N827" s="162"/>
      <c r="O827" s="162"/>
      <c r="P827" s="162"/>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165"/>
      <c r="E828" s="165"/>
      <c r="F828" s="165"/>
      <c r="G828" s="165"/>
      <c r="H828" s="165"/>
      <c r="I828" s="165"/>
      <c r="J828" s="165"/>
      <c r="K828" s="165"/>
      <c r="L828" s="165"/>
      <c r="M828" s="165"/>
      <c r="N828" s="162"/>
      <c r="O828" s="162"/>
      <c r="P828" s="162"/>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165"/>
      <c r="E829" s="165"/>
      <c r="F829" s="165"/>
      <c r="G829" s="165"/>
      <c r="H829" s="165"/>
      <c r="I829" s="165"/>
      <c r="J829" s="165"/>
      <c r="K829" s="165"/>
      <c r="L829" s="165"/>
      <c r="M829" s="165"/>
      <c r="N829" s="162"/>
      <c r="O829" s="162"/>
      <c r="P829" s="162"/>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165"/>
      <c r="E830" s="165"/>
      <c r="F830" s="165"/>
      <c r="G830" s="165"/>
      <c r="H830" s="165"/>
      <c r="I830" s="165"/>
      <c r="J830" s="165"/>
      <c r="K830" s="165"/>
      <c r="L830" s="165"/>
      <c r="M830" s="165"/>
      <c r="N830" s="162"/>
      <c r="O830" s="162"/>
      <c r="P830" s="162"/>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165"/>
      <c r="E831" s="165"/>
      <c r="F831" s="165"/>
      <c r="G831" s="165"/>
      <c r="H831" s="165"/>
      <c r="I831" s="165"/>
      <c r="J831" s="165"/>
      <c r="K831" s="165"/>
      <c r="L831" s="165"/>
      <c r="M831" s="165"/>
      <c r="N831" s="162"/>
      <c r="O831" s="162"/>
      <c r="P831" s="162"/>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165"/>
      <c r="E832" s="165"/>
      <c r="F832" s="165"/>
      <c r="G832" s="165"/>
      <c r="H832" s="165"/>
      <c r="I832" s="165"/>
      <c r="J832" s="165"/>
      <c r="K832" s="165"/>
      <c r="L832" s="165"/>
      <c r="M832" s="165"/>
      <c r="N832" s="162"/>
      <c r="O832" s="162"/>
      <c r="P832" s="16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165"/>
      <c r="E833" s="165"/>
      <c r="F833" s="165"/>
      <c r="G833" s="165"/>
      <c r="H833" s="165"/>
      <c r="I833" s="165"/>
      <c r="J833" s="165"/>
      <c r="K833" s="165"/>
      <c r="L833" s="165"/>
      <c r="M833" s="165"/>
      <c r="N833" s="162"/>
      <c r="O833" s="162"/>
      <c r="P833" s="162"/>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165"/>
      <c r="E834" s="165"/>
      <c r="F834" s="165"/>
      <c r="G834" s="165"/>
      <c r="H834" s="165"/>
      <c r="I834" s="165"/>
      <c r="J834" s="165"/>
      <c r="K834" s="165"/>
      <c r="L834" s="165"/>
      <c r="M834" s="165"/>
      <c r="N834" s="162"/>
      <c r="O834" s="162"/>
      <c r="P834" s="162"/>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165"/>
      <c r="E835" s="165"/>
      <c r="F835" s="165"/>
      <c r="G835" s="165"/>
      <c r="H835" s="165"/>
      <c r="I835" s="165"/>
      <c r="J835" s="165"/>
      <c r="K835" s="165"/>
      <c r="L835" s="165"/>
      <c r="M835" s="165"/>
      <c r="N835" s="162"/>
      <c r="O835" s="162"/>
      <c r="P835" s="162"/>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165"/>
      <c r="E836" s="165"/>
      <c r="F836" s="165"/>
      <c r="G836" s="165"/>
      <c r="H836" s="165"/>
      <c r="I836" s="165"/>
      <c r="J836" s="165"/>
      <c r="K836" s="165"/>
      <c r="L836" s="165"/>
      <c r="M836" s="165"/>
      <c r="N836" s="162"/>
      <c r="O836" s="162"/>
      <c r="P836" s="162"/>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165"/>
      <c r="E837" s="165"/>
      <c r="F837" s="165"/>
      <c r="G837" s="165"/>
      <c r="H837" s="165"/>
      <c r="I837" s="165"/>
      <c r="J837" s="165"/>
      <c r="K837" s="165"/>
      <c r="L837" s="165"/>
      <c r="M837" s="165"/>
      <c r="N837" s="162"/>
      <c r="O837" s="162"/>
      <c r="P837" s="162"/>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165"/>
      <c r="E838" s="165"/>
      <c r="F838" s="165"/>
      <c r="G838" s="165"/>
      <c r="H838" s="165"/>
      <c r="I838" s="165"/>
      <c r="J838" s="165"/>
      <c r="K838" s="165"/>
      <c r="L838" s="165"/>
      <c r="M838" s="165"/>
      <c r="N838" s="162"/>
      <c r="O838" s="162"/>
      <c r="P838" s="162"/>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165"/>
      <c r="E839" s="165"/>
      <c r="F839" s="165"/>
      <c r="G839" s="165"/>
      <c r="H839" s="165"/>
      <c r="I839" s="165"/>
      <c r="J839" s="165"/>
      <c r="K839" s="165"/>
      <c r="L839" s="165"/>
      <c r="M839" s="165"/>
      <c r="N839" s="162"/>
      <c r="O839" s="162"/>
      <c r="P839" s="162"/>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165"/>
      <c r="E840" s="165"/>
      <c r="F840" s="165"/>
      <c r="G840" s="165"/>
      <c r="H840" s="165"/>
      <c r="I840" s="165"/>
      <c r="J840" s="165"/>
      <c r="K840" s="165"/>
      <c r="L840" s="165"/>
      <c r="M840" s="165"/>
      <c r="N840" s="162"/>
      <c r="O840" s="162"/>
      <c r="P840" s="162"/>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165"/>
      <c r="E841" s="165"/>
      <c r="F841" s="165"/>
      <c r="G841" s="165"/>
      <c r="H841" s="165"/>
      <c r="I841" s="165"/>
      <c r="J841" s="165"/>
      <c r="K841" s="165"/>
      <c r="L841" s="165"/>
      <c r="M841" s="165"/>
      <c r="N841" s="162"/>
      <c r="O841" s="162"/>
      <c r="P841" s="162"/>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165"/>
      <c r="E842" s="165"/>
      <c r="F842" s="165"/>
      <c r="G842" s="165"/>
      <c r="H842" s="165"/>
      <c r="I842" s="165"/>
      <c r="J842" s="165"/>
      <c r="K842" s="165"/>
      <c r="L842" s="165"/>
      <c r="M842" s="165"/>
      <c r="N842" s="162"/>
      <c r="O842" s="162"/>
      <c r="P842" s="16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165"/>
      <c r="E843" s="165"/>
      <c r="F843" s="165"/>
      <c r="G843" s="165"/>
      <c r="H843" s="165"/>
      <c r="I843" s="165"/>
      <c r="J843" s="165"/>
      <c r="K843" s="165"/>
      <c r="L843" s="165"/>
      <c r="M843" s="165"/>
      <c r="N843" s="162"/>
      <c r="O843" s="162"/>
      <c r="P843" s="162"/>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165"/>
      <c r="E844" s="165"/>
      <c r="F844" s="165"/>
      <c r="G844" s="165"/>
      <c r="H844" s="165"/>
      <c r="I844" s="165"/>
      <c r="J844" s="165"/>
      <c r="K844" s="165"/>
      <c r="L844" s="165"/>
      <c r="M844" s="165"/>
      <c r="N844" s="162"/>
      <c r="O844" s="162"/>
      <c r="P844" s="162"/>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165"/>
      <c r="E845" s="165"/>
      <c r="F845" s="165"/>
      <c r="G845" s="165"/>
      <c r="H845" s="165"/>
      <c r="I845" s="165"/>
      <c r="J845" s="165"/>
      <c r="K845" s="165"/>
      <c r="L845" s="165"/>
      <c r="M845" s="165"/>
      <c r="N845" s="162"/>
      <c r="O845" s="162"/>
      <c r="P845" s="162"/>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165"/>
      <c r="E846" s="165"/>
      <c r="F846" s="165"/>
      <c r="G846" s="165"/>
      <c r="H846" s="165"/>
      <c r="I846" s="165"/>
      <c r="J846" s="165"/>
      <c r="K846" s="165"/>
      <c r="L846" s="165"/>
      <c r="M846" s="165"/>
      <c r="N846" s="162"/>
      <c r="O846" s="162"/>
      <c r="P846" s="162"/>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165"/>
      <c r="E847" s="165"/>
      <c r="F847" s="165"/>
      <c r="G847" s="165"/>
      <c r="H847" s="165"/>
      <c r="I847" s="165"/>
      <c r="J847" s="165"/>
      <c r="K847" s="165"/>
      <c r="L847" s="165"/>
      <c r="M847" s="165"/>
      <c r="N847" s="162"/>
      <c r="O847" s="162"/>
      <c r="P847" s="162"/>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165"/>
      <c r="E848" s="165"/>
      <c r="F848" s="165"/>
      <c r="G848" s="165"/>
      <c r="H848" s="165"/>
      <c r="I848" s="165"/>
      <c r="J848" s="165"/>
      <c r="K848" s="165"/>
      <c r="L848" s="165"/>
      <c r="M848" s="165"/>
      <c r="N848" s="162"/>
      <c r="O848" s="162"/>
      <c r="P848" s="162"/>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165"/>
      <c r="E849" s="165"/>
      <c r="F849" s="165"/>
      <c r="G849" s="165"/>
      <c r="H849" s="165"/>
      <c r="I849" s="165"/>
      <c r="J849" s="165"/>
      <c r="K849" s="165"/>
      <c r="L849" s="165"/>
      <c r="M849" s="165"/>
      <c r="N849" s="162"/>
      <c r="O849" s="162"/>
      <c r="P849" s="162"/>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165"/>
      <c r="E850" s="165"/>
      <c r="F850" s="165"/>
      <c r="G850" s="165"/>
      <c r="H850" s="165"/>
      <c r="I850" s="165"/>
      <c r="J850" s="165"/>
      <c r="K850" s="165"/>
      <c r="L850" s="165"/>
      <c r="M850" s="165"/>
      <c r="N850" s="162"/>
      <c r="O850" s="162"/>
      <c r="P850" s="162"/>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165"/>
      <c r="E851" s="165"/>
      <c r="F851" s="165"/>
      <c r="G851" s="165"/>
      <c r="H851" s="165"/>
      <c r="I851" s="165"/>
      <c r="J851" s="165"/>
      <c r="K851" s="165"/>
      <c r="L851" s="165"/>
      <c r="M851" s="165"/>
      <c r="N851" s="162"/>
      <c r="O851" s="162"/>
      <c r="P851" s="162"/>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165"/>
      <c r="E852" s="165"/>
      <c r="F852" s="165"/>
      <c r="G852" s="165"/>
      <c r="H852" s="165"/>
      <c r="I852" s="165"/>
      <c r="J852" s="165"/>
      <c r="K852" s="165"/>
      <c r="L852" s="165"/>
      <c r="M852" s="165"/>
      <c r="N852" s="162"/>
      <c r="O852" s="162"/>
      <c r="P852" s="16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165"/>
      <c r="E853" s="165"/>
      <c r="F853" s="165"/>
      <c r="G853" s="165"/>
      <c r="H853" s="165"/>
      <c r="I853" s="165"/>
      <c r="J853" s="165"/>
      <c r="K853" s="165"/>
      <c r="L853" s="165"/>
      <c r="M853" s="165"/>
      <c r="N853" s="162"/>
      <c r="O853" s="162"/>
      <c r="P853" s="162"/>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165"/>
      <c r="E854" s="165"/>
      <c r="F854" s="165"/>
      <c r="G854" s="165"/>
      <c r="H854" s="165"/>
      <c r="I854" s="165"/>
      <c r="J854" s="165"/>
      <c r="K854" s="165"/>
      <c r="L854" s="165"/>
      <c r="M854" s="165"/>
      <c r="N854" s="162"/>
      <c r="O854" s="162"/>
      <c r="P854" s="162"/>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165"/>
      <c r="E855" s="165"/>
      <c r="F855" s="165"/>
      <c r="G855" s="165"/>
      <c r="H855" s="165"/>
      <c r="I855" s="165"/>
      <c r="J855" s="165"/>
      <c r="K855" s="165"/>
      <c r="L855" s="165"/>
      <c r="M855" s="165"/>
      <c r="N855" s="162"/>
      <c r="O855" s="162"/>
      <c r="P855" s="162"/>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165"/>
      <c r="E856" s="165"/>
      <c r="F856" s="165"/>
      <c r="G856" s="165"/>
      <c r="H856" s="165"/>
      <c r="I856" s="165"/>
      <c r="J856" s="165"/>
      <c r="K856" s="165"/>
      <c r="L856" s="165"/>
      <c r="M856" s="165"/>
      <c r="N856" s="162"/>
      <c r="O856" s="162"/>
      <c r="P856" s="162"/>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165"/>
      <c r="E857" s="165"/>
      <c r="F857" s="165"/>
      <c r="G857" s="165"/>
      <c r="H857" s="165"/>
      <c r="I857" s="165"/>
      <c r="J857" s="165"/>
      <c r="K857" s="165"/>
      <c r="L857" s="165"/>
      <c r="M857" s="165"/>
      <c r="N857" s="162"/>
      <c r="O857" s="162"/>
      <c r="P857" s="162"/>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165"/>
      <c r="E858" s="165"/>
      <c r="F858" s="165"/>
      <c r="G858" s="165"/>
      <c r="H858" s="165"/>
      <c r="I858" s="165"/>
      <c r="J858" s="165"/>
      <c r="K858" s="165"/>
      <c r="L858" s="165"/>
      <c r="M858" s="165"/>
      <c r="N858" s="162"/>
      <c r="O858" s="162"/>
      <c r="P858" s="162"/>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165"/>
      <c r="E859" s="165"/>
      <c r="F859" s="165"/>
      <c r="G859" s="165"/>
      <c r="H859" s="165"/>
      <c r="I859" s="165"/>
      <c r="J859" s="165"/>
      <c r="K859" s="165"/>
      <c r="L859" s="165"/>
      <c r="M859" s="165"/>
      <c r="N859" s="162"/>
      <c r="O859" s="162"/>
      <c r="P859" s="162"/>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165"/>
      <c r="E860" s="165"/>
      <c r="F860" s="165"/>
      <c r="G860" s="165"/>
      <c r="H860" s="165"/>
      <c r="I860" s="165"/>
      <c r="J860" s="165"/>
      <c r="K860" s="165"/>
      <c r="L860" s="165"/>
      <c r="M860" s="165"/>
      <c r="N860" s="162"/>
      <c r="O860" s="162"/>
      <c r="P860" s="162"/>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165"/>
      <c r="E861" s="165"/>
      <c r="F861" s="165"/>
      <c r="G861" s="165"/>
      <c r="H861" s="165"/>
      <c r="I861" s="165"/>
      <c r="J861" s="165"/>
      <c r="K861" s="165"/>
      <c r="L861" s="165"/>
      <c r="M861" s="165"/>
      <c r="N861" s="162"/>
      <c r="O861" s="162"/>
      <c r="P861" s="162"/>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165"/>
      <c r="E862" s="165"/>
      <c r="F862" s="165"/>
      <c r="G862" s="165"/>
      <c r="H862" s="165"/>
      <c r="I862" s="165"/>
      <c r="J862" s="165"/>
      <c r="K862" s="165"/>
      <c r="L862" s="165"/>
      <c r="M862" s="165"/>
      <c r="N862" s="162"/>
      <c r="O862" s="162"/>
      <c r="P862" s="1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165"/>
      <c r="E863" s="165"/>
      <c r="F863" s="165"/>
      <c r="G863" s="165"/>
      <c r="H863" s="165"/>
      <c r="I863" s="165"/>
      <c r="J863" s="165"/>
      <c r="K863" s="165"/>
      <c r="L863" s="165"/>
      <c r="M863" s="165"/>
      <c r="N863" s="162"/>
      <c r="O863" s="162"/>
      <c r="P863" s="162"/>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165"/>
      <c r="E864" s="165"/>
      <c r="F864" s="165"/>
      <c r="G864" s="165"/>
      <c r="H864" s="165"/>
      <c r="I864" s="165"/>
      <c r="J864" s="165"/>
      <c r="K864" s="165"/>
      <c r="L864" s="165"/>
      <c r="M864" s="165"/>
      <c r="N864" s="162"/>
      <c r="O864" s="162"/>
      <c r="P864" s="162"/>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165"/>
      <c r="E865" s="165"/>
      <c r="F865" s="165"/>
      <c r="G865" s="165"/>
      <c r="H865" s="165"/>
      <c r="I865" s="165"/>
      <c r="J865" s="165"/>
      <c r="K865" s="165"/>
      <c r="L865" s="165"/>
      <c r="M865" s="165"/>
      <c r="N865" s="162"/>
      <c r="O865" s="162"/>
      <c r="P865" s="162"/>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165"/>
      <c r="E866" s="165"/>
      <c r="F866" s="165"/>
      <c r="G866" s="165"/>
      <c r="H866" s="165"/>
      <c r="I866" s="165"/>
      <c r="J866" s="165"/>
      <c r="K866" s="165"/>
      <c r="L866" s="165"/>
      <c r="M866" s="165"/>
      <c r="N866" s="162"/>
      <c r="O866" s="162"/>
      <c r="P866" s="162"/>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165"/>
      <c r="E867" s="165"/>
      <c r="F867" s="165"/>
      <c r="G867" s="165"/>
      <c r="H867" s="165"/>
      <c r="I867" s="165"/>
      <c r="J867" s="165"/>
      <c r="K867" s="165"/>
      <c r="L867" s="165"/>
      <c r="M867" s="165"/>
      <c r="N867" s="162"/>
      <c r="O867" s="162"/>
      <c r="P867" s="162"/>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165"/>
      <c r="E868" s="165"/>
      <c r="F868" s="165"/>
      <c r="G868" s="165"/>
      <c r="H868" s="165"/>
      <c r="I868" s="165"/>
      <c r="J868" s="165"/>
      <c r="K868" s="165"/>
      <c r="L868" s="165"/>
      <c r="M868" s="165"/>
      <c r="N868" s="162"/>
      <c r="O868" s="162"/>
      <c r="P868" s="162"/>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165"/>
      <c r="E869" s="165"/>
      <c r="F869" s="165"/>
      <c r="G869" s="165"/>
      <c r="H869" s="165"/>
      <c r="I869" s="165"/>
      <c r="J869" s="165"/>
      <c r="K869" s="165"/>
      <c r="L869" s="165"/>
      <c r="M869" s="165"/>
      <c r="N869" s="162"/>
      <c r="O869" s="162"/>
      <c r="P869" s="162"/>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165"/>
      <c r="E870" s="165"/>
      <c r="F870" s="165"/>
      <c r="G870" s="165"/>
      <c r="H870" s="165"/>
      <c r="I870" s="165"/>
      <c r="J870" s="165"/>
      <c r="K870" s="165"/>
      <c r="L870" s="165"/>
      <c r="M870" s="165"/>
      <c r="N870" s="162"/>
      <c r="O870" s="162"/>
      <c r="P870" s="162"/>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165"/>
      <c r="E871" s="165"/>
      <c r="F871" s="165"/>
      <c r="G871" s="165"/>
      <c r="H871" s="165"/>
      <c r="I871" s="165"/>
      <c r="J871" s="165"/>
      <c r="K871" s="165"/>
      <c r="L871" s="165"/>
      <c r="M871" s="165"/>
      <c r="N871" s="162"/>
      <c r="O871" s="162"/>
      <c r="P871" s="162"/>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165"/>
      <c r="E872" s="165"/>
      <c r="F872" s="165"/>
      <c r="G872" s="165"/>
      <c r="H872" s="165"/>
      <c r="I872" s="165"/>
      <c r="J872" s="165"/>
      <c r="K872" s="165"/>
      <c r="L872" s="165"/>
      <c r="M872" s="165"/>
      <c r="N872" s="162"/>
      <c r="O872" s="162"/>
      <c r="P872" s="16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165"/>
      <c r="E873" s="165"/>
      <c r="F873" s="165"/>
      <c r="G873" s="165"/>
      <c r="H873" s="165"/>
      <c r="I873" s="165"/>
      <c r="J873" s="165"/>
      <c r="K873" s="165"/>
      <c r="L873" s="165"/>
      <c r="M873" s="165"/>
      <c r="N873" s="162"/>
      <c r="O873" s="162"/>
      <c r="P873" s="162"/>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165"/>
      <c r="E874" s="165"/>
      <c r="F874" s="165"/>
      <c r="G874" s="165"/>
      <c r="H874" s="165"/>
      <c r="I874" s="165"/>
      <c r="J874" s="165"/>
      <c r="K874" s="165"/>
      <c r="L874" s="165"/>
      <c r="M874" s="165"/>
      <c r="N874" s="162"/>
      <c r="O874" s="162"/>
      <c r="P874" s="162"/>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165"/>
      <c r="E875" s="165"/>
      <c r="F875" s="165"/>
      <c r="G875" s="165"/>
      <c r="H875" s="165"/>
      <c r="I875" s="165"/>
      <c r="J875" s="165"/>
      <c r="K875" s="165"/>
      <c r="L875" s="165"/>
      <c r="M875" s="165"/>
      <c r="N875" s="162"/>
      <c r="O875" s="162"/>
      <c r="P875" s="162"/>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165"/>
      <c r="E876" s="165"/>
      <c r="F876" s="165"/>
      <c r="G876" s="165"/>
      <c r="H876" s="165"/>
      <c r="I876" s="165"/>
      <c r="J876" s="165"/>
      <c r="K876" s="165"/>
      <c r="L876" s="165"/>
      <c r="M876" s="165"/>
      <c r="N876" s="162"/>
      <c r="O876" s="162"/>
      <c r="P876" s="162"/>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165"/>
      <c r="E877" s="165"/>
      <c r="F877" s="165"/>
      <c r="G877" s="165"/>
      <c r="H877" s="165"/>
      <c r="I877" s="165"/>
      <c r="J877" s="165"/>
      <c r="K877" s="165"/>
      <c r="L877" s="165"/>
      <c r="M877" s="165"/>
      <c r="N877" s="162"/>
      <c r="O877" s="162"/>
      <c r="P877" s="162"/>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165"/>
      <c r="E878" s="165"/>
      <c r="F878" s="165"/>
      <c r="G878" s="165"/>
      <c r="H878" s="165"/>
      <c r="I878" s="165"/>
      <c r="J878" s="165"/>
      <c r="K878" s="165"/>
      <c r="L878" s="165"/>
      <c r="M878" s="165"/>
      <c r="N878" s="162"/>
      <c r="O878" s="162"/>
      <c r="P878" s="162"/>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165"/>
      <c r="E879" s="165"/>
      <c r="F879" s="165"/>
      <c r="G879" s="165"/>
      <c r="H879" s="165"/>
      <c r="I879" s="165"/>
      <c r="J879" s="165"/>
      <c r="K879" s="165"/>
      <c r="L879" s="165"/>
      <c r="M879" s="165"/>
      <c r="N879" s="162"/>
      <c r="O879" s="162"/>
      <c r="P879" s="162"/>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165"/>
      <c r="E880" s="165"/>
      <c r="F880" s="165"/>
      <c r="G880" s="165"/>
      <c r="H880" s="165"/>
      <c r="I880" s="165"/>
      <c r="J880" s="165"/>
      <c r="K880" s="165"/>
      <c r="L880" s="165"/>
      <c r="M880" s="165"/>
      <c r="N880" s="162"/>
      <c r="O880" s="162"/>
      <c r="P880" s="162"/>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165"/>
      <c r="E881" s="165"/>
      <c r="F881" s="165"/>
      <c r="G881" s="165"/>
      <c r="H881" s="165"/>
      <c r="I881" s="165"/>
      <c r="J881" s="165"/>
      <c r="K881" s="165"/>
      <c r="L881" s="165"/>
      <c r="M881" s="165"/>
      <c r="N881" s="162"/>
      <c r="O881" s="162"/>
      <c r="P881" s="162"/>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165"/>
      <c r="E882" s="165"/>
      <c r="F882" s="165"/>
      <c r="G882" s="165"/>
      <c r="H882" s="165"/>
      <c r="I882" s="165"/>
      <c r="J882" s="165"/>
      <c r="K882" s="165"/>
      <c r="L882" s="165"/>
      <c r="M882" s="165"/>
      <c r="N882" s="162"/>
      <c r="O882" s="162"/>
      <c r="P882" s="16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165"/>
      <c r="E883" s="165"/>
      <c r="F883" s="165"/>
      <c r="G883" s="165"/>
      <c r="H883" s="165"/>
      <c r="I883" s="165"/>
      <c r="J883" s="165"/>
      <c r="K883" s="165"/>
      <c r="L883" s="165"/>
      <c r="M883" s="165"/>
      <c r="N883" s="162"/>
      <c r="O883" s="162"/>
      <c r="P883" s="162"/>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165"/>
      <c r="E884" s="165"/>
      <c r="F884" s="165"/>
      <c r="G884" s="165"/>
      <c r="H884" s="165"/>
      <c r="I884" s="165"/>
      <c r="J884" s="165"/>
      <c r="K884" s="165"/>
      <c r="L884" s="165"/>
      <c r="M884" s="165"/>
      <c r="N884" s="162"/>
      <c r="O884" s="162"/>
      <c r="P884" s="162"/>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165"/>
      <c r="E885" s="165"/>
      <c r="F885" s="165"/>
      <c r="G885" s="165"/>
      <c r="H885" s="165"/>
      <c r="I885" s="165"/>
      <c r="J885" s="165"/>
      <c r="K885" s="165"/>
      <c r="L885" s="165"/>
      <c r="M885" s="165"/>
      <c r="N885" s="162"/>
      <c r="O885" s="162"/>
      <c r="P885" s="162"/>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165"/>
      <c r="E886" s="165"/>
      <c r="F886" s="165"/>
      <c r="G886" s="165"/>
      <c r="H886" s="165"/>
      <c r="I886" s="165"/>
      <c r="J886" s="165"/>
      <c r="K886" s="165"/>
      <c r="L886" s="165"/>
      <c r="M886" s="165"/>
      <c r="N886" s="162"/>
      <c r="O886" s="162"/>
      <c r="P886" s="162"/>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165"/>
      <c r="E887" s="165"/>
      <c r="F887" s="165"/>
      <c r="G887" s="165"/>
      <c r="H887" s="165"/>
      <c r="I887" s="165"/>
      <c r="J887" s="165"/>
      <c r="K887" s="165"/>
      <c r="L887" s="165"/>
      <c r="M887" s="165"/>
      <c r="N887" s="162"/>
      <c r="O887" s="162"/>
      <c r="P887" s="162"/>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165"/>
      <c r="E888" s="165"/>
      <c r="F888" s="165"/>
      <c r="G888" s="165"/>
      <c r="H888" s="165"/>
      <c r="I888" s="165"/>
      <c r="J888" s="165"/>
      <c r="K888" s="165"/>
      <c r="L888" s="165"/>
      <c r="M888" s="165"/>
      <c r="N888" s="162"/>
      <c r="O888" s="162"/>
      <c r="P888" s="162"/>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165"/>
      <c r="E889" s="165"/>
      <c r="F889" s="165"/>
      <c r="G889" s="165"/>
      <c r="H889" s="165"/>
      <c r="I889" s="165"/>
      <c r="J889" s="165"/>
      <c r="K889" s="165"/>
      <c r="L889" s="165"/>
      <c r="M889" s="165"/>
      <c r="N889" s="162"/>
      <c r="O889" s="162"/>
      <c r="P889" s="162"/>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165"/>
      <c r="E890" s="165"/>
      <c r="F890" s="165"/>
      <c r="G890" s="165"/>
      <c r="H890" s="165"/>
      <c r="I890" s="165"/>
      <c r="J890" s="165"/>
      <c r="K890" s="165"/>
      <c r="L890" s="165"/>
      <c r="M890" s="165"/>
      <c r="N890" s="162"/>
      <c r="O890" s="162"/>
      <c r="P890" s="162"/>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165"/>
      <c r="E891" s="165"/>
      <c r="F891" s="165"/>
      <c r="G891" s="165"/>
      <c r="H891" s="165"/>
      <c r="I891" s="165"/>
      <c r="J891" s="165"/>
      <c r="K891" s="165"/>
      <c r="L891" s="165"/>
      <c r="M891" s="165"/>
      <c r="N891" s="162"/>
      <c r="O891" s="162"/>
      <c r="P891" s="162"/>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165"/>
      <c r="E892" s="165"/>
      <c r="F892" s="165"/>
      <c r="G892" s="165"/>
      <c r="H892" s="165"/>
      <c r="I892" s="165"/>
      <c r="J892" s="165"/>
      <c r="K892" s="165"/>
      <c r="L892" s="165"/>
      <c r="M892" s="165"/>
      <c r="N892" s="162"/>
      <c r="O892" s="162"/>
      <c r="P892" s="16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165"/>
      <c r="E893" s="165"/>
      <c r="F893" s="165"/>
      <c r="G893" s="165"/>
      <c r="H893" s="165"/>
      <c r="I893" s="165"/>
      <c r="J893" s="165"/>
      <c r="K893" s="165"/>
      <c r="L893" s="165"/>
      <c r="M893" s="165"/>
      <c r="N893" s="162"/>
      <c r="O893" s="162"/>
      <c r="P893" s="162"/>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165"/>
      <c r="E894" s="165"/>
      <c r="F894" s="165"/>
      <c r="G894" s="165"/>
      <c r="H894" s="165"/>
      <c r="I894" s="165"/>
      <c r="J894" s="165"/>
      <c r="K894" s="165"/>
      <c r="L894" s="165"/>
      <c r="M894" s="165"/>
      <c r="N894" s="162"/>
      <c r="O894" s="162"/>
      <c r="P894" s="162"/>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165"/>
      <c r="E895" s="165"/>
      <c r="F895" s="165"/>
      <c r="G895" s="165"/>
      <c r="H895" s="165"/>
      <c r="I895" s="165"/>
      <c r="J895" s="165"/>
      <c r="K895" s="165"/>
      <c r="L895" s="165"/>
      <c r="M895" s="165"/>
      <c r="N895" s="162"/>
      <c r="O895" s="162"/>
      <c r="P895" s="162"/>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165"/>
      <c r="E896" s="165"/>
      <c r="F896" s="165"/>
      <c r="G896" s="165"/>
      <c r="H896" s="165"/>
      <c r="I896" s="165"/>
      <c r="J896" s="165"/>
      <c r="K896" s="165"/>
      <c r="L896" s="165"/>
      <c r="M896" s="165"/>
      <c r="N896" s="162"/>
      <c r="O896" s="162"/>
      <c r="P896" s="162"/>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165"/>
      <c r="E897" s="165"/>
      <c r="F897" s="165"/>
      <c r="G897" s="165"/>
      <c r="H897" s="165"/>
      <c r="I897" s="165"/>
      <c r="J897" s="165"/>
      <c r="K897" s="165"/>
      <c r="L897" s="165"/>
      <c r="M897" s="165"/>
      <c r="N897" s="162"/>
      <c r="O897" s="162"/>
      <c r="P897" s="162"/>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165"/>
      <c r="E898" s="165"/>
      <c r="F898" s="165"/>
      <c r="G898" s="165"/>
      <c r="H898" s="165"/>
      <c r="I898" s="165"/>
      <c r="J898" s="165"/>
      <c r="K898" s="165"/>
      <c r="L898" s="165"/>
      <c r="M898" s="165"/>
      <c r="N898" s="162"/>
      <c r="O898" s="162"/>
      <c r="P898" s="162"/>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165"/>
      <c r="E899" s="165"/>
      <c r="F899" s="165"/>
      <c r="G899" s="165"/>
      <c r="H899" s="165"/>
      <c r="I899" s="165"/>
      <c r="J899" s="165"/>
      <c r="K899" s="165"/>
      <c r="L899" s="165"/>
      <c r="M899" s="165"/>
      <c r="N899" s="162"/>
      <c r="O899" s="162"/>
      <c r="P899" s="162"/>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165"/>
      <c r="E900" s="165"/>
      <c r="F900" s="165"/>
      <c r="G900" s="165"/>
      <c r="H900" s="165"/>
      <c r="I900" s="165"/>
      <c r="J900" s="165"/>
      <c r="K900" s="165"/>
      <c r="L900" s="165"/>
      <c r="M900" s="165"/>
      <c r="N900" s="162"/>
      <c r="O900" s="162"/>
      <c r="P900" s="162"/>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165"/>
      <c r="E901" s="165"/>
      <c r="F901" s="165"/>
      <c r="G901" s="165"/>
      <c r="H901" s="165"/>
      <c r="I901" s="165"/>
      <c r="J901" s="165"/>
      <c r="K901" s="165"/>
      <c r="L901" s="165"/>
      <c r="M901" s="165"/>
      <c r="N901" s="162"/>
      <c r="O901" s="162"/>
      <c r="P901" s="162"/>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165"/>
      <c r="E902" s="165"/>
      <c r="F902" s="165"/>
      <c r="G902" s="165"/>
      <c r="H902" s="165"/>
      <c r="I902" s="165"/>
      <c r="J902" s="165"/>
      <c r="K902" s="165"/>
      <c r="L902" s="165"/>
      <c r="M902" s="165"/>
      <c r="N902" s="162"/>
      <c r="O902" s="162"/>
      <c r="P902" s="16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165"/>
      <c r="E903" s="165"/>
      <c r="F903" s="165"/>
      <c r="G903" s="165"/>
      <c r="H903" s="165"/>
      <c r="I903" s="165"/>
      <c r="J903" s="165"/>
      <c r="K903" s="165"/>
      <c r="L903" s="165"/>
      <c r="M903" s="165"/>
      <c r="N903" s="162"/>
      <c r="O903" s="162"/>
      <c r="P903" s="162"/>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165"/>
      <c r="E904" s="165"/>
      <c r="F904" s="165"/>
      <c r="G904" s="165"/>
      <c r="H904" s="165"/>
      <c r="I904" s="165"/>
      <c r="J904" s="165"/>
      <c r="K904" s="165"/>
      <c r="L904" s="165"/>
      <c r="M904" s="165"/>
      <c r="N904" s="162"/>
      <c r="O904" s="162"/>
      <c r="P904" s="162"/>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165"/>
      <c r="E905" s="165"/>
      <c r="F905" s="165"/>
      <c r="G905" s="165"/>
      <c r="H905" s="165"/>
      <c r="I905" s="165"/>
      <c r="J905" s="165"/>
      <c r="K905" s="165"/>
      <c r="L905" s="165"/>
      <c r="M905" s="165"/>
      <c r="N905" s="162"/>
      <c r="O905" s="162"/>
      <c r="P905" s="162"/>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165"/>
      <c r="E906" s="165"/>
      <c r="F906" s="165"/>
      <c r="G906" s="165"/>
      <c r="H906" s="165"/>
      <c r="I906" s="165"/>
      <c r="J906" s="165"/>
      <c r="K906" s="165"/>
      <c r="L906" s="165"/>
      <c r="M906" s="165"/>
      <c r="N906" s="162"/>
      <c r="O906" s="162"/>
      <c r="P906" s="162"/>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165"/>
      <c r="E907" s="165"/>
      <c r="F907" s="165"/>
      <c r="G907" s="165"/>
      <c r="H907" s="165"/>
      <c r="I907" s="165"/>
      <c r="J907" s="165"/>
      <c r="K907" s="165"/>
      <c r="L907" s="165"/>
      <c r="M907" s="165"/>
      <c r="N907" s="162"/>
      <c r="O907" s="162"/>
      <c r="P907" s="162"/>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row r="908" spans="1:235" ht="11.25">
      <c r="A908" s="2"/>
      <c r="B908" s="2"/>
      <c r="C908" s="2"/>
      <c r="D908" s="165"/>
      <c r="E908" s="165"/>
      <c r="F908" s="165"/>
      <c r="G908" s="165"/>
      <c r="H908" s="165"/>
      <c r="I908" s="165"/>
      <c r="J908" s="165"/>
      <c r="K908" s="165"/>
      <c r="L908" s="165"/>
      <c r="M908" s="165"/>
      <c r="N908" s="162"/>
      <c r="O908" s="162"/>
      <c r="P908" s="162"/>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row>
    <row r="909" spans="1:235" ht="11.25">
      <c r="A909" s="2"/>
      <c r="B909" s="2"/>
      <c r="C909" s="2"/>
      <c r="D909" s="165"/>
      <c r="E909" s="165"/>
      <c r="F909" s="165"/>
      <c r="G909" s="165"/>
      <c r="H909" s="165"/>
      <c r="I909" s="165"/>
      <c r="J909" s="165"/>
      <c r="K909" s="165"/>
      <c r="L909" s="165"/>
      <c r="M909" s="165"/>
      <c r="N909" s="162"/>
      <c r="O909" s="162"/>
      <c r="P909" s="162"/>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row>
    <row r="910" spans="1:235" ht="11.25">
      <c r="A910" s="2"/>
      <c r="B910" s="2"/>
      <c r="C910" s="2"/>
      <c r="D910" s="165"/>
      <c r="E910" s="165"/>
      <c r="F910" s="165"/>
      <c r="G910" s="165"/>
      <c r="H910" s="165"/>
      <c r="I910" s="165"/>
      <c r="J910" s="165"/>
      <c r="K910" s="165"/>
      <c r="L910" s="165"/>
      <c r="M910" s="165"/>
      <c r="N910" s="162"/>
      <c r="O910" s="162"/>
      <c r="P910" s="162"/>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row>
  </sheetData>
  <sheetProtection/>
  <mergeCells count="24">
    <mergeCell ref="C12:C14"/>
    <mergeCell ref="D13:E13"/>
    <mergeCell ref="G12:J12"/>
    <mergeCell ref="A812:B812"/>
    <mergeCell ref="A809:C809"/>
    <mergeCell ref="F13:F14"/>
    <mergeCell ref="D12:F12"/>
    <mergeCell ref="G13:I13"/>
    <mergeCell ref="A10:P10"/>
    <mergeCell ref="O809:P809"/>
    <mergeCell ref="N7:P7"/>
    <mergeCell ref="N12:P12"/>
    <mergeCell ref="N13:O13"/>
    <mergeCell ref="P13:P14"/>
    <mergeCell ref="J13:J14"/>
    <mergeCell ref="K13:M13"/>
    <mergeCell ref="A12:A14"/>
    <mergeCell ref="B12:B14"/>
    <mergeCell ref="N5:P5"/>
    <mergeCell ref="N6:P6"/>
    <mergeCell ref="N1:P1"/>
    <mergeCell ref="N2:P2"/>
    <mergeCell ref="N3:P3"/>
    <mergeCell ref="N4:P4"/>
  </mergeCells>
  <printOptions horizontalCentered="1"/>
  <pageMargins left="0.7874015748031497" right="0.3937007874015748" top="0.984251968503937" bottom="0.3937007874015748" header="0" footer="0"/>
  <pageSetup fitToHeight="23" horizontalDpi="600" verticalDpi="600" orientation="landscape" paperSize="9" scale="79" r:id="rId1"/>
  <rowBreaks count="1" manualBreakCount="1">
    <brk id="742"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2017-03-30T11:41:53Z</cp:lastPrinted>
  <dcterms:created xsi:type="dcterms:W3CDTF">2014-04-22T08:24:49Z</dcterms:created>
  <dcterms:modified xsi:type="dcterms:W3CDTF">2017-03-30T11:44:45Z</dcterms:modified>
  <cp:category/>
  <cp:version/>
  <cp:contentType/>
  <cp:contentStatus/>
</cp:coreProperties>
</file>