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20" windowWidth="9300" windowHeight="3435" tabRatio="0" activeTab="1"/>
  </bookViews>
  <sheets>
    <sheet name="Диаграмма1" sheetId="1" r:id="rId1"/>
    <sheet name="Sheet1" sheetId="2" r:id="rId2"/>
  </sheets>
  <definedNames>
    <definedName name="_xlnm.Print_Area" localSheetId="1">'Sheet1'!$A$1:$P$646</definedName>
  </definedNames>
  <calcPr fullCalcOnLoad="1"/>
</workbook>
</file>

<file path=xl/sharedStrings.xml><?xml version="1.0" encoding="utf-8"?>
<sst xmlns="http://schemas.openxmlformats.org/spreadsheetml/2006/main" count="653" uniqueCount="439">
  <si>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</si>
  <si>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</si>
  <si>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</si>
  <si>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</si>
  <si>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</si>
  <si>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</si>
  <si>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</si>
  <si>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</si>
  <si>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</si>
  <si>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</si>
  <si>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</si>
  <si>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</si>
  <si>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</si>
  <si>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</si>
  <si>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</si>
  <si>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</si>
  <si>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</si>
  <si>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</si>
  <si>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</si>
  <si>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</si>
  <si>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</si>
  <si>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</si>
  <si>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</si>
  <si>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</si>
  <si>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</si>
  <si>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</si>
  <si>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</si>
  <si>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</si>
  <si>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</si>
  <si>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</si>
  <si>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</si>
  <si>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</si>
  <si>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</si>
  <si>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</si>
  <si>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</si>
  <si>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</si>
  <si>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</si>
  <si>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</si>
  <si>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</si>
  <si>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</si>
  <si>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</si>
  <si>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</si>
  <si>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</si>
  <si>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</si>
  <si>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</si>
  <si>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</si>
  <si>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</si>
  <si>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</si>
  <si>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</si>
  <si>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</si>
  <si>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</si>
  <si>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</si>
  <si>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</si>
  <si>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</si>
  <si>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</si>
  <si>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</si>
  <si>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</si>
  <si>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</si>
  <si>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</si>
  <si>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</si>
  <si>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</si>
  <si>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</si>
  <si>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</si>
  <si>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</si>
  <si>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</si>
  <si>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</si>
  <si>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</si>
  <si>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</si>
  <si>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</si>
  <si>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</si>
  <si>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</si>
  <si>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</si>
  <si>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</si>
  <si>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</si>
  <si>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</si>
  <si>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</si>
  <si>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</si>
  <si>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</si>
  <si>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</si>
  <si>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</si>
  <si>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</si>
  <si>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</si>
  <si>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</si>
  <si>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</si>
  <si>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</si>
  <si>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</si>
  <si>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</si>
  <si>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</si>
  <si>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</si>
  <si>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</si>
  <si>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</si>
  <si>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</si>
  <si>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</si>
  <si>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</si>
  <si>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</si>
  <si>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</si>
  <si>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</si>
  <si>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</si>
  <si>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</si>
  <si>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</si>
  <si>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</si>
  <si>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</si>
  <si>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</si>
  <si>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</si>
  <si>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</si>
  <si>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</si>
  <si>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</si>
  <si>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</si>
  <si>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</si>
  <si>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</si>
  <si>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</si>
  <si>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</si>
  <si>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</si>
  <si>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</si>
  <si>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</si>
  <si>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</si>
  <si>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</si>
  <si>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</si>
  <si>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</si>
  <si>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</si>
  <si>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</si>
  <si>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</si>
  <si>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</si>
  <si>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</si>
  <si>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</si>
  <si>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</si>
  <si>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</si>
  <si>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</si>
  <si>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</si>
  <si>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</si>
  <si>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</si>
  <si>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</si>
  <si>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</si>
  <si>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</si>
  <si>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</si>
  <si>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</si>
  <si>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</si>
  <si>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</si>
  <si>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</si>
  <si>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</si>
  <si>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</si>
  <si>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</si>
  <si>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</si>
  <si>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</si>
  <si>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</si>
  <si>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</si>
  <si>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</si>
  <si>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</si>
  <si>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</si>
  <si>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</si>
  <si>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</si>
  <si>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</si>
  <si>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</si>
  <si>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</si>
  <si>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</si>
  <si>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</si>
  <si>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</si>
  <si>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</si>
  <si>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</si>
  <si>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</si>
  <si>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</si>
  <si>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</si>
  <si>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</si>
  <si>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</si>
  <si>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</si>
  <si>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</si>
  <si>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</si>
  <si>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</si>
  <si>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</si>
  <si>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</si>
  <si>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</si>
  <si>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</si>
  <si>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</si>
  <si>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</si>
  <si>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</si>
  <si>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</si>
  <si>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</si>
  <si>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</si>
  <si>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</si>
  <si>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</si>
  <si>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</si>
  <si>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</si>
  <si>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</si>
  <si>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</si>
  <si>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</si>
  <si>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</si>
  <si>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</si>
  <si>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</si>
  <si>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</si>
  <si>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</si>
  <si>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</si>
  <si>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</si>
  <si>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</si>
  <si>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</si>
  <si>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</si>
  <si>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</si>
  <si>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</si>
  <si>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</si>
  <si>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</si>
  <si>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</si>
  <si>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</si>
  <si>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</si>
  <si>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</si>
  <si>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</si>
  <si>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</si>
  <si>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</si>
  <si>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</si>
  <si>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</si>
  <si>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</si>
  <si>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</si>
  <si>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</si>
  <si>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</si>
  <si>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</si>
  <si>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</si>
  <si>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</si>
  <si>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</si>
  <si>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</si>
  <si>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</si>
  <si>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</si>
  <si>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</si>
  <si>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</si>
  <si>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</si>
  <si>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</si>
  <si>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</si>
  <si>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</si>
  <si>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</si>
  <si>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</si>
  <si>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</si>
  <si>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</si>
  <si>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</si>
  <si>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</si>
  <si>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</si>
  <si>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</si>
  <si>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</si>
  <si>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</si>
  <si>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</si>
  <si>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</si>
  <si>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</si>
  <si>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</si>
  <si>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</si>
  <si>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</si>
  <si>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</si>
  <si>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</si>
  <si>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</si>
  <si>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</si>
  <si>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</si>
  <si>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</si>
  <si>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</si>
  <si>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</si>
  <si>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</si>
  <si>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</si>
  <si>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</si>
  <si>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</si>
  <si>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</si>
  <si>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</si>
  <si>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</si>
  <si>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</si>
  <si>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</si>
  <si>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</si>
  <si>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</si>
  <si>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</si>
  <si>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</si>
  <si>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</si>
  <si>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</si>
  <si>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</si>
  <si>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</si>
  <si>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</si>
  <si>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</si>
  <si>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</si>
  <si>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</si>
  <si>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</si>
  <si>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</si>
  <si>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</si>
  <si>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</si>
  <si>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</si>
  <si>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</si>
  <si>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</si>
  <si>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</si>
  <si>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</si>
  <si>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</si>
  <si>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</si>
  <si>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</si>
  <si>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</si>
  <si>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</si>
  <si>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</si>
  <si>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</si>
  <si>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 обсяг видатків на виготовлення та розміщення рекламних матеріалів до святкових та урочистих подій, грн</t>
  </si>
  <si>
    <t>Показник: обсяг видатків на виготовлення та розмщення соціальної реклами, грн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</si>
  <si>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</si>
  <si>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</si>
  <si>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</si>
  <si>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</si>
  <si>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</si>
  <si>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</si>
  <si>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</si>
  <si>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</si>
  <si>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</si>
  <si>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</si>
  <si>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</si>
  <si>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</si>
  <si>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</si>
  <si>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</si>
  <si>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</si>
  <si>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</si>
  <si>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</si>
  <si>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</si>
  <si>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</si>
  <si>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</si>
  <si>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</si>
  <si>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</si>
  <si>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</si>
  <si>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</si>
  <si>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</si>
  <si>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</si>
  <si>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</si>
  <si>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</si>
  <si>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</si>
  <si>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</si>
  <si>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</si>
  <si>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</si>
  <si>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</si>
  <si>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</si>
  <si>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</si>
  <si>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</si>
  <si>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</si>
  <si>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</si>
  <si>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</si>
  <si>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</si>
  <si>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</si>
  <si>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</si>
  <si>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</si>
  <si>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</si>
  <si>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</si>
  <si>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</si>
  <si>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</si>
  <si>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</si>
  <si>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</si>
  <si>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</si>
  <si>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</si>
  <si>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</si>
  <si>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</si>
  <si>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</si>
  <si>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</si>
  <si>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</si>
  <si>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</si>
  <si>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</si>
  <si>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</si>
  <si>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</si>
  <si>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</si>
  <si>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</si>
  <si>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</si>
  <si>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</si>
  <si>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</si>
  <si>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</si>
  <si>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</si>
  <si>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</si>
  <si>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Сумський міський голова</t>
  </si>
  <si>
    <t>О.М.Лисенко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</si>
  <si>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</si>
  <si>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</si>
  <si>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</si>
  <si>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</si>
  <si>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</si>
  <si>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Виконавець: Яременко Г.І.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</si>
  <si>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</si>
  <si>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</si>
  <si>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</si>
  <si>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</si>
  <si>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</si>
  <si>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</si>
  <si>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</si>
  <si>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</si>
  <si>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</si>
  <si>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</si>
  <si>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</si>
  <si>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</si>
  <si>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</si>
  <si>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</si>
  <si>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</si>
  <si>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</si>
  <si>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</si>
  <si>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</si>
  <si>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</si>
  <si>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</si>
  <si>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</si>
  <si>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</si>
  <si>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</si>
  <si>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</si>
  <si>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</si>
  <si>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</si>
  <si>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</si>
  <si>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</si>
  <si>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</si>
  <si>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</si>
  <si>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</si>
  <si>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</si>
  <si>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</si>
  <si>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</si>
  <si>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</si>
  <si>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</si>
  <si>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</si>
  <si>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 xml:space="preserve">  Завдання: 22. Виготовлення та розміщення соціальної реклами, рекламних матеріалів до святкових та урочистих подій</t>
  </si>
  <si>
    <t xml:space="preserve">  Завдання: 23. Демонтаж  рекламних засобів, розміщених самовільно та з порушенням порядку розміщення зовнішньої реклами</t>
  </si>
  <si>
    <t xml:space="preserve">  Завдання: 24.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</si>
  <si>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25.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</si>
  <si>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26. Забезпечення постачання природного газу монументу "Вічна Слава"</t>
  </si>
  <si>
    <t xml:space="preserve">  Завдання: 27.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</si>
  <si>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28.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</si>
  <si>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29. Забезпечення функціонування об'єктів житлово-комунального господарства</t>
  </si>
  <si>
    <t xml:space="preserve">  Завдання: 30.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</si>
  <si>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30.1 Забезпечення охорони  водозаборів  та очисних споруд, охорона КНС за адресою по вул. Привокзальна,4/13</t>
  </si>
  <si>
    <t xml:space="preserve">  Завдання: 30.2 Фінансова підтримка (оплата заборгованності з електроенергію)</t>
  </si>
  <si>
    <t xml:space="preserve">  Завдання: 31. Розробка нормативів питного водопостачання для населення м. Суми </t>
  </si>
  <si>
    <t xml:space="preserve">  Завдання: 32. Вимоги пожежної безпеки</t>
  </si>
  <si>
    <t>Завдання: 33. Придбання водопровідних та каналізаційних люків</t>
  </si>
  <si>
    <t>Завдання: 34. Проведення капітального та поточного ремонту колекторів та каналізаційних мереж, технічне обслуговуавння</t>
  </si>
  <si>
    <t>Завдання: 35. Виконання геофізичного дослідження свердловин</t>
  </si>
  <si>
    <t xml:space="preserve">Завдання: 36.Капітальний ремонт по підключенню будинків №103-Б та №105 по вул. Харківській до мереж міської каналізації </t>
  </si>
  <si>
    <t>Завдання: 37. Розробка схеми оптимізації роботи системи централізованого водопостачання та водовідведення міста Суми 2018-2020 роки</t>
  </si>
  <si>
    <t>Завдання: 38. Капітальний ремонт  діючого  каналізаційного самотічного колектора Д 500 мм по вул.Ремісничій в м. Суми</t>
  </si>
  <si>
    <t xml:space="preserve">Завдання: 39. Виготовлення електронної карти ливневої каналізаційної мережі м.Суми </t>
  </si>
  <si>
    <t>Завдання: 40. Впровадження енергозберігаючих заходів</t>
  </si>
  <si>
    <t>Завдання: 40.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</si>
  <si>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40.2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</si>
  <si>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41. Забезпечення зміцнення матеріально-технічної бази підприємств комунальної форми власності</t>
  </si>
  <si>
    <t xml:space="preserve">  Завдання: 42. Створення сприятливих умов проживання населення та забезпечення надання життєво необхідних послуг</t>
  </si>
  <si>
    <t xml:space="preserve"> Завдання: 43. Встановлення вузлів  комерційного обліку </t>
  </si>
  <si>
    <t xml:space="preserve">  Завдання: 44. Забезпечення надійного та безперебійного функціонування житлово-експлуатаційного господарства</t>
  </si>
  <si>
    <t xml:space="preserve">  Завдання: 45. Організація та проведення громадських робіт</t>
  </si>
  <si>
    <t xml:space="preserve">  Завдання: 46.Заходи з будівництва, реставрації  та реконструкції</t>
  </si>
  <si>
    <t xml:space="preserve">  Завдання: 47.Здійснення заходів із землеустрою </t>
  </si>
  <si>
    <t xml:space="preserve">  Завдання: 48. Повернення бюджетних позичок на поворотній основі</t>
  </si>
  <si>
    <t xml:space="preserve">  Завдання: 49. Надання бюджетних позичок на поворотній основі</t>
  </si>
  <si>
    <t xml:space="preserve"> КПКВК 6030, 7691, 7462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</si>
  <si>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</si>
  <si>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</si>
  <si>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</si>
  <si>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>Додаток 9</t>
  </si>
  <si>
    <t>від 14 листопада 2018 року № 4102-МР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</si>
</sst>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12" fillId="0" borderId="0" xfId="0" applyNumberFormat="1" applyFont="1" applyFill="1" applyAlignment="1">
      <alignment horizontal="left" vertical="top" wrapText="1"/>
    </xf>
    <xf numFmtId="4" fontId="11" fillId="0" borderId="1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3242353"/>
        <c:axId val="32310266"/>
      </c:bar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 val="autoZero"/>
        <c:auto val="1"/>
        <c:lblOffset val="100"/>
        <c:tickLblSkip val="1"/>
        <c:noMultiLvlLbl val="0"/>
      </c:catAx>
      <c:valAx>
        <c:axId val="3231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G743"/>
  <sheetViews>
    <sheetView tabSelected="1" view="pageBreakPreview" zoomScaleNormal="85" zoomScaleSheetLayoutView="100" workbookViewId="0" topLeftCell="A1">
      <selection activeCell="J11" sqref="J1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2" ht="11.25" hidden="1"/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62" t="s">
        <v>437</v>
      </c>
      <c r="K3" s="162"/>
      <c r="L3" s="162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358</v>
      </c>
      <c r="K4" s="118"/>
      <c r="L4" s="118"/>
      <c r="M4" s="118"/>
    </row>
    <row r="5" spans="1:13" ht="18.75">
      <c r="A5" s="112"/>
      <c r="B5" s="112"/>
      <c r="C5" s="112"/>
      <c r="D5" s="118"/>
      <c r="E5" s="118"/>
      <c r="F5" s="118"/>
      <c r="G5" s="118"/>
      <c r="H5" s="118"/>
      <c r="I5" s="118"/>
      <c r="J5" s="118" t="s">
        <v>283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42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55</v>
      </c>
      <c r="K7" s="118"/>
      <c r="L7" s="118"/>
      <c r="M7" s="118"/>
    </row>
    <row r="8" spans="1:13" ht="18.75">
      <c r="A8" s="120"/>
      <c r="B8" s="120"/>
      <c r="C8" s="120"/>
      <c r="D8" s="121"/>
      <c r="E8" s="121"/>
      <c r="F8" s="121"/>
      <c r="G8" s="121"/>
      <c r="H8" s="121"/>
      <c r="I8" s="121"/>
      <c r="J8" s="118" t="s">
        <v>284</v>
      </c>
      <c r="K8" s="118"/>
      <c r="L8" s="118"/>
      <c r="M8" s="118"/>
    </row>
    <row r="9" spans="1:16" ht="33.75" customHeight="1">
      <c r="A9" s="120"/>
      <c r="B9" s="120"/>
      <c r="C9" s="120"/>
      <c r="D9" s="121"/>
      <c r="E9" s="121"/>
      <c r="F9" s="121"/>
      <c r="G9" s="121"/>
      <c r="H9" s="121"/>
      <c r="I9" s="121"/>
      <c r="J9" s="160" t="s">
        <v>364</v>
      </c>
      <c r="K9" s="160"/>
      <c r="L9" s="160"/>
      <c r="M9" s="160"/>
      <c r="N9" s="160"/>
      <c r="O9" s="160"/>
      <c r="P9" s="160"/>
    </row>
    <row r="10" spans="1:13" ht="18.75">
      <c r="A10" s="120"/>
      <c r="B10" s="120"/>
      <c r="C10" s="120"/>
      <c r="D10" s="121"/>
      <c r="E10" s="121"/>
      <c r="F10" s="121"/>
      <c r="G10" s="121"/>
      <c r="H10" s="121"/>
      <c r="I10" s="121"/>
      <c r="J10" s="118" t="s">
        <v>438</v>
      </c>
      <c r="K10" s="118"/>
      <c r="L10" s="118"/>
      <c r="M10" s="118"/>
    </row>
    <row r="11" spans="1:17" ht="18.75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8.75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63" t="s">
        <v>277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ht="16.5" customHeight="1">
      <c r="A14" s="122"/>
      <c r="B14" s="122"/>
      <c r="C14" s="122"/>
      <c r="D14" s="123"/>
      <c r="E14" s="123"/>
      <c r="F14" s="161" t="s">
        <v>278</v>
      </c>
      <c r="G14" s="161"/>
      <c r="H14" s="123"/>
      <c r="I14" s="123"/>
      <c r="J14" s="118"/>
      <c r="K14" s="123"/>
      <c r="L14" s="118"/>
      <c r="M14" s="118"/>
      <c r="N14" s="118"/>
      <c r="O14" s="118"/>
      <c r="P14" s="123" t="s">
        <v>39</v>
      </c>
    </row>
    <row r="15" spans="1:241" ht="11.25" customHeight="1">
      <c r="A15" s="173">
        <v>145767870</v>
      </c>
      <c r="B15" s="173" t="s">
        <v>34</v>
      </c>
      <c r="C15" s="173" t="s">
        <v>35</v>
      </c>
      <c r="D15" s="165" t="s">
        <v>210</v>
      </c>
      <c r="E15" s="166"/>
      <c r="F15" s="167"/>
      <c r="G15" s="172" t="s">
        <v>211</v>
      </c>
      <c r="H15" s="172"/>
      <c r="I15" s="172"/>
      <c r="J15" s="172"/>
      <c r="K15" s="33"/>
      <c r="L15" s="33"/>
      <c r="M15" s="33"/>
      <c r="N15" s="165" t="s">
        <v>212</v>
      </c>
      <c r="O15" s="166"/>
      <c r="P15" s="167"/>
      <c r="IB15" s="25"/>
      <c r="IC15" s="25"/>
      <c r="ID15" s="25"/>
      <c r="IE15" s="25"/>
      <c r="IF15" s="25"/>
      <c r="IG15" s="25"/>
    </row>
    <row r="16" spans="1:241" ht="12" customHeight="1">
      <c r="A16" s="174"/>
      <c r="B16" s="174"/>
      <c r="C16" s="174"/>
      <c r="D16" s="168" t="s">
        <v>36</v>
      </c>
      <c r="E16" s="169"/>
      <c r="F16" s="170" t="s">
        <v>26</v>
      </c>
      <c r="G16" s="178" t="s">
        <v>36</v>
      </c>
      <c r="H16" s="178"/>
      <c r="I16" s="178"/>
      <c r="J16" s="172" t="s">
        <v>26</v>
      </c>
      <c r="K16" s="165" t="s">
        <v>25</v>
      </c>
      <c r="L16" s="166"/>
      <c r="M16" s="167"/>
      <c r="N16" s="168" t="s">
        <v>36</v>
      </c>
      <c r="O16" s="169"/>
      <c r="P16" s="170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75"/>
      <c r="B17" s="175"/>
      <c r="C17" s="175"/>
      <c r="D17" s="33" t="s">
        <v>0</v>
      </c>
      <c r="E17" s="33" t="s">
        <v>1</v>
      </c>
      <c r="F17" s="171"/>
      <c r="G17" s="33" t="s">
        <v>0</v>
      </c>
      <c r="H17" s="33" t="s">
        <v>1</v>
      </c>
      <c r="I17" s="33" t="s">
        <v>187</v>
      </c>
      <c r="J17" s="172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71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SUM(D24)+D295+D334+D442+D451+D533+D551+D560+D570+D580+D590+D598+D611+D620+D629</f>
        <v>157003200.00291747</v>
      </c>
      <c r="E19" s="33">
        <f>SUM(E24)+E295+E334+E442+E451+E533+E551+E560+E570+E580+E590+E598+E611+E620+E629</f>
        <v>474017747.999755</v>
      </c>
      <c r="F19" s="33">
        <f>SUM(D19:E19)</f>
        <v>631020948.0026724</v>
      </c>
      <c r="G19" s="33">
        <f>SUM(G24)+G295+G334+G442+G451+G533+G551+G560+G570+G580+G590+G598+G611+G620+G629</f>
        <v>144036200.4057965</v>
      </c>
      <c r="H19" s="33">
        <f>SUM(H24)+H295+H334+H442+H451+H533+H551+H560+H570+H580+H590+H598+H611+H620+H629</f>
        <v>363421502.597462</v>
      </c>
      <c r="I19" s="33" t="e">
        <f>SUM(I24)+I295+I334+I442+I451+I533+I551+I560+I570+I580+I590+I598+I611+I620+I629</f>
        <v>#REF!</v>
      </c>
      <c r="J19" s="33">
        <f>SUM(G19)+H19</f>
        <v>507457703.00325847</v>
      </c>
      <c r="K19" s="33" t="e">
        <f aca="true" t="shared" si="0" ref="K19:P19">SUM(K24)+K295+K334+K442+K451+K533+K551+K560+K570+K580+K590+K598+K611+K620+K629</f>
        <v>#REF!</v>
      </c>
      <c r="L19" s="33" t="e">
        <f t="shared" si="0"/>
        <v>#REF!</v>
      </c>
      <c r="M19" s="33" t="e">
        <f t="shared" si="0"/>
        <v>#REF!</v>
      </c>
      <c r="N19" s="33">
        <f t="shared" si="0"/>
        <v>142134000.00307232</v>
      </c>
      <c r="O19" s="33">
        <f t="shared" si="0"/>
        <v>286060000.000365</v>
      </c>
      <c r="P19" s="33">
        <f t="shared" si="0"/>
        <v>428194000.0034373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191973399.99989998</v>
      </c>
      <c r="F20" s="33">
        <f>F25</f>
        <v>316973399.9998491</v>
      </c>
      <c r="G20" s="33">
        <f>G25</f>
        <v>139359999.9999605</v>
      </c>
      <c r="H20" s="33">
        <f>H25</f>
        <v>167231999.99964452</v>
      </c>
      <c r="I20" s="33">
        <f aca="true" t="shared" si="1" ref="I20:P20">I25</f>
        <v>-2000000</v>
      </c>
      <c r="J20" s="33">
        <f>SUM(G20)+H20</f>
        <v>306591999.99960506</v>
      </c>
      <c r="K20" s="33">
        <f t="shared" si="1"/>
        <v>-2000000</v>
      </c>
      <c r="L20" s="33">
        <f t="shared" si="1"/>
        <v>-2000000</v>
      </c>
      <c r="M20" s="33">
        <f t="shared" si="1"/>
        <v>-2000000</v>
      </c>
      <c r="N20" s="33">
        <f t="shared" si="1"/>
        <v>146552499.99986666</v>
      </c>
      <c r="O20" s="33">
        <f t="shared" si="1"/>
        <v>175862999.99910063</v>
      </c>
      <c r="P20" s="33">
        <f t="shared" si="1"/>
        <v>322415499.9989673</v>
      </c>
    </row>
    <row r="21" spans="1:17" ht="40.5" customHeight="1">
      <c r="A21" s="32" t="s">
        <v>189</v>
      </c>
      <c r="B21" s="32"/>
      <c r="C21" s="32"/>
      <c r="D21" s="33">
        <f aca="true" t="shared" si="2" ref="D21:I21">D335</f>
        <v>462380.003</v>
      </c>
      <c r="E21" s="33">
        <f t="shared" si="2"/>
        <v>692840</v>
      </c>
      <c r="F21" s="33">
        <f>F335</f>
        <v>1155220.003</v>
      </c>
      <c r="G21" s="33">
        <f t="shared" si="2"/>
        <v>435255</v>
      </c>
      <c r="H21" s="33">
        <f t="shared" si="2"/>
        <v>742600</v>
      </c>
      <c r="I21" s="33">
        <f t="shared" si="2"/>
        <v>0</v>
      </c>
      <c r="J21" s="33">
        <f>SUM(G21)+H21</f>
        <v>1177855</v>
      </c>
      <c r="K21" s="33">
        <f aca="true" t="shared" si="3" ref="K21:Q21">K335</f>
        <v>0</v>
      </c>
      <c r="L21" s="33">
        <f t="shared" si="3"/>
        <v>0</v>
      </c>
      <c r="M21" s="33">
        <f t="shared" si="3"/>
        <v>0</v>
      </c>
      <c r="N21" s="33">
        <f t="shared" si="3"/>
        <v>352520</v>
      </c>
      <c r="O21" s="33">
        <f t="shared" si="3"/>
        <v>787532</v>
      </c>
      <c r="P21" s="33">
        <f t="shared" si="3"/>
        <v>1140052</v>
      </c>
      <c r="Q21" s="33">
        <f t="shared" si="3"/>
        <v>0</v>
      </c>
    </row>
    <row r="22" spans="1:17" ht="20.25" customHeight="1">
      <c r="A22" s="32" t="s">
        <v>138</v>
      </c>
      <c r="B22" s="32"/>
      <c r="C22" s="32"/>
      <c r="D22" s="33">
        <f>D19+D20+D21</f>
        <v>282465580.0058666</v>
      </c>
      <c r="E22" s="33">
        <f aca="true" t="shared" si="4" ref="E22:Q22">E19+E20+E21</f>
        <v>666683987.999655</v>
      </c>
      <c r="F22" s="33">
        <f t="shared" si="4"/>
        <v>949149568.0055215</v>
      </c>
      <c r="G22" s="33">
        <f>G19+G20+G21</f>
        <v>283831455.405757</v>
      </c>
      <c r="H22" s="33">
        <f t="shared" si="4"/>
        <v>531396102.5971065</v>
      </c>
      <c r="I22" s="33" t="e">
        <f t="shared" si="4"/>
        <v>#REF!</v>
      </c>
      <c r="J22" s="33">
        <f t="shared" si="4"/>
        <v>815227558.0028635</v>
      </c>
      <c r="K22" s="33" t="e">
        <f t="shared" si="4"/>
        <v>#REF!</v>
      </c>
      <c r="L22" s="33" t="e">
        <f t="shared" si="4"/>
        <v>#REF!</v>
      </c>
      <c r="M22" s="33" t="e">
        <f t="shared" si="4"/>
        <v>#REF!</v>
      </c>
      <c r="N22" s="33">
        <f t="shared" si="4"/>
        <v>289039020.002939</v>
      </c>
      <c r="O22" s="33">
        <f t="shared" si="4"/>
        <v>462710531.99946564</v>
      </c>
      <c r="P22" s="33">
        <f t="shared" si="4"/>
        <v>751749552.0024046</v>
      </c>
      <c r="Q22" s="33">
        <f t="shared" si="4"/>
        <v>0</v>
      </c>
    </row>
    <row r="23" spans="1:235" s="139" customFormat="1" ht="30.75" customHeight="1">
      <c r="A23" s="140" t="s">
        <v>433</v>
      </c>
      <c r="B23" s="141"/>
      <c r="C23" s="141"/>
      <c r="D23" s="142">
        <f>D24+D25</f>
        <v>242045100.0028672</v>
      </c>
      <c r="E23" s="142">
        <f>E24+E25</f>
        <v>285331732.999655</v>
      </c>
      <c r="F23" s="142">
        <f>F24+F25</f>
        <v>527376833.0025222</v>
      </c>
      <c r="G23" s="142">
        <f aca="true" t="shared" si="5" ref="G23:P23">G24+G25</f>
        <v>263119200.00575703</v>
      </c>
      <c r="H23" s="142">
        <f>H24+H25</f>
        <v>272542030.5996065</v>
      </c>
      <c r="I23" s="142">
        <f t="shared" si="5"/>
        <v>-2000000</v>
      </c>
      <c r="J23" s="142">
        <f>J24+J25</f>
        <v>535661230.60536355</v>
      </c>
      <c r="K23" s="142" t="e">
        <f t="shared" si="5"/>
        <v>#REF!</v>
      </c>
      <c r="L23" s="142" t="e">
        <f t="shared" si="5"/>
        <v>#REF!</v>
      </c>
      <c r="M23" s="142" t="e">
        <f t="shared" si="5"/>
        <v>#REF!</v>
      </c>
      <c r="N23" s="142">
        <f t="shared" si="5"/>
        <v>273011500.0008893</v>
      </c>
      <c r="O23" s="142">
        <f>O24+O25</f>
        <v>287682999.9974656</v>
      </c>
      <c r="P23" s="142">
        <f t="shared" si="5"/>
        <v>560694499.9983549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60</v>
      </c>
      <c r="B24" s="144"/>
      <c r="C24" s="144"/>
      <c r="D24" s="142">
        <f>SUM(D49)+D77+(D92*D95)+D99+D141+D167+D221+D245+D267+D288+D280+2000000</f>
        <v>117045100.0029181</v>
      </c>
      <c r="E24" s="142">
        <f>SUM(E49)+E77+(E92*E95)+E99+E141+E167+E221+E245+E267+E288+E280</f>
        <v>93358332.999755</v>
      </c>
      <c r="F24" s="142">
        <f>D24+E24</f>
        <v>210403433.0026731</v>
      </c>
      <c r="G24" s="142">
        <f>SUM(G49)+G77+(G92*G95)+G99+G141+G167+G221+G245+G267+G288+G280</f>
        <v>123759200.0057965</v>
      </c>
      <c r="H24" s="142">
        <f>SUM(H49)+H77+(H92*H95)+H99+H141+H167+H221+H245+H267+H288+H280</f>
        <v>105310030.599962</v>
      </c>
      <c r="I24" s="142">
        <f>I49+I77+I86+I99+I141+I167+I221+I245+I267+I280+I288</f>
        <v>0</v>
      </c>
      <c r="J24" s="142">
        <f>G24+H24</f>
        <v>229069230.6057585</v>
      </c>
      <c r="K24" s="142" t="e">
        <f>K49+K77+K86+K99+K141+K167+K221+K245+K267+K280+K288</f>
        <v>#REF!</v>
      </c>
      <c r="L24" s="142" t="e">
        <f>L49+L77+L86+L99+L141+L167+L221+L245+L267+L280+L288</f>
        <v>#REF!</v>
      </c>
      <c r="M24" s="142" t="e">
        <f>M49+M77+M86+M99+M141+M167+M221+M245+M267+M280+M288</f>
        <v>#REF!</v>
      </c>
      <c r="N24" s="142">
        <f>SUM(N49)+N77+(N92*N95)+N99+N141+N167+N221+N245+N267+N288+N280</f>
        <v>126459000.00102262</v>
      </c>
      <c r="O24" s="142">
        <f>SUM(O49)+O77+(O92*O95)+O99+O141+O167+O221+O245+O267+O288+O214+O280</f>
        <v>111819999.99836501</v>
      </c>
      <c r="P24" s="142">
        <f>N24+O24</f>
        <v>238278999.99938762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61</v>
      </c>
      <c r="B25" s="144"/>
      <c r="C25" s="144"/>
      <c r="D25" s="142">
        <f>SUM(D26)+D35+D58+D113-2000000</f>
        <v>124999999.9999491</v>
      </c>
      <c r="E25" s="142">
        <f>SUM(E26)+E35+E58+E113+(E91*E94)+E44</f>
        <v>191973399.99989998</v>
      </c>
      <c r="F25" s="142">
        <f>SUM(D25)+E25</f>
        <v>316973399.9998491</v>
      </c>
      <c r="G25" s="142">
        <f>SUM(G26)+G35+G58+G113</f>
        <v>139359999.9999605</v>
      </c>
      <c r="H25" s="142">
        <f>SUM(H26)+H35+H58+H113+(H91*H94)</f>
        <v>167231999.99964452</v>
      </c>
      <c r="I25" s="142">
        <f>I26+I35+I58+I106+I113-2000000</f>
        <v>-2000000</v>
      </c>
      <c r="J25" s="142">
        <f>G25+H25</f>
        <v>306591999.99960506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SUM(N26)+N35+N58+N113</f>
        <v>146552499.99986666</v>
      </c>
      <c r="O25" s="142">
        <f>SUM(O26)+O35+O58+O113+(O91*O94)</f>
        <v>175862999.99910063</v>
      </c>
      <c r="P25" s="142">
        <f>N25+O25</f>
        <v>322415499.9989673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</f>
        <v>50073400</v>
      </c>
      <c r="F26" s="36">
        <f>SUM(D26)+E26</f>
        <v>50073400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326646800.0008291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56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91319799.99991322</v>
      </c>
      <c r="O35" s="132"/>
      <c r="P35" s="132">
        <f>N35</f>
        <v>91319799.99991322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6" ref="D43:J43">D39/D37*100</f>
        <v>41.03801369863014</v>
      </c>
      <c r="E43" s="7"/>
      <c r="F43" s="7">
        <f t="shared" si="6"/>
        <v>41.03801369863014</v>
      </c>
      <c r="G43" s="7">
        <f t="shared" si="6"/>
        <v>41.019520547945206</v>
      </c>
      <c r="H43" s="7"/>
      <c r="I43" s="7"/>
      <c r="J43" s="7">
        <f t="shared" si="6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16" ht="21.75" customHeight="1">
      <c r="A44" s="8" t="s">
        <v>379</v>
      </c>
      <c r="B44" s="6"/>
      <c r="C44" s="6"/>
      <c r="D44" s="7"/>
      <c r="E44" s="7">
        <v>41900000</v>
      </c>
      <c r="F44" s="7">
        <f>D44+E44</f>
        <v>41900000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35" s="39" customFormat="1" ht="35.25" customHeight="1">
      <c r="A49" s="34" t="s">
        <v>380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1050000</v>
      </c>
      <c r="H49" s="36">
        <f>H53*H55</f>
        <v>17050000.200000003</v>
      </c>
      <c r="I49" s="36"/>
      <c r="J49" s="36">
        <f>G49+H49</f>
        <v>18100000.200000003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7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205</v>
      </c>
      <c r="B51" s="6"/>
      <c r="C51" s="6"/>
      <c r="D51" s="7">
        <v>3</v>
      </c>
      <c r="E51" s="7">
        <v>4</v>
      </c>
      <c r="F51" s="7">
        <f t="shared" si="7"/>
        <v>7</v>
      </c>
      <c r="G51" s="7">
        <v>2</v>
      </c>
      <c r="H51" s="7">
        <v>3</v>
      </c>
      <c r="I51" s="7"/>
      <c r="J51" s="7">
        <f>G51+H51</f>
        <v>5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7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206</v>
      </c>
      <c r="B53" s="6"/>
      <c r="C53" s="6"/>
      <c r="D53" s="7">
        <v>3</v>
      </c>
      <c r="E53" s="7">
        <v>3</v>
      </c>
      <c r="F53" s="7">
        <f t="shared" si="7"/>
        <v>6</v>
      </c>
      <c r="G53" s="7">
        <v>1</v>
      </c>
      <c r="H53" s="7">
        <v>3</v>
      </c>
      <c r="I53" s="7"/>
      <c r="J53" s="7">
        <f>G53+H53</f>
        <v>4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7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191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f>400000+650000</f>
        <v>1050000</v>
      </c>
      <c r="H55" s="7">
        <v>5683333.4</v>
      </c>
      <c r="I55" s="7"/>
      <c r="J55" s="7">
        <f>G55+H55</f>
        <v>6733333.4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7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207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0.5</v>
      </c>
      <c r="H57" s="7">
        <f>H53/H51</f>
        <v>1</v>
      </c>
      <c r="I57" s="7"/>
      <c r="J57" s="7">
        <f>J53/J51*100</f>
        <v>80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37.5" customHeight="1">
      <c r="A58" s="34" t="s">
        <v>381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</f>
        <v>43480299.99999766</v>
      </c>
      <c r="H58" s="36"/>
      <c r="I58" s="36"/>
      <c r="J58" s="36">
        <f>G58</f>
        <v>43480299.99999766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33.1823349091</v>
      </c>
      <c r="H64" s="7"/>
      <c r="I64" s="7"/>
      <c r="J64" s="7">
        <f>G64</f>
        <v>33.1823349091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280</v>
      </c>
      <c r="B68" s="6"/>
      <c r="C68" s="6"/>
      <c r="D68" s="7">
        <v>446550</v>
      </c>
      <c r="E68" s="7"/>
      <c r="F68" s="7">
        <v>446550</v>
      </c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279</v>
      </c>
      <c r="B70" s="6"/>
      <c r="C70" s="6"/>
      <c r="D70" s="7">
        <v>446550</v>
      </c>
      <c r="E70" s="7"/>
      <c r="F70" s="7">
        <v>446550</v>
      </c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382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</f>
        <v>7999999.999499999</v>
      </c>
      <c r="H77" s="36"/>
      <c r="I77" s="36"/>
      <c r="J77" s="36">
        <f>G77+H77</f>
        <v>7999999.999499999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234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7999999.999499999</v>
      </c>
      <c r="H79" s="7"/>
      <c r="I79" s="7"/>
      <c r="J79" s="7">
        <f>G79</f>
        <v>7999999.999499999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57</v>
      </c>
      <c r="B81" s="6"/>
      <c r="C81" s="6"/>
      <c r="D81" s="7">
        <v>8571.4285714</v>
      </c>
      <c r="E81" s="7"/>
      <c r="F81" s="7">
        <f>D81</f>
        <v>8571.4285714</v>
      </c>
      <c r="G81" s="7">
        <v>10666.666666</v>
      </c>
      <c r="H81" s="7"/>
      <c r="I81" s="7"/>
      <c r="J81" s="7">
        <f>G81</f>
        <v>10666.666666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58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59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0.13333333333333336</v>
      </c>
      <c r="H85" s="7"/>
      <c r="I85" s="7"/>
      <c r="J85" s="7">
        <f>J81/J79*100</f>
        <v>0.13333333333333336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383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141487999.99962872</v>
      </c>
      <c r="I86" s="36"/>
      <c r="J86" s="36">
        <f>H86</f>
        <v>141487999.99962872</v>
      </c>
      <c r="K86" s="36">
        <f aca="true" t="shared" si="8" ref="K86:P86">(K91*K94)+(K92*K95)</f>
        <v>0</v>
      </c>
      <c r="L86" s="36">
        <f t="shared" si="8"/>
        <v>0</v>
      </c>
      <c r="M86" s="36">
        <f t="shared" si="8"/>
        <v>0</v>
      </c>
      <c r="N86" s="36"/>
      <c r="O86" s="36">
        <f>(O91*O94)+(O92*O95)</f>
        <v>152241999.99910712</v>
      </c>
      <c r="P86" s="36">
        <f t="shared" si="8"/>
        <v>152241999.99910712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139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9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140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141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9"/>
        <v>103903</v>
      </c>
      <c r="K91" s="7"/>
      <c r="L91" s="7"/>
      <c r="M91" s="7"/>
      <c r="N91" s="7"/>
      <c r="O91" s="7">
        <v>103938</v>
      </c>
      <c r="P91" s="7">
        <f>O91</f>
        <v>103938</v>
      </c>
    </row>
    <row r="92" spans="1:16" ht="26.25" customHeight="1">
      <c r="A92" s="8" t="s">
        <v>142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v>58823.5294117</v>
      </c>
      <c r="I92" s="7"/>
      <c r="J92" s="7">
        <f>H92</f>
        <v>58823.5294117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145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9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146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143</v>
      </c>
      <c r="B97" s="6"/>
      <c r="C97" s="6"/>
      <c r="D97" s="7"/>
      <c r="E97" s="7">
        <f>E91/E88*100</f>
        <v>27.35526315789474</v>
      </c>
      <c r="F97" s="7">
        <f aca="true" t="shared" si="10" ref="F97:P97">F91/F88*100</f>
        <v>27.35526315789474</v>
      </c>
      <c r="G97" s="7"/>
      <c r="H97" s="7">
        <f t="shared" si="10"/>
        <v>27.342894736842105</v>
      </c>
      <c r="I97" s="7"/>
      <c r="J97" s="7">
        <f t="shared" si="10"/>
        <v>27.342894736842105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27.352105263157895</v>
      </c>
      <c r="P97" s="7">
        <f t="shared" si="10"/>
        <v>27.352105263157895</v>
      </c>
    </row>
    <row r="98" spans="1:16" ht="38.25" customHeight="1">
      <c r="A98" s="8" t="s">
        <v>144</v>
      </c>
      <c r="B98" s="6"/>
      <c r="C98" s="6"/>
      <c r="D98" s="7"/>
      <c r="E98" s="7">
        <f>E92/E89*100</f>
        <v>65.78947368421053</v>
      </c>
      <c r="F98" s="7">
        <f aca="true" t="shared" si="11" ref="F98:P98">F92/F89*100</f>
        <v>65.78947368421053</v>
      </c>
      <c r="G98" s="7"/>
      <c r="H98" s="7">
        <f t="shared" si="11"/>
        <v>77.39938080486843</v>
      </c>
      <c r="I98" s="7"/>
      <c r="J98" s="7">
        <f t="shared" si="11"/>
        <v>77.39938080486843</v>
      </c>
      <c r="K98" s="7" t="e">
        <f t="shared" si="11"/>
        <v>#DIV/0!</v>
      </c>
      <c r="L98" s="7" t="e">
        <f t="shared" si="11"/>
        <v>#DIV/0!</v>
      </c>
      <c r="M98" s="7" t="e">
        <f t="shared" si="11"/>
        <v>#DIV/0!</v>
      </c>
      <c r="N98" s="7"/>
      <c r="O98" s="7">
        <f t="shared" si="11"/>
        <v>86.89175769605264</v>
      </c>
      <c r="P98" s="7">
        <f t="shared" si="11"/>
        <v>86.89175769605264</v>
      </c>
    </row>
    <row r="99" spans="1:235" s="39" customFormat="1" ht="33.75">
      <c r="A99" s="34" t="s">
        <v>384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158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159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160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385</v>
      </c>
      <c r="B106" s="35"/>
      <c r="C106" s="35"/>
      <c r="D106" s="36"/>
      <c r="E106" s="36">
        <f>E110*E112</f>
        <v>73400</v>
      </c>
      <c r="F106" s="36">
        <f>E106</f>
        <v>73400</v>
      </c>
      <c r="G106" s="36"/>
      <c r="H106" s="36">
        <f>H110*H112</f>
        <v>0</v>
      </c>
      <c r="I106" s="36"/>
      <c r="J106" s="36">
        <f>H106</f>
        <v>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328</v>
      </c>
      <c r="B108" s="6"/>
      <c r="C108" s="6"/>
      <c r="D108" s="7"/>
      <c r="E108" s="7">
        <v>73400</v>
      </c>
      <c r="F108" s="36">
        <f>E108</f>
        <v>73400</v>
      </c>
      <c r="G108" s="7"/>
      <c r="H108" s="7">
        <v>0</v>
      </c>
      <c r="I108" s="7"/>
      <c r="J108" s="36">
        <f>H108</f>
        <v>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329</v>
      </c>
      <c r="B110" s="6"/>
      <c r="C110" s="6"/>
      <c r="D110" s="7"/>
      <c r="E110" s="7">
        <v>1</v>
      </c>
      <c r="F110" s="36">
        <f>E110</f>
        <v>1</v>
      </c>
      <c r="G110" s="7"/>
      <c r="H110" s="7">
        <v>0</v>
      </c>
      <c r="I110" s="7"/>
      <c r="J110" s="36">
        <f>H110</f>
        <v>0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330</v>
      </c>
      <c r="B112" s="6"/>
      <c r="C112" s="6"/>
      <c r="D112" s="7"/>
      <c r="E112" s="7">
        <v>73400</v>
      </c>
      <c r="F112" s="36">
        <f>E112</f>
        <v>73400</v>
      </c>
      <c r="G112" s="7"/>
      <c r="H112" s="7"/>
      <c r="I112" s="7"/>
      <c r="J112" s="36">
        <f>H112</f>
        <v>0</v>
      </c>
      <c r="K112" s="36">
        <f aca="true" t="shared" si="12" ref="K112:P112">I112</f>
        <v>0</v>
      </c>
      <c r="L112" s="36">
        <f t="shared" si="12"/>
        <v>0</v>
      </c>
      <c r="M112" s="36">
        <f t="shared" si="12"/>
        <v>0</v>
      </c>
      <c r="N112" s="36"/>
      <c r="O112" s="36">
        <f>M112</f>
        <v>0</v>
      </c>
      <c r="P112" s="36">
        <f t="shared" si="12"/>
        <v>0</v>
      </c>
    </row>
    <row r="113" spans="1:235" s="39" customFormat="1" ht="48" customHeight="1">
      <c r="A113" s="34" t="s">
        <v>386</v>
      </c>
      <c r="B113" s="35"/>
      <c r="C113" s="35"/>
      <c r="D113" s="36">
        <f>(D121*D128)+(D122*D129)+(D123*D130)+(D124*D131)+(D125*D132)+(D133*D122*D134)-10</f>
        <v>8110000</v>
      </c>
      <c r="E113" s="36">
        <f aca="true" t="shared" si="13" ref="E113:O113">(E121*E128)+(E122*E129)+(E123*E130)+(E124*E131)+(E125*E132)+(E133*E122*E134)</f>
        <v>0</v>
      </c>
      <c r="F113" s="36">
        <f>D113+E113</f>
        <v>8110000</v>
      </c>
      <c r="G113" s="36">
        <f>(G121*G128)+(G122*G129)+(G123*G130)+(G124*G131)+(G125*G132)+(G133*G122*G134)-61.6</f>
        <v>9041700.000000002</v>
      </c>
      <c r="H113" s="36">
        <f t="shared" si="13"/>
        <v>0</v>
      </c>
      <c r="I113" s="36"/>
      <c r="J113" s="36">
        <f>G113+H113</f>
        <v>9041700.000000002</v>
      </c>
      <c r="K113" s="36">
        <f t="shared" si="13"/>
        <v>0</v>
      </c>
      <c r="L113" s="36">
        <f t="shared" si="13"/>
        <v>0</v>
      </c>
      <c r="M113" s="36">
        <f t="shared" si="13"/>
        <v>0</v>
      </c>
      <c r="N113" s="36">
        <f>(N121*N128)+(N122*N129)+(N123*N130)+(N124*N131)+(N125*N132)+(N133*N122*N134)-15.8</f>
        <v>9508300</v>
      </c>
      <c r="O113" s="36">
        <f t="shared" si="13"/>
        <v>0</v>
      </c>
      <c r="P113" s="36">
        <f>N113+O113</f>
        <v>9508300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62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68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63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64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4" ref="F125:F140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182.894</v>
      </c>
      <c r="H132" s="7"/>
      <c r="I132" s="7"/>
      <c r="J132" s="7">
        <f t="shared" si="15"/>
        <v>182.894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G125/G117*100</f>
        <v>100</v>
      </c>
      <c r="H140" s="7"/>
      <c r="I140" s="7"/>
      <c r="J140" s="7">
        <f>J125/J117*100</f>
        <v>100</v>
      </c>
      <c r="K140" s="7"/>
      <c r="L140" s="7"/>
      <c r="M140" s="7"/>
      <c r="N140" s="7">
        <f>N125/N117*100</f>
        <v>100</v>
      </c>
      <c r="O140" s="7"/>
      <c r="P140" s="7">
        <f>P125/P117*100</f>
        <v>100</v>
      </c>
      <c r="IB140" s="53"/>
      <c r="IC140" s="53"/>
      <c r="ID140" s="53"/>
      <c r="IE140" s="53"/>
      <c r="IF140" s="53"/>
      <c r="IG140" s="53"/>
    </row>
    <row r="141" spans="1:241" s="38" customFormat="1" ht="24" customHeight="1">
      <c r="A141" s="34" t="s">
        <v>387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235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388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</f>
        <v>24760030.399995</v>
      </c>
      <c r="I167" s="36"/>
      <c r="J167" s="36">
        <f>G167+H167</f>
        <v>45424030.40489151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236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213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214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231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434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436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1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2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3" ref="F183:F193">D183</f>
        <v>920</v>
      </c>
      <c r="G183" s="7">
        <v>920</v>
      </c>
      <c r="H183" s="7"/>
      <c r="I183" s="7"/>
      <c r="J183" s="7">
        <f t="shared" si="21"/>
        <v>920</v>
      </c>
      <c r="K183" s="7"/>
      <c r="L183" s="7"/>
      <c r="M183" s="7"/>
      <c r="N183" s="7">
        <v>920</v>
      </c>
      <c r="O183" s="7"/>
      <c r="P183" s="7">
        <f t="shared" si="22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3"/>
        <v>800</v>
      </c>
      <c r="G184" s="7">
        <v>800</v>
      </c>
      <c r="H184" s="7"/>
      <c r="I184" s="7"/>
      <c r="J184" s="7">
        <f t="shared" si="21"/>
        <v>800</v>
      </c>
      <c r="K184" s="7"/>
      <c r="L184" s="7"/>
      <c r="M184" s="7"/>
      <c r="N184" s="7">
        <v>800</v>
      </c>
      <c r="O184" s="7"/>
      <c r="P184" s="7">
        <f t="shared" si="22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208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343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3"/>
        <v>300</v>
      </c>
      <c r="G187" s="7">
        <v>300</v>
      </c>
      <c r="H187" s="7"/>
      <c r="I187" s="7"/>
      <c r="J187" s="7">
        <f t="shared" si="21"/>
        <v>300</v>
      </c>
      <c r="K187" s="7"/>
      <c r="L187" s="7"/>
      <c r="M187" s="7"/>
      <c r="N187" s="7">
        <v>300</v>
      </c>
      <c r="O187" s="7"/>
      <c r="P187" s="7">
        <f t="shared" si="22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3"/>
        <v>76.26</v>
      </c>
      <c r="G188" s="7">
        <v>76.26</v>
      </c>
      <c r="H188" s="7"/>
      <c r="I188" s="7"/>
      <c r="J188" s="7">
        <f t="shared" si="21"/>
        <v>76.26</v>
      </c>
      <c r="K188" s="7"/>
      <c r="L188" s="7"/>
      <c r="M188" s="7"/>
      <c r="N188" s="7">
        <f>J188</f>
        <v>76.26</v>
      </c>
      <c r="O188" s="7"/>
      <c r="P188" s="7">
        <f t="shared" si="22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229</v>
      </c>
      <c r="B189" s="6"/>
      <c r="C189" s="6"/>
      <c r="D189" s="7">
        <v>5</v>
      </c>
      <c r="E189" s="7"/>
      <c r="F189" s="7">
        <f t="shared" si="23"/>
        <v>5</v>
      </c>
      <c r="G189" s="7">
        <f>F189</f>
        <v>5</v>
      </c>
      <c r="H189" s="7"/>
      <c r="I189" s="7"/>
      <c r="J189" s="7">
        <f t="shared" si="21"/>
        <v>5</v>
      </c>
      <c r="K189" s="7"/>
      <c r="L189" s="7"/>
      <c r="M189" s="7"/>
      <c r="N189" s="7">
        <f>J189</f>
        <v>5</v>
      </c>
      <c r="O189" s="7"/>
      <c r="P189" s="7">
        <f t="shared" si="22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3"/>
        <v>2</v>
      </c>
      <c r="G190" s="7">
        <v>2</v>
      </c>
      <c r="H190" s="7"/>
      <c r="I190" s="7"/>
      <c r="J190" s="7">
        <f t="shared" si="21"/>
        <v>2</v>
      </c>
      <c r="K190" s="7"/>
      <c r="L190" s="7"/>
      <c r="M190" s="7"/>
      <c r="N190" s="7">
        <v>2</v>
      </c>
      <c r="O190" s="7"/>
      <c r="P190" s="7">
        <f t="shared" si="22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3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215</v>
      </c>
      <c r="B192" s="6"/>
      <c r="C192" s="6"/>
      <c r="D192" s="7">
        <v>5</v>
      </c>
      <c r="E192" s="7"/>
      <c r="F192" s="7">
        <f t="shared" si="23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216</v>
      </c>
      <c r="B193" s="6"/>
      <c r="C193" s="6"/>
      <c r="D193" s="7"/>
      <c r="E193" s="7">
        <v>3.5</v>
      </c>
      <c r="F193" s="7">
        <f t="shared" si="23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232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4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5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4"/>
        <v>1910.35</v>
      </c>
      <c r="K197" s="7"/>
      <c r="L197" s="7"/>
      <c r="M197" s="7"/>
      <c r="N197" s="7">
        <v>1950.3</v>
      </c>
      <c r="O197" s="7"/>
      <c r="P197" s="7">
        <f t="shared" si="25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6" ref="F198:F207">D198</f>
        <v>943.75</v>
      </c>
      <c r="G198" s="7">
        <v>975</v>
      </c>
      <c r="H198" s="7"/>
      <c r="I198" s="7"/>
      <c r="J198" s="7">
        <f t="shared" si="24"/>
        <v>975</v>
      </c>
      <c r="K198" s="7"/>
      <c r="L198" s="7"/>
      <c r="M198" s="7"/>
      <c r="N198" s="7">
        <v>1018.75</v>
      </c>
      <c r="O198" s="7"/>
      <c r="P198" s="7">
        <f t="shared" si="25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209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435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344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6"/>
        <v>5866.6666666</v>
      </c>
      <c r="G202" s="7">
        <v>6433.333333</v>
      </c>
      <c r="H202" s="7"/>
      <c r="I202" s="7"/>
      <c r="J202" s="7">
        <f t="shared" si="24"/>
        <v>6433.333333</v>
      </c>
      <c r="K202" s="7"/>
      <c r="L202" s="7"/>
      <c r="M202" s="7"/>
      <c r="N202" s="7">
        <v>6966.666666</v>
      </c>
      <c r="O202" s="7"/>
      <c r="P202" s="7">
        <f t="shared" si="25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6"/>
        <v>89260.4248623</v>
      </c>
      <c r="G203" s="7">
        <v>93377.9176501</v>
      </c>
      <c r="H203" s="7"/>
      <c r="I203" s="7"/>
      <c r="J203" s="7">
        <f t="shared" si="24"/>
        <v>93377.9176501</v>
      </c>
      <c r="K203" s="7"/>
      <c r="L203" s="7"/>
      <c r="M203" s="7"/>
      <c r="N203" s="7">
        <v>98806.7138735</v>
      </c>
      <c r="O203" s="7"/>
      <c r="P203" s="7">
        <f t="shared" si="25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230</v>
      </c>
      <c r="B204" s="6"/>
      <c r="C204" s="6"/>
      <c r="D204" s="7">
        <v>38000</v>
      </c>
      <c r="E204" s="7"/>
      <c r="F204" s="7">
        <f t="shared" si="26"/>
        <v>38000</v>
      </c>
      <c r="G204" s="7">
        <v>38000</v>
      </c>
      <c r="H204" s="7"/>
      <c r="I204" s="7"/>
      <c r="J204" s="7">
        <f t="shared" si="24"/>
        <v>38000</v>
      </c>
      <c r="K204" s="7"/>
      <c r="L204" s="7"/>
      <c r="M204" s="7"/>
      <c r="N204" s="7">
        <v>38000</v>
      </c>
      <c r="O204" s="7"/>
      <c r="P204" s="7">
        <f t="shared" si="25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6"/>
        <v>3988</v>
      </c>
      <c r="G205" s="7">
        <v>4000</v>
      </c>
      <c r="H205" s="7"/>
      <c r="I205" s="7"/>
      <c r="J205" s="7">
        <f t="shared" si="24"/>
        <v>4000</v>
      </c>
      <c r="K205" s="7"/>
      <c r="L205" s="7"/>
      <c r="M205" s="7"/>
      <c r="N205" s="7">
        <v>4100</v>
      </c>
      <c r="O205" s="7"/>
      <c r="P205" s="7">
        <f t="shared" si="25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6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5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217</v>
      </c>
      <c r="B207" s="6"/>
      <c r="C207" s="6"/>
      <c r="D207" s="7">
        <v>200000</v>
      </c>
      <c r="E207" s="7"/>
      <c r="F207" s="7">
        <f t="shared" si="26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5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237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233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7" ref="F211:G213">F182/F169*100</f>
        <v>100</v>
      </c>
      <c r="G211" s="7">
        <f t="shared" si="27"/>
        <v>100</v>
      </c>
      <c r="H211" s="7"/>
      <c r="I211" s="7"/>
      <c r="J211" s="7">
        <f aca="true" t="shared" si="28" ref="J211:N213">J182/J169*100</f>
        <v>100</v>
      </c>
      <c r="K211" s="7" t="e">
        <f t="shared" si="28"/>
        <v>#DIV/0!</v>
      </c>
      <c r="L211" s="7" t="e">
        <f t="shared" si="28"/>
        <v>#DIV/0!</v>
      </c>
      <c r="M211" s="7" t="e">
        <f t="shared" si="28"/>
        <v>#DIV/0!</v>
      </c>
      <c r="N211" s="7">
        <f t="shared" si="28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7"/>
        <v>18.969072164948454</v>
      </c>
      <c r="G212" s="7">
        <f t="shared" si="27"/>
        <v>18.969072164948454</v>
      </c>
      <c r="H212" s="7"/>
      <c r="I212" s="7"/>
      <c r="J212" s="7">
        <f t="shared" si="28"/>
        <v>18.969072164948454</v>
      </c>
      <c r="K212" s="7" t="e">
        <f t="shared" si="28"/>
        <v>#DIV/0!</v>
      </c>
      <c r="L212" s="7" t="e">
        <f t="shared" si="28"/>
        <v>#DIV/0!</v>
      </c>
      <c r="M212" s="7" t="e">
        <f t="shared" si="28"/>
        <v>#DIV/0!</v>
      </c>
      <c r="N212" s="7">
        <f t="shared" si="28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7"/>
        <v>9.744214372716199</v>
      </c>
      <c r="G213" s="7">
        <f t="shared" si="27"/>
        <v>9.744214372716199</v>
      </c>
      <c r="H213" s="7"/>
      <c r="I213" s="7"/>
      <c r="J213" s="7">
        <f t="shared" si="28"/>
        <v>9.744214372716199</v>
      </c>
      <c r="K213" s="7" t="e">
        <f t="shared" si="28"/>
        <v>#DIV/0!</v>
      </c>
      <c r="L213" s="7" t="e">
        <f t="shared" si="28"/>
        <v>#DIV/0!</v>
      </c>
      <c r="M213" s="7" t="e">
        <f t="shared" si="28"/>
        <v>#DIV/0!</v>
      </c>
      <c r="N213" s="7">
        <f t="shared" si="28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35.25" customHeight="1">
      <c r="A214" s="34" t="s">
        <v>389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9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198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9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9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349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9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9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350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9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390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220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218</v>
      </c>
      <c r="B224" s="6"/>
      <c r="C224" s="6"/>
      <c r="D224" s="7">
        <v>4800200</v>
      </c>
      <c r="E224" s="7"/>
      <c r="F224" s="7">
        <f aca="true" t="shared" si="30" ref="F224:F244">D224+E224</f>
        <v>4800200</v>
      </c>
      <c r="G224" s="7">
        <f>G231*G237</f>
        <v>5100000</v>
      </c>
      <c r="H224" s="7"/>
      <c r="I224" s="7"/>
      <c r="J224" s="7">
        <f aca="true" t="shared" si="31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2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219</v>
      </c>
      <c r="B225" s="6"/>
      <c r="C225" s="6"/>
      <c r="D225" s="7">
        <v>401600</v>
      </c>
      <c r="E225" s="7"/>
      <c r="F225" s="7">
        <f t="shared" si="30"/>
        <v>401600</v>
      </c>
      <c r="G225" s="7">
        <f>G232*G238</f>
        <v>410000</v>
      </c>
      <c r="H225" s="7"/>
      <c r="I225" s="7"/>
      <c r="J225" s="7">
        <f t="shared" si="31"/>
        <v>410000</v>
      </c>
      <c r="K225" s="7"/>
      <c r="L225" s="7"/>
      <c r="M225" s="7"/>
      <c r="N225" s="7">
        <f>N232*N238</f>
        <v>415000</v>
      </c>
      <c r="O225" s="7"/>
      <c r="P225" s="7">
        <f t="shared" si="32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30"/>
        <v>0</v>
      </c>
      <c r="G226" s="7"/>
      <c r="H226" s="7">
        <v>1</v>
      </c>
      <c r="I226" s="7"/>
      <c r="J226" s="7">
        <f t="shared" si="31"/>
        <v>1</v>
      </c>
      <c r="K226" s="7"/>
      <c r="L226" s="7"/>
      <c r="M226" s="7"/>
      <c r="N226" s="7"/>
      <c r="O226" s="7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221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222</v>
      </c>
      <c r="B228" s="6"/>
      <c r="C228" s="6"/>
      <c r="D228" s="7"/>
      <c r="E228" s="7">
        <v>1000000</v>
      </c>
      <c r="F228" s="7">
        <f t="shared" si="30"/>
        <v>1000000</v>
      </c>
      <c r="G228" s="7"/>
      <c r="H228" s="7">
        <v>1500000</v>
      </c>
      <c r="I228" s="7"/>
      <c r="J228" s="7">
        <f t="shared" si="31"/>
        <v>1500000</v>
      </c>
      <c r="K228" s="7"/>
      <c r="L228" s="7"/>
      <c r="M228" s="7"/>
      <c r="N228" s="7"/>
      <c r="O228" s="7">
        <v>2000000</v>
      </c>
      <c r="P228" s="7">
        <f t="shared" si="32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30"/>
        <v>0</v>
      </c>
      <c r="G229" s="30"/>
      <c r="H229" s="30"/>
      <c r="I229" s="30"/>
      <c r="J229" s="7">
        <f t="shared" si="31"/>
        <v>0</v>
      </c>
      <c r="K229" s="7"/>
      <c r="L229" s="7"/>
      <c r="M229" s="7"/>
      <c r="N229" s="30"/>
      <c r="O229" s="30"/>
      <c r="P229" s="7">
        <f t="shared" si="32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223</v>
      </c>
      <c r="B230" s="6"/>
      <c r="C230" s="6"/>
      <c r="D230" s="7">
        <v>13</v>
      </c>
      <c r="E230" s="7"/>
      <c r="F230" s="7">
        <f t="shared" si="30"/>
        <v>13</v>
      </c>
      <c r="G230" s="7">
        <v>13</v>
      </c>
      <c r="H230" s="7"/>
      <c r="I230" s="7"/>
      <c r="J230" s="7">
        <f t="shared" si="31"/>
        <v>13</v>
      </c>
      <c r="K230" s="7"/>
      <c r="L230" s="7"/>
      <c r="M230" s="7"/>
      <c r="N230" s="7">
        <v>13</v>
      </c>
      <c r="O230" s="7"/>
      <c r="P230" s="7">
        <f t="shared" si="32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185</v>
      </c>
      <c r="B231" s="6"/>
      <c r="C231" s="6"/>
      <c r="D231" s="7">
        <v>1600</v>
      </c>
      <c r="E231" s="7"/>
      <c r="F231" s="7">
        <f t="shared" si="30"/>
        <v>1600</v>
      </c>
      <c r="G231" s="7">
        <v>1600</v>
      </c>
      <c r="H231" s="7"/>
      <c r="I231" s="7"/>
      <c r="J231" s="7">
        <f t="shared" si="31"/>
        <v>1600</v>
      </c>
      <c r="K231" s="7"/>
      <c r="L231" s="7"/>
      <c r="M231" s="7"/>
      <c r="N231" s="7">
        <v>1600</v>
      </c>
      <c r="O231" s="7"/>
      <c r="P231" s="7">
        <f t="shared" si="32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30"/>
        <v>2</v>
      </c>
      <c r="G232" s="7">
        <v>2</v>
      </c>
      <c r="H232" s="7"/>
      <c r="I232" s="7"/>
      <c r="J232" s="7">
        <f t="shared" si="31"/>
        <v>2</v>
      </c>
      <c r="K232" s="7"/>
      <c r="L232" s="7"/>
      <c r="M232" s="7"/>
      <c r="N232" s="7">
        <v>2</v>
      </c>
      <c r="O232" s="7"/>
      <c r="P232" s="7">
        <f t="shared" si="32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30"/>
        <v>1</v>
      </c>
      <c r="G233" s="7"/>
      <c r="H233" s="7">
        <v>1</v>
      </c>
      <c r="I233" s="7"/>
      <c r="J233" s="7">
        <f t="shared" si="31"/>
        <v>1</v>
      </c>
      <c r="K233" s="7"/>
      <c r="L233" s="7"/>
      <c r="M233" s="7"/>
      <c r="N233" s="7"/>
      <c r="O233" s="7">
        <v>1</v>
      </c>
      <c r="P233" s="7">
        <f t="shared" si="32"/>
        <v>1</v>
      </c>
      <c r="IB233" s="53"/>
      <c r="IC233" s="53"/>
      <c r="ID233" s="53"/>
      <c r="IE233" s="53"/>
      <c r="IF233" s="53"/>
      <c r="IG233" s="53"/>
    </row>
    <row r="234" spans="1:241" s="25" customFormat="1" ht="30.75" customHeight="1">
      <c r="A234" s="8" t="s">
        <v>351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30"/>
        <v>0</v>
      </c>
      <c r="G235" s="30"/>
      <c r="H235" s="30"/>
      <c r="I235" s="30"/>
      <c r="J235" s="7">
        <f t="shared" si="31"/>
        <v>0</v>
      </c>
      <c r="K235" s="7"/>
      <c r="L235" s="7"/>
      <c r="M235" s="7"/>
      <c r="N235" s="30"/>
      <c r="O235" s="30"/>
      <c r="P235" s="7">
        <f t="shared" si="32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224</v>
      </c>
      <c r="B236" s="6"/>
      <c r="C236" s="6"/>
      <c r="D236" s="7">
        <f>(11555000+3000)/13</f>
        <v>889076.9230769231</v>
      </c>
      <c r="E236" s="7"/>
      <c r="F236" s="7">
        <f t="shared" si="30"/>
        <v>889076.9230769231</v>
      </c>
      <c r="G236" s="7">
        <f>(12000000+3500)/13</f>
        <v>923346.1538461539</v>
      </c>
      <c r="H236" s="7"/>
      <c r="I236" s="7"/>
      <c r="J236" s="7">
        <f t="shared" si="31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2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30"/>
        <v>3062.5</v>
      </c>
      <c r="G237" s="7">
        <v>3187.5</v>
      </c>
      <c r="H237" s="7"/>
      <c r="I237" s="7"/>
      <c r="J237" s="7">
        <f t="shared" si="31"/>
        <v>3187.5</v>
      </c>
      <c r="K237" s="7"/>
      <c r="L237" s="7"/>
      <c r="M237" s="7"/>
      <c r="N237" s="7">
        <v>3250</v>
      </c>
      <c r="O237" s="7"/>
      <c r="P237" s="7">
        <f t="shared" si="32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30"/>
        <v>202000</v>
      </c>
      <c r="G238" s="7">
        <v>205000</v>
      </c>
      <c r="H238" s="7"/>
      <c r="I238" s="7"/>
      <c r="J238" s="7">
        <f t="shared" si="31"/>
        <v>205000</v>
      </c>
      <c r="K238" s="7"/>
      <c r="L238" s="7"/>
      <c r="M238" s="7"/>
      <c r="N238" s="7">
        <v>207500</v>
      </c>
      <c r="O238" s="7"/>
      <c r="P238" s="7">
        <f t="shared" si="32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192</v>
      </c>
      <c r="B239" s="6"/>
      <c r="C239" s="6"/>
      <c r="D239" s="7">
        <v>2187.5</v>
      </c>
      <c r="E239" s="7"/>
      <c r="F239" s="7">
        <f t="shared" si="30"/>
        <v>2187.5</v>
      </c>
      <c r="G239" s="7">
        <v>2250</v>
      </c>
      <c r="H239" s="7"/>
      <c r="I239" s="7"/>
      <c r="J239" s="7">
        <f t="shared" si="31"/>
        <v>2250</v>
      </c>
      <c r="K239" s="7"/>
      <c r="L239" s="7"/>
      <c r="M239" s="7"/>
      <c r="N239" s="7">
        <v>2312.5</v>
      </c>
      <c r="O239" s="7"/>
      <c r="P239" s="7">
        <f t="shared" si="32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30"/>
        <v>1000000</v>
      </c>
      <c r="G240" s="137"/>
      <c r="H240" s="137">
        <v>1500000</v>
      </c>
      <c r="I240" s="137"/>
      <c r="J240" s="137">
        <f t="shared" si="31"/>
        <v>1500000</v>
      </c>
      <c r="K240" s="137"/>
      <c r="L240" s="137"/>
      <c r="M240" s="137"/>
      <c r="N240" s="137"/>
      <c r="O240" s="137">
        <v>2000000</v>
      </c>
      <c r="P240" s="137">
        <f t="shared" si="32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30"/>
        <v>0</v>
      </c>
      <c r="G241" s="7"/>
      <c r="H241" s="7"/>
      <c r="I241" s="7"/>
      <c r="J241" s="7">
        <f t="shared" si="31"/>
        <v>0</v>
      </c>
      <c r="K241" s="7"/>
      <c r="L241" s="7"/>
      <c r="M241" s="7"/>
      <c r="N241" s="7"/>
      <c r="O241" s="7"/>
      <c r="P241" s="7">
        <f t="shared" si="32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30"/>
        <v>100</v>
      </c>
      <c r="G242" s="7">
        <f>G230/G223*100</f>
        <v>8.440736291919618E-05</v>
      </c>
      <c r="H242" s="7"/>
      <c r="I242" s="7"/>
      <c r="J242" s="7">
        <f t="shared" si="31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2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30"/>
        <v>0</v>
      </c>
      <c r="G243" s="7">
        <f>G237/D237*100</f>
        <v>104.08163265306123</v>
      </c>
      <c r="H243" s="7"/>
      <c r="I243" s="7"/>
      <c r="J243" s="7">
        <f t="shared" si="31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2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30"/>
        <v>0</v>
      </c>
      <c r="G244" s="7">
        <f>G238/D238*100</f>
        <v>101.48514851485149</v>
      </c>
      <c r="H244" s="7"/>
      <c r="I244" s="7"/>
      <c r="J244" s="7">
        <f t="shared" si="31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2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391</v>
      </c>
      <c r="B245" s="35"/>
      <c r="C245" s="35"/>
      <c r="D245" s="36">
        <f>D247+D248+D249+D250</f>
        <v>5421400</v>
      </c>
      <c r="E245" s="36">
        <f>(E252*E257)+(E253*E258)+(E255*E260)</f>
        <v>0</v>
      </c>
      <c r="F245" s="36">
        <f aca="true" t="shared" si="33" ref="F245:F250">D245+E245</f>
        <v>5421400</v>
      </c>
      <c r="G245" s="36">
        <f>G247+G248+G249+G250</f>
        <v>5500000</v>
      </c>
      <c r="H245" s="36">
        <f>(H252*H257)+(H253*H258)+(H255*H260)</f>
        <v>0</v>
      </c>
      <c r="I245" s="36">
        <f>(I252*I257)+(I253*I258)+(I255*I260)</f>
        <v>0</v>
      </c>
      <c r="J245" s="36">
        <f aca="true" t="shared" si="34" ref="J245:J250">G245+H245</f>
        <v>5500000</v>
      </c>
      <c r="K245" s="36">
        <f>(K252*K257)+(K253*K258)+(K255*K260)</f>
        <v>0</v>
      </c>
      <c r="L245" s="36">
        <f>(L252*L257)+(L253*L258)+(L255*L260)</f>
        <v>0</v>
      </c>
      <c r="M245" s="36">
        <f>(M252*M257)+(M253*M258)+(M255*M260)</f>
        <v>0</v>
      </c>
      <c r="N245" s="36">
        <f>N247+N248+N249+N250</f>
        <v>5660000</v>
      </c>
      <c r="O245" s="36">
        <f>(O252*O257)+(O253*O258)+(O255*O260)</f>
        <v>0</v>
      </c>
      <c r="P245" s="36">
        <f aca="true" t="shared" si="35" ref="P245:P250">N245+O245</f>
        <v>5660000</v>
      </c>
      <c r="Q245" s="36">
        <f>(Q252*Q257)+(Q253*Q258)+(Q255*Q260)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3"/>
        <v>0</v>
      </c>
      <c r="G246" s="7"/>
      <c r="H246" s="7"/>
      <c r="I246" s="7"/>
      <c r="J246" s="7">
        <f t="shared" si="34"/>
        <v>0</v>
      </c>
      <c r="K246" s="7"/>
      <c r="L246" s="7"/>
      <c r="M246" s="7"/>
      <c r="N246" s="7"/>
      <c r="O246" s="7"/>
      <c r="P246" s="7">
        <f t="shared" si="35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238</v>
      </c>
      <c r="B247" s="35"/>
      <c r="C247" s="35"/>
      <c r="D247" s="7">
        <v>2971400</v>
      </c>
      <c r="E247" s="36"/>
      <c r="F247" s="7">
        <f t="shared" si="33"/>
        <v>2971400</v>
      </c>
      <c r="G247" s="7">
        <v>3000000</v>
      </c>
      <c r="H247" s="7"/>
      <c r="I247" s="7"/>
      <c r="J247" s="7">
        <f t="shared" si="34"/>
        <v>3000000</v>
      </c>
      <c r="K247" s="7"/>
      <c r="L247" s="7"/>
      <c r="M247" s="7"/>
      <c r="N247" s="7">
        <v>3100000</v>
      </c>
      <c r="O247" s="7"/>
      <c r="P247" s="7">
        <f t="shared" si="35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11.25">
      <c r="A248" s="8" t="s">
        <v>239</v>
      </c>
      <c r="B248" s="35"/>
      <c r="C248" s="35"/>
      <c r="D248" s="7">
        <v>200000</v>
      </c>
      <c r="E248" s="36"/>
      <c r="F248" s="7">
        <f t="shared" si="33"/>
        <v>200000</v>
      </c>
      <c r="G248" s="7">
        <v>200000</v>
      </c>
      <c r="H248" s="7"/>
      <c r="I248" s="7"/>
      <c r="J248" s="7">
        <f t="shared" si="34"/>
        <v>200000</v>
      </c>
      <c r="K248" s="7"/>
      <c r="L248" s="7"/>
      <c r="M248" s="7"/>
      <c r="N248" s="7">
        <v>200000</v>
      </c>
      <c r="O248" s="7"/>
      <c r="P248" s="7">
        <f t="shared" si="35"/>
        <v>200000</v>
      </c>
      <c r="Q248" s="42"/>
      <c r="IB248" s="39"/>
      <c r="IC248" s="39"/>
      <c r="ID248" s="39"/>
      <c r="IE248" s="39"/>
      <c r="IF248" s="39"/>
      <c r="IG248" s="39"/>
    </row>
    <row r="249" spans="1:241" s="38" customFormat="1" ht="33.75">
      <c r="A249" s="8" t="s">
        <v>240</v>
      </c>
      <c r="B249" s="35"/>
      <c r="C249" s="35"/>
      <c r="D249" s="7">
        <v>350000</v>
      </c>
      <c r="E249" s="36"/>
      <c r="F249" s="7">
        <f t="shared" si="33"/>
        <v>350000</v>
      </c>
      <c r="G249" s="7">
        <v>400000</v>
      </c>
      <c r="H249" s="7"/>
      <c r="I249" s="7"/>
      <c r="J249" s="7">
        <f t="shared" si="34"/>
        <v>400000</v>
      </c>
      <c r="K249" s="7"/>
      <c r="L249" s="7"/>
      <c r="M249" s="7"/>
      <c r="N249" s="7">
        <v>460000</v>
      </c>
      <c r="O249" s="7"/>
      <c r="P249" s="7">
        <f t="shared" si="35"/>
        <v>460000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241</v>
      </c>
      <c r="B250" s="35"/>
      <c r="C250" s="35"/>
      <c r="D250" s="7">
        <v>1900000</v>
      </c>
      <c r="E250" s="7"/>
      <c r="F250" s="7">
        <f t="shared" si="33"/>
        <v>1900000</v>
      </c>
      <c r="G250" s="7">
        <v>1900000</v>
      </c>
      <c r="H250" s="7"/>
      <c r="I250" s="7"/>
      <c r="J250" s="7">
        <f t="shared" si="34"/>
        <v>1900000</v>
      </c>
      <c r="K250" s="7"/>
      <c r="L250" s="7"/>
      <c r="M250" s="7"/>
      <c r="N250" s="7">
        <v>1900000</v>
      </c>
      <c r="O250" s="7"/>
      <c r="P250" s="7">
        <f t="shared" si="35"/>
        <v>1900000</v>
      </c>
      <c r="Q250" s="42"/>
      <c r="IB250" s="39"/>
      <c r="IC250" s="39"/>
      <c r="ID250" s="39"/>
      <c r="IE250" s="39"/>
      <c r="IF250" s="39"/>
      <c r="IG250" s="39"/>
    </row>
    <row r="251" spans="1:241" s="25" customFormat="1" ht="11.25">
      <c r="A251" s="5" t="s">
        <v>5</v>
      </c>
      <c r="B251" s="37"/>
      <c r="C251" s="37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IB251" s="53"/>
      <c r="IC251" s="53"/>
      <c r="ID251" s="53"/>
      <c r="IE251" s="53"/>
      <c r="IF251" s="53"/>
      <c r="IG251" s="53"/>
    </row>
    <row r="252" spans="1:241" s="25" customFormat="1" ht="35.25" customHeight="1">
      <c r="A252" s="8" t="s">
        <v>242</v>
      </c>
      <c r="B252" s="6"/>
      <c r="C252" s="6"/>
      <c r="D252" s="7">
        <v>155760</v>
      </c>
      <c r="E252" s="7"/>
      <c r="F252" s="7">
        <f>D252+E252</f>
        <v>155760</v>
      </c>
      <c r="G252" s="7">
        <f>F252</f>
        <v>155760</v>
      </c>
      <c r="H252" s="7"/>
      <c r="I252" s="7"/>
      <c r="J252" s="7">
        <f>G252+H252</f>
        <v>155760</v>
      </c>
      <c r="K252" s="7"/>
      <c r="L252" s="7"/>
      <c r="M252" s="7"/>
      <c r="N252" s="7">
        <f>G252</f>
        <v>155760</v>
      </c>
      <c r="O252" s="7"/>
      <c r="P252" s="7">
        <f>N252+O252</f>
        <v>155760</v>
      </c>
      <c r="IB252" s="53"/>
      <c r="IC252" s="53"/>
      <c r="ID252" s="53"/>
      <c r="IE252" s="53"/>
      <c r="IF252" s="53"/>
      <c r="IG252" s="53"/>
    </row>
    <row r="253" spans="1:241" s="25" customFormat="1" ht="22.5">
      <c r="A253" s="8" t="s">
        <v>111</v>
      </c>
      <c r="B253" s="6"/>
      <c r="C253" s="6"/>
      <c r="D253" s="7">
        <v>243</v>
      </c>
      <c r="E253" s="7"/>
      <c r="F253" s="7">
        <f aca="true" t="shared" si="36" ref="F253:F266">D253+E253</f>
        <v>243</v>
      </c>
      <c r="G253" s="7">
        <v>250</v>
      </c>
      <c r="H253" s="7"/>
      <c r="I253" s="7"/>
      <c r="J253" s="7">
        <f aca="true" t="shared" si="37" ref="J253:J266">G253+H253</f>
        <v>250</v>
      </c>
      <c r="K253" s="7"/>
      <c r="L253" s="7"/>
      <c r="M253" s="7"/>
      <c r="N253" s="7">
        <v>260</v>
      </c>
      <c r="O253" s="7"/>
      <c r="P253" s="7">
        <f aca="true" t="shared" si="38" ref="P253:P266">N253+O253</f>
        <v>260</v>
      </c>
      <c r="IB253" s="53"/>
      <c r="IC253" s="53"/>
      <c r="ID253" s="53"/>
      <c r="IE253" s="53"/>
      <c r="IF253" s="53"/>
      <c r="IG253" s="53"/>
    </row>
    <row r="254" spans="1:241" s="25" customFormat="1" ht="33.75">
      <c r="A254" s="8" t="s">
        <v>247</v>
      </c>
      <c r="B254" s="6"/>
      <c r="C254" s="6"/>
      <c r="D254" s="7">
        <v>11036.4</v>
      </c>
      <c r="E254" s="7"/>
      <c r="F254" s="7">
        <f t="shared" si="36"/>
        <v>11036.4</v>
      </c>
      <c r="G254" s="7">
        <f>E254+F254</f>
        <v>11036.4</v>
      </c>
      <c r="H254" s="7"/>
      <c r="I254" s="7">
        <f>G254+H254</f>
        <v>11036.4</v>
      </c>
      <c r="J254" s="7">
        <f>H254+I254</f>
        <v>11036.4</v>
      </c>
      <c r="K254" s="7">
        <f>I254+J254</f>
        <v>22072.8</v>
      </c>
      <c r="L254" s="7">
        <f>J254+K254</f>
        <v>33109.2</v>
      </c>
      <c r="M254" s="7">
        <f>K254+L254</f>
        <v>55182</v>
      </c>
      <c r="N254" s="7">
        <v>11036.4</v>
      </c>
      <c r="O254" s="7"/>
      <c r="P254" s="7">
        <f t="shared" si="38"/>
        <v>11036.4</v>
      </c>
      <c r="IB254" s="53"/>
      <c r="IC254" s="53"/>
      <c r="ID254" s="53"/>
      <c r="IE254" s="53"/>
      <c r="IF254" s="53"/>
      <c r="IG254" s="53"/>
    </row>
    <row r="255" spans="1:241" s="25" customFormat="1" ht="33" customHeight="1">
      <c r="A255" s="8" t="s">
        <v>244</v>
      </c>
      <c r="B255" s="6"/>
      <c r="C255" s="6"/>
      <c r="D255" s="7">
        <v>51.4</v>
      </c>
      <c r="E255" s="7"/>
      <c r="F255" s="7">
        <f t="shared" si="36"/>
        <v>51.4</v>
      </c>
      <c r="G255" s="7">
        <v>48</v>
      </c>
      <c r="H255" s="7"/>
      <c r="I255" s="7"/>
      <c r="J255" s="7">
        <f t="shared" si="37"/>
        <v>48</v>
      </c>
      <c r="K255" s="7"/>
      <c r="L255" s="7"/>
      <c r="M255" s="7"/>
      <c r="N255" s="7">
        <v>45</v>
      </c>
      <c r="O255" s="7"/>
      <c r="P255" s="7">
        <f t="shared" si="38"/>
        <v>45</v>
      </c>
      <c r="IB255" s="53"/>
      <c r="IC255" s="53"/>
      <c r="ID255" s="53"/>
      <c r="IE255" s="53"/>
      <c r="IF255" s="53"/>
      <c r="IG255" s="53"/>
    </row>
    <row r="256" spans="1:241" s="25" customFormat="1" ht="11.25">
      <c r="A256" s="5" t="s">
        <v>7</v>
      </c>
      <c r="B256" s="37"/>
      <c r="C256" s="37"/>
      <c r="D256" s="30"/>
      <c r="E256" s="30"/>
      <c r="F256" s="7">
        <f t="shared" si="36"/>
        <v>0</v>
      </c>
      <c r="G256" s="30"/>
      <c r="H256" s="30"/>
      <c r="I256" s="30"/>
      <c r="J256" s="7">
        <f t="shared" si="37"/>
        <v>0</v>
      </c>
      <c r="K256" s="7"/>
      <c r="L256" s="7"/>
      <c r="M256" s="7"/>
      <c r="N256" s="30"/>
      <c r="O256" s="30"/>
      <c r="P256" s="7">
        <f t="shared" si="38"/>
        <v>0</v>
      </c>
      <c r="IB256" s="53"/>
      <c r="IC256" s="53"/>
      <c r="ID256" s="53"/>
      <c r="IE256" s="53"/>
      <c r="IF256" s="53"/>
      <c r="IG256" s="53"/>
    </row>
    <row r="257" spans="1:241" s="25" customFormat="1" ht="48.75" customHeight="1">
      <c r="A257" s="8" t="s">
        <v>243</v>
      </c>
      <c r="B257" s="6"/>
      <c r="C257" s="6"/>
      <c r="D257" s="7">
        <f>D247/D252</f>
        <v>19.07678479712378</v>
      </c>
      <c r="E257" s="7"/>
      <c r="F257" s="7">
        <f t="shared" si="36"/>
        <v>19.07678479712378</v>
      </c>
      <c r="G257" s="7">
        <f>G247/G252</f>
        <v>19.26040061633282</v>
      </c>
      <c r="H257" s="7"/>
      <c r="I257" s="7"/>
      <c r="J257" s="7">
        <f t="shared" si="37"/>
        <v>19.26040061633282</v>
      </c>
      <c r="K257" s="7"/>
      <c r="L257" s="7"/>
      <c r="M257" s="7"/>
      <c r="N257" s="7">
        <f>N247/N252</f>
        <v>19.90241397021058</v>
      </c>
      <c r="O257" s="7"/>
      <c r="P257" s="7">
        <f t="shared" si="38"/>
        <v>19.90241397021058</v>
      </c>
      <c r="IB257" s="53"/>
      <c r="IC257" s="53"/>
      <c r="ID257" s="53"/>
      <c r="IE257" s="53"/>
      <c r="IF257" s="53"/>
      <c r="IG257" s="53"/>
    </row>
    <row r="258" spans="1:241" s="25" customFormat="1" ht="19.5" customHeight="1">
      <c r="A258" s="8" t="s">
        <v>112</v>
      </c>
      <c r="B258" s="6"/>
      <c r="C258" s="6"/>
      <c r="D258" s="7">
        <f>D248/D253</f>
        <v>823.0452674897119</v>
      </c>
      <c r="E258" s="7"/>
      <c r="F258" s="7">
        <f t="shared" si="36"/>
        <v>823.0452674897119</v>
      </c>
      <c r="G258" s="7">
        <f>G248/G253</f>
        <v>800</v>
      </c>
      <c r="H258" s="7"/>
      <c r="I258" s="7"/>
      <c r="J258" s="7">
        <f t="shared" si="37"/>
        <v>800</v>
      </c>
      <c r="K258" s="7"/>
      <c r="L258" s="7"/>
      <c r="M258" s="7"/>
      <c r="N258" s="7">
        <f>N248/N253</f>
        <v>769.2307692307693</v>
      </c>
      <c r="O258" s="7"/>
      <c r="P258" s="7">
        <f t="shared" si="38"/>
        <v>769.2307692307693</v>
      </c>
      <c r="IB258" s="53"/>
      <c r="IC258" s="53"/>
      <c r="ID258" s="53"/>
      <c r="IE258" s="53"/>
      <c r="IF258" s="53"/>
      <c r="IG258" s="53"/>
    </row>
    <row r="259" spans="1:241" s="25" customFormat="1" ht="28.5" customHeight="1">
      <c r="A259" s="8" t="s">
        <v>246</v>
      </c>
      <c r="B259" s="6"/>
      <c r="C259" s="6"/>
      <c r="D259" s="7">
        <f>D249/D254</f>
        <v>31.71323982458048</v>
      </c>
      <c r="E259" s="7"/>
      <c r="F259" s="7">
        <f t="shared" si="36"/>
        <v>31.71323982458048</v>
      </c>
      <c r="G259" s="7">
        <f>G249/G254</f>
        <v>36.24370265666341</v>
      </c>
      <c r="H259" s="7"/>
      <c r="I259" s="7"/>
      <c r="J259" s="7">
        <f t="shared" si="37"/>
        <v>36.24370265666341</v>
      </c>
      <c r="K259" s="7"/>
      <c r="L259" s="7"/>
      <c r="M259" s="7"/>
      <c r="N259" s="7">
        <f>N249/N254</f>
        <v>41.680258055162916</v>
      </c>
      <c r="O259" s="7"/>
      <c r="P259" s="7">
        <f t="shared" si="38"/>
        <v>41.680258055162916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245</v>
      </c>
      <c r="B260" s="6"/>
      <c r="C260" s="6"/>
      <c r="D260" s="7">
        <f>D250/D255</f>
        <v>36964.980544747086</v>
      </c>
      <c r="E260" s="7"/>
      <c r="F260" s="7">
        <f t="shared" si="36"/>
        <v>36964.980544747086</v>
      </c>
      <c r="G260" s="7">
        <f>G250/G255</f>
        <v>39583.333333333336</v>
      </c>
      <c r="H260" s="7"/>
      <c r="I260" s="7"/>
      <c r="J260" s="7">
        <f t="shared" si="37"/>
        <v>39583.333333333336</v>
      </c>
      <c r="K260" s="7"/>
      <c r="L260" s="7"/>
      <c r="M260" s="7"/>
      <c r="N260" s="7">
        <f>N250/N255</f>
        <v>42222.22222222222</v>
      </c>
      <c r="O260" s="7"/>
      <c r="P260" s="7">
        <f t="shared" si="38"/>
        <v>42222.22222222222</v>
      </c>
      <c r="IB260" s="53"/>
      <c r="IC260" s="53"/>
      <c r="ID260" s="53"/>
      <c r="IE260" s="53"/>
      <c r="IF260" s="53"/>
      <c r="IG260" s="53"/>
    </row>
    <row r="261" spans="1:241" s="25" customFormat="1" ht="45">
      <c r="A261" s="8" t="s">
        <v>225</v>
      </c>
      <c r="B261" s="6"/>
      <c r="C261" s="6"/>
      <c r="D261" s="7"/>
      <c r="E261" s="7"/>
      <c r="F261" s="7">
        <f t="shared" si="36"/>
        <v>0</v>
      </c>
      <c r="G261" s="7">
        <v>145.4502</v>
      </c>
      <c r="H261" s="7"/>
      <c r="I261" s="7"/>
      <c r="J261" s="7">
        <f t="shared" si="37"/>
        <v>145.4502</v>
      </c>
      <c r="K261" s="7"/>
      <c r="L261" s="7"/>
      <c r="M261" s="7"/>
      <c r="N261" s="7">
        <v>145.461241023</v>
      </c>
      <c r="O261" s="7"/>
      <c r="P261" s="7">
        <f t="shared" si="38"/>
        <v>145.461241023</v>
      </c>
      <c r="IB261" s="53"/>
      <c r="IC261" s="53"/>
      <c r="ID261" s="53"/>
      <c r="IE261" s="53"/>
      <c r="IF261" s="53"/>
      <c r="IG261" s="53"/>
    </row>
    <row r="262" spans="1:241" s="25" customFormat="1" ht="11.25">
      <c r="A262" s="5" t="s">
        <v>6</v>
      </c>
      <c r="B262" s="6"/>
      <c r="C262" s="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IB262" s="53"/>
      <c r="IC262" s="53"/>
      <c r="ID262" s="53"/>
      <c r="IE262" s="53"/>
      <c r="IF262" s="53"/>
      <c r="IG262" s="53"/>
    </row>
    <row r="263" spans="1:241" s="25" customFormat="1" ht="36" customHeight="1">
      <c r="A263" s="8" t="s">
        <v>113</v>
      </c>
      <c r="B263" s="6"/>
      <c r="C263" s="6"/>
      <c r="D263" s="7"/>
      <c r="E263" s="7"/>
      <c r="F263" s="7">
        <f t="shared" si="36"/>
        <v>0</v>
      </c>
      <c r="G263" s="7">
        <f>G257/D257*100</f>
        <v>100.96250925489669</v>
      </c>
      <c r="H263" s="7"/>
      <c r="I263" s="7"/>
      <c r="J263" s="7">
        <f t="shared" si="37"/>
        <v>100.96250925489669</v>
      </c>
      <c r="K263" s="7"/>
      <c r="L263" s="7"/>
      <c r="M263" s="7"/>
      <c r="N263" s="7">
        <f>N257/G257*100</f>
        <v>103.33333333333334</v>
      </c>
      <c r="O263" s="7"/>
      <c r="P263" s="7">
        <f t="shared" si="38"/>
        <v>103.33333333333334</v>
      </c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226</v>
      </c>
      <c r="B264" s="6"/>
      <c r="C264" s="6"/>
      <c r="D264" s="7"/>
      <c r="E264" s="7"/>
      <c r="F264" s="7">
        <f t="shared" si="36"/>
        <v>0</v>
      </c>
      <c r="G264" s="7">
        <f>G259/D259*100</f>
        <v>114.2857142857143</v>
      </c>
      <c r="H264" s="7"/>
      <c r="I264" s="7"/>
      <c r="J264" s="7">
        <f t="shared" si="37"/>
        <v>114.2857142857143</v>
      </c>
      <c r="K264" s="7"/>
      <c r="L264" s="7"/>
      <c r="M264" s="7"/>
      <c r="N264" s="7">
        <f>N258/G258*100</f>
        <v>96.15384615384616</v>
      </c>
      <c r="O264" s="7"/>
      <c r="P264" s="7">
        <f t="shared" si="38"/>
        <v>96.15384615384616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248</v>
      </c>
      <c r="B265" s="6"/>
      <c r="C265" s="6"/>
      <c r="D265" s="7"/>
      <c r="E265" s="7"/>
      <c r="F265" s="7">
        <f t="shared" si="36"/>
        <v>0</v>
      </c>
      <c r="G265" s="7">
        <f>G260/D260*100</f>
        <v>107.08333333333333</v>
      </c>
      <c r="H265" s="7"/>
      <c r="I265" s="7"/>
      <c r="J265" s="7">
        <f t="shared" si="37"/>
        <v>107.08333333333333</v>
      </c>
      <c r="K265" s="7"/>
      <c r="L265" s="7"/>
      <c r="M265" s="7"/>
      <c r="N265" s="7">
        <f>N259/G259*100</f>
        <v>114.99999999999999</v>
      </c>
      <c r="O265" s="7"/>
      <c r="P265" s="7">
        <f t="shared" si="38"/>
        <v>114.99999999999999</v>
      </c>
      <c r="IB265" s="53"/>
      <c r="IC265" s="53"/>
      <c r="ID265" s="53"/>
      <c r="IE265" s="53"/>
      <c r="IF265" s="53"/>
      <c r="IG265" s="53"/>
    </row>
    <row r="266" spans="1:241" s="25" customFormat="1" ht="33.75">
      <c r="A266" s="8" t="s">
        <v>249</v>
      </c>
      <c r="B266" s="6"/>
      <c r="C266" s="6"/>
      <c r="D266" s="7"/>
      <c r="E266" s="7"/>
      <c r="F266" s="7">
        <f t="shared" si="36"/>
        <v>0</v>
      </c>
      <c r="G266" s="7">
        <f>G260/D260*100</f>
        <v>107.08333333333333</v>
      </c>
      <c r="H266" s="7"/>
      <c r="I266" s="7"/>
      <c r="J266" s="7">
        <f t="shared" si="37"/>
        <v>107.08333333333333</v>
      </c>
      <c r="K266" s="7"/>
      <c r="L266" s="7"/>
      <c r="M266" s="7"/>
      <c r="N266" s="7">
        <f>N260/G260*100</f>
        <v>106.66666666666664</v>
      </c>
      <c r="O266" s="7"/>
      <c r="P266" s="7">
        <f t="shared" si="38"/>
        <v>106.66666666666664</v>
      </c>
      <c r="IB266" s="53"/>
      <c r="IC266" s="53"/>
      <c r="ID266" s="53"/>
      <c r="IE266" s="53"/>
      <c r="IF266" s="53"/>
      <c r="IG266" s="53"/>
    </row>
    <row r="267" spans="1:241" s="38" customFormat="1" ht="22.5">
      <c r="A267" s="34" t="s">
        <v>392</v>
      </c>
      <c r="B267" s="35"/>
      <c r="C267" s="35"/>
      <c r="D267" s="36">
        <f>(D268*D272)+(D269*D273)+(D270*D275)-1.78+25000</f>
        <v>20099999.999959998</v>
      </c>
      <c r="E267" s="36">
        <f>(E268*E272)+(E269*E273)+(E270*E275)</f>
        <v>0</v>
      </c>
      <c r="F267" s="36">
        <f>D267</f>
        <v>20099999.999959998</v>
      </c>
      <c r="G267" s="36">
        <f>(G268*G272)+(G269*G273)+(G270*G275)+2928700</f>
        <v>23183699.999900002</v>
      </c>
      <c r="H267" s="36">
        <f>(H268*H272)+(H269*H273)+(H270*H275)</f>
        <v>0</v>
      </c>
      <c r="I267" s="36">
        <v>0</v>
      </c>
      <c r="J267" s="36">
        <f>G267+H267</f>
        <v>23183699.999900002</v>
      </c>
      <c r="K267" s="36">
        <f>(K268*K272)+(K269*K273)+(K270*K275)</f>
        <v>0</v>
      </c>
      <c r="L267" s="36">
        <f>(L268*L272)+(L269*L273)+(L270*L275)</f>
        <v>0</v>
      </c>
      <c r="M267" s="36">
        <f>(M268*M272)+(M269*M273)+(M270*M275)</f>
        <v>0</v>
      </c>
      <c r="N267" s="36">
        <f>(N268*N272)+(N269*N273)+(N270*N275)</f>
        <v>21574999.99998</v>
      </c>
      <c r="O267" s="36">
        <f>(O268*O272)+(O269*O273)+(O270*O275)</f>
        <v>0</v>
      </c>
      <c r="P267" s="36">
        <f>N267+O267</f>
        <v>21574999.99998</v>
      </c>
      <c r="Q267" s="36">
        <f>(Q268*Q272)+(Q269*Q273)+(Q270*Q275)</f>
        <v>0</v>
      </c>
      <c r="IB267" s="39"/>
      <c r="IC267" s="39"/>
      <c r="ID267" s="39"/>
      <c r="IE267" s="39"/>
      <c r="IF267" s="39"/>
      <c r="IG267" s="39"/>
    </row>
    <row r="268" spans="1:241" s="25" customFormat="1" ht="22.5">
      <c r="A268" s="8" t="s">
        <v>114</v>
      </c>
      <c r="B268" s="6"/>
      <c r="C268" s="6"/>
      <c r="D268" s="7">
        <v>33</v>
      </c>
      <c r="E268" s="7"/>
      <c r="F268" s="7">
        <f>D268+E268</f>
        <v>33</v>
      </c>
      <c r="G268" s="7">
        <v>30</v>
      </c>
      <c r="H268" s="7"/>
      <c r="I268" s="7"/>
      <c r="J268" s="7">
        <f>G268+H268</f>
        <v>30</v>
      </c>
      <c r="K268" s="7"/>
      <c r="L268" s="7"/>
      <c r="M268" s="7"/>
      <c r="N268" s="7">
        <v>28</v>
      </c>
      <c r="O268" s="7"/>
      <c r="P268" s="7">
        <f>N268+O268</f>
        <v>28</v>
      </c>
      <c r="IB268" s="53"/>
      <c r="IC268" s="53"/>
      <c r="ID268" s="53"/>
      <c r="IE268" s="53"/>
      <c r="IF268" s="53"/>
      <c r="IG268" s="53"/>
    </row>
    <row r="269" spans="1:241" s="25" customFormat="1" ht="22.5" customHeight="1">
      <c r="A269" s="8" t="s">
        <v>115</v>
      </c>
      <c r="B269" s="6"/>
      <c r="C269" s="6"/>
      <c r="D269" s="7">
        <v>6</v>
      </c>
      <c r="E269" s="7"/>
      <c r="F269" s="7">
        <f aca="true" t="shared" si="39" ref="F269:F279">D269+E269</f>
        <v>6</v>
      </c>
      <c r="G269" s="7">
        <f>D269</f>
        <v>6</v>
      </c>
      <c r="H269" s="7"/>
      <c r="I269" s="7"/>
      <c r="J269" s="7">
        <f aca="true" t="shared" si="40" ref="J269:J279">G269+H269</f>
        <v>6</v>
      </c>
      <c r="K269" s="7"/>
      <c r="L269" s="7"/>
      <c r="M269" s="7"/>
      <c r="N269" s="7">
        <v>6</v>
      </c>
      <c r="O269" s="7"/>
      <c r="P269" s="7">
        <f aca="true" t="shared" si="41" ref="P269:P279">N269+O269</f>
        <v>6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161</v>
      </c>
      <c r="B270" s="6"/>
      <c r="C270" s="6"/>
      <c r="D270" s="7">
        <v>77</v>
      </c>
      <c r="E270" s="7"/>
      <c r="F270" s="7">
        <f t="shared" si="39"/>
        <v>77</v>
      </c>
      <c r="G270" s="7">
        <v>80</v>
      </c>
      <c r="H270" s="7"/>
      <c r="I270" s="7"/>
      <c r="J270" s="7">
        <f t="shared" si="40"/>
        <v>80</v>
      </c>
      <c r="K270" s="7"/>
      <c r="L270" s="7"/>
      <c r="M270" s="7"/>
      <c r="N270" s="7">
        <v>90</v>
      </c>
      <c r="O270" s="7"/>
      <c r="P270" s="7">
        <f t="shared" si="41"/>
        <v>90</v>
      </c>
      <c r="IB270" s="53"/>
      <c r="IC270" s="53"/>
      <c r="ID270" s="53"/>
      <c r="IE270" s="53"/>
      <c r="IF270" s="53"/>
      <c r="IG270" s="53"/>
    </row>
    <row r="271" spans="1:241" s="25" customFormat="1" ht="12" customHeight="1">
      <c r="A271" s="5" t="s">
        <v>7</v>
      </c>
      <c r="B271" s="37"/>
      <c r="C271" s="37"/>
      <c r="D271" s="30"/>
      <c r="E271" s="30"/>
      <c r="F271" s="7"/>
      <c r="G271" s="30"/>
      <c r="H271" s="30"/>
      <c r="I271" s="7"/>
      <c r="J271" s="7"/>
      <c r="K271" s="7"/>
      <c r="L271" s="7"/>
      <c r="M271" s="7"/>
      <c r="N271" s="30"/>
      <c r="O271" s="30"/>
      <c r="P271" s="7"/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116</v>
      </c>
      <c r="B272" s="6"/>
      <c r="C272" s="6"/>
      <c r="D272" s="7">
        <v>506060.66</v>
      </c>
      <c r="E272" s="7"/>
      <c r="F272" s="7">
        <f t="shared" si="39"/>
        <v>506060.66</v>
      </c>
      <c r="G272" s="7">
        <v>593333.33333</v>
      </c>
      <c r="H272" s="7"/>
      <c r="I272" s="7"/>
      <c r="J272" s="7">
        <f t="shared" si="40"/>
        <v>593333.33333</v>
      </c>
      <c r="K272" s="7"/>
      <c r="L272" s="7"/>
      <c r="M272" s="7"/>
      <c r="N272" s="7">
        <v>675000</v>
      </c>
      <c r="O272" s="7"/>
      <c r="P272" s="7">
        <f t="shared" si="41"/>
        <v>675000</v>
      </c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117</v>
      </c>
      <c r="B273" s="6"/>
      <c r="C273" s="6"/>
      <c r="D273" s="7">
        <v>529166.66666</v>
      </c>
      <c r="E273" s="7"/>
      <c r="F273" s="7">
        <f t="shared" si="39"/>
        <v>529166.66666</v>
      </c>
      <c r="G273" s="7">
        <v>367500</v>
      </c>
      <c r="H273" s="7"/>
      <c r="I273" s="7"/>
      <c r="J273" s="7">
        <f t="shared" si="40"/>
        <v>367500</v>
      </c>
      <c r="K273" s="7"/>
      <c r="L273" s="7"/>
      <c r="M273" s="7"/>
      <c r="N273" s="7">
        <v>395833.33333</v>
      </c>
      <c r="O273" s="7"/>
      <c r="P273" s="7">
        <f t="shared" si="41"/>
        <v>395833.33333</v>
      </c>
      <c r="IB273" s="53"/>
      <c r="IC273" s="53"/>
      <c r="ID273" s="53"/>
      <c r="IE273" s="53"/>
      <c r="IF273" s="53"/>
      <c r="IG273" s="53"/>
    </row>
    <row r="274" spans="1:241" s="25" customFormat="1" ht="12" customHeight="1">
      <c r="A274" s="5" t="s">
        <v>6</v>
      </c>
      <c r="B274" s="37"/>
      <c r="C274" s="37"/>
      <c r="D274" s="30"/>
      <c r="E274" s="30"/>
      <c r="F274" s="7"/>
      <c r="G274" s="30"/>
      <c r="H274" s="30"/>
      <c r="I274" s="7"/>
      <c r="J274" s="7"/>
      <c r="K274" s="7"/>
      <c r="L274" s="7"/>
      <c r="M274" s="7"/>
      <c r="N274" s="30"/>
      <c r="O274" s="30"/>
      <c r="P274" s="7"/>
      <c r="IB274" s="53"/>
      <c r="IC274" s="53"/>
      <c r="ID274" s="53"/>
      <c r="IE274" s="53"/>
      <c r="IF274" s="53"/>
      <c r="IG274" s="53"/>
    </row>
    <row r="275" spans="1:241" s="25" customFormat="1" ht="32.25" customHeight="1">
      <c r="A275" s="8" t="s">
        <v>186</v>
      </c>
      <c r="B275" s="6"/>
      <c r="C275" s="6"/>
      <c r="D275" s="7">
        <f>200000/77</f>
        <v>2597.4025974025976</v>
      </c>
      <c r="E275" s="7"/>
      <c r="F275" s="7">
        <f t="shared" si="39"/>
        <v>2597.4025974025976</v>
      </c>
      <c r="G275" s="7">
        <v>3125</v>
      </c>
      <c r="H275" s="7"/>
      <c r="I275" s="7"/>
      <c r="J275" s="7">
        <f t="shared" si="40"/>
        <v>3125</v>
      </c>
      <c r="K275" s="7"/>
      <c r="L275" s="7"/>
      <c r="M275" s="7"/>
      <c r="N275" s="7">
        <f>300000/90</f>
        <v>3333.3333333333335</v>
      </c>
      <c r="O275" s="7"/>
      <c r="P275" s="7">
        <f t="shared" si="41"/>
        <v>3333.3333333333335</v>
      </c>
      <c r="IB275" s="53"/>
      <c r="IC275" s="53"/>
      <c r="ID275" s="53"/>
      <c r="IE275" s="53"/>
      <c r="IF275" s="53"/>
      <c r="IG275" s="53"/>
    </row>
    <row r="276" spans="1:241" s="25" customFormat="1" ht="11.25">
      <c r="A276" s="5" t="s">
        <v>6</v>
      </c>
      <c r="B276" s="6"/>
      <c r="C276" s="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IB276" s="53"/>
      <c r="IC276" s="53"/>
      <c r="ID276" s="53"/>
      <c r="IE276" s="53"/>
      <c r="IF276" s="53"/>
      <c r="IG276" s="53"/>
    </row>
    <row r="277" spans="1:241" s="25" customFormat="1" ht="33.75">
      <c r="A277" s="8" t="s">
        <v>118</v>
      </c>
      <c r="B277" s="6"/>
      <c r="C277" s="6"/>
      <c r="D277" s="7"/>
      <c r="E277" s="7"/>
      <c r="F277" s="7">
        <f t="shared" si="39"/>
        <v>0</v>
      </c>
      <c r="G277" s="7">
        <f>G272/F272*100</f>
        <v>117.2454964845519</v>
      </c>
      <c r="H277" s="7"/>
      <c r="I277" s="7"/>
      <c r="J277" s="7">
        <f t="shared" si="40"/>
        <v>117.2454964845519</v>
      </c>
      <c r="K277" s="7"/>
      <c r="L277" s="7"/>
      <c r="M277" s="7"/>
      <c r="N277" s="7">
        <f>N272/J272*100</f>
        <v>113.76404494445933</v>
      </c>
      <c r="O277" s="7"/>
      <c r="P277" s="7">
        <f t="shared" si="41"/>
        <v>113.76404494445933</v>
      </c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119</v>
      </c>
      <c r="B278" s="6"/>
      <c r="C278" s="6"/>
      <c r="D278" s="7"/>
      <c r="E278" s="7"/>
      <c r="F278" s="7">
        <f t="shared" si="39"/>
        <v>0</v>
      </c>
      <c r="G278" s="7">
        <f>G273/D273*100</f>
        <v>69.44881889851274</v>
      </c>
      <c r="H278" s="7"/>
      <c r="I278" s="7"/>
      <c r="J278" s="7">
        <f t="shared" si="40"/>
        <v>69.44881889851274</v>
      </c>
      <c r="K278" s="7"/>
      <c r="L278" s="7"/>
      <c r="M278" s="7"/>
      <c r="N278" s="7">
        <f>N273/G273*100</f>
        <v>107.7097505659864</v>
      </c>
      <c r="O278" s="7"/>
      <c r="P278" s="7">
        <f t="shared" si="41"/>
        <v>107.7097505659864</v>
      </c>
      <c r="IB278" s="53"/>
      <c r="IC278" s="53"/>
      <c r="ID278" s="53"/>
      <c r="IE278" s="53"/>
      <c r="IF278" s="53"/>
      <c r="IG278" s="53"/>
    </row>
    <row r="279" spans="1:241" s="25" customFormat="1" ht="27" customHeight="1">
      <c r="A279" s="8" t="s">
        <v>227</v>
      </c>
      <c r="B279" s="6"/>
      <c r="C279" s="6"/>
      <c r="D279" s="7"/>
      <c r="E279" s="7"/>
      <c r="F279" s="7">
        <f t="shared" si="39"/>
        <v>0</v>
      </c>
      <c r="G279" s="7">
        <f>G275/D275*100</f>
        <v>120.3125</v>
      </c>
      <c r="H279" s="7"/>
      <c r="I279" s="7"/>
      <c r="J279" s="7">
        <f t="shared" si="40"/>
        <v>120.3125</v>
      </c>
      <c r="K279" s="7"/>
      <c r="L279" s="7"/>
      <c r="M279" s="7"/>
      <c r="N279" s="7">
        <f>N275/G275*100</f>
        <v>106.66666666666667</v>
      </c>
      <c r="O279" s="7"/>
      <c r="P279" s="7">
        <f t="shared" si="41"/>
        <v>106.66666666666667</v>
      </c>
      <c r="IB279" s="53"/>
      <c r="IC279" s="53"/>
      <c r="ID279" s="53"/>
      <c r="IE279" s="53"/>
      <c r="IF279" s="53"/>
      <c r="IG279" s="53"/>
    </row>
    <row r="280" spans="1:241" s="38" customFormat="1" ht="24" customHeight="1">
      <c r="A280" s="34" t="s">
        <v>393</v>
      </c>
      <c r="B280" s="35"/>
      <c r="C280" s="35"/>
      <c r="D280" s="36">
        <v>1000000</v>
      </c>
      <c r="E280" s="36"/>
      <c r="F280" s="36">
        <f>D280</f>
        <v>1000000</v>
      </c>
      <c r="G280" s="36">
        <v>1200000</v>
      </c>
      <c r="H280" s="36"/>
      <c r="I280" s="36"/>
      <c r="J280" s="36">
        <f>G280</f>
        <v>1200000</v>
      </c>
      <c r="K280" s="36">
        <f>(K282*K284)</f>
        <v>0</v>
      </c>
      <c r="L280" s="36">
        <f>(L282*L284)</f>
        <v>0</v>
      </c>
      <c r="M280" s="36">
        <f>(M282*M284)</f>
        <v>0</v>
      </c>
      <c r="N280" s="36">
        <v>1400000</v>
      </c>
      <c r="O280" s="36">
        <f>(O282*O284)</f>
        <v>0</v>
      </c>
      <c r="P280" s="36">
        <f>N280</f>
        <v>1400000</v>
      </c>
      <c r="IB280" s="39"/>
      <c r="IC280" s="39"/>
      <c r="ID280" s="39"/>
      <c r="IE280" s="39"/>
      <c r="IF280" s="39"/>
      <c r="IG280" s="39"/>
    </row>
    <row r="281" spans="1:241" s="25" customFormat="1" ht="11.25">
      <c r="A281" s="5" t="s">
        <v>5</v>
      </c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IB281" s="53"/>
      <c r="IC281" s="53"/>
      <c r="ID281" s="53"/>
      <c r="IE281" s="53"/>
      <c r="IF281" s="53"/>
      <c r="IG281" s="53"/>
    </row>
    <row r="282" spans="1:241" s="25" customFormat="1" ht="33.75">
      <c r="A282" s="8" t="s">
        <v>250</v>
      </c>
      <c r="B282" s="6"/>
      <c r="C282" s="6"/>
      <c r="D282" s="7">
        <v>750</v>
      </c>
      <c r="E282" s="7"/>
      <c r="F282" s="7">
        <f>D282</f>
        <v>750</v>
      </c>
      <c r="G282" s="7">
        <v>700</v>
      </c>
      <c r="H282" s="7"/>
      <c r="I282" s="7"/>
      <c r="J282" s="7">
        <f>G282</f>
        <v>700</v>
      </c>
      <c r="K282" s="7"/>
      <c r="L282" s="7"/>
      <c r="M282" s="7"/>
      <c r="N282" s="7">
        <v>650</v>
      </c>
      <c r="O282" s="7"/>
      <c r="P282" s="7">
        <f>N282</f>
        <v>650</v>
      </c>
      <c r="IB282" s="53"/>
      <c r="IC282" s="53"/>
      <c r="ID282" s="53"/>
      <c r="IE282" s="53"/>
      <c r="IF282" s="53"/>
      <c r="IG282" s="53"/>
    </row>
    <row r="283" spans="1:241" s="25" customFormat="1" ht="11.25">
      <c r="A283" s="5" t="s">
        <v>7</v>
      </c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IB283" s="53"/>
      <c r="IC283" s="53"/>
      <c r="ID283" s="53"/>
      <c r="IE283" s="53"/>
      <c r="IF283" s="53"/>
      <c r="IG283" s="53"/>
    </row>
    <row r="284" spans="1:241" s="25" customFormat="1" ht="22.5" customHeight="1">
      <c r="A284" s="8" t="s">
        <v>251</v>
      </c>
      <c r="B284" s="6"/>
      <c r="C284" s="6"/>
      <c r="D284" s="7">
        <f>D280/D282</f>
        <v>1333.3333333333333</v>
      </c>
      <c r="E284" s="7"/>
      <c r="F284" s="7">
        <f>D284</f>
        <v>1333.3333333333333</v>
      </c>
      <c r="G284" s="7">
        <f>G280/G282</f>
        <v>1714.2857142857142</v>
      </c>
      <c r="H284" s="7"/>
      <c r="I284" s="7"/>
      <c r="J284" s="7">
        <f>G284</f>
        <v>1714.2857142857142</v>
      </c>
      <c r="K284" s="7"/>
      <c r="L284" s="7"/>
      <c r="M284" s="7"/>
      <c r="N284" s="7">
        <f>1400000/750</f>
        <v>1866.6666666666667</v>
      </c>
      <c r="O284" s="7"/>
      <c r="P284" s="7">
        <f>N284</f>
        <v>1866.6666666666667</v>
      </c>
      <c r="IB284" s="53"/>
      <c r="IC284" s="53"/>
      <c r="ID284" s="53"/>
      <c r="IE284" s="53"/>
      <c r="IF284" s="53"/>
      <c r="IG284" s="53"/>
    </row>
    <row r="285" spans="1:241" s="25" customFormat="1" ht="11.25">
      <c r="A285" s="5" t="s">
        <v>6</v>
      </c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IB285" s="53"/>
      <c r="IC285" s="53"/>
      <c r="ID285" s="53"/>
      <c r="IE285" s="53"/>
      <c r="IF285" s="53"/>
      <c r="IG285" s="53"/>
    </row>
    <row r="286" spans="1:241" s="25" customFormat="1" ht="24" customHeight="1">
      <c r="A286" s="8" t="s">
        <v>179</v>
      </c>
      <c r="B286" s="6"/>
      <c r="C286" s="6"/>
      <c r="D286" s="7"/>
      <c r="E286" s="7"/>
      <c r="F286" s="7"/>
      <c r="G286" s="7">
        <f>G282/D282*100</f>
        <v>93.33333333333333</v>
      </c>
      <c r="H286" s="7"/>
      <c r="I286" s="7"/>
      <c r="J286" s="7">
        <f>G286</f>
        <v>93.33333333333333</v>
      </c>
      <c r="K286" s="7"/>
      <c r="L286" s="7"/>
      <c r="M286" s="7"/>
      <c r="N286" s="7">
        <f>N282/G282*100</f>
        <v>92.85714285714286</v>
      </c>
      <c r="O286" s="7"/>
      <c r="P286" s="7">
        <f>N286</f>
        <v>92.85714285714286</v>
      </c>
      <c r="IB286" s="53"/>
      <c r="IC286" s="53"/>
      <c r="ID286" s="53"/>
      <c r="IE286" s="53"/>
      <c r="IF286" s="53"/>
      <c r="IG286" s="53"/>
    </row>
    <row r="287" spans="1:241" s="25" customFormat="1" ht="31.5" customHeight="1">
      <c r="A287" s="8" t="s">
        <v>180</v>
      </c>
      <c r="B287" s="6"/>
      <c r="C287" s="6"/>
      <c r="D287" s="7"/>
      <c r="E287" s="7"/>
      <c r="F287" s="7"/>
      <c r="G287" s="7">
        <f>G284/D284*100</f>
        <v>128.57142857142858</v>
      </c>
      <c r="H287" s="7"/>
      <c r="I287" s="7"/>
      <c r="J287" s="7">
        <f>G287</f>
        <v>128.57142857142858</v>
      </c>
      <c r="K287" s="7"/>
      <c r="L287" s="7"/>
      <c r="M287" s="7"/>
      <c r="N287" s="7">
        <f>N284/G284*100</f>
        <v>108.8888888888889</v>
      </c>
      <c r="O287" s="7"/>
      <c r="P287" s="7">
        <f>N287</f>
        <v>108.8888888888889</v>
      </c>
      <c r="IB287" s="53"/>
      <c r="IC287" s="53"/>
      <c r="ID287" s="53"/>
      <c r="IE287" s="53"/>
      <c r="IF287" s="53"/>
      <c r="IG287" s="53"/>
    </row>
    <row r="288" spans="1:241" s="38" customFormat="1" ht="22.5" customHeight="1">
      <c r="A288" s="34" t="s">
        <v>394</v>
      </c>
      <c r="B288" s="35"/>
      <c r="C288" s="35"/>
      <c r="D288" s="36"/>
      <c r="E288" s="36">
        <v>11780000</v>
      </c>
      <c r="F288" s="36">
        <f>E288</f>
        <v>11780000</v>
      </c>
      <c r="G288" s="36">
        <f>G290*G292</f>
        <v>0</v>
      </c>
      <c r="H288" s="36">
        <v>12000000</v>
      </c>
      <c r="I288" s="36">
        <f>I290*I292</f>
        <v>0</v>
      </c>
      <c r="J288" s="36">
        <f>G288+H288</f>
        <v>12000000</v>
      </c>
      <c r="K288" s="36">
        <f>K290*K292</f>
        <v>0</v>
      </c>
      <c r="L288" s="36">
        <f>L290*L292</f>
        <v>0</v>
      </c>
      <c r="M288" s="36">
        <f>M290*M292</f>
        <v>0</v>
      </c>
      <c r="N288" s="36">
        <f>N290*N292</f>
        <v>0</v>
      </c>
      <c r="O288" s="36">
        <v>12100000</v>
      </c>
      <c r="P288" s="36">
        <f>N288+O288</f>
        <v>12100000</v>
      </c>
      <c r="IB288" s="39"/>
      <c r="IC288" s="39"/>
      <c r="ID288" s="39"/>
      <c r="IE288" s="39"/>
      <c r="IF288" s="39"/>
      <c r="IG288" s="39"/>
    </row>
    <row r="289" spans="1:241" s="25" customFormat="1" ht="11.25">
      <c r="A289" s="5" t="s">
        <v>5</v>
      </c>
      <c r="B289" s="37"/>
      <c r="C289" s="37"/>
      <c r="D289" s="30"/>
      <c r="E289" s="30"/>
      <c r="F289" s="7"/>
      <c r="G289" s="30"/>
      <c r="H289" s="30"/>
      <c r="I289" s="30"/>
      <c r="J289" s="7"/>
      <c r="K289" s="7"/>
      <c r="L289" s="7"/>
      <c r="M289" s="7"/>
      <c r="N289" s="30"/>
      <c r="O289" s="30"/>
      <c r="P289" s="7"/>
      <c r="IB289" s="53"/>
      <c r="IC289" s="53"/>
      <c r="ID289" s="53"/>
      <c r="IE289" s="53"/>
      <c r="IF289" s="53"/>
      <c r="IG289" s="53"/>
    </row>
    <row r="290" spans="1:241" s="25" customFormat="1" ht="21.75" customHeight="1">
      <c r="A290" s="8" t="s">
        <v>120</v>
      </c>
      <c r="B290" s="6"/>
      <c r="C290" s="6"/>
      <c r="D290" s="7"/>
      <c r="E290" s="7">
        <v>20</v>
      </c>
      <c r="F290" s="7">
        <f>E290</f>
        <v>20</v>
      </c>
      <c r="G290" s="7"/>
      <c r="H290" s="7">
        <v>18</v>
      </c>
      <c r="I290" s="7"/>
      <c r="J290" s="7">
        <f>G290+H290</f>
        <v>18</v>
      </c>
      <c r="K290" s="7"/>
      <c r="L290" s="7"/>
      <c r="M290" s="7"/>
      <c r="N290" s="7"/>
      <c r="O290" s="7">
        <v>15</v>
      </c>
      <c r="P290" s="7">
        <f>O290</f>
        <v>15</v>
      </c>
      <c r="IB290" s="53"/>
      <c r="IC290" s="53"/>
      <c r="ID290" s="53"/>
      <c r="IE290" s="53"/>
      <c r="IF290" s="53"/>
      <c r="IG290" s="53"/>
    </row>
    <row r="291" spans="1:241" s="25" customFormat="1" ht="11.25">
      <c r="A291" s="5" t="s">
        <v>7</v>
      </c>
      <c r="B291" s="37"/>
      <c r="C291" s="37"/>
      <c r="D291" s="30"/>
      <c r="E291" s="30"/>
      <c r="F291" s="7"/>
      <c r="G291" s="30"/>
      <c r="H291" s="30"/>
      <c r="I291" s="30"/>
      <c r="J291" s="7"/>
      <c r="K291" s="7"/>
      <c r="L291" s="7"/>
      <c r="M291" s="7"/>
      <c r="N291" s="30"/>
      <c r="O291" s="30"/>
      <c r="P291" s="7"/>
      <c r="IB291" s="53"/>
      <c r="IC291" s="53"/>
      <c r="ID291" s="53"/>
      <c r="IE291" s="53"/>
      <c r="IF291" s="53"/>
      <c r="IG291" s="53"/>
    </row>
    <row r="292" spans="1:241" s="25" customFormat="1" ht="23.25" customHeight="1">
      <c r="A292" s="8" t="s">
        <v>121</v>
      </c>
      <c r="B292" s="6"/>
      <c r="C292" s="6"/>
      <c r="D292" s="7"/>
      <c r="E292" s="7">
        <f>E288/E290</f>
        <v>589000</v>
      </c>
      <c r="F292" s="7">
        <f>E292</f>
        <v>589000</v>
      </c>
      <c r="G292" s="7"/>
      <c r="H292" s="7">
        <f>H288/H290</f>
        <v>666666.6666666666</v>
      </c>
      <c r="I292" s="7"/>
      <c r="J292" s="7">
        <f>G292+H292</f>
        <v>666666.6666666666</v>
      </c>
      <c r="K292" s="7"/>
      <c r="L292" s="7"/>
      <c r="M292" s="7"/>
      <c r="N292" s="7"/>
      <c r="O292" s="7">
        <f>O288/O290</f>
        <v>806666.6666666666</v>
      </c>
      <c r="P292" s="7">
        <f>O292</f>
        <v>806666.6666666666</v>
      </c>
      <c r="IB292" s="53"/>
      <c r="IC292" s="53"/>
      <c r="ID292" s="53"/>
      <c r="IE292" s="53"/>
      <c r="IF292" s="53"/>
      <c r="IG292" s="53"/>
    </row>
    <row r="293" spans="1:241" s="25" customFormat="1" ht="11.25">
      <c r="A293" s="5" t="s">
        <v>6</v>
      </c>
      <c r="B293" s="6"/>
      <c r="C293" s="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IB293" s="53"/>
      <c r="IC293" s="53"/>
      <c r="ID293" s="53"/>
      <c r="IE293" s="53"/>
      <c r="IF293" s="53"/>
      <c r="IG293" s="53"/>
    </row>
    <row r="294" spans="1:241" s="25" customFormat="1" ht="35.25" customHeight="1">
      <c r="A294" s="8" t="s">
        <v>122</v>
      </c>
      <c r="B294" s="6"/>
      <c r="C294" s="6"/>
      <c r="D294" s="7"/>
      <c r="E294" s="7">
        <v>0</v>
      </c>
      <c r="F294" s="7">
        <v>0</v>
      </c>
      <c r="G294" s="7"/>
      <c r="H294" s="7">
        <f>H292/E292*100</f>
        <v>113.18619128466327</v>
      </c>
      <c r="I294" s="7"/>
      <c r="J294" s="7">
        <f>G294+H294</f>
        <v>113.18619128466327</v>
      </c>
      <c r="K294" s="7"/>
      <c r="L294" s="7"/>
      <c r="M294" s="7"/>
      <c r="N294" s="7"/>
      <c r="O294" s="7">
        <f>O292/H292*100</f>
        <v>121</v>
      </c>
      <c r="P294" s="7">
        <f>O294</f>
        <v>121</v>
      </c>
      <c r="IB294" s="53"/>
      <c r="IC294" s="53"/>
      <c r="ID294" s="53"/>
      <c r="IE294" s="53"/>
      <c r="IF294" s="53"/>
      <c r="IG294" s="53"/>
    </row>
    <row r="295" spans="1:16" ht="15" customHeight="1">
      <c r="A295" s="37" t="s">
        <v>365</v>
      </c>
      <c r="B295" s="37"/>
      <c r="C295" s="37"/>
      <c r="D295" s="30"/>
      <c r="E295" s="30">
        <f>E297+E311+E326</f>
        <v>67727703</v>
      </c>
      <c r="F295" s="30">
        <f aca="true" t="shared" si="42" ref="F295:P295">F297+F311+F326</f>
        <v>67727703</v>
      </c>
      <c r="G295" s="30">
        <f t="shared" si="42"/>
        <v>0</v>
      </c>
      <c r="H295" s="30">
        <f t="shared" si="42"/>
        <v>68742599.9975</v>
      </c>
      <c r="I295" s="30">
        <f t="shared" si="42"/>
        <v>742600</v>
      </c>
      <c r="J295" s="30">
        <f t="shared" si="42"/>
        <v>68742599.9975</v>
      </c>
      <c r="K295" s="30">
        <f t="shared" si="42"/>
        <v>10668.66666388889</v>
      </c>
      <c r="L295" s="30">
        <f t="shared" si="42"/>
        <v>2</v>
      </c>
      <c r="M295" s="30">
        <f t="shared" si="42"/>
        <v>2</v>
      </c>
      <c r="N295" s="30">
        <f t="shared" si="42"/>
        <v>0</v>
      </c>
      <c r="O295" s="30">
        <f t="shared" si="42"/>
        <v>70000000.002</v>
      </c>
      <c r="P295" s="30">
        <f t="shared" si="42"/>
        <v>70000000.002</v>
      </c>
    </row>
    <row r="296" spans="1:16" ht="45" customHeight="1">
      <c r="A296" s="34" t="s">
        <v>123</v>
      </c>
      <c r="B296" s="6"/>
      <c r="C296" s="6"/>
      <c r="D296" s="7"/>
      <c r="E296" s="36"/>
      <c r="F296" s="36"/>
      <c r="G296" s="7"/>
      <c r="H296" s="36"/>
      <c r="I296" s="36"/>
      <c r="J296" s="36"/>
      <c r="K296" s="7" t="e">
        <f>H296/E296*100</f>
        <v>#DIV/0!</v>
      </c>
      <c r="L296" s="36"/>
      <c r="M296" s="36"/>
      <c r="N296" s="7"/>
      <c r="O296" s="36"/>
      <c r="P296" s="36"/>
    </row>
    <row r="297" spans="1:16" ht="22.5" customHeight="1">
      <c r="A297" s="34" t="s">
        <v>128</v>
      </c>
      <c r="B297" s="6"/>
      <c r="C297" s="6"/>
      <c r="D297" s="7"/>
      <c r="E297" s="36">
        <f>E298</f>
        <v>46927700</v>
      </c>
      <c r="F297" s="36">
        <f>D297+E297</f>
        <v>46927700</v>
      </c>
      <c r="G297" s="36"/>
      <c r="H297" s="36">
        <f>H298</f>
        <v>47999999.997499995</v>
      </c>
      <c r="I297" s="36"/>
      <c r="J297" s="36">
        <f>G297+H297</f>
        <v>47999999.997499995</v>
      </c>
      <c r="K297" s="36">
        <f>K298+K312+K319</f>
        <v>10667.66666388889</v>
      </c>
      <c r="L297" s="36">
        <f>L298+L312+L319</f>
        <v>1</v>
      </c>
      <c r="M297" s="36">
        <f>M298+M312+M319</f>
        <v>1</v>
      </c>
      <c r="N297" s="36"/>
      <c r="O297" s="36">
        <f>O298</f>
        <v>50000000.002</v>
      </c>
      <c r="P297" s="36">
        <f>N297+O297</f>
        <v>50000000.002</v>
      </c>
    </row>
    <row r="298" spans="1:235" s="39" customFormat="1" ht="22.5">
      <c r="A298" s="34" t="s">
        <v>395</v>
      </c>
      <c r="B298" s="35"/>
      <c r="C298" s="35"/>
      <c r="D298" s="36"/>
      <c r="E298" s="145">
        <f>(E302*E304)+E308+E309+E310</f>
        <v>46927700</v>
      </c>
      <c r="F298" s="36">
        <f>E298</f>
        <v>46927700</v>
      </c>
      <c r="G298" s="36"/>
      <c r="H298" s="36">
        <f>H302*H304+0.01</f>
        <v>47999999.997499995</v>
      </c>
      <c r="I298" s="36"/>
      <c r="J298" s="36">
        <f>H298</f>
        <v>47999999.997499995</v>
      </c>
      <c r="K298" s="36">
        <f>K302*K304</f>
        <v>10666.66666388889</v>
      </c>
      <c r="L298" s="36">
        <f>L302*L304</f>
        <v>0</v>
      </c>
      <c r="M298" s="36">
        <f>M302*M304</f>
        <v>0</v>
      </c>
      <c r="N298" s="36"/>
      <c r="O298" s="36">
        <f>O302*O304+0.01</f>
        <v>50000000.002</v>
      </c>
      <c r="P298" s="36">
        <f>N298+O298</f>
        <v>50000000.002</v>
      </c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  <c r="DG298" s="38"/>
      <c r="DH298" s="38"/>
      <c r="DI298" s="38"/>
      <c r="DJ298" s="38"/>
      <c r="DK298" s="38"/>
      <c r="DL298" s="38"/>
      <c r="DM298" s="38"/>
      <c r="DN298" s="38"/>
      <c r="DO298" s="38"/>
      <c r="DP298" s="38"/>
      <c r="DQ298" s="38"/>
      <c r="DR298" s="38"/>
      <c r="DS298" s="38"/>
      <c r="DT298" s="38"/>
      <c r="DU298" s="38"/>
      <c r="DV298" s="38"/>
      <c r="DW298" s="38"/>
      <c r="DX298" s="38"/>
      <c r="DY298" s="38"/>
      <c r="DZ298" s="38"/>
      <c r="EA298" s="38"/>
      <c r="EB298" s="38"/>
      <c r="EC298" s="38"/>
      <c r="ED298" s="38"/>
      <c r="EE298" s="38"/>
      <c r="EF298" s="38"/>
      <c r="EG298" s="38"/>
      <c r="EH298" s="38"/>
      <c r="EI298" s="38"/>
      <c r="EJ298" s="38"/>
      <c r="EK298" s="38"/>
      <c r="EL298" s="38"/>
      <c r="EM298" s="38"/>
      <c r="EN298" s="38"/>
      <c r="EO298" s="38"/>
      <c r="EP298" s="38"/>
      <c r="EQ298" s="38"/>
      <c r="ER298" s="38"/>
      <c r="ES298" s="38"/>
      <c r="ET298" s="38"/>
      <c r="EU298" s="38"/>
      <c r="EV298" s="38"/>
      <c r="EW298" s="38"/>
      <c r="EX298" s="38"/>
      <c r="EY298" s="38"/>
      <c r="EZ298" s="38"/>
      <c r="FA298" s="38"/>
      <c r="FB298" s="38"/>
      <c r="FC298" s="38"/>
      <c r="FD298" s="38"/>
      <c r="FE298" s="38"/>
      <c r="FF298" s="38"/>
      <c r="FG298" s="38"/>
      <c r="FH298" s="38"/>
      <c r="FI298" s="38"/>
      <c r="FJ298" s="38"/>
      <c r="FK298" s="38"/>
      <c r="FL298" s="38"/>
      <c r="FM298" s="38"/>
      <c r="FN298" s="38"/>
      <c r="FO298" s="38"/>
      <c r="FP298" s="38"/>
      <c r="FQ298" s="38"/>
      <c r="FR298" s="38"/>
      <c r="FS298" s="38"/>
      <c r="FT298" s="38"/>
      <c r="FU298" s="38"/>
      <c r="FV298" s="38"/>
      <c r="FW298" s="38"/>
      <c r="FX298" s="38"/>
      <c r="FY298" s="38"/>
      <c r="FZ298" s="38"/>
      <c r="GA298" s="38"/>
      <c r="GB298" s="38"/>
      <c r="GC298" s="38"/>
      <c r="GD298" s="38"/>
      <c r="GE298" s="38"/>
      <c r="GF298" s="38"/>
      <c r="GG298" s="38"/>
      <c r="GH298" s="38"/>
      <c r="GI298" s="38"/>
      <c r="GJ298" s="38"/>
      <c r="GK298" s="38"/>
      <c r="GL298" s="38"/>
      <c r="GM298" s="38"/>
      <c r="GN298" s="38"/>
      <c r="GO298" s="38"/>
      <c r="GP298" s="38"/>
      <c r="GQ298" s="38"/>
      <c r="GR298" s="38"/>
      <c r="GS298" s="38"/>
      <c r="GT298" s="38"/>
      <c r="GU298" s="38"/>
      <c r="GV298" s="38"/>
      <c r="GW298" s="38"/>
      <c r="GX298" s="38"/>
      <c r="GY298" s="38"/>
      <c r="GZ298" s="38"/>
      <c r="HA298" s="38"/>
      <c r="HB298" s="38"/>
      <c r="HC298" s="38"/>
      <c r="HD298" s="38"/>
      <c r="HE298" s="38"/>
      <c r="HF298" s="38"/>
      <c r="HG298" s="38"/>
      <c r="HH298" s="38"/>
      <c r="HI298" s="38"/>
      <c r="HJ298" s="38"/>
      <c r="HK298" s="38"/>
      <c r="HL298" s="38"/>
      <c r="HM298" s="38"/>
      <c r="HN298" s="38"/>
      <c r="HO298" s="38"/>
      <c r="HP298" s="38"/>
      <c r="HQ298" s="38"/>
      <c r="HR298" s="38"/>
      <c r="HS298" s="38"/>
      <c r="HT298" s="38"/>
      <c r="HU298" s="38"/>
      <c r="HV298" s="38"/>
      <c r="HW298" s="38"/>
      <c r="HX298" s="38"/>
      <c r="HY298" s="38"/>
      <c r="HZ298" s="38"/>
      <c r="IA298" s="38"/>
    </row>
    <row r="299" spans="1:16" ht="11.25">
      <c r="A299" s="5" t="s">
        <v>4</v>
      </c>
      <c r="B299" s="37"/>
      <c r="C299" s="37"/>
      <c r="D299" s="7"/>
      <c r="E299" s="36"/>
      <c r="F299" s="36"/>
      <c r="G299" s="7"/>
      <c r="H299" s="36"/>
      <c r="I299" s="36"/>
      <c r="J299" s="36"/>
      <c r="K299" s="7"/>
      <c r="L299" s="36"/>
      <c r="M299" s="36"/>
      <c r="N299" s="7"/>
      <c r="O299" s="36"/>
      <c r="P299" s="36"/>
    </row>
    <row r="300" spans="1:16" ht="22.5">
      <c r="A300" s="8" t="s">
        <v>124</v>
      </c>
      <c r="B300" s="6"/>
      <c r="C300" s="6"/>
      <c r="D300" s="7"/>
      <c r="E300" s="7">
        <v>1072</v>
      </c>
      <c r="F300" s="7">
        <f>E300</f>
        <v>1072</v>
      </c>
      <c r="G300" s="7"/>
      <c r="H300" s="7">
        <v>892</v>
      </c>
      <c r="I300" s="7"/>
      <c r="J300" s="7">
        <f>H300</f>
        <v>892</v>
      </c>
      <c r="K300" s="7"/>
      <c r="L300" s="36"/>
      <c r="M300" s="36"/>
      <c r="N300" s="7"/>
      <c r="O300" s="7">
        <v>617</v>
      </c>
      <c r="P300" s="7">
        <f>O300</f>
        <v>617</v>
      </c>
    </row>
    <row r="301" spans="1:16" ht="11.25">
      <c r="A301" s="5" t="s">
        <v>5</v>
      </c>
      <c r="B301" s="37"/>
      <c r="C301" s="37"/>
      <c r="D301" s="7"/>
      <c r="E301" s="30"/>
      <c r="F301" s="30"/>
      <c r="G301" s="7"/>
      <c r="H301" s="30"/>
      <c r="I301" s="30"/>
      <c r="J301" s="30"/>
      <c r="K301" s="7" t="e">
        <f>H301/E301*100</f>
        <v>#DIV/0!</v>
      </c>
      <c r="L301" s="30"/>
      <c r="M301" s="30"/>
      <c r="N301" s="7"/>
      <c r="O301" s="30"/>
      <c r="P301" s="30"/>
    </row>
    <row r="302" spans="1:16" ht="22.5">
      <c r="A302" s="8" t="s">
        <v>125</v>
      </c>
      <c r="B302" s="6"/>
      <c r="C302" s="6"/>
      <c r="D302" s="7"/>
      <c r="E302" s="7">
        <v>180</v>
      </c>
      <c r="F302" s="7">
        <f>E302</f>
        <v>180</v>
      </c>
      <c r="G302" s="7"/>
      <c r="H302" s="7">
        <v>275</v>
      </c>
      <c r="I302" s="7"/>
      <c r="J302" s="7">
        <f>H302</f>
        <v>275</v>
      </c>
      <c r="K302" s="7">
        <f>H302/E302*100</f>
        <v>152.77777777777777</v>
      </c>
      <c r="L302" s="7"/>
      <c r="M302" s="7"/>
      <c r="N302" s="7"/>
      <c r="O302" s="7">
        <v>240</v>
      </c>
      <c r="P302" s="7">
        <f>O302</f>
        <v>240</v>
      </c>
    </row>
    <row r="303" spans="1:16" ht="11.25">
      <c r="A303" s="5" t="s">
        <v>7</v>
      </c>
      <c r="B303" s="37"/>
      <c r="C303" s="37"/>
      <c r="D303" s="7"/>
      <c r="E303" s="30"/>
      <c r="F303" s="30"/>
      <c r="G303" s="7"/>
      <c r="H303" s="30"/>
      <c r="I303" s="30"/>
      <c r="J303" s="30"/>
      <c r="K303" s="7" t="e">
        <f>H303/E303*100</f>
        <v>#DIV/0!</v>
      </c>
      <c r="L303" s="30"/>
      <c r="M303" s="30"/>
      <c r="N303" s="7"/>
      <c r="O303" s="30"/>
      <c r="P303" s="30"/>
    </row>
    <row r="304" spans="1:16" ht="24" customHeight="1">
      <c r="A304" s="8" t="s">
        <v>126</v>
      </c>
      <c r="B304" s="6"/>
      <c r="C304" s="6"/>
      <c r="D304" s="7"/>
      <c r="E304" s="7">
        <v>250000</v>
      </c>
      <c r="F304" s="7">
        <f>E304</f>
        <v>250000</v>
      </c>
      <c r="G304" s="7"/>
      <c r="H304" s="7">
        <v>174545.4545</v>
      </c>
      <c r="I304" s="7"/>
      <c r="J304" s="7">
        <f>H304</f>
        <v>174545.4545</v>
      </c>
      <c r="K304" s="7">
        <f>H304/E304*100</f>
        <v>69.8181818</v>
      </c>
      <c r="L304" s="7"/>
      <c r="M304" s="7"/>
      <c r="N304" s="7"/>
      <c r="O304" s="7">
        <v>208333.3333</v>
      </c>
      <c r="P304" s="7">
        <f>O304</f>
        <v>208333.3333</v>
      </c>
    </row>
    <row r="305" spans="1:16" ht="11.25">
      <c r="A305" s="5" t="s">
        <v>6</v>
      </c>
      <c r="B305" s="37"/>
      <c r="C305" s="3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50.25" customHeight="1">
      <c r="A306" s="8" t="s">
        <v>127</v>
      </c>
      <c r="B306" s="6"/>
      <c r="C306" s="6"/>
      <c r="D306" s="7"/>
      <c r="E306" s="7">
        <f>E302/E300*100</f>
        <v>16.791044776119403</v>
      </c>
      <c r="F306" s="7">
        <f>D306+E306</f>
        <v>16.791044776119403</v>
      </c>
      <c r="G306" s="7"/>
      <c r="H306" s="7">
        <f>H302/H300*100</f>
        <v>30.829596412556054</v>
      </c>
      <c r="I306" s="7"/>
      <c r="J306" s="7">
        <f>J302/J300*100</f>
        <v>30.829596412556054</v>
      </c>
      <c r="K306" s="7" t="e">
        <f>K302/K300*100</f>
        <v>#DIV/0!</v>
      </c>
      <c r="L306" s="7" t="e">
        <f>L302/L300*100</f>
        <v>#DIV/0!</v>
      </c>
      <c r="M306" s="7" t="e">
        <f>M302/M300*100</f>
        <v>#DIV/0!</v>
      </c>
      <c r="N306" s="7"/>
      <c r="O306" s="7">
        <f>O302/O300*100</f>
        <v>38.897893030794165</v>
      </c>
      <c r="P306" s="7">
        <f>P302/P300*100</f>
        <v>38.897893030794165</v>
      </c>
    </row>
    <row r="307" spans="1:16" ht="11.25">
      <c r="A307" s="5" t="s">
        <v>5</v>
      </c>
      <c r="B307" s="35"/>
      <c r="C307" s="35"/>
      <c r="D307" s="7"/>
      <c r="E307" s="36"/>
      <c r="F307" s="36"/>
      <c r="G307" s="7"/>
      <c r="H307" s="36"/>
      <c r="I307" s="36"/>
      <c r="J307" s="36"/>
      <c r="K307" s="36"/>
      <c r="L307" s="36"/>
      <c r="M307" s="36"/>
      <c r="N307" s="7"/>
      <c r="O307" s="36"/>
      <c r="P307" s="36"/>
    </row>
    <row r="308" spans="1:16" ht="33.75">
      <c r="A308" s="8" t="s">
        <v>281</v>
      </c>
      <c r="B308" s="37"/>
      <c r="C308" s="37"/>
      <c r="D308" s="30"/>
      <c r="E308" s="7">
        <v>160000</v>
      </c>
      <c r="F308" s="7">
        <v>160000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1.25">
      <c r="A309" s="8" t="s">
        <v>366</v>
      </c>
      <c r="B309" s="37"/>
      <c r="C309" s="37"/>
      <c r="D309" s="30"/>
      <c r="E309" s="7">
        <v>1522000</v>
      </c>
      <c r="F309" s="7">
        <f>E309</f>
        <v>1522000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22.5">
      <c r="A310" s="8" t="s">
        <v>377</v>
      </c>
      <c r="B310" s="37"/>
      <c r="C310" s="37"/>
      <c r="D310" s="30"/>
      <c r="E310" s="7">
        <v>245700</v>
      </c>
      <c r="F310" s="7">
        <f>E310</f>
        <v>245700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235" s="39" customFormat="1" ht="36" customHeight="1">
      <c r="A311" s="34" t="s">
        <v>347</v>
      </c>
      <c r="B311" s="35"/>
      <c r="C311" s="35"/>
      <c r="D311" s="36"/>
      <c r="E311" s="36">
        <f aca="true" t="shared" si="43" ref="E311:P311">SUM(E312)+E319</f>
        <v>20000000</v>
      </c>
      <c r="F311" s="36">
        <f t="shared" si="43"/>
        <v>20000000</v>
      </c>
      <c r="G311" s="36">
        <f t="shared" si="43"/>
        <v>0</v>
      </c>
      <c r="H311" s="36">
        <f t="shared" si="43"/>
        <v>20000000</v>
      </c>
      <c r="I311" s="36">
        <f t="shared" si="43"/>
        <v>0</v>
      </c>
      <c r="J311" s="36">
        <f t="shared" si="43"/>
        <v>20000000</v>
      </c>
      <c r="K311" s="36">
        <f t="shared" si="43"/>
        <v>1</v>
      </c>
      <c r="L311" s="36">
        <f t="shared" si="43"/>
        <v>1</v>
      </c>
      <c r="M311" s="36">
        <f t="shared" si="43"/>
        <v>1</v>
      </c>
      <c r="N311" s="36">
        <f t="shared" si="43"/>
        <v>0</v>
      </c>
      <c r="O311" s="36">
        <f t="shared" si="43"/>
        <v>20000000</v>
      </c>
      <c r="P311" s="36">
        <f t="shared" si="43"/>
        <v>20000000</v>
      </c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  <c r="DG311" s="38"/>
      <c r="DH311" s="38"/>
      <c r="DI311" s="38"/>
      <c r="DJ311" s="38"/>
      <c r="DK311" s="38"/>
      <c r="DL311" s="38"/>
      <c r="DM311" s="38"/>
      <c r="DN311" s="38"/>
      <c r="DO311" s="38"/>
      <c r="DP311" s="38"/>
      <c r="DQ311" s="38"/>
      <c r="DR311" s="38"/>
      <c r="DS311" s="38"/>
      <c r="DT311" s="38"/>
      <c r="DU311" s="38"/>
      <c r="DV311" s="38"/>
      <c r="DW311" s="38"/>
      <c r="DX311" s="38"/>
      <c r="DY311" s="38"/>
      <c r="DZ311" s="38"/>
      <c r="EA311" s="38"/>
      <c r="EB311" s="38"/>
      <c r="EC311" s="38"/>
      <c r="ED311" s="38"/>
      <c r="EE311" s="38"/>
      <c r="EF311" s="38"/>
      <c r="EG311" s="38"/>
      <c r="EH311" s="38"/>
      <c r="EI311" s="38"/>
      <c r="EJ311" s="38"/>
      <c r="EK311" s="38"/>
      <c r="EL311" s="38"/>
      <c r="EM311" s="38"/>
      <c r="EN311" s="38"/>
      <c r="EO311" s="38"/>
      <c r="EP311" s="38"/>
      <c r="EQ311" s="38"/>
      <c r="ER311" s="38"/>
      <c r="ES311" s="38"/>
      <c r="ET311" s="38"/>
      <c r="EU311" s="38"/>
      <c r="EV311" s="38"/>
      <c r="EW311" s="38"/>
      <c r="EX311" s="38"/>
      <c r="EY311" s="38"/>
      <c r="EZ311" s="38"/>
      <c r="FA311" s="38"/>
      <c r="FB311" s="38"/>
      <c r="FC311" s="38"/>
      <c r="FD311" s="38"/>
      <c r="FE311" s="38"/>
      <c r="FF311" s="38"/>
      <c r="FG311" s="38"/>
      <c r="FH311" s="38"/>
      <c r="FI311" s="38"/>
      <c r="FJ311" s="38"/>
      <c r="FK311" s="38"/>
      <c r="FL311" s="38"/>
      <c r="FM311" s="38"/>
      <c r="FN311" s="38"/>
      <c r="FO311" s="38"/>
      <c r="FP311" s="38"/>
      <c r="FQ311" s="38"/>
      <c r="FR311" s="38"/>
      <c r="FS311" s="38"/>
      <c r="FT311" s="38"/>
      <c r="FU311" s="38"/>
      <c r="FV311" s="38"/>
      <c r="FW311" s="38"/>
      <c r="FX311" s="38"/>
      <c r="FY311" s="38"/>
      <c r="FZ311" s="38"/>
      <c r="GA311" s="38"/>
      <c r="GB311" s="38"/>
      <c r="GC311" s="38"/>
      <c r="GD311" s="38"/>
      <c r="GE311" s="38"/>
      <c r="GF311" s="38"/>
      <c r="GG311" s="38"/>
      <c r="GH311" s="38"/>
      <c r="GI311" s="38"/>
      <c r="GJ311" s="38"/>
      <c r="GK311" s="38"/>
      <c r="GL311" s="38"/>
      <c r="GM311" s="38"/>
      <c r="GN311" s="38"/>
      <c r="GO311" s="38"/>
      <c r="GP311" s="38"/>
      <c r="GQ311" s="38"/>
      <c r="GR311" s="38"/>
      <c r="GS311" s="38"/>
      <c r="GT311" s="38"/>
      <c r="GU311" s="38"/>
      <c r="GV311" s="38"/>
      <c r="GW311" s="38"/>
      <c r="GX311" s="38"/>
      <c r="GY311" s="38"/>
      <c r="GZ311" s="38"/>
      <c r="HA311" s="38"/>
      <c r="HB311" s="38"/>
      <c r="HC311" s="38"/>
      <c r="HD311" s="38"/>
      <c r="HE311" s="38"/>
      <c r="HF311" s="38"/>
      <c r="HG311" s="38"/>
      <c r="HH311" s="38"/>
      <c r="HI311" s="38"/>
      <c r="HJ311" s="38"/>
      <c r="HK311" s="38"/>
      <c r="HL311" s="38"/>
      <c r="HM311" s="38"/>
      <c r="HN311" s="38"/>
      <c r="HO311" s="38"/>
      <c r="HP311" s="38"/>
      <c r="HQ311" s="38"/>
      <c r="HR311" s="38"/>
      <c r="HS311" s="38"/>
      <c r="HT311" s="38"/>
      <c r="HU311" s="38"/>
      <c r="HV311" s="38"/>
      <c r="HW311" s="38"/>
      <c r="HX311" s="38"/>
      <c r="HY311" s="38"/>
      <c r="HZ311" s="38"/>
      <c r="IA311" s="38"/>
    </row>
    <row r="312" spans="1:235" s="39" customFormat="1" ht="41.25" customHeight="1">
      <c r="A312" s="34" t="s">
        <v>396</v>
      </c>
      <c r="B312" s="35"/>
      <c r="C312" s="35"/>
      <c r="D312" s="36"/>
      <c r="E312" s="36">
        <f>E316*E318</f>
        <v>14999999.999999998</v>
      </c>
      <c r="F312" s="36">
        <f>F316*F318</f>
        <v>14999999.999999998</v>
      </c>
      <c r="G312" s="36"/>
      <c r="H312" s="36">
        <f>H316*H318</f>
        <v>14000000</v>
      </c>
      <c r="I312" s="36"/>
      <c r="J312" s="36">
        <f>H312</f>
        <v>14000000</v>
      </c>
      <c r="K312" s="36">
        <f>K316*K318+1</f>
        <v>1</v>
      </c>
      <c r="L312" s="36">
        <f>L316*L318+1</f>
        <v>1</v>
      </c>
      <c r="M312" s="36">
        <f>M316*M318+1</f>
        <v>1</v>
      </c>
      <c r="N312" s="36"/>
      <c r="O312" s="36">
        <f>O314</f>
        <v>13000000</v>
      </c>
      <c r="P312" s="36">
        <f>O312</f>
        <v>13000000</v>
      </c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  <c r="DG312" s="38"/>
      <c r="DH312" s="38"/>
      <c r="DI312" s="38"/>
      <c r="DJ312" s="38"/>
      <c r="DK312" s="38"/>
      <c r="DL312" s="38"/>
      <c r="DM312" s="38"/>
      <c r="DN312" s="38"/>
      <c r="DO312" s="38"/>
      <c r="DP312" s="38"/>
      <c r="DQ312" s="38"/>
      <c r="DR312" s="38"/>
      <c r="DS312" s="38"/>
      <c r="DT312" s="38"/>
      <c r="DU312" s="38"/>
      <c r="DV312" s="38"/>
      <c r="DW312" s="38"/>
      <c r="DX312" s="38"/>
      <c r="DY312" s="38"/>
      <c r="DZ312" s="38"/>
      <c r="EA312" s="38"/>
      <c r="EB312" s="38"/>
      <c r="EC312" s="38"/>
      <c r="ED312" s="38"/>
      <c r="EE312" s="38"/>
      <c r="EF312" s="38"/>
      <c r="EG312" s="38"/>
      <c r="EH312" s="38"/>
      <c r="EI312" s="38"/>
      <c r="EJ312" s="38"/>
      <c r="EK312" s="38"/>
      <c r="EL312" s="38"/>
      <c r="EM312" s="38"/>
      <c r="EN312" s="38"/>
      <c r="EO312" s="38"/>
      <c r="EP312" s="38"/>
      <c r="EQ312" s="38"/>
      <c r="ER312" s="38"/>
      <c r="ES312" s="38"/>
      <c r="ET312" s="38"/>
      <c r="EU312" s="38"/>
      <c r="EV312" s="38"/>
      <c r="EW312" s="38"/>
      <c r="EX312" s="38"/>
      <c r="EY312" s="38"/>
      <c r="EZ312" s="38"/>
      <c r="FA312" s="38"/>
      <c r="FB312" s="38"/>
      <c r="FC312" s="38"/>
      <c r="FD312" s="38"/>
      <c r="FE312" s="38"/>
      <c r="FF312" s="38"/>
      <c r="FG312" s="38"/>
      <c r="FH312" s="38"/>
      <c r="FI312" s="38"/>
      <c r="FJ312" s="38"/>
      <c r="FK312" s="38"/>
      <c r="FL312" s="38"/>
      <c r="FM312" s="38"/>
      <c r="FN312" s="38"/>
      <c r="FO312" s="38"/>
      <c r="FP312" s="38"/>
      <c r="FQ312" s="38"/>
      <c r="FR312" s="38"/>
      <c r="FS312" s="38"/>
      <c r="FT312" s="38"/>
      <c r="FU312" s="38"/>
      <c r="FV312" s="38"/>
      <c r="FW312" s="38"/>
      <c r="FX312" s="38"/>
      <c r="FY312" s="38"/>
      <c r="FZ312" s="38"/>
      <c r="GA312" s="38"/>
      <c r="GB312" s="38"/>
      <c r="GC312" s="38"/>
      <c r="GD312" s="38"/>
      <c r="GE312" s="38"/>
      <c r="GF312" s="38"/>
      <c r="GG312" s="38"/>
      <c r="GH312" s="38"/>
      <c r="GI312" s="38"/>
      <c r="GJ312" s="38"/>
      <c r="GK312" s="38"/>
      <c r="GL312" s="38"/>
      <c r="GM312" s="38"/>
      <c r="GN312" s="38"/>
      <c r="GO312" s="38"/>
      <c r="GP312" s="38"/>
      <c r="GQ312" s="38"/>
      <c r="GR312" s="38"/>
      <c r="GS312" s="38"/>
      <c r="GT312" s="38"/>
      <c r="GU312" s="38"/>
      <c r="GV312" s="38"/>
      <c r="GW312" s="38"/>
      <c r="GX312" s="38"/>
      <c r="GY312" s="38"/>
      <c r="GZ312" s="38"/>
      <c r="HA312" s="38"/>
      <c r="HB312" s="38"/>
      <c r="HC312" s="38"/>
      <c r="HD312" s="38"/>
      <c r="HE312" s="38"/>
      <c r="HF312" s="38"/>
      <c r="HG312" s="38"/>
      <c r="HH312" s="38"/>
      <c r="HI312" s="38"/>
      <c r="HJ312" s="38"/>
      <c r="HK312" s="38"/>
      <c r="HL312" s="38"/>
      <c r="HM312" s="38"/>
      <c r="HN312" s="38"/>
      <c r="HO312" s="38"/>
      <c r="HP312" s="38"/>
      <c r="HQ312" s="38"/>
      <c r="HR312" s="38"/>
      <c r="HS312" s="38"/>
      <c r="HT312" s="38"/>
      <c r="HU312" s="38"/>
      <c r="HV312" s="38"/>
      <c r="HW312" s="38"/>
      <c r="HX312" s="38"/>
      <c r="HY312" s="38"/>
      <c r="HZ312" s="38"/>
      <c r="IA312" s="38"/>
    </row>
    <row r="313" spans="1:16" ht="11.25">
      <c r="A313" s="5" t="s">
        <v>4</v>
      </c>
      <c r="B313" s="6"/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22.5">
      <c r="A314" s="8" t="s">
        <v>194</v>
      </c>
      <c r="B314" s="6"/>
      <c r="C314" s="6"/>
      <c r="D314" s="7"/>
      <c r="E314" s="7">
        <f>E316*E318</f>
        <v>14999999.999999998</v>
      </c>
      <c r="F314" s="7">
        <f>E314</f>
        <v>14999999.999999998</v>
      </c>
      <c r="G314" s="7"/>
      <c r="H314" s="7">
        <f>H316*H318</f>
        <v>14000000</v>
      </c>
      <c r="I314" s="7"/>
      <c r="J314" s="7">
        <f>H314</f>
        <v>14000000</v>
      </c>
      <c r="K314" s="7"/>
      <c r="L314" s="7"/>
      <c r="M314" s="7"/>
      <c r="N314" s="7"/>
      <c r="O314" s="7">
        <f>O316*O318</f>
        <v>13000000</v>
      </c>
      <c r="P314" s="7">
        <f>O314</f>
        <v>13000000</v>
      </c>
    </row>
    <row r="315" spans="1:16" ht="11.25">
      <c r="A315" s="5" t="s">
        <v>5</v>
      </c>
      <c r="B315" s="6"/>
      <c r="C315" s="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22.5">
      <c r="A316" s="8" t="s">
        <v>193</v>
      </c>
      <c r="B316" s="6"/>
      <c r="C316" s="6"/>
      <c r="D316" s="7"/>
      <c r="E316" s="7">
        <v>43</v>
      </c>
      <c r="F316" s="7">
        <f>E316</f>
        <v>43</v>
      </c>
      <c r="G316" s="7"/>
      <c r="H316" s="7">
        <v>40</v>
      </c>
      <c r="I316" s="7"/>
      <c r="J316" s="7">
        <f>H316</f>
        <v>40</v>
      </c>
      <c r="K316" s="7"/>
      <c r="L316" s="7"/>
      <c r="M316" s="7"/>
      <c r="N316" s="7"/>
      <c r="O316" s="7">
        <v>36</v>
      </c>
      <c r="P316" s="7">
        <f>O316</f>
        <v>36</v>
      </c>
    </row>
    <row r="317" spans="1:16" ht="11.25">
      <c r="A317" s="5" t="s">
        <v>7</v>
      </c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2.5">
      <c r="A318" s="8" t="s">
        <v>126</v>
      </c>
      <c r="B318" s="6"/>
      <c r="C318" s="6"/>
      <c r="D318" s="7"/>
      <c r="E318" s="7">
        <f>15000000/43</f>
        <v>348837.20930232556</v>
      </c>
      <c r="F318" s="7">
        <f>E318</f>
        <v>348837.20930232556</v>
      </c>
      <c r="G318" s="7"/>
      <c r="H318" s="7">
        <f>14000000/40</f>
        <v>350000</v>
      </c>
      <c r="I318" s="7"/>
      <c r="J318" s="7">
        <f>H318</f>
        <v>350000</v>
      </c>
      <c r="K318" s="7"/>
      <c r="L318" s="7"/>
      <c r="M318" s="7"/>
      <c r="N318" s="7"/>
      <c r="O318" s="7">
        <f>13000000/36</f>
        <v>361111.1111111111</v>
      </c>
      <c r="P318" s="7">
        <f>O318</f>
        <v>361111.1111111111</v>
      </c>
    </row>
    <row r="319" spans="1:16" ht="40.5" customHeight="1">
      <c r="A319" s="34" t="s">
        <v>397</v>
      </c>
      <c r="B319" s="37"/>
      <c r="C319" s="37"/>
      <c r="D319" s="30">
        <f>D321</f>
        <v>0</v>
      </c>
      <c r="E319" s="30">
        <f>E321</f>
        <v>5000000</v>
      </c>
      <c r="F319" s="30">
        <f>D319+E319</f>
        <v>5000000</v>
      </c>
      <c r="G319" s="30"/>
      <c r="H319" s="30">
        <f>H321</f>
        <v>6000000</v>
      </c>
      <c r="I319" s="30">
        <f aca="true" t="shared" si="44" ref="I319:P319">I321</f>
        <v>0</v>
      </c>
      <c r="J319" s="30">
        <f t="shared" si="44"/>
        <v>6000000</v>
      </c>
      <c r="K319" s="30">
        <f t="shared" si="44"/>
        <v>0</v>
      </c>
      <c r="L319" s="30">
        <f t="shared" si="44"/>
        <v>0</v>
      </c>
      <c r="M319" s="30">
        <f t="shared" si="44"/>
        <v>0</v>
      </c>
      <c r="N319" s="30">
        <f t="shared" si="44"/>
        <v>0</v>
      </c>
      <c r="O319" s="30">
        <f t="shared" si="44"/>
        <v>7000000</v>
      </c>
      <c r="P319" s="30">
        <f t="shared" si="44"/>
        <v>7000000</v>
      </c>
    </row>
    <row r="320" spans="1:16" ht="17.25" customHeight="1">
      <c r="A320" s="5" t="s">
        <v>4</v>
      </c>
      <c r="B320" s="37"/>
      <c r="C320" s="37"/>
      <c r="D320" s="30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5.5" customHeight="1">
      <c r="A321" s="8" t="s">
        <v>195</v>
      </c>
      <c r="B321" s="37"/>
      <c r="C321" s="37"/>
      <c r="D321" s="30"/>
      <c r="E321" s="7">
        <f>E323*E325</f>
        <v>5000000</v>
      </c>
      <c r="F321" s="7">
        <f>D321+E321</f>
        <v>5000000</v>
      </c>
      <c r="G321" s="7"/>
      <c r="H321" s="7">
        <f>H323*H325</f>
        <v>6000000</v>
      </c>
      <c r="I321" s="7"/>
      <c r="J321" s="7">
        <f>H321</f>
        <v>6000000</v>
      </c>
      <c r="K321" s="7"/>
      <c r="L321" s="7"/>
      <c r="M321" s="7"/>
      <c r="N321" s="7"/>
      <c r="O321" s="7">
        <f>O323*O325</f>
        <v>7000000</v>
      </c>
      <c r="P321" s="7">
        <f>O321</f>
        <v>7000000</v>
      </c>
    </row>
    <row r="322" spans="1:16" ht="15.75" customHeight="1">
      <c r="A322" s="5" t="s">
        <v>5</v>
      </c>
      <c r="B322" s="37"/>
      <c r="C322" s="37"/>
      <c r="D322" s="30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25.5" customHeight="1">
      <c r="A323" s="8" t="s">
        <v>125</v>
      </c>
      <c r="B323" s="37"/>
      <c r="C323" s="37"/>
      <c r="D323" s="30"/>
      <c r="E323" s="7">
        <v>16</v>
      </c>
      <c r="F323" s="7">
        <f>D323+E323</f>
        <v>16</v>
      </c>
      <c r="G323" s="7"/>
      <c r="H323" s="7">
        <v>16</v>
      </c>
      <c r="I323" s="7"/>
      <c r="J323" s="7">
        <f>H323</f>
        <v>16</v>
      </c>
      <c r="K323" s="7"/>
      <c r="L323" s="7"/>
      <c r="M323" s="7"/>
      <c r="N323" s="7"/>
      <c r="O323" s="7">
        <v>16</v>
      </c>
      <c r="P323" s="7">
        <v>16</v>
      </c>
    </row>
    <row r="324" spans="1:16" ht="15.75" customHeight="1">
      <c r="A324" s="5" t="s">
        <v>7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37.5" customHeight="1">
      <c r="A325" s="8" t="s">
        <v>196</v>
      </c>
      <c r="B325" s="37"/>
      <c r="C325" s="37"/>
      <c r="D325" s="30"/>
      <c r="E325" s="7">
        <v>312500</v>
      </c>
      <c r="F325" s="7">
        <f>D325+E325</f>
        <v>312500</v>
      </c>
      <c r="G325" s="7"/>
      <c r="H325" s="7">
        <v>375000</v>
      </c>
      <c r="I325" s="7"/>
      <c r="J325" s="7">
        <f>H325</f>
        <v>375000</v>
      </c>
      <c r="K325" s="7"/>
      <c r="L325" s="7"/>
      <c r="M325" s="7"/>
      <c r="N325" s="7"/>
      <c r="O325" s="7">
        <v>437500</v>
      </c>
      <c r="P325" s="7">
        <f>O325</f>
        <v>437500</v>
      </c>
    </row>
    <row r="326" spans="1:235" s="52" customFormat="1" ht="37.5" customHeight="1">
      <c r="A326" s="5" t="s">
        <v>398</v>
      </c>
      <c r="B326" s="37"/>
      <c r="C326" s="37"/>
      <c r="D326" s="30"/>
      <c r="E326" s="30">
        <f aca="true" t="shared" si="45" ref="E326:P326">SUM(E328)</f>
        <v>800003</v>
      </c>
      <c r="F326" s="30">
        <f t="shared" si="45"/>
        <v>800003</v>
      </c>
      <c r="G326" s="30">
        <f t="shared" si="45"/>
        <v>0</v>
      </c>
      <c r="H326" s="30">
        <f t="shared" si="45"/>
        <v>742600</v>
      </c>
      <c r="I326" s="30">
        <f t="shared" si="45"/>
        <v>742600</v>
      </c>
      <c r="J326" s="30">
        <f t="shared" si="45"/>
        <v>742600</v>
      </c>
      <c r="K326" s="30">
        <f t="shared" si="45"/>
        <v>0</v>
      </c>
      <c r="L326" s="30">
        <f t="shared" si="45"/>
        <v>0</v>
      </c>
      <c r="M326" s="30">
        <f t="shared" si="45"/>
        <v>0</v>
      </c>
      <c r="N326" s="30">
        <f t="shared" si="45"/>
        <v>0</v>
      </c>
      <c r="O326" s="30">
        <f t="shared" si="45"/>
        <v>0</v>
      </c>
      <c r="P326" s="30">
        <f t="shared" si="45"/>
        <v>0</v>
      </c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  <c r="DO326" s="51"/>
      <c r="DP326" s="51"/>
      <c r="DQ326" s="51"/>
      <c r="DR326" s="51"/>
      <c r="DS326" s="51"/>
      <c r="DT326" s="51"/>
      <c r="DU326" s="51"/>
      <c r="DV326" s="51"/>
      <c r="DW326" s="51"/>
      <c r="DX326" s="51"/>
      <c r="DY326" s="51"/>
      <c r="DZ326" s="51"/>
      <c r="EA326" s="51"/>
      <c r="EB326" s="51"/>
      <c r="EC326" s="51"/>
      <c r="ED326" s="51"/>
      <c r="EE326" s="51"/>
      <c r="EF326" s="51"/>
      <c r="EG326" s="51"/>
      <c r="EH326" s="51"/>
      <c r="EI326" s="51"/>
      <c r="EJ326" s="51"/>
      <c r="EK326" s="51"/>
      <c r="EL326" s="51"/>
      <c r="EM326" s="51"/>
      <c r="EN326" s="51"/>
      <c r="EO326" s="51"/>
      <c r="EP326" s="51"/>
      <c r="EQ326" s="51"/>
      <c r="ER326" s="51"/>
      <c r="ES326" s="51"/>
      <c r="ET326" s="51"/>
      <c r="EU326" s="51"/>
      <c r="EV326" s="51"/>
      <c r="EW326" s="51"/>
      <c r="EX326" s="51"/>
      <c r="EY326" s="51"/>
      <c r="EZ326" s="51"/>
      <c r="FA326" s="51"/>
      <c r="FB326" s="51"/>
      <c r="FC326" s="51"/>
      <c r="FD326" s="51"/>
      <c r="FE326" s="51"/>
      <c r="FF326" s="51"/>
      <c r="FG326" s="51"/>
      <c r="FH326" s="51"/>
      <c r="FI326" s="51"/>
      <c r="FJ326" s="51"/>
      <c r="FK326" s="51"/>
      <c r="FL326" s="51"/>
      <c r="FM326" s="51"/>
      <c r="FN326" s="51"/>
      <c r="FO326" s="51"/>
      <c r="FP326" s="51"/>
      <c r="FQ326" s="51"/>
      <c r="FR326" s="51"/>
      <c r="FS326" s="51"/>
      <c r="FT326" s="51"/>
      <c r="FU326" s="51"/>
      <c r="FV326" s="51"/>
      <c r="FW326" s="51"/>
      <c r="FX326" s="51"/>
      <c r="FY326" s="51"/>
      <c r="FZ326" s="51"/>
      <c r="GA326" s="51"/>
      <c r="GB326" s="51"/>
      <c r="GC326" s="51"/>
      <c r="GD326" s="51"/>
      <c r="GE326" s="51"/>
      <c r="GF326" s="51"/>
      <c r="GG326" s="51"/>
      <c r="GH326" s="51"/>
      <c r="GI326" s="51"/>
      <c r="GJ326" s="51"/>
      <c r="GK326" s="51"/>
      <c r="GL326" s="51"/>
      <c r="GM326" s="51"/>
      <c r="GN326" s="51"/>
      <c r="GO326" s="51"/>
      <c r="GP326" s="51"/>
      <c r="GQ326" s="51"/>
      <c r="GR326" s="51"/>
      <c r="GS326" s="51"/>
      <c r="GT326" s="51"/>
      <c r="GU326" s="51"/>
      <c r="GV326" s="51"/>
      <c r="GW326" s="51"/>
      <c r="GX326" s="51"/>
      <c r="GY326" s="51"/>
      <c r="GZ326" s="51"/>
      <c r="HA326" s="51"/>
      <c r="HB326" s="51"/>
      <c r="HC326" s="51"/>
      <c r="HD326" s="51"/>
      <c r="HE326" s="51"/>
      <c r="HF326" s="51"/>
      <c r="HG326" s="51"/>
      <c r="HH326" s="51"/>
      <c r="HI326" s="51"/>
      <c r="HJ326" s="51"/>
      <c r="HK326" s="51"/>
      <c r="HL326" s="51"/>
      <c r="HM326" s="51"/>
      <c r="HN326" s="51"/>
      <c r="HO326" s="51"/>
      <c r="HP326" s="51"/>
      <c r="HQ326" s="51"/>
      <c r="HR326" s="51"/>
      <c r="HS326" s="51"/>
      <c r="HT326" s="51"/>
      <c r="HU326" s="51"/>
      <c r="HV326" s="51"/>
      <c r="HW326" s="51"/>
      <c r="HX326" s="51"/>
      <c r="HY326" s="51"/>
      <c r="HZ326" s="51"/>
      <c r="IA326" s="51"/>
    </row>
    <row r="327" spans="1:16" ht="10.5" customHeight="1">
      <c r="A327" s="5" t="s">
        <v>4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2.25" customHeight="1">
      <c r="A328" s="8" t="s">
        <v>345</v>
      </c>
      <c r="B328" s="37"/>
      <c r="C328" s="37"/>
      <c r="D328" s="30"/>
      <c r="E328" s="7">
        <v>800003</v>
      </c>
      <c r="F328" s="7">
        <v>800003</v>
      </c>
      <c r="G328" s="7"/>
      <c r="H328" s="7">
        <v>742600</v>
      </c>
      <c r="I328" s="7">
        <v>742600</v>
      </c>
      <c r="J328" s="7">
        <v>742600</v>
      </c>
      <c r="K328" s="7"/>
      <c r="L328" s="7"/>
      <c r="M328" s="7"/>
      <c r="N328" s="7"/>
      <c r="O328" s="7"/>
      <c r="P328" s="7"/>
    </row>
    <row r="329" spans="1:16" ht="16.5" customHeight="1">
      <c r="A329" s="5" t="s">
        <v>5</v>
      </c>
      <c r="B329" s="37"/>
      <c r="C329" s="37"/>
      <c r="D329" s="30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26.25" customHeight="1">
      <c r="A330" s="8" t="s">
        <v>125</v>
      </c>
      <c r="B330" s="37"/>
      <c r="C330" s="37"/>
      <c r="D330" s="30"/>
      <c r="E330" s="7">
        <v>10</v>
      </c>
      <c r="F330" s="7">
        <v>10</v>
      </c>
      <c r="G330" s="7"/>
      <c r="H330" s="7">
        <v>10</v>
      </c>
      <c r="I330" s="7">
        <v>10</v>
      </c>
      <c r="J330" s="7">
        <v>10</v>
      </c>
      <c r="K330" s="7"/>
      <c r="L330" s="7"/>
      <c r="M330" s="7"/>
      <c r="N330" s="7"/>
      <c r="O330" s="7"/>
      <c r="P330" s="7"/>
    </row>
    <row r="331" spans="1:235" s="52" customFormat="1" ht="18" customHeight="1">
      <c r="A331" s="5" t="s">
        <v>7</v>
      </c>
      <c r="B331" s="37"/>
      <c r="C331" s="37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  <c r="DL331" s="51"/>
      <c r="DM331" s="51"/>
      <c r="DN331" s="51"/>
      <c r="DO331" s="51"/>
      <c r="DP331" s="51"/>
      <c r="DQ331" s="51"/>
      <c r="DR331" s="51"/>
      <c r="DS331" s="51"/>
      <c r="DT331" s="51"/>
      <c r="DU331" s="51"/>
      <c r="DV331" s="51"/>
      <c r="DW331" s="51"/>
      <c r="DX331" s="51"/>
      <c r="DY331" s="51"/>
      <c r="DZ331" s="51"/>
      <c r="EA331" s="51"/>
      <c r="EB331" s="51"/>
      <c r="EC331" s="51"/>
      <c r="ED331" s="51"/>
      <c r="EE331" s="51"/>
      <c r="EF331" s="51"/>
      <c r="EG331" s="51"/>
      <c r="EH331" s="51"/>
      <c r="EI331" s="51"/>
      <c r="EJ331" s="51"/>
      <c r="EK331" s="51"/>
      <c r="EL331" s="51"/>
      <c r="EM331" s="51"/>
      <c r="EN331" s="51"/>
      <c r="EO331" s="51"/>
      <c r="EP331" s="51"/>
      <c r="EQ331" s="51"/>
      <c r="ER331" s="51"/>
      <c r="ES331" s="51"/>
      <c r="ET331" s="51"/>
      <c r="EU331" s="51"/>
      <c r="EV331" s="51"/>
      <c r="EW331" s="51"/>
      <c r="EX331" s="51"/>
      <c r="EY331" s="51"/>
      <c r="EZ331" s="51"/>
      <c r="FA331" s="51"/>
      <c r="FB331" s="51"/>
      <c r="FC331" s="51"/>
      <c r="FD331" s="51"/>
      <c r="FE331" s="51"/>
      <c r="FF331" s="51"/>
      <c r="FG331" s="51"/>
      <c r="FH331" s="51"/>
      <c r="FI331" s="51"/>
      <c r="FJ331" s="51"/>
      <c r="FK331" s="51"/>
      <c r="FL331" s="51"/>
      <c r="FM331" s="51"/>
      <c r="FN331" s="51"/>
      <c r="FO331" s="51"/>
      <c r="FP331" s="51"/>
      <c r="FQ331" s="51"/>
      <c r="FR331" s="51"/>
      <c r="FS331" s="51"/>
      <c r="FT331" s="51"/>
      <c r="FU331" s="51"/>
      <c r="FV331" s="51"/>
      <c r="FW331" s="51"/>
      <c r="FX331" s="51"/>
      <c r="FY331" s="51"/>
      <c r="FZ331" s="51"/>
      <c r="GA331" s="51"/>
      <c r="GB331" s="51"/>
      <c r="GC331" s="51"/>
      <c r="GD331" s="51"/>
      <c r="GE331" s="51"/>
      <c r="GF331" s="51"/>
      <c r="GG331" s="51"/>
      <c r="GH331" s="51"/>
      <c r="GI331" s="51"/>
      <c r="GJ331" s="51"/>
      <c r="GK331" s="51"/>
      <c r="GL331" s="51"/>
      <c r="GM331" s="51"/>
      <c r="GN331" s="51"/>
      <c r="GO331" s="51"/>
      <c r="GP331" s="51"/>
      <c r="GQ331" s="51"/>
      <c r="GR331" s="51"/>
      <c r="GS331" s="51"/>
      <c r="GT331" s="51"/>
      <c r="GU331" s="51"/>
      <c r="GV331" s="51"/>
      <c r="GW331" s="51"/>
      <c r="GX331" s="51"/>
      <c r="GY331" s="51"/>
      <c r="GZ331" s="51"/>
      <c r="HA331" s="51"/>
      <c r="HB331" s="51"/>
      <c r="HC331" s="51"/>
      <c r="HD331" s="51"/>
      <c r="HE331" s="51"/>
      <c r="HF331" s="51"/>
      <c r="HG331" s="51"/>
      <c r="HH331" s="51"/>
      <c r="HI331" s="51"/>
      <c r="HJ331" s="51"/>
      <c r="HK331" s="51"/>
      <c r="HL331" s="51"/>
      <c r="HM331" s="51"/>
      <c r="HN331" s="51"/>
      <c r="HO331" s="51"/>
      <c r="HP331" s="51"/>
      <c r="HQ331" s="51"/>
      <c r="HR331" s="51"/>
      <c r="HS331" s="51"/>
      <c r="HT331" s="51"/>
      <c r="HU331" s="51"/>
      <c r="HV331" s="51"/>
      <c r="HW331" s="51"/>
      <c r="HX331" s="51"/>
      <c r="HY331" s="51"/>
      <c r="HZ331" s="51"/>
      <c r="IA331" s="51"/>
    </row>
    <row r="332" spans="1:16" ht="37.5" customHeight="1">
      <c r="A332" s="8" t="s">
        <v>346</v>
      </c>
      <c r="B332" s="37"/>
      <c r="C332" s="37"/>
      <c r="D332" s="30"/>
      <c r="E332" s="7">
        <f>SUM(E328)/E330</f>
        <v>80000.3</v>
      </c>
      <c r="F332" s="7">
        <f>SUM(F328)/F330</f>
        <v>80000.3</v>
      </c>
      <c r="G332" s="7"/>
      <c r="H332" s="7">
        <f>H328/H330</f>
        <v>74260</v>
      </c>
      <c r="I332" s="7">
        <f>I328/I330</f>
        <v>74260</v>
      </c>
      <c r="J332" s="7">
        <f>J328/J330</f>
        <v>74260</v>
      </c>
      <c r="K332" s="7"/>
      <c r="L332" s="7"/>
      <c r="M332" s="7"/>
      <c r="N332" s="7"/>
      <c r="O332" s="7"/>
      <c r="P332" s="7"/>
    </row>
    <row r="333" spans="1:16" ht="16.5" customHeight="1">
      <c r="A333" s="37" t="s">
        <v>371</v>
      </c>
      <c r="B333" s="37"/>
      <c r="C333" s="37"/>
      <c r="D333" s="30">
        <f>D334+D335</f>
        <v>3794380.0029998</v>
      </c>
      <c r="E333" s="30">
        <f>E334+E335</f>
        <v>692840</v>
      </c>
      <c r="F333" s="30">
        <f>D333+E333</f>
        <v>4487220.002999799</v>
      </c>
      <c r="G333" s="30">
        <f>G334+G335</f>
        <v>3713255</v>
      </c>
      <c r="H333" s="30">
        <f>H334+H335</f>
        <v>742600</v>
      </c>
      <c r="I333" s="30">
        <f>I334+I335</f>
        <v>0</v>
      </c>
      <c r="J333" s="30">
        <f>G333+H333</f>
        <v>4455855</v>
      </c>
      <c r="K333" s="30" t="e">
        <f>K334+K335</f>
        <v>#REF!</v>
      </c>
      <c r="L333" s="30">
        <f>L334+L335</f>
        <v>0</v>
      </c>
      <c r="M333" s="30">
        <f>M334+M335</f>
        <v>0</v>
      </c>
      <c r="N333" s="30">
        <f>N334+N335</f>
        <v>3742519.99999968</v>
      </c>
      <c r="O333" s="30">
        <f>O334+O335</f>
        <v>787532</v>
      </c>
      <c r="P333" s="30">
        <f>N333+O333</f>
        <v>4530051.99999968</v>
      </c>
    </row>
    <row r="334" spans="1:16" ht="13.5" customHeight="1">
      <c r="A334" s="37" t="s">
        <v>54</v>
      </c>
      <c r="B334" s="37"/>
      <c r="C334" s="37"/>
      <c r="D334" s="30">
        <f>D337+D344+D413+D418</f>
        <v>3331999.9999997998</v>
      </c>
      <c r="E334" s="30">
        <f>E337+E344+E413+E418</f>
        <v>0</v>
      </c>
      <c r="F334" s="30">
        <f>D334+E334</f>
        <v>3331999.9999997998</v>
      </c>
      <c r="G334" s="30">
        <f>G337+G344+G413+G418</f>
        <v>3278000</v>
      </c>
      <c r="H334" s="30">
        <f>H337+H344+H413+H418</f>
        <v>0</v>
      </c>
      <c r="I334" s="30">
        <f>I337+I344+I413+I418</f>
        <v>0</v>
      </c>
      <c r="J334" s="30">
        <f>G334+H334</f>
        <v>3278000</v>
      </c>
      <c r="K334" s="30" t="e">
        <f>K337+K344+K413+K418</f>
        <v>#REF!</v>
      </c>
      <c r="L334" s="30">
        <f>L337+L344+L413+L418</f>
        <v>0</v>
      </c>
      <c r="M334" s="30">
        <f>M337+M344+M413+M418</f>
        <v>0</v>
      </c>
      <c r="N334" s="30">
        <f>N337+N344+N413+N418</f>
        <v>3389999.99999968</v>
      </c>
      <c r="O334" s="30">
        <f>O337+O344+O413+O418</f>
        <v>0</v>
      </c>
      <c r="P334" s="30">
        <f>N334+O334</f>
        <v>3389999.99999968</v>
      </c>
    </row>
    <row r="335" spans="1:235" s="139" customFormat="1" ht="11.25">
      <c r="A335" s="154" t="s">
        <v>190</v>
      </c>
      <c r="B335" s="154"/>
      <c r="C335" s="154"/>
      <c r="D335" s="155">
        <f>D354+D433</f>
        <v>462380.003</v>
      </c>
      <c r="E335" s="155">
        <f>E388</f>
        <v>692840</v>
      </c>
      <c r="F335" s="155">
        <f>D335+E335</f>
        <v>1155220.003</v>
      </c>
      <c r="G335" s="155">
        <f>G354+G433</f>
        <v>435255</v>
      </c>
      <c r="H335" s="155">
        <f>H388</f>
        <v>742600</v>
      </c>
      <c r="I335" s="155">
        <f>I356+I366</f>
        <v>0</v>
      </c>
      <c r="J335" s="155">
        <f>G335+H335</f>
        <v>1177855</v>
      </c>
      <c r="K335" s="155">
        <f>K356+K366</f>
        <v>0</v>
      </c>
      <c r="L335" s="155">
        <f>L356+L366</f>
        <v>0</v>
      </c>
      <c r="M335" s="155">
        <f>M356+M366</f>
        <v>0</v>
      </c>
      <c r="N335" s="155">
        <f>N354</f>
        <v>352520</v>
      </c>
      <c r="O335" s="155">
        <f>O388</f>
        <v>787532</v>
      </c>
      <c r="P335" s="155">
        <f>N335+O335</f>
        <v>1140052</v>
      </c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8"/>
      <c r="BM335" s="138"/>
      <c r="BN335" s="138"/>
      <c r="BO335" s="138"/>
      <c r="BP335" s="138"/>
      <c r="BQ335" s="138"/>
      <c r="BR335" s="138"/>
      <c r="BS335" s="138"/>
      <c r="BT335" s="138"/>
      <c r="BU335" s="138"/>
      <c r="BV335" s="138"/>
      <c r="BW335" s="138"/>
      <c r="BX335" s="138"/>
      <c r="BY335" s="138"/>
      <c r="BZ335" s="138"/>
      <c r="CA335" s="138"/>
      <c r="CB335" s="138"/>
      <c r="CC335" s="138"/>
      <c r="CD335" s="138"/>
      <c r="CE335" s="138"/>
      <c r="CF335" s="138"/>
      <c r="CG335" s="138"/>
      <c r="CH335" s="138"/>
      <c r="CI335" s="138"/>
      <c r="CJ335" s="138"/>
      <c r="CK335" s="138"/>
      <c r="CL335" s="138"/>
      <c r="CM335" s="138"/>
      <c r="CN335" s="138"/>
      <c r="CO335" s="138"/>
      <c r="CP335" s="138"/>
      <c r="CQ335" s="138"/>
      <c r="CR335" s="138"/>
      <c r="CS335" s="138"/>
      <c r="CT335" s="138"/>
      <c r="CU335" s="138"/>
      <c r="CV335" s="138"/>
      <c r="CW335" s="138"/>
      <c r="CX335" s="138"/>
      <c r="CY335" s="138"/>
      <c r="CZ335" s="138"/>
      <c r="DA335" s="138"/>
      <c r="DB335" s="138"/>
      <c r="DC335" s="138"/>
      <c r="DD335" s="138"/>
      <c r="DE335" s="138"/>
      <c r="DF335" s="138"/>
      <c r="DG335" s="138"/>
      <c r="DH335" s="138"/>
      <c r="DI335" s="138"/>
      <c r="DJ335" s="138"/>
      <c r="DK335" s="138"/>
      <c r="DL335" s="138"/>
      <c r="DM335" s="138"/>
      <c r="DN335" s="138"/>
      <c r="DO335" s="138"/>
      <c r="DP335" s="138"/>
      <c r="DQ335" s="138"/>
      <c r="DR335" s="138"/>
      <c r="DS335" s="138"/>
      <c r="DT335" s="138"/>
      <c r="DU335" s="138"/>
      <c r="DV335" s="138"/>
      <c r="DW335" s="138"/>
      <c r="DX335" s="138"/>
      <c r="DY335" s="138"/>
      <c r="DZ335" s="138"/>
      <c r="EA335" s="138"/>
      <c r="EB335" s="138"/>
      <c r="EC335" s="138"/>
      <c r="ED335" s="138"/>
      <c r="EE335" s="138"/>
      <c r="EF335" s="138"/>
      <c r="EG335" s="138"/>
      <c r="EH335" s="138"/>
      <c r="EI335" s="138"/>
      <c r="EJ335" s="138"/>
      <c r="EK335" s="138"/>
      <c r="EL335" s="138"/>
      <c r="EM335" s="138"/>
      <c r="EN335" s="138"/>
      <c r="EO335" s="138"/>
      <c r="EP335" s="138"/>
      <c r="EQ335" s="138"/>
      <c r="ER335" s="138"/>
      <c r="ES335" s="138"/>
      <c r="ET335" s="138"/>
      <c r="EU335" s="138"/>
      <c r="EV335" s="138"/>
      <c r="EW335" s="138"/>
      <c r="EX335" s="138"/>
      <c r="EY335" s="138"/>
      <c r="EZ335" s="138"/>
      <c r="FA335" s="138"/>
      <c r="FB335" s="138"/>
      <c r="FC335" s="138"/>
      <c r="FD335" s="138"/>
      <c r="FE335" s="138"/>
      <c r="FF335" s="138"/>
      <c r="FG335" s="138"/>
      <c r="FH335" s="138"/>
      <c r="FI335" s="138"/>
      <c r="FJ335" s="138"/>
      <c r="FK335" s="138"/>
      <c r="FL335" s="138"/>
      <c r="FM335" s="138"/>
      <c r="FN335" s="138"/>
      <c r="FO335" s="138"/>
      <c r="FP335" s="138"/>
      <c r="FQ335" s="138"/>
      <c r="FR335" s="138"/>
      <c r="FS335" s="138"/>
      <c r="FT335" s="138"/>
      <c r="FU335" s="138"/>
      <c r="FV335" s="138"/>
      <c r="FW335" s="138"/>
      <c r="FX335" s="138"/>
      <c r="FY335" s="138"/>
      <c r="FZ335" s="138"/>
      <c r="GA335" s="138"/>
      <c r="GB335" s="138"/>
      <c r="GC335" s="138"/>
      <c r="GD335" s="138"/>
      <c r="GE335" s="138"/>
      <c r="GF335" s="138"/>
      <c r="GG335" s="138"/>
      <c r="GH335" s="138"/>
      <c r="GI335" s="138"/>
      <c r="GJ335" s="138"/>
      <c r="GK335" s="138"/>
      <c r="GL335" s="138"/>
      <c r="GM335" s="138"/>
      <c r="GN335" s="138"/>
      <c r="GO335" s="138"/>
      <c r="GP335" s="138"/>
      <c r="GQ335" s="138"/>
      <c r="GR335" s="138"/>
      <c r="GS335" s="138"/>
      <c r="GT335" s="138"/>
      <c r="GU335" s="138"/>
      <c r="GV335" s="138"/>
      <c r="GW335" s="138"/>
      <c r="GX335" s="138"/>
      <c r="GY335" s="138"/>
      <c r="GZ335" s="138"/>
      <c r="HA335" s="138"/>
      <c r="HB335" s="138"/>
      <c r="HC335" s="138"/>
      <c r="HD335" s="138"/>
      <c r="HE335" s="138"/>
      <c r="HF335" s="138"/>
      <c r="HG335" s="138"/>
      <c r="HH335" s="138"/>
      <c r="HI335" s="138"/>
      <c r="HJ335" s="138"/>
      <c r="HK335" s="138"/>
      <c r="HL335" s="138"/>
      <c r="HM335" s="138"/>
      <c r="HN335" s="138"/>
      <c r="HO335" s="138"/>
      <c r="HP335" s="138"/>
      <c r="HQ335" s="138"/>
      <c r="HR335" s="138"/>
      <c r="HS335" s="138"/>
      <c r="HT335" s="138"/>
      <c r="HU335" s="138"/>
      <c r="HV335" s="138"/>
      <c r="HW335" s="138"/>
      <c r="HX335" s="138"/>
      <c r="HY335" s="138"/>
      <c r="HZ335" s="138"/>
      <c r="IA335" s="138"/>
    </row>
    <row r="336" spans="1:16" ht="36" customHeight="1">
      <c r="A336" s="8" t="s">
        <v>129</v>
      </c>
      <c r="B336" s="6"/>
      <c r="C336" s="6"/>
      <c r="D336" s="36"/>
      <c r="E336" s="36"/>
      <c r="F336" s="36"/>
      <c r="G336" s="36"/>
      <c r="H336" s="36"/>
      <c r="I336" s="36"/>
      <c r="J336" s="36"/>
      <c r="K336" s="7"/>
      <c r="L336" s="36"/>
      <c r="M336" s="36"/>
      <c r="N336" s="36"/>
      <c r="O336" s="36"/>
      <c r="P336" s="36"/>
    </row>
    <row r="337" spans="1:235" s="39" customFormat="1" ht="22.5">
      <c r="A337" s="34" t="s">
        <v>399</v>
      </c>
      <c r="B337" s="35"/>
      <c r="C337" s="35"/>
      <c r="D337" s="36">
        <f>D339</f>
        <v>2700000</v>
      </c>
      <c r="E337" s="36"/>
      <c r="F337" s="36">
        <f>F339</f>
        <v>2700000</v>
      </c>
      <c r="G337" s="36">
        <f>G341*G343+800000</f>
        <v>2800000</v>
      </c>
      <c r="H337" s="36"/>
      <c r="I337" s="36"/>
      <c r="J337" s="36">
        <f>J339</f>
        <v>2800000</v>
      </c>
      <c r="K337" s="36"/>
      <c r="L337" s="36"/>
      <c r="M337" s="36"/>
      <c r="N337" s="36">
        <f>N339</f>
        <v>2900000</v>
      </c>
      <c r="O337" s="36"/>
      <c r="P337" s="36">
        <f>N337</f>
        <v>2900000</v>
      </c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  <c r="DG337" s="38"/>
      <c r="DH337" s="38"/>
      <c r="DI337" s="38"/>
      <c r="DJ337" s="38"/>
      <c r="DK337" s="38"/>
      <c r="DL337" s="38"/>
      <c r="DM337" s="38"/>
      <c r="DN337" s="38"/>
      <c r="DO337" s="38"/>
      <c r="DP337" s="38"/>
      <c r="DQ337" s="38"/>
      <c r="DR337" s="38"/>
      <c r="DS337" s="38"/>
      <c r="DT337" s="38"/>
      <c r="DU337" s="38"/>
      <c r="DV337" s="38"/>
      <c r="DW337" s="38"/>
      <c r="DX337" s="38"/>
      <c r="DY337" s="38"/>
      <c r="DZ337" s="38"/>
      <c r="EA337" s="38"/>
      <c r="EB337" s="38"/>
      <c r="EC337" s="38"/>
      <c r="ED337" s="38"/>
      <c r="EE337" s="38"/>
      <c r="EF337" s="38"/>
      <c r="EG337" s="38"/>
      <c r="EH337" s="38"/>
      <c r="EI337" s="38"/>
      <c r="EJ337" s="38"/>
      <c r="EK337" s="38"/>
      <c r="EL337" s="38"/>
      <c r="EM337" s="38"/>
      <c r="EN337" s="38"/>
      <c r="EO337" s="38"/>
      <c r="EP337" s="38"/>
      <c r="EQ337" s="38"/>
      <c r="ER337" s="38"/>
      <c r="ES337" s="38"/>
      <c r="ET337" s="38"/>
      <c r="EU337" s="38"/>
      <c r="EV337" s="38"/>
      <c r="EW337" s="38"/>
      <c r="EX337" s="38"/>
      <c r="EY337" s="38"/>
      <c r="EZ337" s="38"/>
      <c r="FA337" s="38"/>
      <c r="FB337" s="38"/>
      <c r="FC337" s="38"/>
      <c r="FD337" s="38"/>
      <c r="FE337" s="38"/>
      <c r="FF337" s="38"/>
      <c r="FG337" s="38"/>
      <c r="FH337" s="38"/>
      <c r="FI337" s="38"/>
      <c r="FJ337" s="38"/>
      <c r="FK337" s="38"/>
      <c r="FL337" s="38"/>
      <c r="FM337" s="38"/>
      <c r="FN337" s="38"/>
      <c r="FO337" s="38"/>
      <c r="FP337" s="38"/>
      <c r="FQ337" s="38"/>
      <c r="FR337" s="38"/>
      <c r="FS337" s="38"/>
      <c r="FT337" s="38"/>
      <c r="FU337" s="38"/>
      <c r="FV337" s="38"/>
      <c r="FW337" s="38"/>
      <c r="FX337" s="38"/>
      <c r="FY337" s="38"/>
      <c r="FZ337" s="38"/>
      <c r="GA337" s="38"/>
      <c r="GB337" s="38"/>
      <c r="GC337" s="38"/>
      <c r="GD337" s="38"/>
      <c r="GE337" s="38"/>
      <c r="GF337" s="38"/>
      <c r="GG337" s="38"/>
      <c r="GH337" s="38"/>
      <c r="GI337" s="38"/>
      <c r="GJ337" s="38"/>
      <c r="GK337" s="38"/>
      <c r="GL337" s="38"/>
      <c r="GM337" s="38"/>
      <c r="GN337" s="38"/>
      <c r="GO337" s="38"/>
      <c r="GP337" s="38"/>
      <c r="GQ337" s="38"/>
      <c r="GR337" s="38"/>
      <c r="GS337" s="38"/>
      <c r="GT337" s="38"/>
      <c r="GU337" s="38"/>
      <c r="GV337" s="38"/>
      <c r="GW337" s="38"/>
      <c r="GX337" s="38"/>
      <c r="GY337" s="38"/>
      <c r="GZ337" s="38"/>
      <c r="HA337" s="38"/>
      <c r="HB337" s="38"/>
      <c r="HC337" s="38"/>
      <c r="HD337" s="38"/>
      <c r="HE337" s="38"/>
      <c r="HF337" s="38"/>
      <c r="HG337" s="38"/>
      <c r="HH337" s="38"/>
      <c r="HI337" s="38"/>
      <c r="HJ337" s="38"/>
      <c r="HK337" s="38"/>
      <c r="HL337" s="38"/>
      <c r="HM337" s="38"/>
      <c r="HN337" s="38"/>
      <c r="HO337" s="38"/>
      <c r="HP337" s="38"/>
      <c r="HQ337" s="38"/>
      <c r="HR337" s="38"/>
      <c r="HS337" s="38"/>
      <c r="HT337" s="38"/>
      <c r="HU337" s="38"/>
      <c r="HV337" s="38"/>
      <c r="HW337" s="38"/>
      <c r="HX337" s="38"/>
      <c r="HY337" s="38"/>
      <c r="HZ337" s="38"/>
      <c r="IA337" s="38"/>
    </row>
    <row r="338" spans="1:16" ht="11.25">
      <c r="A338" s="5" t="s">
        <v>38</v>
      </c>
      <c r="B338" s="37"/>
      <c r="C338" s="37"/>
      <c r="D338" s="30"/>
      <c r="E338" s="30"/>
      <c r="F338" s="30"/>
      <c r="G338" s="30"/>
      <c r="H338" s="30"/>
      <c r="I338" s="30"/>
      <c r="J338" s="30"/>
      <c r="K338" s="7"/>
      <c r="L338" s="30"/>
      <c r="M338" s="30"/>
      <c r="N338" s="30"/>
      <c r="O338" s="30"/>
      <c r="P338" s="30"/>
    </row>
    <row r="339" spans="1:16" ht="23.25" customHeight="1">
      <c r="A339" s="8" t="s">
        <v>273</v>
      </c>
      <c r="B339" s="6"/>
      <c r="C339" s="6"/>
      <c r="D339" s="7">
        <f>(D341*D343)+280000+700000</f>
        <v>2700000</v>
      </c>
      <c r="E339" s="7"/>
      <c r="F339" s="7">
        <f>D339</f>
        <v>2700000</v>
      </c>
      <c r="G339" s="7">
        <f>G341*G343+800000</f>
        <v>2800000</v>
      </c>
      <c r="H339" s="7"/>
      <c r="I339" s="7"/>
      <c r="J339" s="7">
        <f>G339</f>
        <v>2800000</v>
      </c>
      <c r="K339" s="7">
        <f>G339/D339*100</f>
        <v>103.7037037037037</v>
      </c>
      <c r="L339" s="7"/>
      <c r="M339" s="7"/>
      <c r="N339" s="7">
        <f>N341*N343+700000</f>
        <v>2900000</v>
      </c>
      <c r="O339" s="7"/>
      <c r="P339" s="7">
        <f>N339</f>
        <v>2900000</v>
      </c>
    </row>
    <row r="340" spans="1:16" ht="11.25">
      <c r="A340" s="5" t="s">
        <v>5</v>
      </c>
      <c r="B340" s="37"/>
      <c r="C340" s="37"/>
      <c r="D340" s="30"/>
      <c r="E340" s="30"/>
      <c r="F340" s="7"/>
      <c r="G340" s="30"/>
      <c r="H340" s="30"/>
      <c r="I340" s="30"/>
      <c r="J340" s="7"/>
      <c r="K340" s="7"/>
      <c r="L340" s="30"/>
      <c r="M340" s="30"/>
      <c r="N340" s="30"/>
      <c r="O340" s="30"/>
      <c r="P340" s="7"/>
    </row>
    <row r="341" spans="1:16" ht="22.5">
      <c r="A341" s="8" t="s">
        <v>272</v>
      </c>
      <c r="B341" s="6"/>
      <c r="C341" s="6"/>
      <c r="D341" s="7">
        <v>8</v>
      </c>
      <c r="E341" s="7"/>
      <c r="F341" s="7">
        <f>D341</f>
        <v>8</v>
      </c>
      <c r="G341" s="7">
        <v>8</v>
      </c>
      <c r="H341" s="7"/>
      <c r="I341" s="7"/>
      <c r="J341" s="7">
        <f>G341</f>
        <v>8</v>
      </c>
      <c r="K341" s="7">
        <f>G341/D341*100</f>
        <v>100</v>
      </c>
      <c r="L341" s="7"/>
      <c r="M341" s="7"/>
      <c r="N341" s="7">
        <v>8</v>
      </c>
      <c r="O341" s="7"/>
      <c r="P341" s="7">
        <f>N341</f>
        <v>8</v>
      </c>
    </row>
    <row r="342" spans="1:16" ht="11.25">
      <c r="A342" s="5" t="s">
        <v>7</v>
      </c>
      <c r="B342" s="37"/>
      <c r="C342" s="37"/>
      <c r="D342" s="30"/>
      <c r="E342" s="30"/>
      <c r="F342" s="7"/>
      <c r="G342" s="30"/>
      <c r="H342" s="30"/>
      <c r="I342" s="30"/>
      <c r="J342" s="7"/>
      <c r="K342" s="7"/>
      <c r="L342" s="30"/>
      <c r="M342" s="30"/>
      <c r="N342" s="30"/>
      <c r="O342" s="30"/>
      <c r="P342" s="7"/>
    </row>
    <row r="343" spans="1:16" ht="22.5">
      <c r="A343" s="8" t="s">
        <v>274</v>
      </c>
      <c r="B343" s="6"/>
      <c r="C343" s="6"/>
      <c r="D343" s="7">
        <v>215000</v>
      </c>
      <c r="E343" s="7"/>
      <c r="F343" s="7">
        <f>D343</f>
        <v>215000</v>
      </c>
      <c r="G343" s="7">
        <v>250000</v>
      </c>
      <c r="H343" s="7"/>
      <c r="I343" s="7"/>
      <c r="J343" s="7">
        <f>G343</f>
        <v>250000</v>
      </c>
      <c r="K343" s="7">
        <f>G343/D343*100</f>
        <v>116.27906976744187</v>
      </c>
      <c r="L343" s="7"/>
      <c r="M343" s="7"/>
      <c r="N343" s="7">
        <v>275000</v>
      </c>
      <c r="O343" s="7"/>
      <c r="P343" s="7">
        <f>N343</f>
        <v>275000</v>
      </c>
    </row>
    <row r="344" spans="1:235" s="39" customFormat="1" ht="36" customHeight="1">
      <c r="A344" s="34" t="s">
        <v>400</v>
      </c>
      <c r="B344" s="35"/>
      <c r="C344" s="35"/>
      <c r="D344" s="45">
        <f>D348*D351</f>
        <v>163000</v>
      </c>
      <c r="E344" s="45"/>
      <c r="F344" s="45">
        <f>D344+E344</f>
        <v>163000</v>
      </c>
      <c r="G344" s="45">
        <f aca="true" t="shared" si="46" ref="G344:M344">G348*G351</f>
        <v>300000</v>
      </c>
      <c r="H344" s="45"/>
      <c r="I344" s="45"/>
      <c r="J344" s="45">
        <f t="shared" si="46"/>
        <v>300000</v>
      </c>
      <c r="K344" s="45" t="e">
        <f t="shared" si="46"/>
        <v>#REF!</v>
      </c>
      <c r="L344" s="45">
        <f t="shared" si="46"/>
        <v>0</v>
      </c>
      <c r="M344" s="45">
        <f t="shared" si="46"/>
        <v>0</v>
      </c>
      <c r="N344" s="45">
        <f>N348*N351</f>
        <v>350000</v>
      </c>
      <c r="O344" s="45"/>
      <c r="P344" s="45" t="e">
        <f>P348*P351+P349*#REF!</f>
        <v>#REF!</v>
      </c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  <c r="DG344" s="38"/>
      <c r="DH344" s="38"/>
      <c r="DI344" s="38"/>
      <c r="DJ344" s="38"/>
      <c r="DK344" s="38"/>
      <c r="DL344" s="38"/>
      <c r="DM344" s="38"/>
      <c r="DN344" s="38"/>
      <c r="DO344" s="38"/>
      <c r="DP344" s="38"/>
      <c r="DQ344" s="38"/>
      <c r="DR344" s="38"/>
      <c r="DS344" s="38"/>
      <c r="DT344" s="38"/>
      <c r="DU344" s="38"/>
      <c r="DV344" s="38"/>
      <c r="DW344" s="38"/>
      <c r="DX344" s="38"/>
      <c r="DY344" s="38"/>
      <c r="DZ344" s="38"/>
      <c r="EA344" s="38"/>
      <c r="EB344" s="38"/>
      <c r="EC344" s="38"/>
      <c r="ED344" s="38"/>
      <c r="EE344" s="38"/>
      <c r="EF344" s="38"/>
      <c r="EG344" s="38"/>
      <c r="EH344" s="38"/>
      <c r="EI344" s="38"/>
      <c r="EJ344" s="38"/>
      <c r="EK344" s="38"/>
      <c r="EL344" s="38"/>
      <c r="EM344" s="38"/>
      <c r="EN344" s="38"/>
      <c r="EO344" s="38"/>
      <c r="EP344" s="38"/>
      <c r="EQ344" s="38"/>
      <c r="ER344" s="38"/>
      <c r="ES344" s="38"/>
      <c r="ET344" s="38"/>
      <c r="EU344" s="38"/>
      <c r="EV344" s="38"/>
      <c r="EW344" s="38"/>
      <c r="EX344" s="38"/>
      <c r="EY344" s="38"/>
      <c r="EZ344" s="38"/>
      <c r="FA344" s="38"/>
      <c r="FB344" s="38"/>
      <c r="FC344" s="38"/>
      <c r="FD344" s="38"/>
      <c r="FE344" s="38"/>
      <c r="FF344" s="38"/>
      <c r="FG344" s="38"/>
      <c r="FH344" s="38"/>
      <c r="FI344" s="38"/>
      <c r="FJ344" s="38"/>
      <c r="FK344" s="38"/>
      <c r="FL344" s="38"/>
      <c r="FM344" s="38"/>
      <c r="FN344" s="38"/>
      <c r="FO344" s="38"/>
      <c r="FP344" s="38"/>
      <c r="FQ344" s="38"/>
      <c r="FR344" s="38"/>
      <c r="FS344" s="38"/>
      <c r="FT344" s="38"/>
      <c r="FU344" s="38"/>
      <c r="FV344" s="38"/>
      <c r="FW344" s="38"/>
      <c r="FX344" s="38"/>
      <c r="FY344" s="38"/>
      <c r="FZ344" s="38"/>
      <c r="GA344" s="38"/>
      <c r="GB344" s="38"/>
      <c r="GC344" s="38"/>
      <c r="GD344" s="38"/>
      <c r="GE344" s="38"/>
      <c r="GF344" s="38"/>
      <c r="GG344" s="38"/>
      <c r="GH344" s="38"/>
      <c r="GI344" s="38"/>
      <c r="GJ344" s="38"/>
      <c r="GK344" s="38"/>
      <c r="GL344" s="38"/>
      <c r="GM344" s="38"/>
      <c r="GN344" s="38"/>
      <c r="GO344" s="38"/>
      <c r="GP344" s="38"/>
      <c r="GQ344" s="38"/>
      <c r="GR344" s="38"/>
      <c r="GS344" s="38"/>
      <c r="GT344" s="38"/>
      <c r="GU344" s="38"/>
      <c r="GV344" s="38"/>
      <c r="GW344" s="38"/>
      <c r="GX344" s="38"/>
      <c r="GY344" s="38"/>
      <c r="GZ344" s="38"/>
      <c r="HA344" s="38"/>
      <c r="HB344" s="38"/>
      <c r="HC344" s="38"/>
      <c r="HD344" s="38"/>
      <c r="HE344" s="38"/>
      <c r="HF344" s="38"/>
      <c r="HG344" s="38"/>
      <c r="HH344" s="38"/>
      <c r="HI344" s="38"/>
      <c r="HJ344" s="38"/>
      <c r="HK344" s="38"/>
      <c r="HL344" s="38"/>
      <c r="HM344" s="38"/>
      <c r="HN344" s="38"/>
      <c r="HO344" s="38"/>
      <c r="HP344" s="38"/>
      <c r="HQ344" s="38"/>
      <c r="HR344" s="38"/>
      <c r="HS344" s="38"/>
      <c r="HT344" s="38"/>
      <c r="HU344" s="38"/>
      <c r="HV344" s="38"/>
      <c r="HW344" s="38"/>
      <c r="HX344" s="38"/>
      <c r="HY344" s="38"/>
      <c r="HZ344" s="38"/>
      <c r="IA344" s="38"/>
    </row>
    <row r="345" spans="1:16" ht="11.25">
      <c r="A345" s="5" t="s">
        <v>38</v>
      </c>
      <c r="B345" s="37"/>
      <c r="C345" s="37"/>
      <c r="D345" s="44"/>
      <c r="E345" s="44"/>
      <c r="F345" s="44"/>
      <c r="G345" s="30"/>
      <c r="H345" s="30"/>
      <c r="I345" s="30"/>
      <c r="J345" s="30"/>
      <c r="K345" s="7"/>
      <c r="L345" s="30"/>
      <c r="M345" s="30"/>
      <c r="N345" s="30"/>
      <c r="O345" s="30"/>
      <c r="P345" s="30"/>
    </row>
    <row r="346" spans="1:16" ht="23.25" customHeight="1">
      <c r="A346" s="8" t="s">
        <v>132</v>
      </c>
      <c r="B346" s="6"/>
      <c r="C346" s="6"/>
      <c r="D346" s="44">
        <v>2752</v>
      </c>
      <c r="E346" s="44"/>
      <c r="F346" s="44">
        <f>D346</f>
        <v>2752</v>
      </c>
      <c r="G346" s="44">
        <v>1752</v>
      </c>
      <c r="H346" s="44"/>
      <c r="I346" s="44"/>
      <c r="J346" s="44">
        <f>G346</f>
        <v>1752</v>
      </c>
      <c r="K346" s="7" t="e">
        <f>#REF!/G346*100</f>
        <v>#REF!</v>
      </c>
      <c r="L346" s="7"/>
      <c r="M346" s="7"/>
      <c r="N346" s="44">
        <v>952</v>
      </c>
      <c r="O346" s="44"/>
      <c r="P346" s="44">
        <f>N346</f>
        <v>952</v>
      </c>
    </row>
    <row r="347" spans="1:16" ht="11.25">
      <c r="A347" s="5" t="s">
        <v>5</v>
      </c>
      <c r="B347" s="37"/>
      <c r="C347" s="37"/>
      <c r="D347" s="44"/>
      <c r="E347" s="44"/>
      <c r="F347" s="44"/>
      <c r="G347" s="30"/>
      <c r="H347" s="30"/>
      <c r="I347" s="30"/>
      <c r="J347" s="7"/>
      <c r="K347" s="7"/>
      <c r="L347" s="30"/>
      <c r="M347" s="30"/>
      <c r="N347" s="30"/>
      <c r="O347" s="30"/>
      <c r="P347" s="7"/>
    </row>
    <row r="348" spans="1:16" ht="24" customHeight="1">
      <c r="A348" s="8" t="s">
        <v>130</v>
      </c>
      <c r="B348" s="6"/>
      <c r="C348" s="6"/>
      <c r="D348" s="44">
        <v>1000</v>
      </c>
      <c r="E348" s="44"/>
      <c r="F348" s="44">
        <f>D348</f>
        <v>1000</v>
      </c>
      <c r="G348" s="44">
        <v>800</v>
      </c>
      <c r="H348" s="44"/>
      <c r="I348" s="44"/>
      <c r="J348" s="44">
        <f>G348</f>
        <v>800</v>
      </c>
      <c r="K348" s="7" t="e">
        <f>#REF!/G348*100</f>
        <v>#REF!</v>
      </c>
      <c r="L348" s="7"/>
      <c r="M348" s="7"/>
      <c r="N348" s="44">
        <v>875</v>
      </c>
      <c r="O348" s="44"/>
      <c r="P348" s="44">
        <f>N348</f>
        <v>875</v>
      </c>
    </row>
    <row r="349" spans="1:16" ht="33.75" customHeight="1">
      <c r="A349" s="8" t="s">
        <v>203</v>
      </c>
      <c r="B349" s="6"/>
      <c r="C349" s="6"/>
      <c r="D349" s="44"/>
      <c r="E349" s="44"/>
      <c r="F349" s="44"/>
      <c r="G349" s="44">
        <v>0</v>
      </c>
      <c r="H349" s="44"/>
      <c r="I349" s="44"/>
      <c r="J349" s="44"/>
      <c r="K349" s="7"/>
      <c r="L349" s="7"/>
      <c r="M349" s="7"/>
      <c r="N349" s="44">
        <v>5</v>
      </c>
      <c r="O349" s="44"/>
      <c r="P349" s="44">
        <f>N349</f>
        <v>5</v>
      </c>
    </row>
    <row r="350" spans="1:16" ht="11.25">
      <c r="A350" s="5" t="s">
        <v>7</v>
      </c>
      <c r="B350" s="37"/>
      <c r="C350" s="37"/>
      <c r="D350" s="44"/>
      <c r="E350" s="44"/>
      <c r="F350" s="44"/>
      <c r="G350" s="44"/>
      <c r="H350" s="44"/>
      <c r="I350" s="44"/>
      <c r="J350" s="44"/>
      <c r="K350" s="7"/>
      <c r="L350" s="30"/>
      <c r="M350" s="30"/>
      <c r="N350" s="44"/>
      <c r="O350" s="44"/>
      <c r="P350" s="44"/>
    </row>
    <row r="351" spans="1:16" ht="24" customHeight="1">
      <c r="A351" s="8" t="s">
        <v>40</v>
      </c>
      <c r="B351" s="6"/>
      <c r="C351" s="6"/>
      <c r="D351" s="44">
        <v>163</v>
      </c>
      <c r="E351" s="44"/>
      <c r="F351" s="44">
        <f>D351</f>
        <v>163</v>
      </c>
      <c r="G351" s="44">
        <v>375</v>
      </c>
      <c r="H351" s="44"/>
      <c r="I351" s="44"/>
      <c r="J351" s="44">
        <f>G351</f>
        <v>375</v>
      </c>
      <c r="K351" s="7" t="e">
        <f>#REF!/G351*100</f>
        <v>#REF!</v>
      </c>
      <c r="L351" s="7"/>
      <c r="M351" s="7"/>
      <c r="N351" s="44">
        <v>400</v>
      </c>
      <c r="O351" s="44"/>
      <c r="P351" s="44">
        <f>N351</f>
        <v>400</v>
      </c>
    </row>
    <row r="352" spans="1:16" ht="11.25">
      <c r="A352" s="54" t="s">
        <v>6</v>
      </c>
      <c r="B352" s="55"/>
      <c r="C352" s="55"/>
      <c r="D352" s="48"/>
      <c r="E352" s="48"/>
      <c r="F352" s="48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1:235" s="22" customFormat="1" ht="39" customHeight="1">
      <c r="A353" s="8" t="s">
        <v>131</v>
      </c>
      <c r="B353" s="6"/>
      <c r="C353" s="6"/>
      <c r="D353" s="44">
        <f>D348/D346*100</f>
        <v>36.337209302325576</v>
      </c>
      <c r="E353" s="44"/>
      <c r="F353" s="44">
        <f>D353</f>
        <v>36.337209302325576</v>
      </c>
      <c r="G353" s="44">
        <f>G348/G346*100</f>
        <v>45.662100456621005</v>
      </c>
      <c r="H353" s="44"/>
      <c r="I353" s="44"/>
      <c r="J353" s="44">
        <f>G353</f>
        <v>45.662100456621005</v>
      </c>
      <c r="K353" s="7"/>
      <c r="L353" s="7"/>
      <c r="M353" s="7"/>
      <c r="N353" s="44">
        <f>N348/N346*100</f>
        <v>91.91176470588235</v>
      </c>
      <c r="O353" s="44"/>
      <c r="P353" s="44">
        <f>N353</f>
        <v>91.91176470588235</v>
      </c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  <c r="GF353" s="56"/>
      <c r="GG353" s="56"/>
      <c r="GH353" s="56"/>
      <c r="GI353" s="56"/>
      <c r="GJ353" s="56"/>
      <c r="GK353" s="56"/>
      <c r="GL353" s="56"/>
      <c r="GM353" s="56"/>
      <c r="GN353" s="56"/>
      <c r="GO353" s="56"/>
      <c r="GP353" s="56"/>
      <c r="GQ353" s="56"/>
      <c r="GR353" s="56"/>
      <c r="GS353" s="56"/>
      <c r="GT353" s="56"/>
      <c r="GU353" s="56"/>
      <c r="GV353" s="56"/>
      <c r="GW353" s="56"/>
      <c r="GX353" s="56"/>
      <c r="GY353" s="56"/>
      <c r="GZ353" s="56"/>
      <c r="HA353" s="56"/>
      <c r="HB353" s="56"/>
      <c r="HC353" s="56"/>
      <c r="HD353" s="56"/>
      <c r="HE353" s="56"/>
      <c r="HF353" s="56"/>
      <c r="HG353" s="56"/>
      <c r="HH353" s="56"/>
      <c r="HI353" s="56"/>
      <c r="HJ353" s="56"/>
      <c r="HK353" s="56"/>
      <c r="HL353" s="56"/>
      <c r="HM353" s="56"/>
      <c r="HN353" s="56"/>
      <c r="HO353" s="56"/>
      <c r="HP353" s="56"/>
      <c r="HQ353" s="56"/>
      <c r="HR353" s="56"/>
      <c r="HS353" s="56"/>
      <c r="HT353" s="56"/>
      <c r="HU353" s="56"/>
      <c r="HV353" s="56"/>
      <c r="HW353" s="56"/>
      <c r="HX353" s="56"/>
      <c r="HY353" s="56"/>
      <c r="HZ353" s="56"/>
      <c r="IA353" s="56"/>
    </row>
    <row r="354" spans="1:235" s="22" customFormat="1" ht="24" customHeight="1">
      <c r="A354" s="37" t="s">
        <v>310</v>
      </c>
      <c r="B354" s="20"/>
      <c r="C354" s="20"/>
      <c r="D354" s="57">
        <f>D356+D366</f>
        <v>312380.003</v>
      </c>
      <c r="E354" s="57"/>
      <c r="F354" s="57">
        <f>F356+F366</f>
        <v>312380.003</v>
      </c>
      <c r="G354" s="57">
        <f>G356+G366</f>
        <v>335255</v>
      </c>
      <c r="H354" s="57"/>
      <c r="I354" s="57"/>
      <c r="J354" s="57">
        <f>J356+J366</f>
        <v>335255</v>
      </c>
      <c r="K354" s="57"/>
      <c r="L354" s="57"/>
      <c r="M354" s="57"/>
      <c r="N354" s="57">
        <f>N356+N366</f>
        <v>352520</v>
      </c>
      <c r="O354" s="57"/>
      <c r="P354" s="57">
        <f>P356+P366</f>
        <v>352520</v>
      </c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  <c r="FF354" s="56"/>
      <c r="FG354" s="56"/>
      <c r="FH354" s="56"/>
      <c r="FI354" s="56"/>
      <c r="FJ354" s="56"/>
      <c r="FK354" s="56"/>
      <c r="FL354" s="56"/>
      <c r="FM354" s="56"/>
      <c r="FN354" s="56"/>
      <c r="FO354" s="56"/>
      <c r="FP354" s="56"/>
      <c r="FQ354" s="56"/>
      <c r="FR354" s="56"/>
      <c r="FS354" s="56"/>
      <c r="FT354" s="56"/>
      <c r="FU354" s="56"/>
      <c r="FV354" s="56"/>
      <c r="FW354" s="56"/>
      <c r="FX354" s="56"/>
      <c r="FY354" s="56"/>
      <c r="FZ354" s="56"/>
      <c r="GA354" s="56"/>
      <c r="GB354" s="56"/>
      <c r="GC354" s="56"/>
      <c r="GD354" s="56"/>
      <c r="GE354" s="56"/>
      <c r="GF354" s="56"/>
      <c r="GG354" s="56"/>
      <c r="GH354" s="56"/>
      <c r="GI354" s="56"/>
      <c r="GJ354" s="56"/>
      <c r="GK354" s="56"/>
      <c r="GL354" s="56"/>
      <c r="GM354" s="56"/>
      <c r="GN354" s="56"/>
      <c r="GO354" s="56"/>
      <c r="GP354" s="56"/>
      <c r="GQ354" s="56"/>
      <c r="GR354" s="56"/>
      <c r="GS354" s="56"/>
      <c r="GT354" s="56"/>
      <c r="GU354" s="56"/>
      <c r="GV354" s="56"/>
      <c r="GW354" s="56"/>
      <c r="GX354" s="56"/>
      <c r="GY354" s="56"/>
      <c r="GZ354" s="56"/>
      <c r="HA354" s="56"/>
      <c r="HB354" s="56"/>
      <c r="HC354" s="56"/>
      <c r="HD354" s="56"/>
      <c r="HE354" s="56"/>
      <c r="HF354" s="56"/>
      <c r="HG354" s="56"/>
      <c r="HH354" s="56"/>
      <c r="HI354" s="56"/>
      <c r="HJ354" s="56"/>
      <c r="HK354" s="56"/>
      <c r="HL354" s="56"/>
      <c r="HM354" s="56"/>
      <c r="HN354" s="56"/>
      <c r="HO354" s="56"/>
      <c r="HP354" s="56"/>
      <c r="HQ354" s="56"/>
      <c r="HR354" s="56"/>
      <c r="HS354" s="56"/>
      <c r="HT354" s="56"/>
      <c r="HU354" s="56"/>
      <c r="HV354" s="56"/>
      <c r="HW354" s="56"/>
      <c r="HX354" s="56"/>
      <c r="HY354" s="56"/>
      <c r="HZ354" s="56"/>
      <c r="IA354" s="56"/>
    </row>
    <row r="355" spans="1:235" s="22" customFormat="1" ht="24" customHeight="1">
      <c r="A355" s="8" t="s">
        <v>285</v>
      </c>
      <c r="B355" s="20"/>
      <c r="C355" s="20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  <c r="EG355" s="56"/>
      <c r="EH355" s="56"/>
      <c r="EI355" s="56"/>
      <c r="EJ355" s="56"/>
      <c r="EK355" s="56"/>
      <c r="EL355" s="56"/>
      <c r="EM355" s="56"/>
      <c r="EN355" s="56"/>
      <c r="EO355" s="56"/>
      <c r="EP355" s="56"/>
      <c r="EQ355" s="56"/>
      <c r="ER355" s="56"/>
      <c r="ES355" s="56"/>
      <c r="ET355" s="56"/>
      <c r="EU355" s="56"/>
      <c r="EV355" s="56"/>
      <c r="EW355" s="56"/>
      <c r="EX355" s="56"/>
      <c r="EY355" s="56"/>
      <c r="EZ355" s="56"/>
      <c r="FA355" s="56"/>
      <c r="FB355" s="56"/>
      <c r="FC355" s="56"/>
      <c r="FD355" s="56"/>
      <c r="FE355" s="56"/>
      <c r="FF355" s="56"/>
      <c r="FG355" s="56"/>
      <c r="FH355" s="56"/>
      <c r="FI355" s="56"/>
      <c r="FJ355" s="56"/>
      <c r="FK355" s="56"/>
      <c r="FL355" s="56"/>
      <c r="FM355" s="56"/>
      <c r="FN355" s="56"/>
      <c r="FO355" s="56"/>
      <c r="FP355" s="56"/>
      <c r="FQ355" s="56"/>
      <c r="FR355" s="56"/>
      <c r="FS355" s="56"/>
      <c r="FT355" s="56"/>
      <c r="FU355" s="56"/>
      <c r="FV355" s="56"/>
      <c r="FW355" s="56"/>
      <c r="FX355" s="56"/>
      <c r="FY355" s="56"/>
      <c r="FZ355" s="56"/>
      <c r="GA355" s="56"/>
      <c r="GB355" s="56"/>
      <c r="GC355" s="56"/>
      <c r="GD355" s="56"/>
      <c r="GE355" s="56"/>
      <c r="GF355" s="56"/>
      <c r="GG355" s="56"/>
      <c r="GH355" s="56"/>
      <c r="GI355" s="56"/>
      <c r="GJ355" s="56"/>
      <c r="GK355" s="56"/>
      <c r="GL355" s="56"/>
      <c r="GM355" s="56"/>
      <c r="GN355" s="56"/>
      <c r="GO355" s="56"/>
      <c r="GP355" s="56"/>
      <c r="GQ355" s="56"/>
      <c r="GR355" s="56"/>
      <c r="GS355" s="56"/>
      <c r="GT355" s="56"/>
      <c r="GU355" s="56"/>
      <c r="GV355" s="56"/>
      <c r="GW355" s="56"/>
      <c r="GX355" s="56"/>
      <c r="GY355" s="56"/>
      <c r="GZ355" s="56"/>
      <c r="HA355" s="56"/>
      <c r="HB355" s="56"/>
      <c r="HC355" s="56"/>
      <c r="HD355" s="56"/>
      <c r="HE355" s="56"/>
      <c r="HF355" s="56"/>
      <c r="HG355" s="56"/>
      <c r="HH355" s="56"/>
      <c r="HI355" s="56"/>
      <c r="HJ355" s="56"/>
      <c r="HK355" s="56"/>
      <c r="HL355" s="56"/>
      <c r="HM355" s="56"/>
      <c r="HN355" s="56"/>
      <c r="HO355" s="56"/>
      <c r="HP355" s="56"/>
      <c r="HQ355" s="56"/>
      <c r="HR355" s="56"/>
      <c r="HS355" s="56"/>
      <c r="HT355" s="56"/>
      <c r="HU355" s="56"/>
      <c r="HV355" s="56"/>
      <c r="HW355" s="56"/>
      <c r="HX355" s="56"/>
      <c r="HY355" s="56"/>
      <c r="HZ355" s="56"/>
      <c r="IA355" s="56"/>
    </row>
    <row r="356" spans="1:235" s="60" customFormat="1" ht="36.75" customHeight="1">
      <c r="A356" s="58" t="s">
        <v>401</v>
      </c>
      <c r="B356" s="58"/>
      <c r="C356" s="58"/>
      <c r="D356" s="45">
        <f>D358+D359</f>
        <v>209000.003</v>
      </c>
      <c r="E356" s="45"/>
      <c r="F356" s="45">
        <f>F358+F359</f>
        <v>209000.003</v>
      </c>
      <c r="G356" s="45">
        <f>G358+G359</f>
        <v>224075</v>
      </c>
      <c r="H356" s="45"/>
      <c r="I356" s="45"/>
      <c r="J356" s="45">
        <f>J358+J359</f>
        <v>224075</v>
      </c>
      <c r="K356" s="45"/>
      <c r="L356" s="45"/>
      <c r="M356" s="45"/>
      <c r="N356" s="45">
        <f>N358+N359</f>
        <v>237530</v>
      </c>
      <c r="O356" s="45"/>
      <c r="P356" s="45">
        <f>P358+P359</f>
        <v>237530</v>
      </c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  <c r="EQ356" s="59"/>
      <c r="ER356" s="59"/>
      <c r="ES356" s="59"/>
      <c r="ET356" s="59"/>
      <c r="EU356" s="59"/>
      <c r="EV356" s="59"/>
      <c r="EW356" s="59"/>
      <c r="EX356" s="59"/>
      <c r="EY356" s="59"/>
      <c r="EZ356" s="59"/>
      <c r="FA356" s="59"/>
      <c r="FB356" s="59"/>
      <c r="FC356" s="59"/>
      <c r="FD356" s="59"/>
      <c r="FE356" s="59"/>
      <c r="FF356" s="59"/>
      <c r="FG356" s="59"/>
      <c r="FH356" s="59"/>
      <c r="FI356" s="59"/>
      <c r="FJ356" s="59"/>
      <c r="FK356" s="59"/>
      <c r="FL356" s="59"/>
      <c r="FM356" s="59"/>
      <c r="FN356" s="59"/>
      <c r="FO356" s="59"/>
      <c r="FP356" s="59"/>
      <c r="FQ356" s="59"/>
      <c r="FR356" s="59"/>
      <c r="FS356" s="59"/>
      <c r="FT356" s="59"/>
      <c r="FU356" s="59"/>
      <c r="FV356" s="59"/>
      <c r="FW356" s="59"/>
      <c r="FX356" s="59"/>
      <c r="FY356" s="59"/>
      <c r="FZ356" s="59"/>
      <c r="GA356" s="59"/>
      <c r="GB356" s="59"/>
      <c r="GC356" s="59"/>
      <c r="GD356" s="59"/>
      <c r="GE356" s="59"/>
      <c r="GF356" s="59"/>
      <c r="GG356" s="59"/>
      <c r="GH356" s="59"/>
      <c r="GI356" s="59"/>
      <c r="GJ356" s="59"/>
      <c r="GK356" s="59"/>
      <c r="GL356" s="59"/>
      <c r="GM356" s="59"/>
      <c r="GN356" s="59"/>
      <c r="GO356" s="59"/>
      <c r="GP356" s="59"/>
      <c r="GQ356" s="59"/>
      <c r="GR356" s="59"/>
      <c r="GS356" s="59"/>
      <c r="GT356" s="59"/>
      <c r="GU356" s="59"/>
      <c r="GV356" s="59"/>
      <c r="GW356" s="59"/>
      <c r="GX356" s="59"/>
      <c r="GY356" s="59"/>
      <c r="GZ356" s="59"/>
      <c r="HA356" s="59"/>
      <c r="HB356" s="59"/>
      <c r="HC356" s="59"/>
      <c r="HD356" s="59"/>
      <c r="HE356" s="59"/>
      <c r="HF356" s="59"/>
      <c r="HG356" s="59"/>
      <c r="HH356" s="59"/>
      <c r="HI356" s="59"/>
      <c r="HJ356" s="59"/>
      <c r="HK356" s="59"/>
      <c r="HL356" s="59"/>
      <c r="HM356" s="59"/>
      <c r="HN356" s="59"/>
      <c r="HO356" s="59"/>
      <c r="HP356" s="59"/>
      <c r="HQ356" s="59"/>
      <c r="HR356" s="59"/>
      <c r="HS356" s="59"/>
      <c r="HT356" s="59"/>
      <c r="HU356" s="59"/>
      <c r="HV356" s="59"/>
      <c r="HW356" s="59"/>
      <c r="HX356" s="59"/>
      <c r="HY356" s="59"/>
      <c r="HZ356" s="59"/>
      <c r="IA356" s="59"/>
    </row>
    <row r="357" spans="1:16" ht="11.25">
      <c r="A357" s="61" t="s">
        <v>4</v>
      </c>
      <c r="B357" s="61"/>
      <c r="C357" s="61"/>
      <c r="D357" s="62"/>
      <c r="E357" s="62"/>
      <c r="F357" s="62"/>
      <c r="G357" s="62"/>
      <c r="H357" s="62"/>
      <c r="I357" s="62"/>
      <c r="J357" s="62"/>
      <c r="K357" s="63"/>
      <c r="L357" s="62"/>
      <c r="M357" s="62"/>
      <c r="N357" s="62"/>
      <c r="O357" s="62"/>
      <c r="P357" s="62"/>
    </row>
    <row r="358" spans="1:16" ht="33.75">
      <c r="A358" s="11" t="s">
        <v>286</v>
      </c>
      <c r="B358" s="11"/>
      <c r="C358" s="11"/>
      <c r="D358" s="43">
        <f>D361*D364</f>
        <v>132000.003</v>
      </c>
      <c r="E358" s="43"/>
      <c r="F358" s="43">
        <f>F361*F364</f>
        <v>132000.003</v>
      </c>
      <c r="G358" s="43">
        <f>G361*G364</f>
        <v>141525</v>
      </c>
      <c r="H358" s="43"/>
      <c r="I358" s="43"/>
      <c r="J358" s="43">
        <f>J361*J364</f>
        <v>141525</v>
      </c>
      <c r="K358" s="43">
        <f>G358/D358*100</f>
        <v>107.21590665418394</v>
      </c>
      <c r="L358" s="43"/>
      <c r="M358" s="43"/>
      <c r="N358" s="43">
        <f>N361*N364</f>
        <v>150030</v>
      </c>
      <c r="O358" s="43"/>
      <c r="P358" s="43">
        <f>P361*P364</f>
        <v>150030</v>
      </c>
    </row>
    <row r="359" spans="1:16" ht="22.5">
      <c r="A359" s="11" t="s">
        <v>287</v>
      </c>
      <c r="B359" s="11"/>
      <c r="C359" s="11"/>
      <c r="D359" s="43">
        <f>D362*D365</f>
        <v>77000</v>
      </c>
      <c r="E359" s="43"/>
      <c r="F359" s="43">
        <f>F362*F365</f>
        <v>77000</v>
      </c>
      <c r="G359" s="43">
        <f>G362*G365</f>
        <v>82550</v>
      </c>
      <c r="H359" s="43"/>
      <c r="I359" s="43"/>
      <c r="J359" s="43">
        <f>J362*J365</f>
        <v>82550</v>
      </c>
      <c r="K359" s="43"/>
      <c r="L359" s="43"/>
      <c r="M359" s="43"/>
      <c r="N359" s="43">
        <f>N362*N365</f>
        <v>87500</v>
      </c>
      <c r="O359" s="43"/>
      <c r="P359" s="43">
        <f>P362*P365</f>
        <v>87500</v>
      </c>
    </row>
    <row r="360" spans="1:16" ht="11.25">
      <c r="A360" s="13" t="s">
        <v>5</v>
      </c>
      <c r="B360" s="13"/>
      <c r="C360" s="13"/>
      <c r="D360" s="10"/>
      <c r="E360" s="10"/>
      <c r="F360" s="43"/>
      <c r="G360" s="10"/>
      <c r="H360" s="10"/>
      <c r="I360" s="10"/>
      <c r="J360" s="43"/>
      <c r="K360" s="43"/>
      <c r="L360" s="10"/>
      <c r="M360" s="10"/>
      <c r="N360" s="10"/>
      <c r="O360" s="10"/>
      <c r="P360" s="43"/>
    </row>
    <row r="361" spans="1:16" ht="25.5" customHeight="1">
      <c r="A361" s="11" t="s">
        <v>289</v>
      </c>
      <c r="B361" s="11"/>
      <c r="C361" s="11"/>
      <c r="D361" s="43">
        <v>9</v>
      </c>
      <c r="E361" s="43"/>
      <c r="F361" s="43">
        <f>D361</f>
        <v>9</v>
      </c>
      <c r="G361" s="43">
        <v>9</v>
      </c>
      <c r="H361" s="43"/>
      <c r="I361" s="43"/>
      <c r="J361" s="43">
        <f>G361+H361</f>
        <v>9</v>
      </c>
      <c r="K361" s="43">
        <f>G361/D361*100</f>
        <v>100</v>
      </c>
      <c r="L361" s="43"/>
      <c r="M361" s="43"/>
      <c r="N361" s="43">
        <v>9</v>
      </c>
      <c r="O361" s="43"/>
      <c r="P361" s="43">
        <f>N361</f>
        <v>9</v>
      </c>
    </row>
    <row r="362" spans="1:16" ht="25.5" customHeight="1">
      <c r="A362" s="11" t="s">
        <v>288</v>
      </c>
      <c r="B362" s="11"/>
      <c r="C362" s="11"/>
      <c r="D362" s="43">
        <v>10</v>
      </c>
      <c r="E362" s="43"/>
      <c r="F362" s="43">
        <v>10</v>
      </c>
      <c r="G362" s="43">
        <v>10</v>
      </c>
      <c r="H362" s="43"/>
      <c r="I362" s="43"/>
      <c r="J362" s="43">
        <v>10</v>
      </c>
      <c r="K362" s="43"/>
      <c r="L362" s="43"/>
      <c r="M362" s="43"/>
      <c r="N362" s="43">
        <v>10</v>
      </c>
      <c r="O362" s="43"/>
      <c r="P362" s="43">
        <v>10</v>
      </c>
    </row>
    <row r="363" spans="1:16" ht="11.25">
      <c r="A363" s="13" t="s">
        <v>7</v>
      </c>
      <c r="B363" s="13"/>
      <c r="C363" s="13"/>
      <c r="D363" s="64"/>
      <c r="E363" s="64"/>
      <c r="F363" s="65"/>
      <c r="G363" s="64"/>
      <c r="H363" s="64"/>
      <c r="I363" s="64"/>
      <c r="J363" s="65"/>
      <c r="K363" s="65"/>
      <c r="L363" s="64"/>
      <c r="M363" s="64"/>
      <c r="N363" s="64"/>
      <c r="O363" s="64"/>
      <c r="P363" s="65"/>
    </row>
    <row r="364" spans="1:16" ht="33.75">
      <c r="A364" s="11" t="s">
        <v>290</v>
      </c>
      <c r="B364" s="11"/>
      <c r="C364" s="11"/>
      <c r="D364" s="65">
        <v>14666.667</v>
      </c>
      <c r="E364" s="65"/>
      <c r="F364" s="65">
        <f>D364</f>
        <v>14666.667</v>
      </c>
      <c r="G364" s="65">
        <v>15725</v>
      </c>
      <c r="H364" s="65"/>
      <c r="I364" s="65"/>
      <c r="J364" s="65">
        <f>G364</f>
        <v>15725</v>
      </c>
      <c r="K364" s="65">
        <f>G364/D364*100</f>
        <v>107.21590665418394</v>
      </c>
      <c r="L364" s="65"/>
      <c r="M364" s="65"/>
      <c r="N364" s="65">
        <v>16670</v>
      </c>
      <c r="O364" s="65"/>
      <c r="P364" s="65">
        <f>N364</f>
        <v>16670</v>
      </c>
    </row>
    <row r="365" spans="1:16" ht="24" customHeight="1">
      <c r="A365" s="11" t="s">
        <v>291</v>
      </c>
      <c r="B365" s="11"/>
      <c r="C365" s="11"/>
      <c r="D365" s="43">
        <v>7700</v>
      </c>
      <c r="E365" s="43"/>
      <c r="F365" s="43">
        <v>7700</v>
      </c>
      <c r="G365" s="43">
        <v>8255</v>
      </c>
      <c r="H365" s="43"/>
      <c r="I365" s="43"/>
      <c r="J365" s="43">
        <v>8255</v>
      </c>
      <c r="K365" s="65"/>
      <c r="L365" s="65"/>
      <c r="M365" s="65"/>
      <c r="N365" s="43">
        <v>8750</v>
      </c>
      <c r="O365" s="43"/>
      <c r="P365" s="43">
        <v>8750</v>
      </c>
    </row>
    <row r="366" spans="1:235" s="39" customFormat="1" ht="33.75">
      <c r="A366" s="9" t="s">
        <v>402</v>
      </c>
      <c r="B366" s="9"/>
      <c r="C366" s="9"/>
      <c r="D366" s="10">
        <f>D368+D369+D370+D371+D372+D373</f>
        <v>103380</v>
      </c>
      <c r="E366" s="10"/>
      <c r="F366" s="10">
        <f>D366+E366</f>
        <v>103380</v>
      </c>
      <c r="G366" s="10">
        <f>G368+G369+G370+G371+G372+G373</f>
        <v>111180</v>
      </c>
      <c r="H366" s="10"/>
      <c r="I366" s="10"/>
      <c r="J366" s="10">
        <f>G366+H366</f>
        <v>111180</v>
      </c>
      <c r="K366" s="10"/>
      <c r="L366" s="10"/>
      <c r="M366" s="10"/>
      <c r="N366" s="10">
        <f>N368+N369+N370+N371+N372+N373</f>
        <v>114990</v>
      </c>
      <c r="O366" s="10"/>
      <c r="P366" s="10">
        <f>N366</f>
        <v>114990</v>
      </c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  <c r="EV366" s="38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8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8"/>
      <c r="GE366" s="38"/>
      <c r="GF366" s="38"/>
      <c r="GG366" s="38"/>
      <c r="GH366" s="38"/>
      <c r="GI366" s="38"/>
      <c r="GJ366" s="38"/>
      <c r="GK366" s="38"/>
      <c r="GL366" s="38"/>
      <c r="GM366" s="38"/>
      <c r="GN366" s="38"/>
      <c r="GO366" s="38"/>
      <c r="GP366" s="38"/>
      <c r="GQ366" s="38"/>
      <c r="GR366" s="38"/>
      <c r="GS366" s="38"/>
      <c r="GT366" s="38"/>
      <c r="GU366" s="38"/>
      <c r="GV366" s="38"/>
      <c r="GW366" s="38"/>
      <c r="GX366" s="38"/>
      <c r="GY366" s="38"/>
      <c r="GZ366" s="38"/>
      <c r="HA366" s="38"/>
      <c r="HB366" s="38"/>
      <c r="HC366" s="38"/>
      <c r="HD366" s="38"/>
      <c r="HE366" s="38"/>
      <c r="HF366" s="38"/>
      <c r="HG366" s="38"/>
      <c r="HH366" s="38"/>
      <c r="HI366" s="38"/>
      <c r="HJ366" s="38"/>
      <c r="HK366" s="38"/>
      <c r="HL366" s="38"/>
      <c r="HM366" s="38"/>
      <c r="HN366" s="38"/>
      <c r="HO366" s="38"/>
      <c r="HP366" s="38"/>
      <c r="HQ366" s="38"/>
      <c r="HR366" s="38"/>
      <c r="HS366" s="38"/>
      <c r="HT366" s="38"/>
      <c r="HU366" s="38"/>
      <c r="HV366" s="38"/>
      <c r="HW366" s="38"/>
      <c r="HX366" s="38"/>
      <c r="HY366" s="38"/>
      <c r="HZ366" s="38"/>
      <c r="IA366" s="38"/>
    </row>
    <row r="367" spans="1:235" s="39" customFormat="1" ht="11.25">
      <c r="A367" s="61" t="s">
        <v>4</v>
      </c>
      <c r="B367" s="9"/>
      <c r="C367" s="9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  <c r="GO367" s="38"/>
      <c r="GP367" s="38"/>
      <c r="GQ367" s="38"/>
      <c r="GR367" s="38"/>
      <c r="GS367" s="38"/>
      <c r="GT367" s="38"/>
      <c r="GU367" s="38"/>
      <c r="GV367" s="38"/>
      <c r="GW367" s="38"/>
      <c r="GX367" s="38"/>
      <c r="GY367" s="38"/>
      <c r="GZ367" s="38"/>
      <c r="HA367" s="38"/>
      <c r="HB367" s="38"/>
      <c r="HC367" s="38"/>
      <c r="HD367" s="38"/>
      <c r="HE367" s="38"/>
      <c r="HF367" s="38"/>
      <c r="HG367" s="38"/>
      <c r="HH367" s="38"/>
      <c r="HI367" s="38"/>
      <c r="HJ367" s="38"/>
      <c r="HK367" s="38"/>
      <c r="HL367" s="38"/>
      <c r="HM367" s="38"/>
      <c r="HN367" s="38"/>
      <c r="HO367" s="38"/>
      <c r="HP367" s="38"/>
      <c r="HQ367" s="38"/>
      <c r="HR367" s="38"/>
      <c r="HS367" s="38"/>
      <c r="HT367" s="38"/>
      <c r="HU367" s="38"/>
      <c r="HV367" s="38"/>
      <c r="HW367" s="38"/>
      <c r="HX367" s="38"/>
      <c r="HY367" s="38"/>
      <c r="HZ367" s="38"/>
      <c r="IA367" s="38"/>
    </row>
    <row r="368" spans="1:235" s="39" customFormat="1" ht="30" customHeight="1">
      <c r="A368" s="9" t="s">
        <v>292</v>
      </c>
      <c r="B368" s="9"/>
      <c r="C368" s="9"/>
      <c r="D368" s="10">
        <f>D375*D382</f>
        <v>7200</v>
      </c>
      <c r="E368" s="10"/>
      <c r="F368" s="10">
        <f aca="true" t="shared" si="47" ref="F368:F373">D368+E368</f>
        <v>7200</v>
      </c>
      <c r="G368" s="10">
        <f>G375*G382</f>
        <v>7800</v>
      </c>
      <c r="H368" s="10"/>
      <c r="I368" s="10"/>
      <c r="J368" s="10">
        <f aca="true" t="shared" si="48" ref="J368:J373">G368+H368</f>
        <v>7800</v>
      </c>
      <c r="K368" s="10"/>
      <c r="L368" s="10"/>
      <c r="M368" s="10"/>
      <c r="N368" s="10">
        <f>N375*N382</f>
        <v>8250</v>
      </c>
      <c r="O368" s="10"/>
      <c r="P368" s="10">
        <f aca="true" t="shared" si="49" ref="P368:P373">N368+O368</f>
        <v>8250</v>
      </c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  <c r="HZ368" s="38"/>
      <c r="IA368" s="38"/>
    </row>
    <row r="369" spans="1:235" s="39" customFormat="1" ht="33.75">
      <c r="A369" s="9" t="s">
        <v>293</v>
      </c>
      <c r="B369" s="9"/>
      <c r="C369" s="9"/>
      <c r="D369" s="10">
        <f>D383*D376</f>
        <v>22800</v>
      </c>
      <c r="E369" s="10"/>
      <c r="F369" s="10">
        <f t="shared" si="47"/>
        <v>22800</v>
      </c>
      <c r="G369" s="10">
        <f>G383*G376</f>
        <v>24600</v>
      </c>
      <c r="H369" s="10"/>
      <c r="I369" s="10"/>
      <c r="J369" s="10">
        <f t="shared" si="48"/>
        <v>24600</v>
      </c>
      <c r="K369" s="10"/>
      <c r="L369" s="10"/>
      <c r="M369" s="10"/>
      <c r="N369" s="10">
        <f>N383*N376</f>
        <v>26100</v>
      </c>
      <c r="O369" s="10"/>
      <c r="P369" s="10">
        <f t="shared" si="49"/>
        <v>26100</v>
      </c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  <c r="EV369" s="38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8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8"/>
      <c r="GE369" s="38"/>
      <c r="GF369" s="38"/>
      <c r="GG369" s="38"/>
      <c r="GH369" s="38"/>
      <c r="GI369" s="38"/>
      <c r="GJ369" s="38"/>
      <c r="GK369" s="38"/>
      <c r="GL369" s="38"/>
      <c r="GM369" s="38"/>
      <c r="GN369" s="38"/>
      <c r="GO369" s="38"/>
      <c r="GP369" s="38"/>
      <c r="GQ369" s="38"/>
      <c r="GR369" s="38"/>
      <c r="GS369" s="38"/>
      <c r="GT369" s="38"/>
      <c r="GU369" s="38"/>
      <c r="GV369" s="38"/>
      <c r="GW369" s="38"/>
      <c r="GX369" s="38"/>
      <c r="GY369" s="38"/>
      <c r="GZ369" s="38"/>
      <c r="HA369" s="38"/>
      <c r="HB369" s="38"/>
      <c r="HC369" s="38"/>
      <c r="HD369" s="38"/>
      <c r="HE369" s="38"/>
      <c r="HF369" s="38"/>
      <c r="HG369" s="38"/>
      <c r="HH369" s="38"/>
      <c r="HI369" s="38"/>
      <c r="HJ369" s="38"/>
      <c r="HK369" s="38"/>
      <c r="HL369" s="38"/>
      <c r="HM369" s="38"/>
      <c r="HN369" s="38"/>
      <c r="HO369" s="38"/>
      <c r="HP369" s="38"/>
      <c r="HQ369" s="38"/>
      <c r="HR369" s="38"/>
      <c r="HS369" s="38"/>
      <c r="HT369" s="38"/>
      <c r="HU369" s="38"/>
      <c r="HV369" s="38"/>
      <c r="HW369" s="38"/>
      <c r="HX369" s="38"/>
      <c r="HY369" s="38"/>
      <c r="HZ369" s="38"/>
      <c r="IA369" s="38"/>
    </row>
    <row r="370" spans="1:235" s="39" customFormat="1" ht="33.75">
      <c r="A370" s="9" t="s">
        <v>294</v>
      </c>
      <c r="B370" s="9"/>
      <c r="C370" s="9"/>
      <c r="D370" s="10">
        <f>D377*D384</f>
        <v>40500</v>
      </c>
      <c r="E370" s="10"/>
      <c r="F370" s="10">
        <f t="shared" si="47"/>
        <v>40500</v>
      </c>
      <c r="G370" s="10">
        <f>G377*G384</f>
        <v>43500</v>
      </c>
      <c r="H370" s="10"/>
      <c r="I370" s="10"/>
      <c r="J370" s="10">
        <f t="shared" si="48"/>
        <v>43500</v>
      </c>
      <c r="K370" s="10"/>
      <c r="L370" s="10"/>
      <c r="M370" s="10"/>
      <c r="N370" s="10">
        <f>N377*N384</f>
        <v>46200</v>
      </c>
      <c r="O370" s="10"/>
      <c r="P370" s="10">
        <f t="shared" si="49"/>
        <v>46200</v>
      </c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  <c r="EV370" s="38"/>
      <c r="EW370" s="38"/>
      <c r="EX370" s="38"/>
      <c r="EY370" s="38"/>
      <c r="EZ370" s="38"/>
      <c r="FA370" s="38"/>
      <c r="FB370" s="38"/>
      <c r="FC370" s="38"/>
      <c r="FD370" s="38"/>
      <c r="FE370" s="38"/>
      <c r="FF370" s="38"/>
      <c r="FG370" s="38"/>
      <c r="FH370" s="38"/>
      <c r="FI370" s="38"/>
      <c r="FJ370" s="38"/>
      <c r="FK370" s="38"/>
      <c r="FL370" s="38"/>
      <c r="FM370" s="38"/>
      <c r="FN370" s="38"/>
      <c r="FO370" s="38"/>
      <c r="FP370" s="38"/>
      <c r="FQ370" s="38"/>
      <c r="FR370" s="38"/>
      <c r="FS370" s="38"/>
      <c r="FT370" s="38"/>
      <c r="FU370" s="38"/>
      <c r="FV370" s="38"/>
      <c r="FW370" s="38"/>
      <c r="FX370" s="38"/>
      <c r="FY370" s="38"/>
      <c r="FZ370" s="38"/>
      <c r="GA370" s="38"/>
      <c r="GB370" s="38"/>
      <c r="GC370" s="38"/>
      <c r="GD370" s="38"/>
      <c r="GE370" s="38"/>
      <c r="GF370" s="38"/>
      <c r="GG370" s="38"/>
      <c r="GH370" s="38"/>
      <c r="GI370" s="38"/>
      <c r="GJ370" s="38"/>
      <c r="GK370" s="38"/>
      <c r="GL370" s="38"/>
      <c r="GM370" s="38"/>
      <c r="GN370" s="38"/>
      <c r="GO370" s="38"/>
      <c r="GP370" s="38"/>
      <c r="GQ370" s="38"/>
      <c r="GR370" s="38"/>
      <c r="GS370" s="38"/>
      <c r="GT370" s="38"/>
      <c r="GU370" s="38"/>
      <c r="GV370" s="38"/>
      <c r="GW370" s="38"/>
      <c r="GX370" s="38"/>
      <c r="GY370" s="38"/>
      <c r="GZ370" s="38"/>
      <c r="HA370" s="38"/>
      <c r="HB370" s="38"/>
      <c r="HC370" s="38"/>
      <c r="HD370" s="38"/>
      <c r="HE370" s="38"/>
      <c r="HF370" s="38"/>
      <c r="HG370" s="38"/>
      <c r="HH370" s="38"/>
      <c r="HI370" s="38"/>
      <c r="HJ370" s="38"/>
      <c r="HK370" s="38"/>
      <c r="HL370" s="38"/>
      <c r="HM370" s="38"/>
      <c r="HN370" s="38"/>
      <c r="HO370" s="38"/>
      <c r="HP370" s="38"/>
      <c r="HQ370" s="38"/>
      <c r="HR370" s="38"/>
      <c r="HS370" s="38"/>
      <c r="HT370" s="38"/>
      <c r="HU370" s="38"/>
      <c r="HV370" s="38"/>
      <c r="HW370" s="38"/>
      <c r="HX370" s="38"/>
      <c r="HY370" s="38"/>
      <c r="HZ370" s="38"/>
      <c r="IA370" s="38"/>
    </row>
    <row r="371" spans="1:235" s="39" customFormat="1" ht="33.75">
      <c r="A371" s="9" t="s">
        <v>295</v>
      </c>
      <c r="B371" s="9"/>
      <c r="C371" s="9"/>
      <c r="D371" s="10">
        <f>D385*D378</f>
        <v>25200</v>
      </c>
      <c r="E371" s="10"/>
      <c r="F371" s="10">
        <f t="shared" si="47"/>
        <v>25200</v>
      </c>
      <c r="G371" s="10">
        <f>G378*G385</f>
        <v>27000</v>
      </c>
      <c r="H371" s="10"/>
      <c r="I371" s="10"/>
      <c r="J371" s="10">
        <f t="shared" si="48"/>
        <v>27000</v>
      </c>
      <c r="K371" s="10"/>
      <c r="L371" s="10"/>
      <c r="M371" s="10"/>
      <c r="N371" s="10">
        <f>N385*N378</f>
        <v>28800</v>
      </c>
      <c r="O371" s="10"/>
      <c r="P371" s="10">
        <f t="shared" si="49"/>
        <v>28800</v>
      </c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8"/>
      <c r="DM371" s="38"/>
      <c r="DN371" s="38"/>
      <c r="DO371" s="38"/>
      <c r="DP371" s="38"/>
      <c r="DQ371" s="38"/>
      <c r="DR371" s="38"/>
      <c r="DS371" s="38"/>
      <c r="DT371" s="38"/>
      <c r="DU371" s="38"/>
      <c r="DV371" s="38"/>
      <c r="DW371" s="38"/>
      <c r="DX371" s="38"/>
      <c r="DY371" s="38"/>
      <c r="DZ371" s="38"/>
      <c r="EA371" s="38"/>
      <c r="EB371" s="38"/>
      <c r="EC371" s="38"/>
      <c r="ED371" s="38"/>
      <c r="EE371" s="38"/>
      <c r="EF371" s="38"/>
      <c r="EG371" s="38"/>
      <c r="EH371" s="38"/>
      <c r="EI371" s="38"/>
      <c r="EJ371" s="38"/>
      <c r="EK371" s="38"/>
      <c r="EL371" s="38"/>
      <c r="EM371" s="38"/>
      <c r="EN371" s="38"/>
      <c r="EO371" s="38"/>
      <c r="EP371" s="38"/>
      <c r="EQ371" s="38"/>
      <c r="ER371" s="38"/>
      <c r="ES371" s="38"/>
      <c r="ET371" s="38"/>
      <c r="EU371" s="38"/>
      <c r="EV371" s="38"/>
      <c r="EW371" s="38"/>
      <c r="EX371" s="38"/>
      <c r="EY371" s="38"/>
      <c r="EZ371" s="38"/>
      <c r="FA371" s="38"/>
      <c r="FB371" s="38"/>
      <c r="FC371" s="38"/>
      <c r="FD371" s="38"/>
      <c r="FE371" s="38"/>
      <c r="FF371" s="38"/>
      <c r="FG371" s="38"/>
      <c r="FH371" s="38"/>
      <c r="FI371" s="38"/>
      <c r="FJ371" s="38"/>
      <c r="FK371" s="38"/>
      <c r="FL371" s="38"/>
      <c r="FM371" s="38"/>
      <c r="FN371" s="38"/>
      <c r="FO371" s="38"/>
      <c r="FP371" s="38"/>
      <c r="FQ371" s="38"/>
      <c r="FR371" s="38"/>
      <c r="FS371" s="38"/>
      <c r="FT371" s="38"/>
      <c r="FU371" s="38"/>
      <c r="FV371" s="38"/>
      <c r="FW371" s="38"/>
      <c r="FX371" s="38"/>
      <c r="FY371" s="38"/>
      <c r="FZ371" s="38"/>
      <c r="GA371" s="38"/>
      <c r="GB371" s="38"/>
      <c r="GC371" s="38"/>
      <c r="GD371" s="38"/>
      <c r="GE371" s="38"/>
      <c r="GF371" s="38"/>
      <c r="GG371" s="38"/>
      <c r="GH371" s="38"/>
      <c r="GI371" s="38"/>
      <c r="GJ371" s="38"/>
      <c r="GK371" s="38"/>
      <c r="GL371" s="38"/>
      <c r="GM371" s="38"/>
      <c r="GN371" s="38"/>
      <c r="GO371" s="38"/>
      <c r="GP371" s="38"/>
      <c r="GQ371" s="38"/>
      <c r="GR371" s="38"/>
      <c r="GS371" s="38"/>
      <c r="GT371" s="38"/>
      <c r="GU371" s="38"/>
      <c r="GV371" s="38"/>
      <c r="GW371" s="38"/>
      <c r="GX371" s="38"/>
      <c r="GY371" s="38"/>
      <c r="GZ371" s="38"/>
      <c r="HA371" s="38"/>
      <c r="HB371" s="38"/>
      <c r="HC371" s="38"/>
      <c r="HD371" s="38"/>
      <c r="HE371" s="38"/>
      <c r="HF371" s="38"/>
      <c r="HG371" s="38"/>
      <c r="HH371" s="38"/>
      <c r="HI371" s="38"/>
      <c r="HJ371" s="38"/>
      <c r="HK371" s="38"/>
      <c r="HL371" s="38"/>
      <c r="HM371" s="38"/>
      <c r="HN371" s="38"/>
      <c r="HO371" s="38"/>
      <c r="HP371" s="38"/>
      <c r="HQ371" s="38"/>
      <c r="HR371" s="38"/>
      <c r="HS371" s="38"/>
      <c r="HT371" s="38"/>
      <c r="HU371" s="38"/>
      <c r="HV371" s="38"/>
      <c r="HW371" s="38"/>
      <c r="HX371" s="38"/>
      <c r="HY371" s="38"/>
      <c r="HZ371" s="38"/>
      <c r="IA371" s="38"/>
    </row>
    <row r="372" spans="1:235" s="39" customFormat="1" ht="22.5">
      <c r="A372" s="9" t="s">
        <v>296</v>
      </c>
      <c r="B372" s="9"/>
      <c r="C372" s="9"/>
      <c r="D372" s="10">
        <f>D379*D386</f>
        <v>6120</v>
      </c>
      <c r="E372" s="10"/>
      <c r="F372" s="10">
        <f t="shared" si="47"/>
        <v>6120</v>
      </c>
      <c r="G372" s="10">
        <f>G379*G386</f>
        <v>6600</v>
      </c>
      <c r="H372" s="10"/>
      <c r="I372" s="10"/>
      <c r="J372" s="10">
        <f t="shared" si="48"/>
        <v>6600</v>
      </c>
      <c r="K372" s="10"/>
      <c r="L372" s="10"/>
      <c r="M372" s="10"/>
      <c r="N372" s="10">
        <f>N379*N385</f>
        <v>3840</v>
      </c>
      <c r="O372" s="10"/>
      <c r="P372" s="10">
        <f t="shared" si="49"/>
        <v>3840</v>
      </c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  <c r="DH372" s="38"/>
      <c r="DI372" s="38"/>
      <c r="DJ372" s="38"/>
      <c r="DK372" s="38"/>
      <c r="DL372" s="38"/>
      <c r="DM372" s="38"/>
      <c r="DN372" s="38"/>
      <c r="DO372" s="38"/>
      <c r="DP372" s="38"/>
      <c r="DQ372" s="38"/>
      <c r="DR372" s="38"/>
      <c r="DS372" s="38"/>
      <c r="DT372" s="38"/>
      <c r="DU372" s="38"/>
      <c r="DV372" s="38"/>
      <c r="DW372" s="38"/>
      <c r="DX372" s="38"/>
      <c r="DY372" s="38"/>
      <c r="DZ372" s="38"/>
      <c r="EA372" s="38"/>
      <c r="EB372" s="38"/>
      <c r="EC372" s="38"/>
      <c r="ED372" s="38"/>
      <c r="EE372" s="38"/>
      <c r="EF372" s="38"/>
      <c r="EG372" s="38"/>
      <c r="EH372" s="38"/>
      <c r="EI372" s="38"/>
      <c r="EJ372" s="38"/>
      <c r="EK372" s="38"/>
      <c r="EL372" s="38"/>
      <c r="EM372" s="38"/>
      <c r="EN372" s="38"/>
      <c r="EO372" s="38"/>
      <c r="EP372" s="38"/>
      <c r="EQ372" s="38"/>
      <c r="ER372" s="38"/>
      <c r="ES372" s="38"/>
      <c r="ET372" s="38"/>
      <c r="EU372" s="38"/>
      <c r="EV372" s="38"/>
      <c r="EW372" s="38"/>
      <c r="EX372" s="38"/>
      <c r="EY372" s="38"/>
      <c r="EZ372" s="38"/>
      <c r="FA372" s="38"/>
      <c r="FB372" s="38"/>
      <c r="FC372" s="38"/>
      <c r="FD372" s="38"/>
      <c r="FE372" s="38"/>
      <c r="FF372" s="38"/>
      <c r="FG372" s="38"/>
      <c r="FH372" s="38"/>
      <c r="FI372" s="38"/>
      <c r="FJ372" s="38"/>
      <c r="FK372" s="38"/>
      <c r="FL372" s="38"/>
      <c r="FM372" s="38"/>
      <c r="FN372" s="38"/>
      <c r="FO372" s="38"/>
      <c r="FP372" s="38"/>
      <c r="FQ372" s="38"/>
      <c r="FR372" s="38"/>
      <c r="FS372" s="38"/>
      <c r="FT372" s="38"/>
      <c r="FU372" s="38"/>
      <c r="FV372" s="38"/>
      <c r="FW372" s="38"/>
      <c r="FX372" s="38"/>
      <c r="FY372" s="38"/>
      <c r="FZ372" s="38"/>
      <c r="GA372" s="38"/>
      <c r="GB372" s="38"/>
      <c r="GC372" s="38"/>
      <c r="GD372" s="38"/>
      <c r="GE372" s="38"/>
      <c r="GF372" s="38"/>
      <c r="GG372" s="38"/>
      <c r="GH372" s="38"/>
      <c r="GI372" s="38"/>
      <c r="GJ372" s="38"/>
      <c r="GK372" s="38"/>
      <c r="GL372" s="38"/>
      <c r="GM372" s="38"/>
      <c r="GN372" s="38"/>
      <c r="GO372" s="38"/>
      <c r="GP372" s="38"/>
      <c r="GQ372" s="38"/>
      <c r="GR372" s="38"/>
      <c r="GS372" s="38"/>
      <c r="GT372" s="38"/>
      <c r="GU372" s="38"/>
      <c r="GV372" s="38"/>
      <c r="GW372" s="38"/>
      <c r="GX372" s="38"/>
      <c r="GY372" s="38"/>
      <c r="GZ372" s="38"/>
      <c r="HA372" s="38"/>
      <c r="HB372" s="38"/>
      <c r="HC372" s="38"/>
      <c r="HD372" s="38"/>
      <c r="HE372" s="38"/>
      <c r="HF372" s="38"/>
      <c r="HG372" s="38"/>
      <c r="HH372" s="38"/>
      <c r="HI372" s="38"/>
      <c r="HJ372" s="38"/>
      <c r="HK372" s="38"/>
      <c r="HL372" s="38"/>
      <c r="HM372" s="38"/>
      <c r="HN372" s="38"/>
      <c r="HO372" s="38"/>
      <c r="HP372" s="38"/>
      <c r="HQ372" s="38"/>
      <c r="HR372" s="38"/>
      <c r="HS372" s="38"/>
      <c r="HT372" s="38"/>
      <c r="HU372" s="38"/>
      <c r="HV372" s="38"/>
      <c r="HW372" s="38"/>
      <c r="HX372" s="38"/>
      <c r="HY372" s="38"/>
      <c r="HZ372" s="38"/>
      <c r="IA372" s="38"/>
    </row>
    <row r="373" spans="1:235" s="39" customFormat="1" ht="33.75">
      <c r="A373" s="9" t="s">
        <v>297</v>
      </c>
      <c r="B373" s="9"/>
      <c r="C373" s="9"/>
      <c r="D373" s="10">
        <f>D380*D387</f>
        <v>1560</v>
      </c>
      <c r="E373" s="10"/>
      <c r="F373" s="10">
        <f t="shared" si="47"/>
        <v>1560</v>
      </c>
      <c r="G373" s="10">
        <f>G380*G387</f>
        <v>1680</v>
      </c>
      <c r="H373" s="10"/>
      <c r="I373" s="10"/>
      <c r="J373" s="10">
        <f t="shared" si="48"/>
        <v>1680</v>
      </c>
      <c r="K373" s="10"/>
      <c r="L373" s="10"/>
      <c r="M373" s="10"/>
      <c r="N373" s="10">
        <f>N380*N387</f>
        <v>1800</v>
      </c>
      <c r="O373" s="10"/>
      <c r="P373" s="10">
        <f t="shared" si="49"/>
        <v>1800</v>
      </c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  <c r="DG373" s="38"/>
      <c r="DH373" s="38"/>
      <c r="DI373" s="38"/>
      <c r="DJ373" s="38"/>
      <c r="DK373" s="38"/>
      <c r="DL373" s="38"/>
      <c r="DM373" s="38"/>
      <c r="DN373" s="38"/>
      <c r="DO373" s="38"/>
      <c r="DP373" s="38"/>
      <c r="DQ373" s="38"/>
      <c r="DR373" s="38"/>
      <c r="DS373" s="38"/>
      <c r="DT373" s="38"/>
      <c r="DU373" s="38"/>
      <c r="DV373" s="38"/>
      <c r="DW373" s="38"/>
      <c r="DX373" s="38"/>
      <c r="DY373" s="38"/>
      <c r="DZ373" s="38"/>
      <c r="EA373" s="38"/>
      <c r="EB373" s="38"/>
      <c r="EC373" s="38"/>
      <c r="ED373" s="38"/>
      <c r="EE373" s="38"/>
      <c r="EF373" s="38"/>
      <c r="EG373" s="38"/>
      <c r="EH373" s="38"/>
      <c r="EI373" s="38"/>
      <c r="EJ373" s="38"/>
      <c r="EK373" s="38"/>
      <c r="EL373" s="38"/>
      <c r="EM373" s="38"/>
      <c r="EN373" s="38"/>
      <c r="EO373" s="38"/>
      <c r="EP373" s="38"/>
      <c r="EQ373" s="38"/>
      <c r="ER373" s="38"/>
      <c r="ES373" s="38"/>
      <c r="ET373" s="38"/>
      <c r="EU373" s="38"/>
      <c r="EV373" s="38"/>
      <c r="EW373" s="38"/>
      <c r="EX373" s="38"/>
      <c r="EY373" s="38"/>
      <c r="EZ373" s="38"/>
      <c r="FA373" s="38"/>
      <c r="FB373" s="38"/>
      <c r="FC373" s="38"/>
      <c r="FD373" s="38"/>
      <c r="FE373" s="38"/>
      <c r="FF373" s="38"/>
      <c r="FG373" s="38"/>
      <c r="FH373" s="38"/>
      <c r="FI373" s="38"/>
      <c r="FJ373" s="38"/>
      <c r="FK373" s="38"/>
      <c r="FL373" s="38"/>
      <c r="FM373" s="38"/>
      <c r="FN373" s="38"/>
      <c r="FO373" s="38"/>
      <c r="FP373" s="38"/>
      <c r="FQ373" s="38"/>
      <c r="FR373" s="38"/>
      <c r="FS373" s="38"/>
      <c r="FT373" s="38"/>
      <c r="FU373" s="38"/>
      <c r="FV373" s="38"/>
      <c r="FW373" s="38"/>
      <c r="FX373" s="38"/>
      <c r="FY373" s="38"/>
      <c r="FZ373" s="38"/>
      <c r="GA373" s="38"/>
      <c r="GB373" s="38"/>
      <c r="GC373" s="38"/>
      <c r="GD373" s="38"/>
      <c r="GE373" s="38"/>
      <c r="GF373" s="38"/>
      <c r="GG373" s="38"/>
      <c r="GH373" s="38"/>
      <c r="GI373" s="38"/>
      <c r="GJ373" s="38"/>
      <c r="GK373" s="38"/>
      <c r="GL373" s="38"/>
      <c r="GM373" s="38"/>
      <c r="GN373" s="38"/>
      <c r="GO373" s="38"/>
      <c r="GP373" s="38"/>
      <c r="GQ373" s="38"/>
      <c r="GR373" s="38"/>
      <c r="GS373" s="38"/>
      <c r="GT373" s="38"/>
      <c r="GU373" s="38"/>
      <c r="GV373" s="38"/>
      <c r="GW373" s="38"/>
      <c r="GX373" s="38"/>
      <c r="GY373" s="38"/>
      <c r="GZ373" s="38"/>
      <c r="HA373" s="38"/>
      <c r="HB373" s="38"/>
      <c r="HC373" s="38"/>
      <c r="HD373" s="38"/>
      <c r="HE373" s="38"/>
      <c r="HF373" s="38"/>
      <c r="HG373" s="38"/>
      <c r="HH373" s="38"/>
      <c r="HI373" s="38"/>
      <c r="HJ373" s="38"/>
      <c r="HK373" s="38"/>
      <c r="HL373" s="38"/>
      <c r="HM373" s="38"/>
      <c r="HN373" s="38"/>
      <c r="HO373" s="38"/>
      <c r="HP373" s="38"/>
      <c r="HQ373" s="38"/>
      <c r="HR373" s="38"/>
      <c r="HS373" s="38"/>
      <c r="HT373" s="38"/>
      <c r="HU373" s="38"/>
      <c r="HV373" s="38"/>
      <c r="HW373" s="38"/>
      <c r="HX373" s="38"/>
      <c r="HY373" s="38"/>
      <c r="HZ373" s="38"/>
      <c r="IA373" s="38"/>
    </row>
    <row r="374" spans="1:16" ht="11.25">
      <c r="A374" s="13" t="s">
        <v>5</v>
      </c>
      <c r="B374" s="13"/>
      <c r="C374" s="13"/>
      <c r="D374" s="64"/>
      <c r="E374" s="64"/>
      <c r="F374" s="65"/>
      <c r="G374" s="64"/>
      <c r="H374" s="64"/>
      <c r="I374" s="64"/>
      <c r="J374" s="65"/>
      <c r="K374" s="65"/>
      <c r="L374" s="64"/>
      <c r="M374" s="64"/>
      <c r="N374" s="64"/>
      <c r="O374" s="64"/>
      <c r="P374" s="65"/>
    </row>
    <row r="375" spans="1:16" ht="33.75" customHeight="1">
      <c r="A375" s="11" t="s">
        <v>298</v>
      </c>
      <c r="B375" s="11"/>
      <c r="C375" s="11"/>
      <c r="D375" s="66">
        <v>30</v>
      </c>
      <c r="E375" s="66"/>
      <c r="F375" s="66">
        <f aca="true" t="shared" si="50" ref="F375:F380">D375+E375</f>
        <v>30</v>
      </c>
      <c r="G375" s="66">
        <v>30</v>
      </c>
      <c r="H375" s="66"/>
      <c r="I375" s="66"/>
      <c r="J375" s="66">
        <f aca="true" t="shared" si="51" ref="J375:J380">G375+H375</f>
        <v>30</v>
      </c>
      <c r="K375" s="66">
        <f aca="true" t="shared" si="52" ref="K375:K380">G375/D375*100</f>
        <v>100</v>
      </c>
      <c r="L375" s="66"/>
      <c r="M375" s="66"/>
      <c r="N375" s="66">
        <v>30</v>
      </c>
      <c r="O375" s="66"/>
      <c r="P375" s="66">
        <f>N375+O375</f>
        <v>30</v>
      </c>
    </row>
    <row r="376" spans="1:16" ht="39" customHeight="1">
      <c r="A376" s="11" t="s">
        <v>299</v>
      </c>
      <c r="B376" s="11"/>
      <c r="C376" s="11"/>
      <c r="D376" s="66">
        <v>30</v>
      </c>
      <c r="E376" s="66"/>
      <c r="F376" s="66">
        <f t="shared" si="50"/>
        <v>30</v>
      </c>
      <c r="G376" s="66">
        <v>30</v>
      </c>
      <c r="H376" s="66"/>
      <c r="I376" s="66"/>
      <c r="J376" s="66">
        <f t="shared" si="51"/>
        <v>30</v>
      </c>
      <c r="K376" s="66">
        <f t="shared" si="52"/>
        <v>100</v>
      </c>
      <c r="L376" s="66"/>
      <c r="M376" s="66"/>
      <c r="N376" s="66">
        <v>30</v>
      </c>
      <c r="O376" s="66"/>
      <c r="P376" s="66">
        <f>N376+O376</f>
        <v>30</v>
      </c>
    </row>
    <row r="377" spans="1:16" ht="33.75" customHeight="1">
      <c r="A377" s="11" t="s">
        <v>300</v>
      </c>
      <c r="B377" s="11"/>
      <c r="C377" s="11"/>
      <c r="D377" s="66">
        <v>30</v>
      </c>
      <c r="E377" s="66"/>
      <c r="F377" s="66">
        <f t="shared" si="50"/>
        <v>30</v>
      </c>
      <c r="G377" s="66">
        <v>30</v>
      </c>
      <c r="H377" s="66"/>
      <c r="I377" s="66"/>
      <c r="J377" s="66">
        <f t="shared" si="51"/>
        <v>30</v>
      </c>
      <c r="K377" s="66">
        <f t="shared" si="52"/>
        <v>100</v>
      </c>
      <c r="L377" s="66"/>
      <c r="M377" s="66"/>
      <c r="N377" s="66">
        <v>30</v>
      </c>
      <c r="O377" s="66"/>
      <c r="P377" s="66">
        <f>N377+O377</f>
        <v>30</v>
      </c>
    </row>
    <row r="378" spans="1:16" ht="39" customHeight="1">
      <c r="A378" s="11" t="s">
        <v>301</v>
      </c>
      <c r="B378" s="11"/>
      <c r="C378" s="11"/>
      <c r="D378" s="66">
        <v>90</v>
      </c>
      <c r="E378" s="66"/>
      <c r="F378" s="66">
        <f t="shared" si="50"/>
        <v>90</v>
      </c>
      <c r="G378" s="66">
        <v>90</v>
      </c>
      <c r="H378" s="66"/>
      <c r="I378" s="66"/>
      <c r="J378" s="66">
        <f t="shared" si="51"/>
        <v>90</v>
      </c>
      <c r="K378" s="66">
        <f t="shared" si="52"/>
        <v>100</v>
      </c>
      <c r="L378" s="66"/>
      <c r="M378" s="66"/>
      <c r="N378" s="66">
        <v>90</v>
      </c>
      <c r="O378" s="66"/>
      <c r="P378" s="66">
        <f>N378+O378</f>
        <v>90</v>
      </c>
    </row>
    <row r="379" spans="1:16" ht="22.5">
      <c r="A379" s="11" t="s">
        <v>302</v>
      </c>
      <c r="B379" s="11"/>
      <c r="C379" s="11"/>
      <c r="D379" s="66">
        <v>12</v>
      </c>
      <c r="E379" s="66"/>
      <c r="F379" s="66">
        <f t="shared" si="50"/>
        <v>12</v>
      </c>
      <c r="G379" s="66">
        <v>12</v>
      </c>
      <c r="H379" s="66"/>
      <c r="I379" s="66"/>
      <c r="J379" s="66">
        <f t="shared" si="51"/>
        <v>12</v>
      </c>
      <c r="K379" s="66">
        <f t="shared" si="52"/>
        <v>100</v>
      </c>
      <c r="L379" s="66"/>
      <c r="M379" s="66"/>
      <c r="N379" s="66">
        <v>12</v>
      </c>
      <c r="O379" s="66"/>
      <c r="P379" s="66">
        <f>N379</f>
        <v>12</v>
      </c>
    </row>
    <row r="380" spans="1:16" ht="22.5">
      <c r="A380" s="11" t="s">
        <v>303</v>
      </c>
      <c r="B380" s="11"/>
      <c r="C380" s="11"/>
      <c r="D380" s="66">
        <v>12</v>
      </c>
      <c r="E380" s="66"/>
      <c r="F380" s="66">
        <f t="shared" si="50"/>
        <v>12</v>
      </c>
      <c r="G380" s="66">
        <v>12</v>
      </c>
      <c r="H380" s="66"/>
      <c r="I380" s="66"/>
      <c r="J380" s="66">
        <f t="shared" si="51"/>
        <v>12</v>
      </c>
      <c r="K380" s="66">
        <f t="shared" si="52"/>
        <v>100</v>
      </c>
      <c r="L380" s="66"/>
      <c r="M380" s="66"/>
      <c r="N380" s="66">
        <v>12</v>
      </c>
      <c r="O380" s="66"/>
      <c r="P380" s="66">
        <f>N380</f>
        <v>12</v>
      </c>
    </row>
    <row r="381" spans="1:16" ht="11.25">
      <c r="A381" s="13" t="s">
        <v>7</v>
      </c>
      <c r="B381" s="13"/>
      <c r="C381" s="13"/>
      <c r="D381" s="10"/>
      <c r="E381" s="10"/>
      <c r="F381" s="43"/>
      <c r="G381" s="10"/>
      <c r="H381" s="10"/>
      <c r="I381" s="10"/>
      <c r="J381" s="43"/>
      <c r="K381" s="43"/>
      <c r="L381" s="10"/>
      <c r="M381" s="10"/>
      <c r="N381" s="10"/>
      <c r="O381" s="10"/>
      <c r="P381" s="43"/>
    </row>
    <row r="382" spans="1:16" ht="41.25" customHeight="1">
      <c r="A382" s="11" t="s">
        <v>304</v>
      </c>
      <c r="B382" s="11"/>
      <c r="C382" s="11"/>
      <c r="D382" s="43">
        <v>240</v>
      </c>
      <c r="E382" s="43"/>
      <c r="F382" s="43">
        <f aca="true" t="shared" si="53" ref="F382:F387">D382+E382</f>
        <v>240</v>
      </c>
      <c r="G382" s="43">
        <v>260</v>
      </c>
      <c r="H382" s="43"/>
      <c r="I382" s="43"/>
      <c r="J382" s="43">
        <f aca="true" t="shared" si="54" ref="J382:J387">G382+H382</f>
        <v>260</v>
      </c>
      <c r="K382" s="43">
        <f>G382/D382*100</f>
        <v>108.33333333333333</v>
      </c>
      <c r="L382" s="43"/>
      <c r="M382" s="43"/>
      <c r="N382" s="43">
        <v>275</v>
      </c>
      <c r="O382" s="43"/>
      <c r="P382" s="43">
        <f>N382+O382</f>
        <v>275</v>
      </c>
    </row>
    <row r="383" spans="1:16" ht="33.75">
      <c r="A383" s="11" t="s">
        <v>305</v>
      </c>
      <c r="B383" s="11"/>
      <c r="C383" s="11"/>
      <c r="D383" s="65">
        <v>760</v>
      </c>
      <c r="E383" s="65"/>
      <c r="F383" s="65">
        <f t="shared" si="53"/>
        <v>760</v>
      </c>
      <c r="G383" s="65">
        <v>820</v>
      </c>
      <c r="H383" s="65"/>
      <c r="I383" s="65"/>
      <c r="J383" s="65">
        <f t="shared" si="54"/>
        <v>820</v>
      </c>
      <c r="K383" s="65">
        <f>G383/D383*100</f>
        <v>107.89473684210526</v>
      </c>
      <c r="L383" s="65"/>
      <c r="M383" s="65"/>
      <c r="N383" s="65">
        <v>870</v>
      </c>
      <c r="O383" s="65"/>
      <c r="P383" s="65">
        <f>N383+O383</f>
        <v>870</v>
      </c>
    </row>
    <row r="384" spans="1:16" ht="33.75" customHeight="1">
      <c r="A384" s="11" t="s">
        <v>306</v>
      </c>
      <c r="B384" s="11"/>
      <c r="C384" s="11"/>
      <c r="D384" s="43">
        <v>1350</v>
      </c>
      <c r="E384" s="43"/>
      <c r="F384" s="43">
        <f t="shared" si="53"/>
        <v>1350</v>
      </c>
      <c r="G384" s="43">
        <v>1450</v>
      </c>
      <c r="H384" s="43"/>
      <c r="I384" s="43"/>
      <c r="J384" s="43">
        <f t="shared" si="54"/>
        <v>1450</v>
      </c>
      <c r="K384" s="65"/>
      <c r="L384" s="65"/>
      <c r="M384" s="65"/>
      <c r="N384" s="43">
        <v>1540</v>
      </c>
      <c r="O384" s="43"/>
      <c r="P384" s="43">
        <f>N384</f>
        <v>1540</v>
      </c>
    </row>
    <row r="385" spans="1:16" ht="38.25" customHeight="1">
      <c r="A385" s="11" t="s">
        <v>307</v>
      </c>
      <c r="B385" s="11"/>
      <c r="C385" s="11"/>
      <c r="D385" s="43">
        <v>280</v>
      </c>
      <c r="E385" s="43"/>
      <c r="F385" s="43">
        <f t="shared" si="53"/>
        <v>280</v>
      </c>
      <c r="G385" s="43">
        <v>300</v>
      </c>
      <c r="H385" s="43"/>
      <c r="I385" s="43"/>
      <c r="J385" s="43">
        <f t="shared" si="54"/>
        <v>300</v>
      </c>
      <c r="K385" s="65"/>
      <c r="L385" s="65"/>
      <c r="M385" s="65"/>
      <c r="N385" s="43">
        <v>320</v>
      </c>
      <c r="O385" s="43"/>
      <c r="P385" s="43">
        <f>N385</f>
        <v>320</v>
      </c>
    </row>
    <row r="386" spans="1:16" ht="22.5">
      <c r="A386" s="11" t="s">
        <v>308</v>
      </c>
      <c r="B386" s="11"/>
      <c r="C386" s="11"/>
      <c r="D386" s="43">
        <v>510</v>
      </c>
      <c r="E386" s="43"/>
      <c r="F386" s="43">
        <f t="shared" si="53"/>
        <v>510</v>
      </c>
      <c r="G386" s="43">
        <v>550</v>
      </c>
      <c r="H386" s="43"/>
      <c r="I386" s="43"/>
      <c r="J386" s="43">
        <f t="shared" si="54"/>
        <v>550</v>
      </c>
      <c r="K386" s="65"/>
      <c r="L386" s="65"/>
      <c r="M386" s="65"/>
      <c r="N386" s="43">
        <v>585</v>
      </c>
      <c r="O386" s="43"/>
      <c r="P386" s="43">
        <f>N386</f>
        <v>585</v>
      </c>
    </row>
    <row r="387" spans="1:16" ht="22.5">
      <c r="A387" s="11" t="s">
        <v>309</v>
      </c>
      <c r="B387" s="11"/>
      <c r="C387" s="11"/>
      <c r="D387" s="43">
        <v>130</v>
      </c>
      <c r="E387" s="43"/>
      <c r="F387" s="43">
        <f t="shared" si="53"/>
        <v>130</v>
      </c>
      <c r="G387" s="43">
        <v>140</v>
      </c>
      <c r="H387" s="43"/>
      <c r="I387" s="43"/>
      <c r="J387" s="43">
        <f t="shared" si="54"/>
        <v>140</v>
      </c>
      <c r="K387" s="65"/>
      <c r="L387" s="65"/>
      <c r="M387" s="65"/>
      <c r="N387" s="43">
        <v>150</v>
      </c>
      <c r="O387" s="43"/>
      <c r="P387" s="43">
        <f>N387+O387</f>
        <v>150</v>
      </c>
    </row>
    <row r="388" spans="1:16" ht="11.25">
      <c r="A388" s="125" t="s">
        <v>311</v>
      </c>
      <c r="B388" s="13"/>
      <c r="C388" s="13"/>
      <c r="D388" s="10"/>
      <c r="E388" s="10">
        <f>E390+E406</f>
        <v>692840</v>
      </c>
      <c r="F388" s="10">
        <f>F390+F406</f>
        <v>692840</v>
      </c>
      <c r="G388" s="10"/>
      <c r="H388" s="10">
        <f>H390+H406</f>
        <v>742600</v>
      </c>
      <c r="I388" s="10"/>
      <c r="J388" s="10">
        <f>J390+J406</f>
        <v>742600</v>
      </c>
      <c r="K388" s="64"/>
      <c r="L388" s="64"/>
      <c r="M388" s="64"/>
      <c r="N388" s="10"/>
      <c r="O388" s="10">
        <f>O390+O406</f>
        <v>787532</v>
      </c>
      <c r="P388" s="10">
        <f>P390+P406</f>
        <v>787532</v>
      </c>
    </row>
    <row r="389" spans="1:16" ht="101.25">
      <c r="A389" s="12" t="s">
        <v>312</v>
      </c>
      <c r="B389" s="11"/>
      <c r="C389" s="11"/>
      <c r="D389" s="43"/>
      <c r="E389" s="43"/>
      <c r="F389" s="43"/>
      <c r="G389" s="43"/>
      <c r="H389" s="43"/>
      <c r="I389" s="43"/>
      <c r="J389" s="43"/>
      <c r="K389" s="65"/>
      <c r="L389" s="65"/>
      <c r="M389" s="65"/>
      <c r="N389" s="43"/>
      <c r="O389" s="43"/>
      <c r="P389" s="43"/>
    </row>
    <row r="390" spans="1:16" ht="78.75">
      <c r="A390" s="67" t="s">
        <v>403</v>
      </c>
      <c r="B390" s="11"/>
      <c r="C390" s="11"/>
      <c r="D390" s="43"/>
      <c r="E390" s="43">
        <f>E392+E393+E394+E395</f>
        <v>428840</v>
      </c>
      <c r="F390" s="43">
        <f>D390+E390</f>
        <v>428840</v>
      </c>
      <c r="G390" s="43"/>
      <c r="H390" s="43">
        <f>H392+H393+H394+H395</f>
        <v>459400</v>
      </c>
      <c r="I390" s="43"/>
      <c r="J390" s="43">
        <f>J392+J393+J394+J395</f>
        <v>459400</v>
      </c>
      <c r="K390" s="65"/>
      <c r="L390" s="65"/>
      <c r="M390" s="65"/>
      <c r="N390" s="43"/>
      <c r="O390" s="43">
        <f>O392+O393+O394+O395</f>
        <v>487340</v>
      </c>
      <c r="P390" s="43">
        <f>P392+P393+P394+P395</f>
        <v>487340</v>
      </c>
    </row>
    <row r="391" spans="1:16" ht="11.25">
      <c r="A391" s="13" t="s">
        <v>4</v>
      </c>
      <c r="B391" s="11"/>
      <c r="C391" s="11"/>
      <c r="D391" s="43"/>
      <c r="E391" s="43"/>
      <c r="F391" s="43"/>
      <c r="G391" s="43"/>
      <c r="H391" s="43"/>
      <c r="I391" s="43"/>
      <c r="J391" s="43"/>
      <c r="K391" s="65"/>
      <c r="L391" s="65"/>
      <c r="M391" s="65"/>
      <c r="N391" s="43"/>
      <c r="O391" s="43"/>
      <c r="P391" s="43"/>
    </row>
    <row r="392" spans="1:16" ht="33.75">
      <c r="A392" s="8" t="s">
        <v>314</v>
      </c>
      <c r="B392" s="11"/>
      <c r="C392" s="11"/>
      <c r="D392" s="43"/>
      <c r="E392" s="43">
        <f>E397*E402</f>
        <v>387500</v>
      </c>
      <c r="F392" s="43">
        <f>D392+E392</f>
        <v>387500</v>
      </c>
      <c r="G392" s="43"/>
      <c r="H392" s="43">
        <f>H397*H402</f>
        <v>415000</v>
      </c>
      <c r="I392" s="43"/>
      <c r="J392" s="43">
        <f>G392+H392</f>
        <v>415000</v>
      </c>
      <c r="K392" s="65"/>
      <c r="L392" s="65"/>
      <c r="M392" s="65"/>
      <c r="N392" s="43"/>
      <c r="O392" s="43">
        <f>O397*O402</f>
        <v>440000</v>
      </c>
      <c r="P392" s="43">
        <f>N392+O392</f>
        <v>440000</v>
      </c>
    </row>
    <row r="393" spans="1:16" ht="22.5">
      <c r="A393" s="8" t="s">
        <v>313</v>
      </c>
      <c r="B393" s="11"/>
      <c r="C393" s="11"/>
      <c r="D393" s="43"/>
      <c r="E393" s="43">
        <f>E398*E403</f>
        <v>12240</v>
      </c>
      <c r="F393" s="43">
        <f>D393+E393</f>
        <v>12240</v>
      </c>
      <c r="G393" s="43"/>
      <c r="H393" s="43">
        <f>H398*H403</f>
        <v>13200</v>
      </c>
      <c r="I393" s="43"/>
      <c r="J393" s="43">
        <f>G393+H393</f>
        <v>13200</v>
      </c>
      <c r="K393" s="65"/>
      <c r="L393" s="65"/>
      <c r="M393" s="65"/>
      <c r="N393" s="43"/>
      <c r="O393" s="43">
        <f>O398*O403</f>
        <v>14040</v>
      </c>
      <c r="P393" s="43">
        <f>N393+O393</f>
        <v>14040</v>
      </c>
    </row>
    <row r="394" spans="1:16" ht="33.75">
      <c r="A394" s="8" t="s">
        <v>315</v>
      </c>
      <c r="B394" s="11"/>
      <c r="C394" s="11"/>
      <c r="D394" s="43"/>
      <c r="E394" s="43">
        <f>E399*E404</f>
        <v>25200</v>
      </c>
      <c r="F394" s="43">
        <f>D394+E394</f>
        <v>25200</v>
      </c>
      <c r="G394" s="43"/>
      <c r="H394" s="43">
        <f>H399*H404</f>
        <v>27000</v>
      </c>
      <c r="I394" s="43"/>
      <c r="J394" s="43">
        <f>G394+H394</f>
        <v>27000</v>
      </c>
      <c r="K394" s="65"/>
      <c r="L394" s="65"/>
      <c r="M394" s="65"/>
      <c r="N394" s="43"/>
      <c r="O394" s="43">
        <f>O399*O404</f>
        <v>28800</v>
      </c>
      <c r="P394" s="43">
        <f>N394+O394</f>
        <v>28800</v>
      </c>
    </row>
    <row r="395" spans="1:16" ht="33.75">
      <c r="A395" s="8" t="s">
        <v>316</v>
      </c>
      <c r="B395" s="11"/>
      <c r="C395" s="11"/>
      <c r="D395" s="43"/>
      <c r="E395" s="43">
        <f>E400*E405</f>
        <v>3900</v>
      </c>
      <c r="F395" s="43">
        <f>D395+E395</f>
        <v>3900</v>
      </c>
      <c r="G395" s="43"/>
      <c r="H395" s="43">
        <f>H400*H405</f>
        <v>4200</v>
      </c>
      <c r="I395" s="43"/>
      <c r="J395" s="43">
        <f>G395+H395</f>
        <v>4200</v>
      </c>
      <c r="K395" s="65"/>
      <c r="L395" s="65"/>
      <c r="M395" s="65"/>
      <c r="N395" s="43"/>
      <c r="O395" s="43">
        <f>O400*O405</f>
        <v>4500</v>
      </c>
      <c r="P395" s="43">
        <f>N395+O395</f>
        <v>4500</v>
      </c>
    </row>
    <row r="396" spans="1:16" ht="11.25">
      <c r="A396" s="13" t="s">
        <v>5</v>
      </c>
      <c r="B396" s="11"/>
      <c r="C396" s="11"/>
      <c r="D396" s="43"/>
      <c r="E396" s="43"/>
      <c r="F396" s="43"/>
      <c r="G396" s="43"/>
      <c r="H396" s="43"/>
      <c r="I396" s="43"/>
      <c r="J396" s="43"/>
      <c r="K396" s="65"/>
      <c r="L396" s="65"/>
      <c r="M396" s="65"/>
      <c r="N396" s="43"/>
      <c r="O396" s="43"/>
      <c r="P396" s="43"/>
    </row>
    <row r="397" spans="1:16" ht="33.75">
      <c r="A397" s="8" t="s">
        <v>317</v>
      </c>
      <c r="B397" s="11"/>
      <c r="C397" s="11"/>
      <c r="D397" s="43"/>
      <c r="E397" s="14">
        <f>60+160+30</f>
        <v>250</v>
      </c>
      <c r="F397" s="43">
        <f aca="true" t="shared" si="55" ref="F397:F405">D397+E397</f>
        <v>250</v>
      </c>
      <c r="G397" s="43"/>
      <c r="H397" s="14">
        <f>60+160+30</f>
        <v>250</v>
      </c>
      <c r="I397" s="43"/>
      <c r="J397" s="43">
        <f aca="true" t="shared" si="56" ref="J397:J405">G397+H397</f>
        <v>250</v>
      </c>
      <c r="K397" s="65"/>
      <c r="L397" s="65"/>
      <c r="M397" s="65"/>
      <c r="N397" s="43"/>
      <c r="O397" s="14">
        <f>60+160+30</f>
        <v>250</v>
      </c>
      <c r="P397" s="43">
        <f aca="true" t="shared" si="57" ref="P397:P405">N397+O397</f>
        <v>250</v>
      </c>
    </row>
    <row r="398" spans="1:16" ht="33.75">
      <c r="A398" s="8" t="s">
        <v>318</v>
      </c>
      <c r="B398" s="11"/>
      <c r="C398" s="11"/>
      <c r="D398" s="43"/>
      <c r="E398" s="14">
        <v>24</v>
      </c>
      <c r="F398" s="43">
        <f t="shared" si="55"/>
        <v>24</v>
      </c>
      <c r="G398" s="43"/>
      <c r="H398" s="14">
        <v>24</v>
      </c>
      <c r="I398" s="43"/>
      <c r="J398" s="43">
        <f t="shared" si="56"/>
        <v>24</v>
      </c>
      <c r="K398" s="65"/>
      <c r="L398" s="65"/>
      <c r="M398" s="65"/>
      <c r="N398" s="43"/>
      <c r="O398" s="14">
        <v>24</v>
      </c>
      <c r="P398" s="43">
        <f t="shared" si="57"/>
        <v>24</v>
      </c>
    </row>
    <row r="399" spans="1:16" ht="33.75">
      <c r="A399" s="8" t="s">
        <v>319</v>
      </c>
      <c r="B399" s="11"/>
      <c r="C399" s="11"/>
      <c r="D399" s="43"/>
      <c r="E399" s="14">
        <v>90</v>
      </c>
      <c r="F399" s="43">
        <f t="shared" si="55"/>
        <v>90</v>
      </c>
      <c r="G399" s="43"/>
      <c r="H399" s="14">
        <v>90</v>
      </c>
      <c r="I399" s="43"/>
      <c r="J399" s="43">
        <f t="shared" si="56"/>
        <v>90</v>
      </c>
      <c r="K399" s="65"/>
      <c r="L399" s="65"/>
      <c r="M399" s="65"/>
      <c r="N399" s="43"/>
      <c r="O399" s="14">
        <v>90</v>
      </c>
      <c r="P399" s="43">
        <f t="shared" si="57"/>
        <v>90</v>
      </c>
    </row>
    <row r="400" spans="1:16" ht="22.5">
      <c r="A400" s="8" t="s">
        <v>320</v>
      </c>
      <c r="B400" s="11"/>
      <c r="C400" s="11"/>
      <c r="D400" s="43"/>
      <c r="E400" s="14">
        <v>30</v>
      </c>
      <c r="F400" s="43">
        <f t="shared" si="55"/>
        <v>30</v>
      </c>
      <c r="G400" s="43"/>
      <c r="H400" s="14">
        <v>30</v>
      </c>
      <c r="I400" s="43"/>
      <c r="J400" s="43">
        <f t="shared" si="56"/>
        <v>30</v>
      </c>
      <c r="K400" s="65"/>
      <c r="L400" s="65"/>
      <c r="M400" s="65"/>
      <c r="N400" s="43"/>
      <c r="O400" s="14">
        <v>30</v>
      </c>
      <c r="P400" s="43">
        <f t="shared" si="57"/>
        <v>30</v>
      </c>
    </row>
    <row r="401" spans="1:16" ht="11.25">
      <c r="A401" s="13" t="s">
        <v>7</v>
      </c>
      <c r="B401" s="68"/>
      <c r="C401" s="11"/>
      <c r="D401" s="43"/>
      <c r="E401" s="15">
        <f>E402+E403+E404+E405</f>
        <v>2470</v>
      </c>
      <c r="F401" s="43">
        <f t="shared" si="55"/>
        <v>2470</v>
      </c>
      <c r="G401" s="43"/>
      <c r="H401" s="15">
        <f>H402+H403+H404+H405</f>
        <v>2650</v>
      </c>
      <c r="I401" s="43"/>
      <c r="J401" s="43">
        <f t="shared" si="56"/>
        <v>2650</v>
      </c>
      <c r="K401" s="65"/>
      <c r="L401" s="65"/>
      <c r="M401" s="65"/>
      <c r="N401" s="43"/>
      <c r="O401" s="15">
        <f>O402+O403+O404+O405</f>
        <v>2815</v>
      </c>
      <c r="P401" s="43">
        <f t="shared" si="57"/>
        <v>2815</v>
      </c>
    </row>
    <row r="402" spans="1:16" ht="33.75">
      <c r="A402" s="11" t="s">
        <v>321</v>
      </c>
      <c r="B402" s="68"/>
      <c r="C402" s="11"/>
      <c r="D402" s="43"/>
      <c r="E402" s="15">
        <v>1550</v>
      </c>
      <c r="F402" s="43">
        <f t="shared" si="55"/>
        <v>1550</v>
      </c>
      <c r="G402" s="43"/>
      <c r="H402" s="15">
        <v>1660</v>
      </c>
      <c r="I402" s="43"/>
      <c r="J402" s="43">
        <f t="shared" si="56"/>
        <v>1660</v>
      </c>
      <c r="K402" s="65"/>
      <c r="L402" s="65"/>
      <c r="M402" s="65"/>
      <c r="N402" s="43"/>
      <c r="O402" s="15">
        <v>1760</v>
      </c>
      <c r="P402" s="43">
        <f t="shared" si="57"/>
        <v>1760</v>
      </c>
    </row>
    <row r="403" spans="1:16" ht="24.75" customHeight="1">
      <c r="A403" s="11" t="s">
        <v>322</v>
      </c>
      <c r="B403" s="68"/>
      <c r="C403" s="11"/>
      <c r="D403" s="43"/>
      <c r="E403" s="15">
        <v>510</v>
      </c>
      <c r="F403" s="43">
        <f t="shared" si="55"/>
        <v>510</v>
      </c>
      <c r="G403" s="43"/>
      <c r="H403" s="15">
        <v>550</v>
      </c>
      <c r="I403" s="43"/>
      <c r="J403" s="43">
        <f t="shared" si="56"/>
        <v>550</v>
      </c>
      <c r="K403" s="65"/>
      <c r="L403" s="65"/>
      <c r="M403" s="65"/>
      <c r="N403" s="43"/>
      <c r="O403" s="15">
        <v>585</v>
      </c>
      <c r="P403" s="43">
        <f t="shared" si="57"/>
        <v>585</v>
      </c>
    </row>
    <row r="404" spans="1:16" ht="33.75">
      <c r="A404" s="11" t="s">
        <v>323</v>
      </c>
      <c r="B404" s="11"/>
      <c r="C404" s="11"/>
      <c r="D404" s="43"/>
      <c r="E404" s="15">
        <v>280</v>
      </c>
      <c r="F404" s="43">
        <f t="shared" si="55"/>
        <v>280</v>
      </c>
      <c r="G404" s="43"/>
      <c r="H404" s="15">
        <v>300</v>
      </c>
      <c r="I404" s="43"/>
      <c r="J404" s="43">
        <f t="shared" si="56"/>
        <v>300</v>
      </c>
      <c r="K404" s="65"/>
      <c r="L404" s="65"/>
      <c r="M404" s="65"/>
      <c r="N404" s="43"/>
      <c r="O404" s="15">
        <v>320</v>
      </c>
      <c r="P404" s="43">
        <f t="shared" si="57"/>
        <v>320</v>
      </c>
    </row>
    <row r="405" spans="1:16" ht="22.5">
      <c r="A405" s="16" t="s">
        <v>324</v>
      </c>
      <c r="B405" s="11"/>
      <c r="C405" s="11"/>
      <c r="D405" s="43"/>
      <c r="E405" s="17">
        <v>130</v>
      </c>
      <c r="F405" s="43">
        <f t="shared" si="55"/>
        <v>130</v>
      </c>
      <c r="G405" s="43"/>
      <c r="H405" s="17">
        <v>140</v>
      </c>
      <c r="I405" s="43"/>
      <c r="J405" s="43">
        <f t="shared" si="56"/>
        <v>140</v>
      </c>
      <c r="K405" s="65"/>
      <c r="L405" s="65"/>
      <c r="M405" s="65"/>
      <c r="N405" s="43"/>
      <c r="O405" s="18">
        <v>150</v>
      </c>
      <c r="P405" s="43">
        <f t="shared" si="57"/>
        <v>150</v>
      </c>
    </row>
    <row r="406" spans="1:16" ht="45">
      <c r="A406" s="58" t="s">
        <v>404</v>
      </c>
      <c r="B406" s="11"/>
      <c r="C406" s="11"/>
      <c r="D406" s="43">
        <f>D408</f>
        <v>0</v>
      </c>
      <c r="E406" s="43">
        <f>E408</f>
        <v>264000</v>
      </c>
      <c r="F406" s="43">
        <f>F408</f>
        <v>264000</v>
      </c>
      <c r="G406" s="43"/>
      <c r="H406" s="43">
        <f>H408</f>
        <v>283200</v>
      </c>
      <c r="I406" s="43"/>
      <c r="J406" s="43">
        <f>J408</f>
        <v>283200</v>
      </c>
      <c r="K406" s="65"/>
      <c r="L406" s="65"/>
      <c r="M406" s="65"/>
      <c r="N406" s="43"/>
      <c r="O406" s="43">
        <f>O408</f>
        <v>300192</v>
      </c>
      <c r="P406" s="43">
        <f>P408</f>
        <v>300192</v>
      </c>
    </row>
    <row r="407" spans="1:16" ht="11.25">
      <c r="A407" s="19" t="s">
        <v>4</v>
      </c>
      <c r="B407" s="11"/>
      <c r="C407" s="11"/>
      <c r="D407" s="43"/>
      <c r="E407" s="17"/>
      <c r="F407" s="43"/>
      <c r="G407" s="43"/>
      <c r="H407" s="17"/>
      <c r="I407" s="43"/>
      <c r="J407" s="43"/>
      <c r="K407" s="65"/>
      <c r="L407" s="65"/>
      <c r="M407" s="65"/>
      <c r="N407" s="43"/>
      <c r="O407" s="18"/>
      <c r="P407" s="43"/>
    </row>
    <row r="408" spans="1:16" ht="22.5">
      <c r="A408" s="8" t="s">
        <v>325</v>
      </c>
      <c r="B408" s="11"/>
      <c r="C408" s="11"/>
      <c r="D408" s="43"/>
      <c r="E408" s="17">
        <v>264000</v>
      </c>
      <c r="F408" s="43">
        <f>D408+E408</f>
        <v>264000</v>
      </c>
      <c r="G408" s="43"/>
      <c r="H408" s="17">
        <f>H410*H412</f>
        <v>283200</v>
      </c>
      <c r="I408" s="43"/>
      <c r="J408" s="43">
        <f>G408+H408</f>
        <v>283200</v>
      </c>
      <c r="K408" s="65"/>
      <c r="L408" s="65"/>
      <c r="M408" s="65"/>
      <c r="N408" s="43"/>
      <c r="O408" s="18">
        <f>O410*O412</f>
        <v>300192</v>
      </c>
      <c r="P408" s="43">
        <f>N408+O408</f>
        <v>300192</v>
      </c>
    </row>
    <row r="409" spans="1:16" ht="11.25">
      <c r="A409" s="19" t="s">
        <v>5</v>
      </c>
      <c r="B409" s="11"/>
      <c r="C409" s="11"/>
      <c r="D409" s="43"/>
      <c r="E409" s="17"/>
      <c r="F409" s="43"/>
      <c r="G409" s="43"/>
      <c r="H409" s="17"/>
      <c r="I409" s="43"/>
      <c r="J409" s="43"/>
      <c r="K409" s="65"/>
      <c r="L409" s="65"/>
      <c r="M409" s="65"/>
      <c r="N409" s="43"/>
      <c r="O409" s="18"/>
      <c r="P409" s="43"/>
    </row>
    <row r="410" spans="1:16" ht="22.5">
      <c r="A410" s="20" t="s">
        <v>326</v>
      </c>
      <c r="B410" s="11"/>
      <c r="C410" s="11"/>
      <c r="D410" s="43"/>
      <c r="E410" s="21">
        <v>236</v>
      </c>
      <c r="F410" s="69">
        <f>D410+E410</f>
        <v>236</v>
      </c>
      <c r="G410" s="69"/>
      <c r="H410" s="21">
        <v>236</v>
      </c>
      <c r="I410" s="69"/>
      <c r="J410" s="69">
        <f>G410+H410</f>
        <v>236</v>
      </c>
      <c r="K410" s="70"/>
      <c r="L410" s="70"/>
      <c r="M410" s="70"/>
      <c r="N410" s="69"/>
      <c r="O410" s="21">
        <v>236</v>
      </c>
      <c r="P410" s="69">
        <f>N410+O410</f>
        <v>236</v>
      </c>
    </row>
    <row r="411" spans="1:16" ht="11.25">
      <c r="A411" s="19" t="s">
        <v>7</v>
      </c>
      <c r="B411" s="11"/>
      <c r="C411" s="11"/>
      <c r="D411" s="43"/>
      <c r="E411" s="17"/>
      <c r="F411" s="43"/>
      <c r="G411" s="43"/>
      <c r="H411" s="17"/>
      <c r="I411" s="43"/>
      <c r="J411" s="43"/>
      <c r="K411" s="65"/>
      <c r="L411" s="65"/>
      <c r="M411" s="65"/>
      <c r="N411" s="43"/>
      <c r="O411" s="18"/>
      <c r="P411" s="43"/>
    </row>
    <row r="412" spans="1:16" ht="22.5">
      <c r="A412" s="20" t="s">
        <v>327</v>
      </c>
      <c r="B412" s="11"/>
      <c r="C412" s="11"/>
      <c r="D412" s="43"/>
      <c r="E412" s="43">
        <v>1118.64</v>
      </c>
      <c r="F412" s="43">
        <f>D412+E412</f>
        <v>1118.64</v>
      </c>
      <c r="G412" s="43"/>
      <c r="H412" s="43">
        <v>1200</v>
      </c>
      <c r="I412" s="43"/>
      <c r="J412" s="43">
        <f>G412+H412</f>
        <v>1200</v>
      </c>
      <c r="K412" s="65"/>
      <c r="L412" s="65"/>
      <c r="M412" s="65"/>
      <c r="N412" s="43"/>
      <c r="O412" s="43">
        <v>1272</v>
      </c>
      <c r="P412" s="43">
        <f>N412+O412</f>
        <v>1272</v>
      </c>
    </row>
    <row r="413" spans="1:235" s="39" customFormat="1" ht="24" customHeight="1">
      <c r="A413" s="9" t="s">
        <v>405</v>
      </c>
      <c r="B413" s="9"/>
      <c r="C413" s="9"/>
      <c r="D413" s="10">
        <f>(D415*D417)</f>
        <v>64999.9999998</v>
      </c>
      <c r="E413" s="10"/>
      <c r="F413" s="10">
        <f>D413</f>
        <v>64999.9999998</v>
      </c>
      <c r="G413" s="10">
        <f>G415*G417</f>
        <v>70000</v>
      </c>
      <c r="H413" s="10"/>
      <c r="I413" s="10"/>
      <c r="J413" s="10">
        <f>G413</f>
        <v>70000</v>
      </c>
      <c r="K413" s="10"/>
      <c r="L413" s="10"/>
      <c r="M413" s="10"/>
      <c r="N413" s="10">
        <f>N415*N417</f>
        <v>74999.99999968</v>
      </c>
      <c r="O413" s="10"/>
      <c r="P413" s="10">
        <f>N413</f>
        <v>74999.99999968</v>
      </c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  <c r="DG413" s="38"/>
      <c r="DH413" s="38"/>
      <c r="DI413" s="38"/>
      <c r="DJ413" s="38"/>
      <c r="DK413" s="38"/>
      <c r="DL413" s="38"/>
      <c r="DM413" s="38"/>
      <c r="DN413" s="38"/>
      <c r="DO413" s="38"/>
      <c r="DP413" s="38"/>
      <c r="DQ413" s="38"/>
      <c r="DR413" s="38"/>
      <c r="DS413" s="38"/>
      <c r="DT413" s="38"/>
      <c r="DU413" s="38"/>
      <c r="DV413" s="38"/>
      <c r="DW413" s="38"/>
      <c r="DX413" s="38"/>
      <c r="DY413" s="38"/>
      <c r="DZ413" s="38"/>
      <c r="EA413" s="38"/>
      <c r="EB413" s="38"/>
      <c r="EC413" s="38"/>
      <c r="ED413" s="38"/>
      <c r="EE413" s="38"/>
      <c r="EF413" s="38"/>
      <c r="EG413" s="38"/>
      <c r="EH413" s="38"/>
      <c r="EI413" s="38"/>
      <c r="EJ413" s="38"/>
      <c r="EK413" s="38"/>
      <c r="EL413" s="38"/>
      <c r="EM413" s="38"/>
      <c r="EN413" s="38"/>
      <c r="EO413" s="38"/>
      <c r="EP413" s="38"/>
      <c r="EQ413" s="38"/>
      <c r="ER413" s="38"/>
      <c r="ES413" s="38"/>
      <c r="ET413" s="38"/>
      <c r="EU413" s="38"/>
      <c r="EV413" s="38"/>
      <c r="EW413" s="38"/>
      <c r="EX413" s="38"/>
      <c r="EY413" s="38"/>
      <c r="EZ413" s="38"/>
      <c r="FA413" s="38"/>
      <c r="FB413" s="38"/>
      <c r="FC413" s="38"/>
      <c r="FD413" s="38"/>
      <c r="FE413" s="38"/>
      <c r="FF413" s="38"/>
      <c r="FG413" s="38"/>
      <c r="FH413" s="38"/>
      <c r="FI413" s="38"/>
      <c r="FJ413" s="38"/>
      <c r="FK413" s="38"/>
      <c r="FL413" s="38"/>
      <c r="FM413" s="38"/>
      <c r="FN413" s="38"/>
      <c r="FO413" s="38"/>
      <c r="FP413" s="38"/>
      <c r="FQ413" s="38"/>
      <c r="FR413" s="38"/>
      <c r="FS413" s="38"/>
      <c r="FT413" s="38"/>
      <c r="FU413" s="38"/>
      <c r="FV413" s="38"/>
      <c r="FW413" s="38"/>
      <c r="FX413" s="38"/>
      <c r="FY413" s="38"/>
      <c r="FZ413" s="38"/>
      <c r="GA413" s="38"/>
      <c r="GB413" s="38"/>
      <c r="GC413" s="38"/>
      <c r="GD413" s="38"/>
      <c r="GE413" s="38"/>
      <c r="GF413" s="38"/>
      <c r="GG413" s="38"/>
      <c r="GH413" s="38"/>
      <c r="GI413" s="38"/>
      <c r="GJ413" s="38"/>
      <c r="GK413" s="38"/>
      <c r="GL413" s="38"/>
      <c r="GM413" s="38"/>
      <c r="GN413" s="38"/>
      <c r="GO413" s="38"/>
      <c r="GP413" s="38"/>
      <c r="GQ413" s="38"/>
      <c r="GR413" s="38"/>
      <c r="GS413" s="38"/>
      <c r="GT413" s="38"/>
      <c r="GU413" s="38"/>
      <c r="GV413" s="38"/>
      <c r="GW413" s="38"/>
      <c r="GX413" s="38"/>
      <c r="GY413" s="38"/>
      <c r="GZ413" s="38"/>
      <c r="HA413" s="38"/>
      <c r="HB413" s="38"/>
      <c r="HC413" s="38"/>
      <c r="HD413" s="38"/>
      <c r="HE413" s="38"/>
      <c r="HF413" s="38"/>
      <c r="HG413" s="38"/>
      <c r="HH413" s="38"/>
      <c r="HI413" s="38"/>
      <c r="HJ413" s="38"/>
      <c r="HK413" s="38"/>
      <c r="HL413" s="38"/>
      <c r="HM413" s="38"/>
      <c r="HN413" s="38"/>
      <c r="HO413" s="38"/>
      <c r="HP413" s="38"/>
      <c r="HQ413" s="38"/>
      <c r="HR413" s="38"/>
      <c r="HS413" s="38"/>
      <c r="HT413" s="38"/>
      <c r="HU413" s="38"/>
      <c r="HV413" s="38"/>
      <c r="HW413" s="38"/>
      <c r="HX413" s="38"/>
      <c r="HY413" s="38"/>
      <c r="HZ413" s="38"/>
      <c r="IA413" s="38"/>
    </row>
    <row r="414" spans="1:16" ht="12.75" customHeight="1">
      <c r="A414" s="13" t="s">
        <v>152</v>
      </c>
      <c r="B414" s="9"/>
      <c r="C414" s="9"/>
      <c r="D414" s="10"/>
      <c r="E414" s="10"/>
      <c r="F414" s="10"/>
      <c r="G414" s="10"/>
      <c r="H414" s="10"/>
      <c r="I414" s="10"/>
      <c r="J414" s="10"/>
      <c r="K414" s="65"/>
      <c r="L414" s="10"/>
      <c r="M414" s="10"/>
      <c r="N414" s="10"/>
      <c r="O414" s="10"/>
      <c r="P414" s="10"/>
    </row>
    <row r="415" spans="1:16" ht="24" customHeight="1">
      <c r="A415" s="8" t="s">
        <v>151</v>
      </c>
      <c r="B415" s="11"/>
      <c r="C415" s="11"/>
      <c r="D415" s="43">
        <v>5400</v>
      </c>
      <c r="E415" s="43"/>
      <c r="F415" s="43">
        <f>D415</f>
        <v>5400</v>
      </c>
      <c r="G415" s="43">
        <v>5600</v>
      </c>
      <c r="H415" s="43"/>
      <c r="I415" s="43"/>
      <c r="J415" s="43">
        <f>G415</f>
        <v>5600</v>
      </c>
      <c r="K415" s="65"/>
      <c r="L415" s="65"/>
      <c r="M415" s="65"/>
      <c r="N415" s="43">
        <v>5600</v>
      </c>
      <c r="O415" s="43"/>
      <c r="P415" s="43">
        <f>N415</f>
        <v>5600</v>
      </c>
    </row>
    <row r="416" spans="1:16" ht="11.25">
      <c r="A416" s="13" t="s">
        <v>7</v>
      </c>
      <c r="B416" s="11"/>
      <c r="C416" s="11"/>
      <c r="D416" s="43"/>
      <c r="E416" s="43"/>
      <c r="F416" s="43"/>
      <c r="G416" s="43"/>
      <c r="H416" s="43"/>
      <c r="I416" s="43"/>
      <c r="J416" s="43"/>
      <c r="K416" s="65"/>
      <c r="L416" s="65"/>
      <c r="M416" s="65"/>
      <c r="N416" s="43"/>
      <c r="O416" s="43"/>
      <c r="P416" s="43"/>
    </row>
    <row r="417" spans="1:16" ht="24" customHeight="1">
      <c r="A417" s="11" t="s">
        <v>153</v>
      </c>
      <c r="B417" s="11"/>
      <c r="C417" s="11"/>
      <c r="D417" s="43">
        <v>12.037037037</v>
      </c>
      <c r="E417" s="43"/>
      <c r="F417" s="43">
        <f>D417</f>
        <v>12.037037037</v>
      </c>
      <c r="G417" s="43">
        <v>12.5</v>
      </c>
      <c r="H417" s="43"/>
      <c r="I417" s="43"/>
      <c r="J417" s="43">
        <f>G417</f>
        <v>12.5</v>
      </c>
      <c r="K417" s="65"/>
      <c r="L417" s="65"/>
      <c r="M417" s="65"/>
      <c r="N417" s="43">
        <v>13.3928571428</v>
      </c>
      <c r="O417" s="43"/>
      <c r="P417" s="43">
        <f>N417</f>
        <v>13.3928571428</v>
      </c>
    </row>
    <row r="418" spans="1:235" s="39" customFormat="1" ht="90">
      <c r="A418" s="67" t="s">
        <v>406</v>
      </c>
      <c r="B418" s="9"/>
      <c r="C418" s="9"/>
      <c r="D418" s="148">
        <f>D420*D427+D422*D429+D421*D428+D423*D430+D424*D431+D425*D432</f>
        <v>404000</v>
      </c>
      <c r="E418" s="10"/>
      <c r="F418" s="10">
        <f>F420*F427+F422*F429+F421*F428+F423*F430+F424*F431+F425*F432</f>
        <v>404000</v>
      </c>
      <c r="G418" s="10">
        <f>G420*G427+G422*G429+G421*G428+G423*G430+G424*G431+G425*G432</f>
        <v>108000</v>
      </c>
      <c r="H418" s="10"/>
      <c r="I418" s="10"/>
      <c r="J418" s="10">
        <f>G418</f>
        <v>108000</v>
      </c>
      <c r="K418" s="10"/>
      <c r="L418" s="10"/>
      <c r="M418" s="10"/>
      <c r="N418" s="10">
        <f>N422*N429+N420*N427</f>
        <v>65000</v>
      </c>
      <c r="O418" s="10"/>
      <c r="P418" s="10">
        <f>N418</f>
        <v>65000</v>
      </c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  <c r="DG418" s="38"/>
      <c r="DH418" s="38"/>
      <c r="DI418" s="38"/>
      <c r="DJ418" s="38"/>
      <c r="DK418" s="38"/>
      <c r="DL418" s="38"/>
      <c r="DM418" s="38"/>
      <c r="DN418" s="38"/>
      <c r="DO418" s="38"/>
      <c r="DP418" s="38"/>
      <c r="DQ418" s="38"/>
      <c r="DR418" s="38"/>
      <c r="DS418" s="38"/>
      <c r="DT418" s="38"/>
      <c r="DU418" s="38"/>
      <c r="DV418" s="38"/>
      <c r="DW418" s="38"/>
      <c r="DX418" s="38"/>
      <c r="DY418" s="38"/>
      <c r="DZ418" s="38"/>
      <c r="EA418" s="38"/>
      <c r="EB418" s="38"/>
      <c r="EC418" s="38"/>
      <c r="ED418" s="38"/>
      <c r="EE418" s="38"/>
      <c r="EF418" s="38"/>
      <c r="EG418" s="38"/>
      <c r="EH418" s="38"/>
      <c r="EI418" s="38"/>
      <c r="EJ418" s="38"/>
      <c r="EK418" s="38"/>
      <c r="EL418" s="38"/>
      <c r="EM418" s="38"/>
      <c r="EN418" s="38"/>
      <c r="EO418" s="38"/>
      <c r="EP418" s="38"/>
      <c r="EQ418" s="38"/>
      <c r="ER418" s="38"/>
      <c r="ES418" s="38"/>
      <c r="ET418" s="38"/>
      <c r="EU418" s="38"/>
      <c r="EV418" s="38"/>
      <c r="EW418" s="38"/>
      <c r="EX418" s="38"/>
      <c r="EY418" s="38"/>
      <c r="EZ418" s="38"/>
      <c r="FA418" s="38"/>
      <c r="FB418" s="38"/>
      <c r="FC418" s="38"/>
      <c r="FD418" s="38"/>
      <c r="FE418" s="38"/>
      <c r="FF418" s="38"/>
      <c r="FG418" s="38"/>
      <c r="FH418" s="38"/>
      <c r="FI418" s="38"/>
      <c r="FJ418" s="38"/>
      <c r="FK418" s="38"/>
      <c r="FL418" s="38"/>
      <c r="FM418" s="38"/>
      <c r="FN418" s="38"/>
      <c r="FO418" s="38"/>
      <c r="FP418" s="38"/>
      <c r="FQ418" s="38"/>
      <c r="FR418" s="38"/>
      <c r="FS418" s="38"/>
      <c r="FT418" s="38"/>
      <c r="FU418" s="38"/>
      <c r="FV418" s="38"/>
      <c r="FW418" s="38"/>
      <c r="FX418" s="38"/>
      <c r="FY418" s="38"/>
      <c r="FZ418" s="38"/>
      <c r="GA418" s="38"/>
      <c r="GB418" s="38"/>
      <c r="GC418" s="38"/>
      <c r="GD418" s="38"/>
      <c r="GE418" s="38"/>
      <c r="GF418" s="38"/>
      <c r="GG418" s="38"/>
      <c r="GH418" s="38"/>
      <c r="GI418" s="38"/>
      <c r="GJ418" s="38"/>
      <c r="GK418" s="38"/>
      <c r="GL418" s="38"/>
      <c r="GM418" s="38"/>
      <c r="GN418" s="38"/>
      <c r="GO418" s="38"/>
      <c r="GP418" s="38"/>
      <c r="GQ418" s="38"/>
      <c r="GR418" s="38"/>
      <c r="GS418" s="38"/>
      <c r="GT418" s="38"/>
      <c r="GU418" s="38"/>
      <c r="GV418" s="38"/>
      <c r="GW418" s="38"/>
      <c r="GX418" s="38"/>
      <c r="GY418" s="38"/>
      <c r="GZ418" s="38"/>
      <c r="HA418" s="38"/>
      <c r="HB418" s="38"/>
      <c r="HC418" s="38"/>
      <c r="HD418" s="38"/>
      <c r="HE418" s="38"/>
      <c r="HF418" s="38"/>
      <c r="HG418" s="38"/>
      <c r="HH418" s="38"/>
      <c r="HI418" s="38"/>
      <c r="HJ418" s="38"/>
      <c r="HK418" s="38"/>
      <c r="HL418" s="38"/>
      <c r="HM418" s="38"/>
      <c r="HN418" s="38"/>
      <c r="HO418" s="38"/>
      <c r="HP418" s="38"/>
      <c r="HQ418" s="38"/>
      <c r="HR418" s="38"/>
      <c r="HS418" s="38"/>
      <c r="HT418" s="38"/>
      <c r="HU418" s="38"/>
      <c r="HV418" s="38"/>
      <c r="HW418" s="38"/>
      <c r="HX418" s="38"/>
      <c r="HY418" s="38"/>
      <c r="HZ418" s="38"/>
      <c r="IA418" s="38"/>
    </row>
    <row r="419" spans="1:16" ht="11.25">
      <c r="A419" s="13" t="s">
        <v>152</v>
      </c>
      <c r="B419" s="9"/>
      <c r="C419" s="9"/>
      <c r="D419" s="10"/>
      <c r="E419" s="10"/>
      <c r="F419" s="10"/>
      <c r="G419" s="10"/>
      <c r="H419" s="10"/>
      <c r="I419" s="10"/>
      <c r="J419" s="10"/>
      <c r="K419" s="65"/>
      <c r="L419" s="65"/>
      <c r="M419" s="65"/>
      <c r="N419" s="43"/>
      <c r="O419" s="43"/>
      <c r="P419" s="43"/>
    </row>
    <row r="420" spans="1:16" ht="33" customHeight="1">
      <c r="A420" s="8" t="s">
        <v>271</v>
      </c>
      <c r="B420" s="9"/>
      <c r="C420" s="9"/>
      <c r="D420" s="43">
        <v>5</v>
      </c>
      <c r="E420" s="10"/>
      <c r="F420" s="43">
        <f>D420+E420</f>
        <v>5</v>
      </c>
      <c r="G420" s="43">
        <v>5</v>
      </c>
      <c r="H420" s="10"/>
      <c r="I420" s="43"/>
      <c r="J420" s="43">
        <f>G420+H420</f>
        <v>5</v>
      </c>
      <c r="K420" s="65"/>
      <c r="L420" s="65"/>
      <c r="M420" s="65"/>
      <c r="N420" s="43">
        <v>5</v>
      </c>
      <c r="O420" s="43"/>
      <c r="P420" s="43">
        <f>N420</f>
        <v>5</v>
      </c>
    </row>
    <row r="421" spans="1:16" ht="26.25" customHeight="1">
      <c r="A421" s="8" t="s">
        <v>276</v>
      </c>
      <c r="B421" s="9"/>
      <c r="C421" s="9"/>
      <c r="D421" s="43">
        <v>1</v>
      </c>
      <c r="E421" s="10"/>
      <c r="F421" s="43">
        <v>1</v>
      </c>
      <c r="G421" s="43"/>
      <c r="H421" s="10"/>
      <c r="I421" s="43"/>
      <c r="J421" s="43"/>
      <c r="K421" s="65"/>
      <c r="L421" s="65"/>
      <c r="M421" s="65"/>
      <c r="N421" s="43"/>
      <c r="O421" s="43"/>
      <c r="P421" s="43"/>
    </row>
    <row r="422" spans="1:16" ht="39" customHeight="1">
      <c r="A422" s="8" t="s">
        <v>228</v>
      </c>
      <c r="B422" s="11"/>
      <c r="C422" s="11"/>
      <c r="D422" s="43">
        <v>12</v>
      </c>
      <c r="E422" s="43"/>
      <c r="F422" s="43">
        <f>D422+E422</f>
        <v>12</v>
      </c>
      <c r="G422" s="43">
        <v>12</v>
      </c>
      <c r="H422" s="43"/>
      <c r="I422" s="43"/>
      <c r="J422" s="43">
        <f>G422+H422</f>
        <v>12</v>
      </c>
      <c r="K422" s="65"/>
      <c r="L422" s="65"/>
      <c r="M422" s="65"/>
      <c r="N422" s="43">
        <v>12</v>
      </c>
      <c r="O422" s="43"/>
      <c r="P422" s="43">
        <f>N422</f>
        <v>12</v>
      </c>
    </row>
    <row r="423" spans="1:16" ht="27.75" customHeight="1">
      <c r="A423" s="71" t="s">
        <v>331</v>
      </c>
      <c r="B423" s="11"/>
      <c r="C423" s="11"/>
      <c r="D423" s="43">
        <v>1</v>
      </c>
      <c r="E423" s="43"/>
      <c r="F423" s="43">
        <f>D423+E423</f>
        <v>1</v>
      </c>
      <c r="G423" s="43"/>
      <c r="H423" s="43"/>
      <c r="I423" s="43"/>
      <c r="J423" s="43"/>
      <c r="K423" s="65"/>
      <c r="L423" s="65"/>
      <c r="M423" s="65"/>
      <c r="N423" s="43"/>
      <c r="O423" s="43"/>
      <c r="P423" s="43"/>
    </row>
    <row r="424" spans="1:16" ht="30" customHeight="1">
      <c r="A424" s="71" t="s">
        <v>333</v>
      </c>
      <c r="B424" s="11"/>
      <c r="C424" s="11"/>
      <c r="D424" s="43">
        <v>1</v>
      </c>
      <c r="E424" s="43"/>
      <c r="F424" s="43">
        <f>D424+E424</f>
        <v>1</v>
      </c>
      <c r="G424" s="43"/>
      <c r="H424" s="43"/>
      <c r="I424" s="43"/>
      <c r="J424" s="43"/>
      <c r="K424" s="65"/>
      <c r="L424" s="65"/>
      <c r="M424" s="65"/>
      <c r="N424" s="43"/>
      <c r="O424" s="43"/>
      <c r="P424" s="43"/>
    </row>
    <row r="425" spans="1:16" ht="21.75" customHeight="1">
      <c r="A425" s="146" t="s">
        <v>367</v>
      </c>
      <c r="B425" s="11"/>
      <c r="C425" s="11"/>
      <c r="D425" s="43">
        <v>4</v>
      </c>
      <c r="E425" s="43"/>
      <c r="F425" s="43">
        <f>D425+E425</f>
        <v>4</v>
      </c>
      <c r="G425" s="43">
        <v>6</v>
      </c>
      <c r="H425" s="43"/>
      <c r="I425" s="43"/>
      <c r="J425" s="43">
        <v>6</v>
      </c>
      <c r="K425" s="65"/>
      <c r="L425" s="65"/>
      <c r="M425" s="65"/>
      <c r="N425" s="43"/>
      <c r="O425" s="43"/>
      <c r="P425" s="43"/>
    </row>
    <row r="426" spans="1:16" ht="11.25">
      <c r="A426" s="13" t="s">
        <v>7</v>
      </c>
      <c r="B426" s="11"/>
      <c r="C426" s="11"/>
      <c r="D426" s="43"/>
      <c r="E426" s="43"/>
      <c r="F426" s="43"/>
      <c r="G426" s="43"/>
      <c r="H426" s="43"/>
      <c r="I426" s="43"/>
      <c r="J426" s="43"/>
      <c r="K426" s="65"/>
      <c r="L426" s="65"/>
      <c r="M426" s="65"/>
      <c r="N426" s="43"/>
      <c r="O426" s="43"/>
      <c r="P426" s="43"/>
    </row>
    <row r="427" spans="1:16" ht="22.5">
      <c r="A427" s="11" t="s">
        <v>270</v>
      </c>
      <c r="B427" s="11"/>
      <c r="C427" s="11"/>
      <c r="D427" s="43">
        <v>8400</v>
      </c>
      <c r="E427" s="43"/>
      <c r="F427" s="43">
        <f>D427+E427</f>
        <v>8400</v>
      </c>
      <c r="G427" s="43">
        <v>9000</v>
      </c>
      <c r="H427" s="43"/>
      <c r="I427" s="43"/>
      <c r="J427" s="43">
        <f>G427+H427</f>
        <v>9000</v>
      </c>
      <c r="K427" s="65"/>
      <c r="L427" s="65"/>
      <c r="M427" s="65"/>
      <c r="N427" s="43">
        <v>10000</v>
      </c>
      <c r="O427" s="43"/>
      <c r="P427" s="43">
        <f>N427</f>
        <v>10000</v>
      </c>
    </row>
    <row r="428" spans="1:16" ht="22.5">
      <c r="A428" s="11" t="s">
        <v>275</v>
      </c>
      <c r="B428" s="11"/>
      <c r="C428" s="11"/>
      <c r="D428" s="43">
        <v>167000</v>
      </c>
      <c r="E428" s="43"/>
      <c r="F428" s="43">
        <f>D428+E428</f>
        <v>167000</v>
      </c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33.75" customHeight="1">
      <c r="A429" s="11" t="s">
        <v>175</v>
      </c>
      <c r="B429" s="11"/>
      <c r="C429" s="11"/>
      <c r="D429" s="43">
        <f>10000/12</f>
        <v>833.3333333333334</v>
      </c>
      <c r="E429" s="43"/>
      <c r="F429" s="43">
        <f>D429+E429</f>
        <v>833.3333333333334</v>
      </c>
      <c r="G429" s="43">
        <f>12000/12</f>
        <v>1000</v>
      </c>
      <c r="H429" s="43"/>
      <c r="I429" s="43"/>
      <c r="J429" s="43">
        <f>G429+H429</f>
        <v>1000</v>
      </c>
      <c r="K429" s="65"/>
      <c r="L429" s="65"/>
      <c r="M429" s="65"/>
      <c r="N429" s="43">
        <f>15000/12</f>
        <v>1250</v>
      </c>
      <c r="O429" s="43"/>
      <c r="P429" s="43">
        <f>N429</f>
        <v>1250</v>
      </c>
    </row>
    <row r="430" spans="1:16" ht="30.75" customHeight="1">
      <c r="A430" s="11" t="s">
        <v>332</v>
      </c>
      <c r="B430" s="20"/>
      <c r="C430" s="20"/>
      <c r="D430" s="43">
        <v>150000</v>
      </c>
      <c r="E430" s="44"/>
      <c r="F430" s="44">
        <v>150000</v>
      </c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ht="30.75" customHeight="1">
      <c r="A431" s="11" t="s">
        <v>334</v>
      </c>
      <c r="B431" s="20"/>
      <c r="C431" s="20"/>
      <c r="D431" s="44">
        <v>1000</v>
      </c>
      <c r="E431" s="44"/>
      <c r="F431" s="44">
        <v>1000</v>
      </c>
      <c r="G431" s="44"/>
      <c r="H431" s="44"/>
      <c r="I431" s="44"/>
      <c r="J431" s="44"/>
      <c r="K431" s="44"/>
      <c r="L431" s="44"/>
      <c r="M431" s="44"/>
      <c r="N431" s="44"/>
      <c r="O431" s="44"/>
      <c r="P431" s="44"/>
    </row>
    <row r="432" spans="1:16" ht="21.75" customHeight="1">
      <c r="A432" s="147" t="s">
        <v>368</v>
      </c>
      <c r="B432" s="20"/>
      <c r="C432" s="20"/>
      <c r="D432" s="44">
        <v>8500</v>
      </c>
      <c r="E432" s="44"/>
      <c r="F432" s="44">
        <v>8500</v>
      </c>
      <c r="G432" s="44">
        <v>8500</v>
      </c>
      <c r="H432" s="44"/>
      <c r="I432" s="44"/>
      <c r="J432" s="44">
        <v>8500</v>
      </c>
      <c r="K432" s="44"/>
      <c r="L432" s="44"/>
      <c r="M432" s="44"/>
      <c r="N432" s="44"/>
      <c r="O432" s="44"/>
      <c r="P432" s="44"/>
    </row>
    <row r="433" spans="1:16" ht="21.75" customHeight="1">
      <c r="A433" s="153" t="s">
        <v>376</v>
      </c>
      <c r="B433" s="20"/>
      <c r="C433" s="20"/>
      <c r="D433" s="57">
        <f>D435</f>
        <v>150000</v>
      </c>
      <c r="E433" s="57"/>
      <c r="F433" s="57">
        <f>F435</f>
        <v>150000</v>
      </c>
      <c r="G433" s="57">
        <f>G435</f>
        <v>100000</v>
      </c>
      <c r="H433" s="57"/>
      <c r="I433" s="57">
        <f>I435</f>
        <v>0</v>
      </c>
      <c r="J433" s="57">
        <f>J435</f>
        <v>100000</v>
      </c>
      <c r="K433" s="44"/>
      <c r="L433" s="44"/>
      <c r="M433" s="44"/>
      <c r="N433" s="44"/>
      <c r="O433" s="44"/>
      <c r="P433" s="44"/>
    </row>
    <row r="434" spans="1:16" ht="21.75" customHeight="1">
      <c r="A434" s="149" t="s">
        <v>372</v>
      </c>
      <c r="B434" s="20"/>
      <c r="C434" s="20"/>
      <c r="D434" s="57"/>
      <c r="E434" s="57"/>
      <c r="F434" s="57"/>
      <c r="G434" s="57"/>
      <c r="H434" s="57"/>
      <c r="I434" s="57"/>
      <c r="J434" s="57"/>
      <c r="K434" s="44"/>
      <c r="L434" s="44"/>
      <c r="M434" s="44"/>
      <c r="N434" s="44"/>
      <c r="O434" s="44"/>
      <c r="P434" s="44"/>
    </row>
    <row r="435" spans="1:16" ht="21.75" customHeight="1">
      <c r="A435" s="150" t="s">
        <v>407</v>
      </c>
      <c r="B435" s="20"/>
      <c r="C435" s="20"/>
      <c r="D435" s="57">
        <f>D437</f>
        <v>150000</v>
      </c>
      <c r="E435" s="57"/>
      <c r="F435" s="57">
        <f>F437</f>
        <v>150000</v>
      </c>
      <c r="G435" s="57">
        <f>G437</f>
        <v>100000</v>
      </c>
      <c r="H435" s="57"/>
      <c r="I435" s="57">
        <f>I437</f>
        <v>0</v>
      </c>
      <c r="J435" s="57">
        <f>J437</f>
        <v>100000</v>
      </c>
      <c r="K435" s="44"/>
      <c r="L435" s="44"/>
      <c r="M435" s="44"/>
      <c r="N435" s="44"/>
      <c r="O435" s="44"/>
      <c r="P435" s="44"/>
    </row>
    <row r="436" spans="1:16" ht="21.75" customHeight="1">
      <c r="A436" s="151" t="s">
        <v>4</v>
      </c>
      <c r="B436" s="20"/>
      <c r="C436" s="20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</row>
    <row r="437" spans="1:16" ht="21.75" customHeight="1">
      <c r="A437" s="149" t="s">
        <v>373</v>
      </c>
      <c r="B437" s="20"/>
      <c r="C437" s="20"/>
      <c r="D437" s="44">
        <f>D439*D441</f>
        <v>150000</v>
      </c>
      <c r="E437" s="44"/>
      <c r="F437" s="44">
        <f>F439*F441</f>
        <v>150000</v>
      </c>
      <c r="G437" s="44">
        <f>G439*G441</f>
        <v>100000</v>
      </c>
      <c r="H437" s="44"/>
      <c r="I437" s="44">
        <f>I439*I441</f>
        <v>0</v>
      </c>
      <c r="J437" s="44">
        <f>J439*J441</f>
        <v>100000</v>
      </c>
      <c r="K437" s="44"/>
      <c r="L437" s="44"/>
      <c r="M437" s="44"/>
      <c r="N437" s="44"/>
      <c r="O437" s="44"/>
      <c r="P437" s="44"/>
    </row>
    <row r="438" spans="1:16" ht="21.75" customHeight="1">
      <c r="A438" s="151" t="s">
        <v>5</v>
      </c>
      <c r="B438" s="20"/>
      <c r="C438" s="20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</row>
    <row r="439" spans="1:16" ht="21.75" customHeight="1">
      <c r="A439" s="149" t="s">
        <v>374</v>
      </c>
      <c r="B439" s="20"/>
      <c r="C439" s="20"/>
      <c r="D439" s="44">
        <v>1</v>
      </c>
      <c r="E439" s="44"/>
      <c r="F439" s="44">
        <v>1</v>
      </c>
      <c r="G439" s="44">
        <v>2</v>
      </c>
      <c r="H439" s="44"/>
      <c r="I439" s="44"/>
      <c r="J439" s="44">
        <v>2</v>
      </c>
      <c r="K439" s="44"/>
      <c r="L439" s="44"/>
      <c r="M439" s="44"/>
      <c r="N439" s="44"/>
      <c r="O439" s="44"/>
      <c r="P439" s="44"/>
    </row>
    <row r="440" spans="1:16" ht="21.75" customHeight="1">
      <c r="A440" s="151" t="s">
        <v>7</v>
      </c>
      <c r="B440" s="20"/>
      <c r="C440" s="20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1:16" ht="21.75" customHeight="1">
      <c r="A441" s="152" t="s">
        <v>375</v>
      </c>
      <c r="B441" s="20"/>
      <c r="C441" s="20"/>
      <c r="D441" s="44">
        <v>150000</v>
      </c>
      <c r="E441" s="44"/>
      <c r="F441" s="44">
        <v>150000</v>
      </c>
      <c r="G441" s="44">
        <v>50000</v>
      </c>
      <c r="H441" s="44"/>
      <c r="I441" s="44"/>
      <c r="J441" s="44">
        <v>50000</v>
      </c>
      <c r="K441" s="44"/>
      <c r="L441" s="44"/>
      <c r="M441" s="44"/>
      <c r="N441" s="44"/>
      <c r="O441" s="44"/>
      <c r="P441" s="44"/>
    </row>
    <row r="442" spans="1:16" ht="16.5" customHeight="1">
      <c r="A442" s="37" t="s">
        <v>252</v>
      </c>
      <c r="B442" s="37"/>
      <c r="C442" s="37"/>
      <c r="D442" s="30">
        <f>D443</f>
        <v>8624700</v>
      </c>
      <c r="E442" s="30">
        <f>E443</f>
        <v>13705000</v>
      </c>
      <c r="F442" s="30">
        <f>F443</f>
        <v>22329700</v>
      </c>
      <c r="G442" s="30">
        <f>G443</f>
        <v>1600000</v>
      </c>
      <c r="H442" s="30"/>
      <c r="I442" s="30">
        <f>I443</f>
        <v>0</v>
      </c>
      <c r="J442" s="30">
        <f>G442</f>
        <v>1600000</v>
      </c>
      <c r="K442" s="30" t="e">
        <f>#REF!+K443</f>
        <v>#REF!</v>
      </c>
      <c r="L442" s="30" t="e">
        <f>#REF!+L443</f>
        <v>#REF!</v>
      </c>
      <c r="M442" s="30" t="e">
        <f>#REF!+M443</f>
        <v>#REF!</v>
      </c>
      <c r="N442" s="30">
        <f>N443</f>
        <v>1650000</v>
      </c>
      <c r="O442" s="30">
        <f>O443</f>
        <v>0</v>
      </c>
      <c r="P442" s="30">
        <f>N442</f>
        <v>1650000</v>
      </c>
    </row>
    <row r="443" spans="1:235" s="39" customFormat="1" ht="21.75" customHeight="1">
      <c r="A443" s="34" t="s">
        <v>408</v>
      </c>
      <c r="B443" s="35"/>
      <c r="C443" s="35"/>
      <c r="D443" s="36">
        <f>D445</f>
        <v>8624700</v>
      </c>
      <c r="E443" s="36">
        <f>SUM(E446)</f>
        <v>13705000</v>
      </c>
      <c r="F443" s="36">
        <f>D443+E443</f>
        <v>22329700</v>
      </c>
      <c r="G443" s="36">
        <f>G445</f>
        <v>1600000</v>
      </c>
      <c r="H443" s="36"/>
      <c r="I443" s="36">
        <f>I445</f>
        <v>0</v>
      </c>
      <c r="J443" s="36">
        <f>G443</f>
        <v>1600000</v>
      </c>
      <c r="K443" s="36"/>
      <c r="L443" s="36"/>
      <c r="M443" s="36"/>
      <c r="N443" s="36">
        <f>N445</f>
        <v>1650000</v>
      </c>
      <c r="O443" s="36">
        <f>O445</f>
        <v>0</v>
      </c>
      <c r="P443" s="36">
        <f>N443</f>
        <v>1650000</v>
      </c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  <c r="DH443" s="38"/>
      <c r="DI443" s="38"/>
      <c r="DJ443" s="38"/>
      <c r="DK443" s="38"/>
      <c r="DL443" s="38"/>
      <c r="DM443" s="38"/>
      <c r="DN443" s="38"/>
      <c r="DO443" s="38"/>
      <c r="DP443" s="38"/>
      <c r="DQ443" s="38"/>
      <c r="DR443" s="38"/>
      <c r="DS443" s="38"/>
      <c r="DT443" s="38"/>
      <c r="DU443" s="38"/>
      <c r="DV443" s="38"/>
      <c r="DW443" s="38"/>
      <c r="DX443" s="38"/>
      <c r="DY443" s="38"/>
      <c r="DZ443" s="38"/>
      <c r="EA443" s="38"/>
      <c r="EB443" s="38"/>
      <c r="EC443" s="38"/>
      <c r="ED443" s="38"/>
      <c r="EE443" s="38"/>
      <c r="EF443" s="38"/>
      <c r="EG443" s="38"/>
      <c r="EH443" s="38"/>
      <c r="EI443" s="38"/>
      <c r="EJ443" s="38"/>
      <c r="EK443" s="38"/>
      <c r="EL443" s="38"/>
      <c r="EM443" s="38"/>
      <c r="EN443" s="38"/>
      <c r="EO443" s="38"/>
      <c r="EP443" s="38"/>
      <c r="EQ443" s="38"/>
      <c r="ER443" s="38"/>
      <c r="ES443" s="38"/>
      <c r="ET443" s="38"/>
      <c r="EU443" s="38"/>
      <c r="EV443" s="38"/>
      <c r="EW443" s="38"/>
      <c r="EX443" s="38"/>
      <c r="EY443" s="38"/>
      <c r="EZ443" s="38"/>
      <c r="FA443" s="38"/>
      <c r="FB443" s="38"/>
      <c r="FC443" s="38"/>
      <c r="FD443" s="38"/>
      <c r="FE443" s="38"/>
      <c r="FF443" s="38"/>
      <c r="FG443" s="38"/>
      <c r="FH443" s="38"/>
      <c r="FI443" s="38"/>
      <c r="FJ443" s="38"/>
      <c r="FK443" s="38"/>
      <c r="FL443" s="38"/>
      <c r="FM443" s="38"/>
      <c r="FN443" s="38"/>
      <c r="FO443" s="38"/>
      <c r="FP443" s="38"/>
      <c r="FQ443" s="38"/>
      <c r="FR443" s="38"/>
      <c r="FS443" s="38"/>
      <c r="FT443" s="38"/>
      <c r="FU443" s="38"/>
      <c r="FV443" s="38"/>
      <c r="FW443" s="38"/>
      <c r="FX443" s="38"/>
      <c r="FY443" s="38"/>
      <c r="FZ443" s="38"/>
      <c r="GA443" s="38"/>
      <c r="GB443" s="38"/>
      <c r="GC443" s="38"/>
      <c r="GD443" s="38"/>
      <c r="GE443" s="38"/>
      <c r="GF443" s="38"/>
      <c r="GG443" s="38"/>
      <c r="GH443" s="38"/>
      <c r="GI443" s="38"/>
      <c r="GJ443" s="38"/>
      <c r="GK443" s="38"/>
      <c r="GL443" s="38"/>
      <c r="GM443" s="38"/>
      <c r="GN443" s="38"/>
      <c r="GO443" s="38"/>
      <c r="GP443" s="38"/>
      <c r="GQ443" s="38"/>
      <c r="GR443" s="38"/>
      <c r="GS443" s="38"/>
      <c r="GT443" s="38"/>
      <c r="GU443" s="38"/>
      <c r="GV443" s="38"/>
      <c r="GW443" s="38"/>
      <c r="GX443" s="38"/>
      <c r="GY443" s="38"/>
      <c r="GZ443" s="38"/>
      <c r="HA443" s="38"/>
      <c r="HB443" s="38"/>
      <c r="HC443" s="38"/>
      <c r="HD443" s="38"/>
      <c r="HE443" s="38"/>
      <c r="HF443" s="38"/>
      <c r="HG443" s="38"/>
      <c r="HH443" s="38"/>
      <c r="HI443" s="38"/>
      <c r="HJ443" s="38"/>
      <c r="HK443" s="38"/>
      <c r="HL443" s="38"/>
      <c r="HM443" s="38"/>
      <c r="HN443" s="38"/>
      <c r="HO443" s="38"/>
      <c r="HP443" s="38"/>
      <c r="HQ443" s="38"/>
      <c r="HR443" s="38"/>
      <c r="HS443" s="38"/>
      <c r="HT443" s="38"/>
      <c r="HU443" s="38"/>
      <c r="HV443" s="38"/>
      <c r="HW443" s="38"/>
      <c r="HX443" s="38"/>
      <c r="HY443" s="38"/>
      <c r="HZ443" s="38"/>
      <c r="IA443" s="38"/>
    </row>
    <row r="444" spans="1:16" ht="11.25">
      <c r="A444" s="5" t="s">
        <v>4</v>
      </c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35.25" customHeight="1">
      <c r="A445" s="8" t="s">
        <v>253</v>
      </c>
      <c r="B445" s="6"/>
      <c r="C445" s="6"/>
      <c r="D445" s="7">
        <f>8124700+500000</f>
        <v>8624700</v>
      </c>
      <c r="E445" s="7"/>
      <c r="F445" s="7">
        <f>D445</f>
        <v>8624700</v>
      </c>
      <c r="G445" s="7">
        <f>G448*G450</f>
        <v>1600000</v>
      </c>
      <c r="H445" s="7"/>
      <c r="I445" s="7"/>
      <c r="J445" s="7">
        <f>G445+H445</f>
        <v>1600000</v>
      </c>
      <c r="K445" s="7"/>
      <c r="L445" s="7"/>
      <c r="M445" s="7"/>
      <c r="N445" s="7">
        <f>N448*N450</f>
        <v>1650000</v>
      </c>
      <c r="O445" s="7"/>
      <c r="P445" s="7">
        <f>N445</f>
        <v>1650000</v>
      </c>
    </row>
    <row r="446" spans="1:16" ht="164.25" customHeight="1">
      <c r="A446" s="8" t="s">
        <v>335</v>
      </c>
      <c r="B446" s="6"/>
      <c r="C446" s="6"/>
      <c r="D446" s="7"/>
      <c r="E446" s="7">
        <v>13705000</v>
      </c>
      <c r="F446" s="7">
        <f>D446+E446</f>
        <v>13705000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1.25">
      <c r="A447" s="5" t="s">
        <v>5</v>
      </c>
      <c r="B447" s="6"/>
      <c r="C447" s="6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39.75" customHeight="1">
      <c r="A448" s="8" t="s">
        <v>254</v>
      </c>
      <c r="B448" s="6"/>
      <c r="C448" s="6"/>
      <c r="D448" s="7">
        <v>2</v>
      </c>
      <c r="E448" s="7"/>
      <c r="F448" s="7">
        <f>D448</f>
        <v>2</v>
      </c>
      <c r="G448" s="7">
        <v>1</v>
      </c>
      <c r="H448" s="7"/>
      <c r="I448" s="7"/>
      <c r="J448" s="7">
        <f>G448+H448</f>
        <v>1</v>
      </c>
      <c r="K448" s="7"/>
      <c r="L448" s="7"/>
      <c r="M448" s="7"/>
      <c r="N448" s="7">
        <v>1</v>
      </c>
      <c r="O448" s="7"/>
      <c r="P448" s="7">
        <f>N448</f>
        <v>1</v>
      </c>
    </row>
    <row r="449" spans="1:16" ht="11.25">
      <c r="A449" s="5" t="s">
        <v>7</v>
      </c>
      <c r="B449" s="6"/>
      <c r="C449" s="6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40.5" customHeight="1">
      <c r="A450" s="8" t="s">
        <v>255</v>
      </c>
      <c r="B450" s="6"/>
      <c r="C450" s="6"/>
      <c r="D450" s="7">
        <v>3812350</v>
      </c>
      <c r="E450" s="7"/>
      <c r="F450" s="7">
        <f>F445/F448</f>
        <v>4312350</v>
      </c>
      <c r="G450" s="7">
        <v>1600000</v>
      </c>
      <c r="H450" s="7"/>
      <c r="I450" s="7"/>
      <c r="J450" s="7">
        <f>G450+H450</f>
        <v>1600000</v>
      </c>
      <c r="K450" s="7"/>
      <c r="L450" s="7"/>
      <c r="M450" s="7"/>
      <c r="N450" s="7">
        <v>1650000</v>
      </c>
      <c r="O450" s="7"/>
      <c r="P450" s="7">
        <f>P445/P448</f>
        <v>1650000</v>
      </c>
    </row>
    <row r="451" spans="1:17" ht="15" customHeight="1">
      <c r="A451" s="37" t="s">
        <v>258</v>
      </c>
      <c r="B451" s="6"/>
      <c r="C451" s="6"/>
      <c r="D451" s="36">
        <f>D453+D464+D471+D480+D487+D498+D505+D512+D519</f>
        <v>22085399.999999568</v>
      </c>
      <c r="E451" s="36">
        <f>E453+E464+E471+E480+E487+E498+E505+E512+E519</f>
        <v>1370000</v>
      </c>
      <c r="F451" s="36">
        <f>F453+F464+F471+F480+F487+F498+F505+F512+F519</f>
        <v>23455399.999999568</v>
      </c>
      <c r="G451" s="36">
        <f>G453+G464+G471+G480+G487+G498+G526</f>
        <v>9780000.4</v>
      </c>
      <c r="H451" s="36">
        <f aca="true" t="shared" si="58" ref="H451:Q451">H453+H464+H471+H480+H487+H498</f>
        <v>1300000</v>
      </c>
      <c r="I451" s="36">
        <f t="shared" si="58"/>
        <v>0</v>
      </c>
      <c r="J451" s="36">
        <f>J453+J464+J471+J480+J487+J498+J526</f>
        <v>11080000.4</v>
      </c>
      <c r="K451" s="36">
        <f t="shared" si="58"/>
        <v>0</v>
      </c>
      <c r="L451" s="36">
        <f t="shared" si="58"/>
        <v>0</v>
      </c>
      <c r="M451" s="36">
        <f t="shared" si="58"/>
        <v>0</v>
      </c>
      <c r="N451" s="36">
        <f t="shared" si="58"/>
        <v>7650000.00205</v>
      </c>
      <c r="O451" s="36">
        <f t="shared" si="58"/>
        <v>2000000</v>
      </c>
      <c r="P451" s="36">
        <f t="shared" si="58"/>
        <v>9650000.002050001</v>
      </c>
      <c r="Q451" s="36">
        <f t="shared" si="58"/>
        <v>0</v>
      </c>
    </row>
    <row r="452" spans="1:16" ht="23.25" customHeight="1">
      <c r="A452" s="8" t="s">
        <v>133</v>
      </c>
      <c r="B452" s="6"/>
      <c r="C452" s="6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235" s="39" customFormat="1" ht="55.5" customHeight="1">
      <c r="A453" s="34" t="s">
        <v>409</v>
      </c>
      <c r="B453" s="35"/>
      <c r="C453" s="35"/>
      <c r="D453" s="36">
        <f>SUM(D454)+D461</f>
        <v>19830000</v>
      </c>
      <c r="E453" s="36"/>
      <c r="F453" s="36">
        <f>SUM(F454)+F461</f>
        <v>19830000</v>
      </c>
      <c r="G453" s="36">
        <f>SUM(G454)+G461</f>
        <v>6500000</v>
      </c>
      <c r="H453" s="36"/>
      <c r="I453" s="36">
        <f aca="true" t="shared" si="59" ref="I453:N453">SUM(I454)+I461</f>
        <v>0</v>
      </c>
      <c r="J453" s="36">
        <f t="shared" si="59"/>
        <v>6500000</v>
      </c>
      <c r="K453" s="36">
        <f t="shared" si="59"/>
        <v>0</v>
      </c>
      <c r="L453" s="36">
        <f t="shared" si="59"/>
        <v>0</v>
      </c>
      <c r="M453" s="36">
        <f t="shared" si="59"/>
        <v>0</v>
      </c>
      <c r="N453" s="36">
        <f t="shared" si="59"/>
        <v>7000000</v>
      </c>
      <c r="O453" s="36"/>
      <c r="P453" s="36">
        <f>SUM(P454)+P461</f>
        <v>7000000</v>
      </c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  <c r="DG453" s="38"/>
      <c r="DH453" s="38"/>
      <c r="DI453" s="38"/>
      <c r="DJ453" s="38"/>
      <c r="DK453" s="38"/>
      <c r="DL453" s="38"/>
      <c r="DM453" s="38"/>
      <c r="DN453" s="38"/>
      <c r="DO453" s="38"/>
      <c r="DP453" s="38"/>
      <c r="DQ453" s="38"/>
      <c r="DR453" s="38"/>
      <c r="DS453" s="38"/>
      <c r="DT453" s="38"/>
      <c r="DU453" s="38"/>
      <c r="DV453" s="38"/>
      <c r="DW453" s="38"/>
      <c r="DX453" s="38"/>
      <c r="DY453" s="38"/>
      <c r="DZ453" s="38"/>
      <c r="EA453" s="38"/>
      <c r="EB453" s="38"/>
      <c r="EC453" s="38"/>
      <c r="ED453" s="38"/>
      <c r="EE453" s="38"/>
      <c r="EF453" s="38"/>
      <c r="EG453" s="38"/>
      <c r="EH453" s="38"/>
      <c r="EI453" s="38"/>
      <c r="EJ453" s="38"/>
      <c r="EK453" s="38"/>
      <c r="EL453" s="38"/>
      <c r="EM453" s="38"/>
      <c r="EN453" s="38"/>
      <c r="EO453" s="38"/>
      <c r="EP453" s="38"/>
      <c r="EQ453" s="38"/>
      <c r="ER453" s="38"/>
      <c r="ES453" s="38"/>
      <c r="ET453" s="38"/>
      <c r="EU453" s="38"/>
      <c r="EV453" s="38"/>
      <c r="EW453" s="38"/>
      <c r="EX453" s="38"/>
      <c r="EY453" s="38"/>
      <c r="EZ453" s="38"/>
      <c r="FA453" s="38"/>
      <c r="FB453" s="38"/>
      <c r="FC453" s="38"/>
      <c r="FD453" s="38"/>
      <c r="FE453" s="38"/>
      <c r="FF453" s="38"/>
      <c r="FG453" s="38"/>
      <c r="FH453" s="38"/>
      <c r="FI453" s="38"/>
      <c r="FJ453" s="38"/>
      <c r="FK453" s="38"/>
      <c r="FL453" s="38"/>
      <c r="FM453" s="38"/>
      <c r="FN453" s="38"/>
      <c r="FO453" s="38"/>
      <c r="FP453" s="38"/>
      <c r="FQ453" s="38"/>
      <c r="FR453" s="38"/>
      <c r="FS453" s="38"/>
      <c r="FT453" s="38"/>
      <c r="FU453" s="38"/>
      <c r="FV453" s="38"/>
      <c r="FW453" s="38"/>
      <c r="FX453" s="38"/>
      <c r="FY453" s="38"/>
      <c r="FZ453" s="38"/>
      <c r="GA453" s="38"/>
      <c r="GB453" s="38"/>
      <c r="GC453" s="38"/>
      <c r="GD453" s="38"/>
      <c r="GE453" s="38"/>
      <c r="GF453" s="38"/>
      <c r="GG453" s="38"/>
      <c r="GH453" s="38"/>
      <c r="GI453" s="38"/>
      <c r="GJ453" s="38"/>
      <c r="GK453" s="38"/>
      <c r="GL453" s="38"/>
      <c r="GM453" s="38"/>
      <c r="GN453" s="38"/>
      <c r="GO453" s="38"/>
      <c r="GP453" s="38"/>
      <c r="GQ453" s="38"/>
      <c r="GR453" s="38"/>
      <c r="GS453" s="38"/>
      <c r="GT453" s="38"/>
      <c r="GU453" s="38"/>
      <c r="GV453" s="38"/>
      <c r="GW453" s="38"/>
      <c r="GX453" s="38"/>
      <c r="GY453" s="38"/>
      <c r="GZ453" s="38"/>
      <c r="HA453" s="38"/>
      <c r="HB453" s="38"/>
      <c r="HC453" s="38"/>
      <c r="HD453" s="38"/>
      <c r="HE453" s="38"/>
      <c r="HF453" s="38"/>
      <c r="HG453" s="38"/>
      <c r="HH453" s="38"/>
      <c r="HI453" s="38"/>
      <c r="HJ453" s="38"/>
      <c r="HK453" s="38"/>
      <c r="HL453" s="38"/>
      <c r="HM453" s="38"/>
      <c r="HN453" s="38"/>
      <c r="HO453" s="38"/>
      <c r="HP453" s="38"/>
      <c r="HQ453" s="38"/>
      <c r="HR453" s="38"/>
      <c r="HS453" s="38"/>
      <c r="HT453" s="38"/>
      <c r="HU453" s="38"/>
      <c r="HV453" s="38"/>
      <c r="HW453" s="38"/>
      <c r="HX453" s="38"/>
      <c r="HY453" s="38"/>
      <c r="HZ453" s="38"/>
      <c r="IA453" s="38"/>
    </row>
    <row r="454" spans="1:235" s="39" customFormat="1" ht="39.75" customHeight="1">
      <c r="A454" s="34" t="s">
        <v>410</v>
      </c>
      <c r="B454" s="35"/>
      <c r="C454" s="35"/>
      <c r="D454" s="36">
        <f>SUM(D456)</f>
        <v>5830000</v>
      </c>
      <c r="E454" s="36"/>
      <c r="F454" s="36">
        <f>SUM(D454)</f>
        <v>5830000</v>
      </c>
      <c r="G454" s="36">
        <f>SUM(G456)</f>
        <v>6500000</v>
      </c>
      <c r="H454" s="36"/>
      <c r="I454" s="36"/>
      <c r="J454" s="36">
        <f>SUM(J456)</f>
        <v>6500000</v>
      </c>
      <c r="K454" s="36"/>
      <c r="L454" s="36"/>
      <c r="M454" s="36"/>
      <c r="N454" s="36">
        <f>SUM(N456)</f>
        <v>7000000</v>
      </c>
      <c r="O454" s="36"/>
      <c r="P454" s="36">
        <f>P456</f>
        <v>7000000</v>
      </c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  <c r="DG454" s="38"/>
      <c r="DH454" s="38"/>
      <c r="DI454" s="38"/>
      <c r="DJ454" s="38"/>
      <c r="DK454" s="38"/>
      <c r="DL454" s="38"/>
      <c r="DM454" s="38"/>
      <c r="DN454" s="38"/>
      <c r="DO454" s="38"/>
      <c r="DP454" s="38"/>
      <c r="DQ454" s="38"/>
      <c r="DR454" s="38"/>
      <c r="DS454" s="38"/>
      <c r="DT454" s="38"/>
      <c r="DU454" s="38"/>
      <c r="DV454" s="38"/>
      <c r="DW454" s="38"/>
      <c r="DX454" s="38"/>
      <c r="DY454" s="38"/>
      <c r="DZ454" s="38"/>
      <c r="EA454" s="38"/>
      <c r="EB454" s="38"/>
      <c r="EC454" s="38"/>
      <c r="ED454" s="38"/>
      <c r="EE454" s="38"/>
      <c r="EF454" s="38"/>
      <c r="EG454" s="38"/>
      <c r="EH454" s="38"/>
      <c r="EI454" s="38"/>
      <c r="EJ454" s="38"/>
      <c r="EK454" s="38"/>
      <c r="EL454" s="38"/>
      <c r="EM454" s="38"/>
      <c r="EN454" s="38"/>
      <c r="EO454" s="38"/>
      <c r="EP454" s="38"/>
      <c r="EQ454" s="38"/>
      <c r="ER454" s="38"/>
      <c r="ES454" s="38"/>
      <c r="ET454" s="38"/>
      <c r="EU454" s="38"/>
      <c r="EV454" s="38"/>
      <c r="EW454" s="38"/>
      <c r="EX454" s="38"/>
      <c r="EY454" s="38"/>
      <c r="EZ454" s="38"/>
      <c r="FA454" s="38"/>
      <c r="FB454" s="38"/>
      <c r="FC454" s="38"/>
      <c r="FD454" s="38"/>
      <c r="FE454" s="38"/>
      <c r="FF454" s="38"/>
      <c r="FG454" s="38"/>
      <c r="FH454" s="38"/>
      <c r="FI454" s="38"/>
      <c r="FJ454" s="38"/>
      <c r="FK454" s="38"/>
      <c r="FL454" s="38"/>
      <c r="FM454" s="38"/>
      <c r="FN454" s="38"/>
      <c r="FO454" s="38"/>
      <c r="FP454" s="38"/>
      <c r="FQ454" s="38"/>
      <c r="FR454" s="38"/>
      <c r="FS454" s="38"/>
      <c r="FT454" s="38"/>
      <c r="FU454" s="38"/>
      <c r="FV454" s="38"/>
      <c r="FW454" s="38"/>
      <c r="FX454" s="38"/>
      <c r="FY454" s="38"/>
      <c r="FZ454" s="38"/>
      <c r="GA454" s="38"/>
      <c r="GB454" s="38"/>
      <c r="GC454" s="38"/>
      <c r="GD454" s="38"/>
      <c r="GE454" s="38"/>
      <c r="GF454" s="38"/>
      <c r="GG454" s="38"/>
      <c r="GH454" s="38"/>
      <c r="GI454" s="38"/>
      <c r="GJ454" s="38"/>
      <c r="GK454" s="38"/>
      <c r="GL454" s="38"/>
      <c r="GM454" s="38"/>
      <c r="GN454" s="38"/>
      <c r="GO454" s="38"/>
      <c r="GP454" s="38"/>
      <c r="GQ454" s="38"/>
      <c r="GR454" s="38"/>
      <c r="GS454" s="38"/>
      <c r="GT454" s="38"/>
      <c r="GU454" s="38"/>
      <c r="GV454" s="38"/>
      <c r="GW454" s="38"/>
      <c r="GX454" s="38"/>
      <c r="GY454" s="38"/>
      <c r="GZ454" s="38"/>
      <c r="HA454" s="38"/>
      <c r="HB454" s="38"/>
      <c r="HC454" s="38"/>
      <c r="HD454" s="38"/>
      <c r="HE454" s="38"/>
      <c r="HF454" s="38"/>
      <c r="HG454" s="38"/>
      <c r="HH454" s="38"/>
      <c r="HI454" s="38"/>
      <c r="HJ454" s="38"/>
      <c r="HK454" s="38"/>
      <c r="HL454" s="38"/>
      <c r="HM454" s="38"/>
      <c r="HN454" s="38"/>
      <c r="HO454" s="38"/>
      <c r="HP454" s="38"/>
      <c r="HQ454" s="38"/>
      <c r="HR454" s="38"/>
      <c r="HS454" s="38"/>
      <c r="HT454" s="38"/>
      <c r="HU454" s="38"/>
      <c r="HV454" s="38"/>
      <c r="HW454" s="38"/>
      <c r="HX454" s="38"/>
      <c r="HY454" s="38"/>
      <c r="HZ454" s="38"/>
      <c r="IA454" s="38"/>
    </row>
    <row r="455" spans="1:16" ht="12" customHeight="1">
      <c r="A455" s="5" t="s">
        <v>4</v>
      </c>
      <c r="B455" s="6"/>
      <c r="C455" s="6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3.5" customHeight="1">
      <c r="A456" s="8" t="s">
        <v>43</v>
      </c>
      <c r="B456" s="6"/>
      <c r="C456" s="6"/>
      <c r="D456" s="7">
        <f>6000000-180000-320000+180000+60000+90000</f>
        <v>5830000</v>
      </c>
      <c r="E456" s="7"/>
      <c r="F456" s="7">
        <f>D456</f>
        <v>5830000</v>
      </c>
      <c r="G456" s="7">
        <v>6500000</v>
      </c>
      <c r="H456" s="7"/>
      <c r="I456" s="7"/>
      <c r="J456" s="7">
        <f>SUM(G456)</f>
        <v>6500000</v>
      </c>
      <c r="K456" s="7"/>
      <c r="L456" s="7"/>
      <c r="M456" s="7"/>
      <c r="N456" s="7">
        <v>7000000</v>
      </c>
      <c r="O456" s="7"/>
      <c r="P456" s="7">
        <f>N456</f>
        <v>7000000</v>
      </c>
    </row>
    <row r="457" spans="1:16" ht="12" customHeight="1">
      <c r="A457" s="5" t="s">
        <v>5</v>
      </c>
      <c r="B457" s="6"/>
      <c r="C457" s="6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51" customHeight="1">
      <c r="A458" s="8" t="s">
        <v>256</v>
      </c>
      <c r="B458" s="6"/>
      <c r="C458" s="6"/>
      <c r="D458" s="7">
        <v>12</v>
      </c>
      <c r="E458" s="7"/>
      <c r="F458" s="7">
        <v>12</v>
      </c>
      <c r="G458" s="7">
        <v>12</v>
      </c>
      <c r="H458" s="7"/>
      <c r="I458" s="7"/>
      <c r="J458" s="7">
        <v>12</v>
      </c>
      <c r="K458" s="7"/>
      <c r="L458" s="7"/>
      <c r="M458" s="7"/>
      <c r="N458" s="7">
        <v>12</v>
      </c>
      <c r="O458" s="7"/>
      <c r="P458" s="7">
        <v>12</v>
      </c>
    </row>
    <row r="459" spans="1:16" ht="11.25">
      <c r="A459" s="5" t="s">
        <v>7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36" customHeight="1">
      <c r="A460" s="8" t="s">
        <v>257</v>
      </c>
      <c r="B460" s="6"/>
      <c r="C460" s="6"/>
      <c r="D460" s="7">
        <f>SUM(D456)/D458</f>
        <v>485833.3333333333</v>
      </c>
      <c r="E460" s="7"/>
      <c r="F460" s="7">
        <f>D460</f>
        <v>485833.3333333333</v>
      </c>
      <c r="G460" s="7">
        <f>SUM(G456)/G458</f>
        <v>541666.6666666666</v>
      </c>
      <c r="H460" s="7"/>
      <c r="I460" s="7"/>
      <c r="J460" s="7">
        <f>SUM(J456)/J458</f>
        <v>541666.6666666666</v>
      </c>
      <c r="K460" s="7"/>
      <c r="L460" s="7"/>
      <c r="M460" s="7"/>
      <c r="N460" s="7">
        <f>SUM(N456)/N458</f>
        <v>583333.3333333334</v>
      </c>
      <c r="O460" s="7"/>
      <c r="P460" s="7">
        <f>SUM(P456)/P458</f>
        <v>583333.3333333334</v>
      </c>
    </row>
    <row r="461" spans="1:16" ht="36" customHeight="1">
      <c r="A461" s="34" t="s">
        <v>411</v>
      </c>
      <c r="B461" s="6"/>
      <c r="C461" s="6"/>
      <c r="D461" s="7">
        <f>D463</f>
        <v>14000000</v>
      </c>
      <c r="E461" s="7"/>
      <c r="F461" s="7">
        <f>F463</f>
        <v>14000000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6.5" customHeight="1">
      <c r="A462" s="5" t="s">
        <v>4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2.75" customHeight="1">
      <c r="A463" s="5" t="s">
        <v>43</v>
      </c>
      <c r="B463" s="6"/>
      <c r="C463" s="6"/>
      <c r="D463" s="7">
        <f>3000000+2000000+3000000+1000000+3000000+2000000</f>
        <v>14000000</v>
      </c>
      <c r="E463" s="7"/>
      <c r="F463" s="7">
        <f>3000000+2000000+3000000+1000000+3000000+2000000</f>
        <v>14000000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235" s="39" customFormat="1" ht="25.5" customHeight="1">
      <c r="A464" s="34" t="s">
        <v>412</v>
      </c>
      <c r="B464" s="35"/>
      <c r="C464" s="35"/>
      <c r="D464" s="36">
        <f>D466</f>
        <v>70000</v>
      </c>
      <c r="E464" s="36"/>
      <c r="F464" s="36">
        <f>D464+E464</f>
        <v>70000</v>
      </c>
      <c r="G464" s="36">
        <f>G468*G470</f>
        <v>0</v>
      </c>
      <c r="H464" s="36"/>
      <c r="I464" s="36"/>
      <c r="J464" s="36">
        <f>G464</f>
        <v>0</v>
      </c>
      <c r="K464" s="36"/>
      <c r="L464" s="36"/>
      <c r="M464" s="36"/>
      <c r="N464" s="36">
        <f>N470*N468</f>
        <v>0</v>
      </c>
      <c r="O464" s="36"/>
      <c r="P464" s="36">
        <f>N464</f>
        <v>0</v>
      </c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  <c r="DG464" s="38"/>
      <c r="DH464" s="38"/>
      <c r="DI464" s="38"/>
      <c r="DJ464" s="38"/>
      <c r="DK464" s="38"/>
      <c r="DL464" s="38"/>
      <c r="DM464" s="38"/>
      <c r="DN464" s="38"/>
      <c r="DO464" s="38"/>
      <c r="DP464" s="38"/>
      <c r="DQ464" s="38"/>
      <c r="DR464" s="38"/>
      <c r="DS464" s="38"/>
      <c r="DT464" s="38"/>
      <c r="DU464" s="38"/>
      <c r="DV464" s="38"/>
      <c r="DW464" s="38"/>
      <c r="DX464" s="38"/>
      <c r="DY464" s="38"/>
      <c r="DZ464" s="38"/>
      <c r="EA464" s="38"/>
      <c r="EB464" s="38"/>
      <c r="EC464" s="38"/>
      <c r="ED464" s="38"/>
      <c r="EE464" s="38"/>
      <c r="EF464" s="38"/>
      <c r="EG464" s="38"/>
      <c r="EH464" s="38"/>
      <c r="EI464" s="38"/>
      <c r="EJ464" s="38"/>
      <c r="EK464" s="38"/>
      <c r="EL464" s="38"/>
      <c r="EM464" s="38"/>
      <c r="EN464" s="38"/>
      <c r="EO464" s="38"/>
      <c r="EP464" s="38"/>
      <c r="EQ464" s="38"/>
      <c r="ER464" s="38"/>
      <c r="ES464" s="38"/>
      <c r="ET464" s="38"/>
      <c r="EU464" s="38"/>
      <c r="EV464" s="38"/>
      <c r="EW464" s="38"/>
      <c r="EX464" s="38"/>
      <c r="EY464" s="38"/>
      <c r="EZ464" s="38"/>
      <c r="FA464" s="38"/>
      <c r="FB464" s="38"/>
      <c r="FC464" s="38"/>
      <c r="FD464" s="38"/>
      <c r="FE464" s="38"/>
      <c r="FF464" s="38"/>
      <c r="FG464" s="38"/>
      <c r="FH464" s="38"/>
      <c r="FI464" s="38"/>
      <c r="FJ464" s="38"/>
      <c r="FK464" s="38"/>
      <c r="FL464" s="38"/>
      <c r="FM464" s="38"/>
      <c r="FN464" s="38"/>
      <c r="FO464" s="38"/>
      <c r="FP464" s="38"/>
      <c r="FQ464" s="38"/>
      <c r="FR464" s="38"/>
      <c r="FS464" s="38"/>
      <c r="FT464" s="38"/>
      <c r="FU464" s="38"/>
      <c r="FV464" s="38"/>
      <c r="FW464" s="38"/>
      <c r="FX464" s="38"/>
      <c r="FY464" s="38"/>
      <c r="FZ464" s="38"/>
      <c r="GA464" s="38"/>
      <c r="GB464" s="38"/>
      <c r="GC464" s="38"/>
      <c r="GD464" s="38"/>
      <c r="GE464" s="38"/>
      <c r="GF464" s="38"/>
      <c r="GG464" s="38"/>
      <c r="GH464" s="38"/>
      <c r="GI464" s="38"/>
      <c r="GJ464" s="38"/>
      <c r="GK464" s="38"/>
      <c r="GL464" s="38"/>
      <c r="GM464" s="38"/>
      <c r="GN464" s="38"/>
      <c r="GO464" s="38"/>
      <c r="GP464" s="38"/>
      <c r="GQ464" s="38"/>
      <c r="GR464" s="38"/>
      <c r="GS464" s="38"/>
      <c r="GT464" s="38"/>
      <c r="GU464" s="38"/>
      <c r="GV464" s="38"/>
      <c r="GW464" s="38"/>
      <c r="GX464" s="38"/>
      <c r="GY464" s="38"/>
      <c r="GZ464" s="38"/>
      <c r="HA464" s="38"/>
      <c r="HB464" s="38"/>
      <c r="HC464" s="38"/>
      <c r="HD464" s="38"/>
      <c r="HE464" s="38"/>
      <c r="HF464" s="38"/>
      <c r="HG464" s="38"/>
      <c r="HH464" s="38"/>
      <c r="HI464" s="38"/>
      <c r="HJ464" s="38"/>
      <c r="HK464" s="38"/>
      <c r="HL464" s="38"/>
      <c r="HM464" s="38"/>
      <c r="HN464" s="38"/>
      <c r="HO464" s="38"/>
      <c r="HP464" s="38"/>
      <c r="HQ464" s="38"/>
      <c r="HR464" s="38"/>
      <c r="HS464" s="38"/>
      <c r="HT464" s="38"/>
      <c r="HU464" s="38"/>
      <c r="HV464" s="38"/>
      <c r="HW464" s="38"/>
      <c r="HX464" s="38"/>
      <c r="HY464" s="38"/>
      <c r="HZ464" s="38"/>
      <c r="IA464" s="38"/>
    </row>
    <row r="465" spans="1:16" ht="11.25">
      <c r="A465" s="5" t="s">
        <v>4</v>
      </c>
      <c r="B465" s="6"/>
      <c r="C465" s="6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4.25" customHeight="1">
      <c r="A466" s="8" t="s">
        <v>43</v>
      </c>
      <c r="B466" s="6"/>
      <c r="C466" s="6"/>
      <c r="D466" s="7">
        <f>D468*D470</f>
        <v>70000</v>
      </c>
      <c r="E466" s="7"/>
      <c r="F466" s="7">
        <f>D466+E466</f>
        <v>70000</v>
      </c>
      <c r="G466" s="7"/>
      <c r="H466" s="7"/>
      <c r="I466" s="7"/>
      <c r="J466" s="7">
        <f>G466</f>
        <v>0</v>
      </c>
      <c r="K466" s="7"/>
      <c r="L466" s="7"/>
      <c r="M466" s="7"/>
      <c r="N466" s="7"/>
      <c r="O466" s="7"/>
      <c r="P466" s="7">
        <f>N466</f>
        <v>0</v>
      </c>
    </row>
    <row r="467" spans="1:16" ht="11.25">
      <c r="A467" s="5" t="s">
        <v>5</v>
      </c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23.25" customHeight="1">
      <c r="A468" s="8" t="s">
        <v>134</v>
      </c>
      <c r="B468" s="6"/>
      <c r="C468" s="6"/>
      <c r="D468" s="7">
        <v>2</v>
      </c>
      <c r="E468" s="7"/>
      <c r="F468" s="7">
        <f>D468+E468</f>
        <v>2</v>
      </c>
      <c r="G468" s="7"/>
      <c r="H468" s="7"/>
      <c r="I468" s="7"/>
      <c r="J468" s="7">
        <v>0</v>
      </c>
      <c r="K468" s="7"/>
      <c r="L468" s="7"/>
      <c r="M468" s="7"/>
      <c r="N468" s="7"/>
      <c r="O468" s="7"/>
      <c r="P468" s="7">
        <v>0</v>
      </c>
    </row>
    <row r="469" spans="1:16" ht="11.25">
      <c r="A469" s="5" t="s">
        <v>7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24.75" customHeight="1">
      <c r="A470" s="8" t="s">
        <v>135</v>
      </c>
      <c r="B470" s="6"/>
      <c r="C470" s="6"/>
      <c r="D470" s="7">
        <v>35000</v>
      </c>
      <c r="E470" s="7"/>
      <c r="F470" s="7">
        <f>D470+E470</f>
        <v>35000</v>
      </c>
      <c r="G470" s="7"/>
      <c r="H470" s="7"/>
      <c r="I470" s="7"/>
      <c r="J470" s="7">
        <f>G470</f>
        <v>0</v>
      </c>
      <c r="K470" s="7"/>
      <c r="L470" s="7"/>
      <c r="M470" s="7"/>
      <c r="N470" s="7"/>
      <c r="O470" s="7"/>
      <c r="P470" s="7">
        <v>0</v>
      </c>
    </row>
    <row r="471" spans="1:235" s="39" customFormat="1" ht="15" customHeight="1">
      <c r="A471" s="34" t="s">
        <v>413</v>
      </c>
      <c r="B471" s="35"/>
      <c r="C471" s="35"/>
      <c r="D471" s="36">
        <f>D473</f>
        <v>150399.999999935</v>
      </c>
      <c r="E471" s="36"/>
      <c r="F471" s="36">
        <f>D471</f>
        <v>150399.999999935</v>
      </c>
      <c r="G471" s="36">
        <f>G473</f>
        <v>200000.4</v>
      </c>
      <c r="H471" s="36"/>
      <c r="I471" s="36"/>
      <c r="J471" s="30">
        <f aca="true" t="shared" si="60" ref="J471:J479">G471</f>
        <v>200000.4</v>
      </c>
      <c r="K471" s="36"/>
      <c r="L471" s="36"/>
      <c r="M471" s="36"/>
      <c r="N471" s="36"/>
      <c r="O471" s="36"/>
      <c r="P471" s="36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  <c r="DG471" s="38"/>
      <c r="DH471" s="38"/>
      <c r="DI471" s="38"/>
      <c r="DJ471" s="38"/>
      <c r="DK471" s="38"/>
      <c r="DL471" s="38"/>
      <c r="DM471" s="38"/>
      <c r="DN471" s="38"/>
      <c r="DO471" s="38"/>
      <c r="DP471" s="38"/>
      <c r="DQ471" s="38"/>
      <c r="DR471" s="38"/>
      <c r="DS471" s="38"/>
      <c r="DT471" s="38"/>
      <c r="DU471" s="38"/>
      <c r="DV471" s="38"/>
      <c r="DW471" s="38"/>
      <c r="DX471" s="38"/>
      <c r="DY471" s="38"/>
      <c r="DZ471" s="38"/>
      <c r="EA471" s="38"/>
      <c r="EB471" s="38"/>
      <c r="EC471" s="38"/>
      <c r="ED471" s="38"/>
      <c r="EE471" s="38"/>
      <c r="EF471" s="38"/>
      <c r="EG471" s="38"/>
      <c r="EH471" s="38"/>
      <c r="EI471" s="38"/>
      <c r="EJ471" s="38"/>
      <c r="EK471" s="38"/>
      <c r="EL471" s="38"/>
      <c r="EM471" s="38"/>
      <c r="EN471" s="38"/>
      <c r="EO471" s="38"/>
      <c r="EP471" s="38"/>
      <c r="EQ471" s="38"/>
      <c r="ER471" s="38"/>
      <c r="ES471" s="38"/>
      <c r="ET471" s="38"/>
      <c r="EU471" s="38"/>
      <c r="EV471" s="38"/>
      <c r="EW471" s="38"/>
      <c r="EX471" s="38"/>
      <c r="EY471" s="38"/>
      <c r="EZ471" s="38"/>
      <c r="FA471" s="38"/>
      <c r="FB471" s="38"/>
      <c r="FC471" s="38"/>
      <c r="FD471" s="38"/>
      <c r="FE471" s="38"/>
      <c r="FF471" s="38"/>
      <c r="FG471" s="38"/>
      <c r="FH471" s="38"/>
      <c r="FI471" s="38"/>
      <c r="FJ471" s="38"/>
      <c r="FK471" s="38"/>
      <c r="FL471" s="38"/>
      <c r="FM471" s="38"/>
      <c r="FN471" s="38"/>
      <c r="FO471" s="38"/>
      <c r="FP471" s="38"/>
      <c r="FQ471" s="38"/>
      <c r="FR471" s="38"/>
      <c r="FS471" s="38"/>
      <c r="FT471" s="38"/>
      <c r="FU471" s="38"/>
      <c r="FV471" s="38"/>
      <c r="FW471" s="38"/>
      <c r="FX471" s="38"/>
      <c r="FY471" s="38"/>
      <c r="FZ471" s="38"/>
      <c r="GA471" s="38"/>
      <c r="GB471" s="38"/>
      <c r="GC471" s="38"/>
      <c r="GD471" s="38"/>
      <c r="GE471" s="38"/>
      <c r="GF471" s="38"/>
      <c r="GG471" s="38"/>
      <c r="GH471" s="38"/>
      <c r="GI471" s="38"/>
      <c r="GJ471" s="38"/>
      <c r="GK471" s="38"/>
      <c r="GL471" s="38"/>
      <c r="GM471" s="38"/>
      <c r="GN471" s="38"/>
      <c r="GO471" s="38"/>
      <c r="GP471" s="38"/>
      <c r="GQ471" s="38"/>
      <c r="GR471" s="38"/>
      <c r="GS471" s="38"/>
      <c r="GT471" s="38"/>
      <c r="GU471" s="38"/>
      <c r="GV471" s="38"/>
      <c r="GW471" s="38"/>
      <c r="GX471" s="38"/>
      <c r="GY471" s="38"/>
      <c r="GZ471" s="38"/>
      <c r="HA471" s="38"/>
      <c r="HB471" s="38"/>
      <c r="HC471" s="38"/>
      <c r="HD471" s="38"/>
      <c r="HE471" s="38"/>
      <c r="HF471" s="38"/>
      <c r="HG471" s="38"/>
      <c r="HH471" s="38"/>
      <c r="HI471" s="38"/>
      <c r="HJ471" s="38"/>
      <c r="HK471" s="38"/>
      <c r="HL471" s="38"/>
      <c r="HM471" s="38"/>
      <c r="HN471" s="38"/>
      <c r="HO471" s="38"/>
      <c r="HP471" s="38"/>
      <c r="HQ471" s="38"/>
      <c r="HR471" s="38"/>
      <c r="HS471" s="38"/>
      <c r="HT471" s="38"/>
      <c r="HU471" s="38"/>
      <c r="HV471" s="38"/>
      <c r="HW471" s="38"/>
      <c r="HX471" s="38"/>
      <c r="HY471" s="38"/>
      <c r="HZ471" s="38"/>
      <c r="IA471" s="38"/>
    </row>
    <row r="472" spans="1:16" ht="12" customHeight="1">
      <c r="A472" s="5" t="s">
        <v>4</v>
      </c>
      <c r="B472" s="6"/>
      <c r="C472" s="6"/>
      <c r="D472" s="7"/>
      <c r="E472" s="7"/>
      <c r="F472" s="7"/>
      <c r="G472" s="7"/>
      <c r="H472" s="7"/>
      <c r="I472" s="7"/>
      <c r="J472" s="7">
        <f t="shared" si="60"/>
        <v>0</v>
      </c>
      <c r="K472" s="7"/>
      <c r="L472" s="7"/>
      <c r="M472" s="7"/>
      <c r="N472" s="7"/>
      <c r="O472" s="7"/>
      <c r="P472" s="7"/>
    </row>
    <row r="473" spans="1:16" ht="12" customHeight="1">
      <c r="A473" s="8" t="s">
        <v>43</v>
      </c>
      <c r="B473" s="6"/>
      <c r="C473" s="6"/>
      <c r="D473" s="7">
        <f>(D475*D478)+(D476*D479)</f>
        <v>150399.999999935</v>
      </c>
      <c r="E473" s="7"/>
      <c r="F473" s="7">
        <f>D473</f>
        <v>150399.999999935</v>
      </c>
      <c r="G473" s="7">
        <f>(G475*G478)+(G476*G479)</f>
        <v>200000.4</v>
      </c>
      <c r="H473" s="7"/>
      <c r="I473" s="7"/>
      <c r="J473" s="7">
        <f t="shared" si="60"/>
        <v>200000.4</v>
      </c>
      <c r="K473" s="7"/>
      <c r="L473" s="7"/>
      <c r="M473" s="7"/>
      <c r="N473" s="7"/>
      <c r="O473" s="7"/>
      <c r="P473" s="7"/>
    </row>
    <row r="474" spans="1:16" ht="12" customHeight="1">
      <c r="A474" s="5" t="s">
        <v>5</v>
      </c>
      <c r="B474" s="6"/>
      <c r="C474" s="6"/>
      <c r="D474" s="7"/>
      <c r="E474" s="7"/>
      <c r="F474" s="7"/>
      <c r="G474" s="7"/>
      <c r="H474" s="7"/>
      <c r="I474" s="7"/>
      <c r="J474" s="7">
        <f t="shared" si="60"/>
        <v>0</v>
      </c>
      <c r="K474" s="7"/>
      <c r="L474" s="7"/>
      <c r="M474" s="7"/>
      <c r="N474" s="7"/>
      <c r="O474" s="7"/>
      <c r="P474" s="7"/>
    </row>
    <row r="475" spans="1:16" ht="24.75" customHeight="1">
      <c r="A475" s="8" t="s">
        <v>156</v>
      </c>
      <c r="B475" s="6"/>
      <c r="C475" s="6"/>
      <c r="D475" s="7">
        <v>57</v>
      </c>
      <c r="E475" s="7"/>
      <c r="F475" s="7">
        <v>57</v>
      </c>
      <c r="G475" s="7">
        <v>57</v>
      </c>
      <c r="H475" s="7"/>
      <c r="I475" s="7"/>
      <c r="J475" s="7">
        <f t="shared" si="60"/>
        <v>57</v>
      </c>
      <c r="K475" s="7"/>
      <c r="L475" s="7"/>
      <c r="M475" s="7"/>
      <c r="N475" s="7"/>
      <c r="O475" s="7"/>
      <c r="P475" s="7"/>
    </row>
    <row r="476" spans="1:16" ht="15.75" customHeight="1">
      <c r="A476" s="8" t="s">
        <v>154</v>
      </c>
      <c r="B476" s="6"/>
      <c r="C476" s="6"/>
      <c r="D476" s="7">
        <v>145</v>
      </c>
      <c r="E476" s="7"/>
      <c r="F476" s="7">
        <f>D476</f>
        <v>145</v>
      </c>
      <c r="G476" s="7">
        <v>145</v>
      </c>
      <c r="H476" s="7"/>
      <c r="I476" s="7"/>
      <c r="J476" s="7">
        <f t="shared" si="60"/>
        <v>145</v>
      </c>
      <c r="K476" s="7"/>
      <c r="L476" s="7"/>
      <c r="M476" s="7"/>
      <c r="N476" s="7"/>
      <c r="O476" s="7"/>
      <c r="P476" s="7"/>
    </row>
    <row r="477" spans="1:16" ht="12.75" customHeight="1">
      <c r="A477" s="5" t="s">
        <v>7</v>
      </c>
      <c r="B477" s="6"/>
      <c r="C477" s="6"/>
      <c r="D477" s="7"/>
      <c r="E477" s="7"/>
      <c r="F477" s="7"/>
      <c r="G477" s="7"/>
      <c r="H477" s="7"/>
      <c r="I477" s="7"/>
      <c r="J477" s="7">
        <f t="shared" si="60"/>
        <v>0</v>
      </c>
      <c r="K477" s="7"/>
      <c r="L477" s="7"/>
      <c r="M477" s="7"/>
      <c r="N477" s="7"/>
      <c r="O477" s="7"/>
      <c r="P477" s="7"/>
    </row>
    <row r="478" spans="1:16" ht="24.75" customHeight="1">
      <c r="A478" s="8" t="s">
        <v>155</v>
      </c>
      <c r="B478" s="6"/>
      <c r="C478" s="6"/>
      <c r="D478" s="7">
        <v>1950.89</v>
      </c>
      <c r="E478" s="7"/>
      <c r="F478" s="7">
        <f>D478</f>
        <v>1950.89</v>
      </c>
      <c r="G478" s="7">
        <v>2596.5</v>
      </c>
      <c r="H478" s="7"/>
      <c r="I478" s="7"/>
      <c r="J478" s="7">
        <f t="shared" si="60"/>
        <v>2596.5</v>
      </c>
      <c r="K478" s="7"/>
      <c r="L478" s="7"/>
      <c r="M478" s="7"/>
      <c r="N478" s="7"/>
      <c r="O478" s="7"/>
      <c r="P478" s="7"/>
    </row>
    <row r="479" spans="1:16" ht="24.75" customHeight="1">
      <c r="A479" s="8" t="s">
        <v>157</v>
      </c>
      <c r="B479" s="6"/>
      <c r="C479" s="6"/>
      <c r="D479" s="7">
        <v>270.339793103</v>
      </c>
      <c r="E479" s="7"/>
      <c r="F479" s="7">
        <f>D479</f>
        <v>270.339793103</v>
      </c>
      <c r="G479" s="7">
        <v>358.62</v>
      </c>
      <c r="H479" s="7"/>
      <c r="I479" s="7"/>
      <c r="J479" s="7">
        <f t="shared" si="60"/>
        <v>358.62</v>
      </c>
      <c r="K479" s="7"/>
      <c r="L479" s="7"/>
      <c r="M479" s="7"/>
      <c r="N479" s="7"/>
      <c r="O479" s="7"/>
      <c r="P479" s="7"/>
    </row>
    <row r="480" spans="1:235" s="39" customFormat="1" ht="25.5" customHeight="1">
      <c r="A480" s="34" t="s">
        <v>414</v>
      </c>
      <c r="B480" s="35"/>
      <c r="C480" s="35"/>
      <c r="D480" s="36">
        <f>D482</f>
        <v>399999.99999963003</v>
      </c>
      <c r="E480" s="36"/>
      <c r="F480" s="36">
        <f>D480</f>
        <v>399999.99999963003</v>
      </c>
      <c r="G480" s="36">
        <f>G482</f>
        <v>450000</v>
      </c>
      <c r="H480" s="36"/>
      <c r="I480" s="36"/>
      <c r="J480" s="36">
        <f>G480+H480</f>
        <v>450000</v>
      </c>
      <c r="K480" s="36"/>
      <c r="L480" s="36"/>
      <c r="M480" s="36"/>
      <c r="N480" s="36">
        <f>N482</f>
        <v>500000.00204999995</v>
      </c>
      <c r="O480" s="36"/>
      <c r="P480" s="36">
        <f>N480</f>
        <v>500000.00204999995</v>
      </c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  <c r="DH480" s="38"/>
      <c r="DI480" s="38"/>
      <c r="DJ480" s="38"/>
      <c r="DK480" s="38"/>
      <c r="DL480" s="38"/>
      <c r="DM480" s="38"/>
      <c r="DN480" s="38"/>
      <c r="DO480" s="38"/>
      <c r="DP480" s="38"/>
      <c r="DQ480" s="38"/>
      <c r="DR480" s="38"/>
      <c r="DS480" s="38"/>
      <c r="DT480" s="38"/>
      <c r="DU480" s="38"/>
      <c r="DV480" s="38"/>
      <c r="DW480" s="38"/>
      <c r="DX480" s="38"/>
      <c r="DY480" s="38"/>
      <c r="DZ480" s="38"/>
      <c r="EA480" s="38"/>
      <c r="EB480" s="38"/>
      <c r="EC480" s="38"/>
      <c r="ED480" s="38"/>
      <c r="EE480" s="38"/>
      <c r="EF480" s="38"/>
      <c r="EG480" s="38"/>
      <c r="EH480" s="38"/>
      <c r="EI480" s="38"/>
      <c r="EJ480" s="38"/>
      <c r="EK480" s="38"/>
      <c r="EL480" s="38"/>
      <c r="EM480" s="38"/>
      <c r="EN480" s="38"/>
      <c r="EO480" s="38"/>
      <c r="EP480" s="38"/>
      <c r="EQ480" s="38"/>
      <c r="ER480" s="38"/>
      <c r="ES480" s="38"/>
      <c r="ET480" s="38"/>
      <c r="EU480" s="38"/>
      <c r="EV480" s="38"/>
      <c r="EW480" s="38"/>
      <c r="EX480" s="38"/>
      <c r="EY480" s="38"/>
      <c r="EZ480" s="38"/>
      <c r="FA480" s="38"/>
      <c r="FB480" s="38"/>
      <c r="FC480" s="38"/>
      <c r="FD480" s="38"/>
      <c r="FE480" s="38"/>
      <c r="FF480" s="38"/>
      <c r="FG480" s="38"/>
      <c r="FH480" s="38"/>
      <c r="FI480" s="38"/>
      <c r="FJ480" s="38"/>
      <c r="FK480" s="38"/>
      <c r="FL480" s="38"/>
      <c r="FM480" s="38"/>
      <c r="FN480" s="38"/>
      <c r="FO480" s="38"/>
      <c r="FP480" s="38"/>
      <c r="FQ480" s="38"/>
      <c r="FR480" s="38"/>
      <c r="FS480" s="38"/>
      <c r="FT480" s="38"/>
      <c r="FU480" s="38"/>
      <c r="FV480" s="38"/>
      <c r="FW480" s="38"/>
      <c r="FX480" s="38"/>
      <c r="FY480" s="38"/>
      <c r="FZ480" s="38"/>
      <c r="GA480" s="38"/>
      <c r="GB480" s="38"/>
      <c r="GC480" s="38"/>
      <c r="GD480" s="38"/>
      <c r="GE480" s="38"/>
      <c r="GF480" s="38"/>
      <c r="GG480" s="38"/>
      <c r="GH480" s="38"/>
      <c r="GI480" s="38"/>
      <c r="GJ480" s="38"/>
      <c r="GK480" s="38"/>
      <c r="GL480" s="38"/>
      <c r="GM480" s="38"/>
      <c r="GN480" s="38"/>
      <c r="GO480" s="38"/>
      <c r="GP480" s="38"/>
      <c r="GQ480" s="38"/>
      <c r="GR480" s="38"/>
      <c r="GS480" s="38"/>
      <c r="GT480" s="38"/>
      <c r="GU480" s="38"/>
      <c r="GV480" s="38"/>
      <c r="GW480" s="38"/>
      <c r="GX480" s="38"/>
      <c r="GY480" s="38"/>
      <c r="GZ480" s="38"/>
      <c r="HA480" s="38"/>
      <c r="HB480" s="38"/>
      <c r="HC480" s="38"/>
      <c r="HD480" s="38"/>
      <c r="HE480" s="38"/>
      <c r="HF480" s="38"/>
      <c r="HG480" s="38"/>
      <c r="HH480" s="38"/>
      <c r="HI480" s="38"/>
      <c r="HJ480" s="38"/>
      <c r="HK480" s="38"/>
      <c r="HL480" s="38"/>
      <c r="HM480" s="38"/>
      <c r="HN480" s="38"/>
      <c r="HO480" s="38"/>
      <c r="HP480" s="38"/>
      <c r="HQ480" s="38"/>
      <c r="HR480" s="38"/>
      <c r="HS480" s="38"/>
      <c r="HT480" s="38"/>
      <c r="HU480" s="38"/>
      <c r="HV480" s="38"/>
      <c r="HW480" s="38"/>
      <c r="HX480" s="38"/>
      <c r="HY480" s="38"/>
      <c r="HZ480" s="38"/>
      <c r="IA480" s="38"/>
    </row>
    <row r="481" spans="1:16" ht="11.25" customHeight="1">
      <c r="A481" s="5" t="s">
        <v>4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36"/>
    </row>
    <row r="482" spans="1:16" ht="14.25" customHeight="1">
      <c r="A482" s="8" t="s">
        <v>43</v>
      </c>
      <c r="B482" s="6"/>
      <c r="C482" s="6"/>
      <c r="D482" s="7">
        <f>D484*D486</f>
        <v>399999.99999963003</v>
      </c>
      <c r="E482" s="7"/>
      <c r="F482" s="7">
        <f>D482+E482</f>
        <v>399999.99999963003</v>
      </c>
      <c r="G482" s="7">
        <f>G484*G486</f>
        <v>450000</v>
      </c>
      <c r="H482" s="7"/>
      <c r="I482" s="7"/>
      <c r="J482" s="7">
        <f>G482+H482</f>
        <v>450000</v>
      </c>
      <c r="K482" s="7"/>
      <c r="L482" s="7"/>
      <c r="M482" s="7"/>
      <c r="N482" s="7">
        <f>N484*N486</f>
        <v>500000.00204999995</v>
      </c>
      <c r="O482" s="7"/>
      <c r="P482" s="36">
        <f>N482</f>
        <v>500000.00204999995</v>
      </c>
    </row>
    <row r="483" spans="1:16" ht="10.5" customHeight="1">
      <c r="A483" s="5" t="s">
        <v>5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36"/>
    </row>
    <row r="484" spans="1:16" ht="24.75" customHeight="1">
      <c r="A484" s="8" t="s">
        <v>162</v>
      </c>
      <c r="B484" s="6"/>
      <c r="C484" s="6"/>
      <c r="D484" s="7">
        <v>307</v>
      </c>
      <c r="E484" s="7"/>
      <c r="F484" s="7">
        <f>D484</f>
        <v>307</v>
      </c>
      <c r="G484" s="7">
        <v>300</v>
      </c>
      <c r="H484" s="7"/>
      <c r="I484" s="7"/>
      <c r="J484" s="7">
        <f>G484+H484</f>
        <v>300</v>
      </c>
      <c r="K484" s="7"/>
      <c r="L484" s="7"/>
      <c r="M484" s="7"/>
      <c r="N484" s="7">
        <v>213</v>
      </c>
      <c r="O484" s="7"/>
      <c r="P484" s="36">
        <f>N484</f>
        <v>213</v>
      </c>
    </row>
    <row r="485" spans="1:16" ht="11.25">
      <c r="A485" s="5" t="s">
        <v>7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36"/>
    </row>
    <row r="486" spans="1:16" ht="24.75" customHeight="1">
      <c r="A486" s="8" t="s">
        <v>163</v>
      </c>
      <c r="B486" s="6"/>
      <c r="C486" s="6"/>
      <c r="D486" s="7">
        <v>1302.93159609</v>
      </c>
      <c r="E486" s="7"/>
      <c r="F486" s="7">
        <f>D486</f>
        <v>1302.93159609</v>
      </c>
      <c r="G486" s="7">
        <f>450000/300</f>
        <v>1500</v>
      </c>
      <c r="H486" s="7"/>
      <c r="I486" s="7"/>
      <c r="J486" s="7">
        <f>G486+H486</f>
        <v>1500</v>
      </c>
      <c r="K486" s="7"/>
      <c r="L486" s="7"/>
      <c r="M486" s="7"/>
      <c r="N486" s="7">
        <v>2347.41785</v>
      </c>
      <c r="O486" s="7"/>
      <c r="P486" s="36">
        <f>N486</f>
        <v>2347.41785</v>
      </c>
    </row>
    <row r="487" spans="1:235" s="39" customFormat="1" ht="36.75" customHeight="1">
      <c r="A487" s="34" t="s">
        <v>415</v>
      </c>
      <c r="B487" s="35"/>
      <c r="C487" s="35"/>
      <c r="D487" s="36">
        <f>700000+35000+10000</f>
        <v>745000</v>
      </c>
      <c r="E487" s="36">
        <f>E489</f>
        <v>1000000</v>
      </c>
      <c r="F487" s="36">
        <f>D487+E487</f>
        <v>1745000</v>
      </c>
      <c r="G487" s="36">
        <v>200000</v>
      </c>
      <c r="H487" s="36">
        <v>1300000</v>
      </c>
      <c r="I487" s="36"/>
      <c r="J487" s="36">
        <f>G487+H487</f>
        <v>1500000</v>
      </c>
      <c r="K487" s="36"/>
      <c r="L487" s="36"/>
      <c r="M487" s="36"/>
      <c r="N487" s="36">
        <f>N492*N495</f>
        <v>0</v>
      </c>
      <c r="O487" s="36">
        <f>O492*O495</f>
        <v>2000000</v>
      </c>
      <c r="P487" s="36">
        <f>O487+N487</f>
        <v>2000000</v>
      </c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  <c r="DG487" s="38"/>
      <c r="DH487" s="38"/>
      <c r="DI487" s="38"/>
      <c r="DJ487" s="38"/>
      <c r="DK487" s="38"/>
      <c r="DL487" s="38"/>
      <c r="DM487" s="38"/>
      <c r="DN487" s="38"/>
      <c r="DO487" s="38"/>
      <c r="DP487" s="38"/>
      <c r="DQ487" s="38"/>
      <c r="DR487" s="38"/>
      <c r="DS487" s="38"/>
      <c r="DT487" s="38"/>
      <c r="DU487" s="38"/>
      <c r="DV487" s="38"/>
      <c r="DW487" s="38"/>
      <c r="DX487" s="38"/>
      <c r="DY487" s="38"/>
      <c r="DZ487" s="38"/>
      <c r="EA487" s="38"/>
      <c r="EB487" s="38"/>
      <c r="EC487" s="38"/>
      <c r="ED487" s="38"/>
      <c r="EE487" s="38"/>
      <c r="EF487" s="38"/>
      <c r="EG487" s="38"/>
      <c r="EH487" s="38"/>
      <c r="EI487" s="38"/>
      <c r="EJ487" s="38"/>
      <c r="EK487" s="38"/>
      <c r="EL487" s="38"/>
      <c r="EM487" s="38"/>
      <c r="EN487" s="38"/>
      <c r="EO487" s="38"/>
      <c r="EP487" s="38"/>
      <c r="EQ487" s="38"/>
      <c r="ER487" s="38"/>
      <c r="ES487" s="38"/>
      <c r="ET487" s="38"/>
      <c r="EU487" s="38"/>
      <c r="EV487" s="38"/>
      <c r="EW487" s="38"/>
      <c r="EX487" s="38"/>
      <c r="EY487" s="38"/>
      <c r="EZ487" s="38"/>
      <c r="FA487" s="38"/>
      <c r="FB487" s="38"/>
      <c r="FC487" s="38"/>
      <c r="FD487" s="38"/>
      <c r="FE487" s="38"/>
      <c r="FF487" s="38"/>
      <c r="FG487" s="38"/>
      <c r="FH487" s="38"/>
      <c r="FI487" s="38"/>
      <c r="FJ487" s="38"/>
      <c r="FK487" s="38"/>
      <c r="FL487" s="38"/>
      <c r="FM487" s="38"/>
      <c r="FN487" s="38"/>
      <c r="FO487" s="38"/>
      <c r="FP487" s="38"/>
      <c r="FQ487" s="38"/>
      <c r="FR487" s="38"/>
      <c r="FS487" s="38"/>
      <c r="FT487" s="38"/>
      <c r="FU487" s="38"/>
      <c r="FV487" s="38"/>
      <c r="FW487" s="38"/>
      <c r="FX487" s="38"/>
      <c r="FY487" s="38"/>
      <c r="FZ487" s="38"/>
      <c r="GA487" s="38"/>
      <c r="GB487" s="38"/>
      <c r="GC487" s="38"/>
      <c r="GD487" s="38"/>
      <c r="GE487" s="38"/>
      <c r="GF487" s="38"/>
      <c r="GG487" s="38"/>
      <c r="GH487" s="38"/>
      <c r="GI487" s="38"/>
      <c r="GJ487" s="38"/>
      <c r="GK487" s="38"/>
      <c r="GL487" s="38"/>
      <c r="GM487" s="38"/>
      <c r="GN487" s="38"/>
      <c r="GO487" s="38"/>
      <c r="GP487" s="38"/>
      <c r="GQ487" s="38"/>
      <c r="GR487" s="38"/>
      <c r="GS487" s="38"/>
      <c r="GT487" s="38"/>
      <c r="GU487" s="38"/>
      <c r="GV487" s="38"/>
      <c r="GW487" s="38"/>
      <c r="GX487" s="38"/>
      <c r="GY487" s="38"/>
      <c r="GZ487" s="38"/>
      <c r="HA487" s="38"/>
      <c r="HB487" s="38"/>
      <c r="HC487" s="38"/>
      <c r="HD487" s="38"/>
      <c r="HE487" s="38"/>
      <c r="HF487" s="38"/>
      <c r="HG487" s="38"/>
      <c r="HH487" s="38"/>
      <c r="HI487" s="38"/>
      <c r="HJ487" s="38"/>
      <c r="HK487" s="38"/>
      <c r="HL487" s="38"/>
      <c r="HM487" s="38"/>
      <c r="HN487" s="38"/>
      <c r="HO487" s="38"/>
      <c r="HP487" s="38"/>
      <c r="HQ487" s="38"/>
      <c r="HR487" s="38"/>
      <c r="HS487" s="38"/>
      <c r="HT487" s="38"/>
      <c r="HU487" s="38"/>
      <c r="HV487" s="38"/>
      <c r="HW487" s="38"/>
      <c r="HX487" s="38"/>
      <c r="HY487" s="38"/>
      <c r="HZ487" s="38"/>
      <c r="IA487" s="38"/>
    </row>
    <row r="488" spans="1:16" ht="11.25">
      <c r="A488" s="5" t="s">
        <v>4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36"/>
    </row>
    <row r="489" spans="1:16" ht="22.5">
      <c r="A489" s="8" t="s">
        <v>359</v>
      </c>
      <c r="B489" s="6"/>
      <c r="C489" s="6"/>
      <c r="D489" s="7">
        <v>700000</v>
      </c>
      <c r="E489" s="7">
        <f>E492*E495</f>
        <v>1000000</v>
      </c>
      <c r="F489" s="7">
        <f>D489+E489</f>
        <v>1700000</v>
      </c>
      <c r="G489" s="7">
        <v>200000</v>
      </c>
      <c r="H489" s="7">
        <v>1300000</v>
      </c>
      <c r="I489" s="7"/>
      <c r="J489" s="7">
        <f>G489+H489</f>
        <v>1500000</v>
      </c>
      <c r="K489" s="7"/>
      <c r="L489" s="7"/>
      <c r="M489" s="7"/>
      <c r="N489" s="7"/>
      <c r="O489" s="7">
        <f>O492*O495</f>
        <v>2000000</v>
      </c>
      <c r="P489" s="7">
        <f>O489+N489</f>
        <v>2000000</v>
      </c>
    </row>
    <row r="490" spans="1:16" ht="22.5">
      <c r="A490" s="8" t="s">
        <v>362</v>
      </c>
      <c r="B490" s="6"/>
      <c r="C490" s="6"/>
      <c r="D490" s="7">
        <f>35000+10000</f>
        <v>45000</v>
      </c>
      <c r="E490" s="7"/>
      <c r="F490" s="7">
        <f>D490+E490</f>
        <v>45000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1.25">
      <c r="A491" s="5" t="s">
        <v>5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22.5">
      <c r="A492" s="72" t="s">
        <v>184</v>
      </c>
      <c r="B492" s="6"/>
      <c r="C492" s="6"/>
      <c r="D492" s="7">
        <v>6</v>
      </c>
      <c r="E492" s="7">
        <v>2</v>
      </c>
      <c r="F492" s="7">
        <f>D492+E492</f>
        <v>8</v>
      </c>
      <c r="G492" s="7">
        <v>1</v>
      </c>
      <c r="H492" s="7">
        <v>3</v>
      </c>
      <c r="I492" s="7"/>
      <c r="J492" s="7">
        <f>G492+H492</f>
        <v>4</v>
      </c>
      <c r="K492" s="7"/>
      <c r="L492" s="7"/>
      <c r="M492" s="7"/>
      <c r="N492" s="7"/>
      <c r="O492" s="7">
        <v>4</v>
      </c>
      <c r="P492" s="7">
        <f>O492+N492</f>
        <v>4</v>
      </c>
    </row>
    <row r="493" spans="1:16" ht="22.5">
      <c r="A493" s="72" t="s">
        <v>360</v>
      </c>
      <c r="B493" s="6"/>
      <c r="C493" s="6"/>
      <c r="D493" s="7">
        <v>1</v>
      </c>
      <c r="E493" s="7"/>
      <c r="F493" s="7">
        <f>D493+E493</f>
        <v>1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1.25">
      <c r="A494" s="5" t="s">
        <v>7</v>
      </c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33.75">
      <c r="A495" s="8" t="s">
        <v>204</v>
      </c>
      <c r="B495" s="6"/>
      <c r="C495" s="6"/>
      <c r="D495" s="7">
        <v>116666.66</v>
      </c>
      <c r="E495" s="7">
        <v>500000</v>
      </c>
      <c r="F495" s="7">
        <f>D495+E495</f>
        <v>616666.66</v>
      </c>
      <c r="G495" s="7">
        <v>200000</v>
      </c>
      <c r="H495" s="7">
        <v>433333.33</v>
      </c>
      <c r="I495" s="7"/>
      <c r="J495" s="7">
        <f>G495+H495</f>
        <v>633333.3300000001</v>
      </c>
      <c r="K495" s="7"/>
      <c r="L495" s="7"/>
      <c r="M495" s="7"/>
      <c r="N495" s="7"/>
      <c r="O495" s="7">
        <v>500000</v>
      </c>
      <c r="P495" s="7">
        <f>O495+N495</f>
        <v>500000</v>
      </c>
    </row>
    <row r="496" spans="1:16" ht="22.5">
      <c r="A496" s="8" t="s">
        <v>361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1.25">
      <c r="A497" s="8"/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235" s="39" customFormat="1" ht="24.75" customHeight="1">
      <c r="A498" s="34" t="s">
        <v>416</v>
      </c>
      <c r="B498" s="35"/>
      <c r="C498" s="35"/>
      <c r="D498" s="36">
        <f>D500</f>
        <v>100000</v>
      </c>
      <c r="E498" s="36"/>
      <c r="F498" s="36">
        <f>D498+E498</f>
        <v>100000</v>
      </c>
      <c r="G498" s="36">
        <f>G502*G504</f>
        <v>130000</v>
      </c>
      <c r="H498" s="36"/>
      <c r="I498" s="36"/>
      <c r="J498" s="36">
        <f>G498+H498</f>
        <v>130000</v>
      </c>
      <c r="K498" s="36"/>
      <c r="L498" s="36"/>
      <c r="M498" s="36"/>
      <c r="N498" s="36">
        <f>N504*N502</f>
        <v>150000</v>
      </c>
      <c r="O498" s="36">
        <f>O504*O502</f>
        <v>0</v>
      </c>
      <c r="P498" s="36">
        <f>P504*P502</f>
        <v>150000</v>
      </c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  <c r="FB498" s="38"/>
      <c r="FC498" s="38"/>
      <c r="FD498" s="38"/>
      <c r="FE498" s="38"/>
      <c r="FF498" s="38"/>
      <c r="FG498" s="38"/>
      <c r="FH498" s="38"/>
      <c r="FI498" s="38"/>
      <c r="FJ498" s="38"/>
      <c r="FK498" s="38"/>
      <c r="FL498" s="38"/>
      <c r="FM498" s="38"/>
      <c r="FN498" s="38"/>
      <c r="FO498" s="38"/>
      <c r="FP498" s="38"/>
      <c r="FQ498" s="38"/>
      <c r="FR498" s="38"/>
      <c r="FS498" s="38"/>
      <c r="FT498" s="38"/>
      <c r="FU498" s="38"/>
      <c r="FV498" s="38"/>
      <c r="FW498" s="38"/>
      <c r="FX498" s="38"/>
      <c r="FY498" s="38"/>
      <c r="FZ498" s="38"/>
      <c r="GA498" s="38"/>
      <c r="GB498" s="38"/>
      <c r="GC498" s="38"/>
      <c r="GD498" s="38"/>
      <c r="GE498" s="38"/>
      <c r="GF498" s="38"/>
      <c r="GG498" s="38"/>
      <c r="GH498" s="38"/>
      <c r="GI498" s="38"/>
      <c r="GJ498" s="38"/>
      <c r="GK498" s="38"/>
      <c r="GL498" s="38"/>
      <c r="GM498" s="38"/>
      <c r="GN498" s="38"/>
      <c r="GO498" s="38"/>
      <c r="GP498" s="38"/>
      <c r="GQ498" s="38"/>
      <c r="GR498" s="38"/>
      <c r="GS498" s="38"/>
      <c r="GT498" s="38"/>
      <c r="GU498" s="38"/>
      <c r="GV498" s="38"/>
      <c r="GW498" s="38"/>
      <c r="GX498" s="38"/>
      <c r="GY498" s="38"/>
      <c r="GZ498" s="38"/>
      <c r="HA498" s="38"/>
      <c r="HB498" s="38"/>
      <c r="HC498" s="38"/>
      <c r="HD498" s="38"/>
      <c r="HE498" s="38"/>
      <c r="HF498" s="38"/>
      <c r="HG498" s="38"/>
      <c r="HH498" s="38"/>
      <c r="HI498" s="38"/>
      <c r="HJ498" s="38"/>
      <c r="HK498" s="38"/>
      <c r="HL498" s="38"/>
      <c r="HM498" s="38"/>
      <c r="HN498" s="38"/>
      <c r="HO498" s="38"/>
      <c r="HP498" s="38"/>
      <c r="HQ498" s="38"/>
      <c r="HR498" s="38"/>
      <c r="HS498" s="38"/>
      <c r="HT498" s="38"/>
      <c r="HU498" s="38"/>
      <c r="HV498" s="38"/>
      <c r="HW498" s="38"/>
      <c r="HX498" s="38"/>
      <c r="HY498" s="38"/>
      <c r="HZ498" s="38"/>
      <c r="IA498" s="38"/>
    </row>
    <row r="499" spans="1:16" ht="11.25">
      <c r="A499" s="5" t="s">
        <v>4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1.25">
      <c r="A500" s="8" t="s">
        <v>43</v>
      </c>
      <c r="B500" s="6"/>
      <c r="C500" s="6"/>
      <c r="D500" s="7">
        <f>D502*D504</f>
        <v>100000</v>
      </c>
      <c r="E500" s="7"/>
      <c r="F500" s="7">
        <f>D500+E500</f>
        <v>100000</v>
      </c>
      <c r="G500" s="7">
        <f>G502*G504</f>
        <v>130000</v>
      </c>
      <c r="H500" s="7"/>
      <c r="I500" s="7"/>
      <c r="J500" s="7">
        <f>G500+H500</f>
        <v>130000</v>
      </c>
      <c r="K500" s="7"/>
      <c r="L500" s="7"/>
      <c r="M500" s="7"/>
      <c r="N500" s="7">
        <f>N502*N504</f>
        <v>150000</v>
      </c>
      <c r="O500" s="7"/>
      <c r="P500" s="7">
        <f>N500+O500</f>
        <v>150000</v>
      </c>
    </row>
    <row r="501" spans="1:16" ht="11.25">
      <c r="A501" s="5" t="s">
        <v>5</v>
      </c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4.25" customHeight="1">
      <c r="A502" s="8" t="s">
        <v>197</v>
      </c>
      <c r="B502" s="6"/>
      <c r="C502" s="6"/>
      <c r="D502" s="7">
        <v>8</v>
      </c>
      <c r="E502" s="7"/>
      <c r="F502" s="7">
        <f>D502+E502</f>
        <v>8</v>
      </c>
      <c r="G502" s="7">
        <v>8</v>
      </c>
      <c r="H502" s="7"/>
      <c r="I502" s="7"/>
      <c r="J502" s="7">
        <f>G502+H502</f>
        <v>8</v>
      </c>
      <c r="K502" s="7"/>
      <c r="L502" s="7"/>
      <c r="M502" s="7"/>
      <c r="N502" s="7">
        <v>8</v>
      </c>
      <c r="O502" s="7"/>
      <c r="P502" s="7">
        <f>N502+O502</f>
        <v>8</v>
      </c>
    </row>
    <row r="503" spans="1:16" ht="12" customHeight="1">
      <c r="A503" s="5" t="s">
        <v>7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24.75" customHeight="1">
      <c r="A504" s="8" t="s">
        <v>178</v>
      </c>
      <c r="B504" s="6"/>
      <c r="C504" s="6"/>
      <c r="D504" s="7">
        <f>100000/8</f>
        <v>12500</v>
      </c>
      <c r="E504" s="7"/>
      <c r="F504" s="7">
        <f>D504+E504</f>
        <v>12500</v>
      </c>
      <c r="G504" s="7">
        <f>130000/8</f>
        <v>16250</v>
      </c>
      <c r="H504" s="7"/>
      <c r="I504" s="7"/>
      <c r="J504" s="7">
        <f>G504+H504</f>
        <v>16250</v>
      </c>
      <c r="K504" s="7"/>
      <c r="L504" s="7"/>
      <c r="M504" s="7"/>
      <c r="N504" s="7">
        <f>150000/8</f>
        <v>18750</v>
      </c>
      <c r="O504" s="7"/>
      <c r="P504" s="7">
        <f>N504+O504</f>
        <v>18750</v>
      </c>
    </row>
    <row r="505" spans="1:17" ht="33.75">
      <c r="A505" s="34" t="s">
        <v>417</v>
      </c>
      <c r="B505" s="35"/>
      <c r="C505" s="35"/>
      <c r="D505" s="22"/>
      <c r="E505" s="36">
        <f>E507</f>
        <v>50000</v>
      </c>
      <c r="F505" s="36">
        <f>F507</f>
        <v>50000</v>
      </c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73"/>
    </row>
    <row r="506" spans="1:17" ht="11.25">
      <c r="A506" s="5" t="s">
        <v>4</v>
      </c>
      <c r="B506" s="6"/>
      <c r="C506" s="6"/>
      <c r="D506" s="22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3"/>
    </row>
    <row r="507" spans="1:17" ht="11.25">
      <c r="A507" s="8" t="s">
        <v>43</v>
      </c>
      <c r="B507" s="6"/>
      <c r="C507" s="6"/>
      <c r="D507" s="22"/>
      <c r="E507" s="7">
        <f>E509*E511</f>
        <v>50000</v>
      </c>
      <c r="F507" s="7">
        <f>F509*F511</f>
        <v>50000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4"/>
    </row>
    <row r="508" spans="1:17" ht="11.25">
      <c r="A508" s="5" t="s">
        <v>5</v>
      </c>
      <c r="B508" s="6"/>
      <c r="C508" s="6"/>
      <c r="D508" s="22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4"/>
    </row>
    <row r="509" spans="1:17" ht="22.5">
      <c r="A509" s="8" t="s">
        <v>197</v>
      </c>
      <c r="B509" s="6"/>
      <c r="C509" s="6"/>
      <c r="D509" s="22"/>
      <c r="E509" s="7">
        <v>1</v>
      </c>
      <c r="F509" s="7">
        <v>1</v>
      </c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4">
        <v>5500</v>
      </c>
    </row>
    <row r="510" spans="1:17" ht="11.25">
      <c r="A510" s="5" t="s">
        <v>7</v>
      </c>
      <c r="B510" s="6"/>
      <c r="C510" s="6"/>
      <c r="D510" s="22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24"/>
    </row>
    <row r="511" spans="1:17" ht="22.5">
      <c r="A511" s="8" t="s">
        <v>178</v>
      </c>
      <c r="B511" s="6"/>
      <c r="C511" s="6"/>
      <c r="D511" s="22"/>
      <c r="E511" s="7">
        <v>50000</v>
      </c>
      <c r="F511" s="7">
        <v>50000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24"/>
    </row>
    <row r="512" spans="1:17" ht="33.75">
      <c r="A512" s="34" t="s">
        <v>418</v>
      </c>
      <c r="B512" s="35"/>
      <c r="C512" s="35"/>
      <c r="D512" s="36">
        <f>D514</f>
        <v>790000</v>
      </c>
      <c r="E512" s="36"/>
      <c r="F512" s="36">
        <f>F514</f>
        <v>790000</v>
      </c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24"/>
    </row>
    <row r="513" spans="1:17" ht="11.25">
      <c r="A513" s="5" t="s">
        <v>4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24"/>
    </row>
    <row r="514" spans="1:17" ht="11.25">
      <c r="A514" s="8" t="s">
        <v>43</v>
      </c>
      <c r="B514" s="6"/>
      <c r="C514" s="6"/>
      <c r="D514" s="7">
        <f>D516*D518</f>
        <v>790000</v>
      </c>
      <c r="E514" s="7"/>
      <c r="F514" s="7">
        <f>F516*F518</f>
        <v>790000</v>
      </c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24"/>
    </row>
    <row r="515" spans="1:17" ht="11.25">
      <c r="A515" s="5" t="s">
        <v>5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24"/>
    </row>
    <row r="516" spans="1:17" ht="22.5">
      <c r="A516" s="8" t="s">
        <v>197</v>
      </c>
      <c r="B516" s="6"/>
      <c r="C516" s="6"/>
      <c r="D516" s="7">
        <v>1</v>
      </c>
      <c r="E516" s="7"/>
      <c r="F516" s="7">
        <v>1</v>
      </c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24"/>
    </row>
    <row r="517" spans="1:17" ht="11.25">
      <c r="A517" s="5" t="s">
        <v>7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24"/>
    </row>
    <row r="518" spans="1:17" ht="22.5">
      <c r="A518" s="8" t="s">
        <v>178</v>
      </c>
      <c r="B518" s="6"/>
      <c r="C518" s="6"/>
      <c r="D518" s="7">
        <v>790000</v>
      </c>
      <c r="E518" s="7"/>
      <c r="F518" s="7">
        <v>790000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24"/>
    </row>
    <row r="519" spans="1:17" ht="36" customHeight="1">
      <c r="A519" s="34" t="s">
        <v>419</v>
      </c>
      <c r="B519" s="35"/>
      <c r="C519" s="35"/>
      <c r="D519" s="36"/>
      <c r="E519" s="36">
        <f>E521</f>
        <v>320000</v>
      </c>
      <c r="F519" s="36">
        <f>F521</f>
        <v>320000</v>
      </c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24"/>
    </row>
    <row r="520" spans="1:17" ht="11.25">
      <c r="A520" s="5" t="s">
        <v>4</v>
      </c>
      <c r="B520" s="6"/>
      <c r="C520" s="6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24"/>
    </row>
    <row r="521" spans="1:17" ht="11.25">
      <c r="A521" s="8" t="s">
        <v>43</v>
      </c>
      <c r="B521" s="6"/>
      <c r="C521" s="6"/>
      <c r="D521" s="7"/>
      <c r="E521" s="7">
        <f>E523*E525</f>
        <v>320000</v>
      </c>
      <c r="F521" s="7">
        <f>F523*F525</f>
        <v>320000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24"/>
    </row>
    <row r="522" spans="1:17" ht="11.25">
      <c r="A522" s="5" t="s">
        <v>5</v>
      </c>
      <c r="B522" s="6"/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24"/>
    </row>
    <row r="523" spans="1:17" ht="22.5">
      <c r="A523" s="8" t="s">
        <v>197</v>
      </c>
      <c r="B523" s="6"/>
      <c r="C523" s="6"/>
      <c r="D523" s="7"/>
      <c r="E523" s="7">
        <v>1</v>
      </c>
      <c r="F523" s="7">
        <v>1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24"/>
    </row>
    <row r="524" spans="1:17" ht="11.25">
      <c r="A524" s="5" t="s">
        <v>7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235" ht="11.25">
      <c r="A525" s="8" t="s">
        <v>336</v>
      </c>
      <c r="B525" s="6"/>
      <c r="C525" s="6"/>
      <c r="D525" s="7"/>
      <c r="E525" s="7">
        <v>320000</v>
      </c>
      <c r="F525" s="7">
        <v>320000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  <c r="CA525" s="53"/>
      <c r="CB525" s="53"/>
      <c r="CC525" s="53"/>
      <c r="CD525" s="53"/>
      <c r="CE525" s="53"/>
      <c r="CF525" s="53"/>
      <c r="CG525" s="53"/>
      <c r="CH525" s="53"/>
      <c r="CI525" s="53"/>
      <c r="CJ525" s="53"/>
      <c r="CK525" s="53"/>
      <c r="CL525" s="53"/>
      <c r="CM525" s="53"/>
      <c r="CN525" s="53"/>
      <c r="CO525" s="53"/>
      <c r="CP525" s="53"/>
      <c r="CQ525" s="53"/>
      <c r="CR525" s="53"/>
      <c r="CS525" s="53"/>
      <c r="CT525" s="53"/>
      <c r="CU525" s="53"/>
      <c r="CV525" s="53"/>
      <c r="CW525" s="53"/>
      <c r="CX525" s="53"/>
      <c r="CY525" s="53"/>
      <c r="CZ525" s="53"/>
      <c r="DA525" s="53"/>
      <c r="DB525" s="53"/>
      <c r="DC525" s="53"/>
      <c r="DD525" s="53"/>
      <c r="DE525" s="53"/>
      <c r="DF525" s="53"/>
      <c r="DG525" s="53"/>
      <c r="DH525" s="53"/>
      <c r="DI525" s="53"/>
      <c r="DJ525" s="53"/>
      <c r="DK525" s="53"/>
      <c r="DL525" s="53"/>
      <c r="DM525" s="53"/>
      <c r="DN525" s="53"/>
      <c r="DO525" s="53"/>
      <c r="DP525" s="53"/>
      <c r="DQ525" s="53"/>
      <c r="DR525" s="53"/>
      <c r="DS525" s="53"/>
      <c r="DT525" s="53"/>
      <c r="DU525" s="53"/>
      <c r="DV525" s="53"/>
      <c r="DW525" s="53"/>
      <c r="DX525" s="53"/>
      <c r="DY525" s="53"/>
      <c r="DZ525" s="53"/>
      <c r="EA525" s="53"/>
      <c r="EB525" s="53"/>
      <c r="EC525" s="53"/>
      <c r="ED525" s="53"/>
      <c r="EE525" s="53"/>
      <c r="EF525" s="53"/>
      <c r="EG525" s="53"/>
      <c r="EH525" s="53"/>
      <c r="EI525" s="53"/>
      <c r="EJ525" s="53"/>
      <c r="EK525" s="53"/>
      <c r="EL525" s="53"/>
      <c r="EM525" s="53"/>
      <c r="EN525" s="53"/>
      <c r="EO525" s="53"/>
      <c r="EP525" s="53"/>
      <c r="EQ525" s="53"/>
      <c r="ER525" s="53"/>
      <c r="ES525" s="53"/>
      <c r="ET525" s="53"/>
      <c r="EU525" s="53"/>
      <c r="EV525" s="53"/>
      <c r="EW525" s="53"/>
      <c r="EX525" s="53"/>
      <c r="EY525" s="53"/>
      <c r="EZ525" s="53"/>
      <c r="FA525" s="53"/>
      <c r="FB525" s="53"/>
      <c r="FC525" s="53"/>
      <c r="FD525" s="53"/>
      <c r="FE525" s="53"/>
      <c r="FF525" s="53"/>
      <c r="FG525" s="53"/>
      <c r="FH525" s="53"/>
      <c r="FI525" s="53"/>
      <c r="FJ525" s="53"/>
      <c r="FK525" s="53"/>
      <c r="FL525" s="53"/>
      <c r="FM525" s="53"/>
      <c r="FN525" s="53"/>
      <c r="FO525" s="53"/>
      <c r="FP525" s="53"/>
      <c r="FQ525" s="53"/>
      <c r="FR525" s="53"/>
      <c r="FS525" s="53"/>
      <c r="FT525" s="53"/>
      <c r="FU525" s="53"/>
      <c r="FV525" s="53"/>
      <c r="FW525" s="53"/>
      <c r="FX525" s="53"/>
      <c r="FY525" s="53"/>
      <c r="FZ525" s="53"/>
      <c r="GA525" s="53"/>
      <c r="GB525" s="53"/>
      <c r="GC525" s="53"/>
      <c r="GD525" s="53"/>
      <c r="GE525" s="53"/>
      <c r="GF525" s="53"/>
      <c r="GG525" s="53"/>
      <c r="GH525" s="53"/>
      <c r="GI525" s="53"/>
      <c r="GJ525" s="53"/>
      <c r="GK525" s="53"/>
      <c r="GL525" s="53"/>
      <c r="GM525" s="53"/>
      <c r="GN525" s="53"/>
      <c r="GO525" s="53"/>
      <c r="GP525" s="53"/>
      <c r="GQ525" s="53"/>
      <c r="GR525" s="53"/>
      <c r="GS525" s="53"/>
      <c r="GT525" s="53"/>
      <c r="GU525" s="53"/>
      <c r="GV525" s="53"/>
      <c r="GW525" s="53"/>
      <c r="GX525" s="53"/>
      <c r="GY525" s="53"/>
      <c r="GZ525" s="53"/>
      <c r="HA525" s="53"/>
      <c r="HB525" s="53"/>
      <c r="HC525" s="53"/>
      <c r="HD525" s="53"/>
      <c r="HE525" s="53"/>
      <c r="HF525" s="53"/>
      <c r="HG525" s="53"/>
      <c r="HH525" s="53"/>
      <c r="HI525" s="53"/>
      <c r="HJ525" s="53"/>
      <c r="HK525" s="53"/>
      <c r="HL525" s="53"/>
      <c r="HM525" s="53"/>
      <c r="HN525" s="53"/>
      <c r="HO525" s="53"/>
      <c r="HP525" s="53"/>
      <c r="HQ525" s="53"/>
      <c r="HR525" s="53"/>
      <c r="HS525" s="53"/>
      <c r="HT525" s="53"/>
      <c r="HU525" s="53"/>
      <c r="HV525" s="53"/>
      <c r="HW525" s="53"/>
      <c r="HX525" s="53"/>
      <c r="HY525" s="53"/>
      <c r="HZ525" s="53"/>
      <c r="IA525" s="53"/>
    </row>
    <row r="526" spans="1:17" ht="24" customHeight="1">
      <c r="A526" s="34" t="s">
        <v>420</v>
      </c>
      <c r="B526" s="35"/>
      <c r="C526" s="35"/>
      <c r="D526" s="36"/>
      <c r="E526" s="36">
        <f>E528</f>
        <v>0</v>
      </c>
      <c r="F526" s="36">
        <f>F528</f>
        <v>0</v>
      </c>
      <c r="G526" s="36">
        <f>G528</f>
        <v>2300000</v>
      </c>
      <c r="H526" s="36"/>
      <c r="I526" s="36"/>
      <c r="J526" s="36">
        <f>J528</f>
        <v>2300000</v>
      </c>
      <c r="K526" s="36"/>
      <c r="L526" s="36"/>
      <c r="M526" s="36"/>
      <c r="N526" s="36"/>
      <c r="O526" s="36"/>
      <c r="P526" s="36"/>
      <c r="Q526" s="24"/>
    </row>
    <row r="527" spans="1:17" ht="11.25">
      <c r="A527" s="5" t="s">
        <v>4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11.25">
      <c r="A528" s="8" t="s">
        <v>43</v>
      </c>
      <c r="B528" s="6"/>
      <c r="C528" s="6"/>
      <c r="D528" s="7"/>
      <c r="E528" s="7">
        <f>E530*E532</f>
        <v>0</v>
      </c>
      <c r="F528" s="7">
        <f>F530*F532</f>
        <v>0</v>
      </c>
      <c r="G528" s="7">
        <f>G530*G532</f>
        <v>2300000</v>
      </c>
      <c r="H528" s="7"/>
      <c r="I528" s="7"/>
      <c r="J528" s="7">
        <f>G528</f>
        <v>2300000</v>
      </c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5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197</v>
      </c>
      <c r="B530" s="6"/>
      <c r="C530" s="6"/>
      <c r="D530" s="7"/>
      <c r="E530" s="7">
        <v>0</v>
      </c>
      <c r="F530" s="7">
        <v>0</v>
      </c>
      <c r="G530" s="7">
        <v>1</v>
      </c>
      <c r="H530" s="7"/>
      <c r="I530" s="7"/>
      <c r="J530" s="7">
        <f>G530</f>
        <v>1</v>
      </c>
      <c r="K530" s="7"/>
      <c r="L530" s="7"/>
      <c r="M530" s="7"/>
      <c r="N530" s="7"/>
      <c r="O530" s="7"/>
      <c r="P530" s="7"/>
      <c r="Q530" s="24"/>
    </row>
    <row r="531" spans="1:17" ht="11.25">
      <c r="A531" s="5" t="s">
        <v>7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235" ht="11.25">
      <c r="A532" s="8" t="s">
        <v>336</v>
      </c>
      <c r="B532" s="6"/>
      <c r="C532" s="6"/>
      <c r="D532" s="7"/>
      <c r="E532" s="7"/>
      <c r="F532" s="7">
        <v>0</v>
      </c>
      <c r="G532" s="7">
        <v>2300000</v>
      </c>
      <c r="H532" s="7"/>
      <c r="I532" s="7"/>
      <c r="J532" s="7">
        <f>G532</f>
        <v>2300000</v>
      </c>
      <c r="K532" s="7"/>
      <c r="L532" s="7"/>
      <c r="M532" s="7"/>
      <c r="N532" s="7"/>
      <c r="O532" s="7"/>
      <c r="P532" s="7"/>
      <c r="Q532" s="24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  <c r="CA532" s="53"/>
      <c r="CB532" s="53"/>
      <c r="CC532" s="53"/>
      <c r="CD532" s="53"/>
      <c r="CE532" s="53"/>
      <c r="CF532" s="53"/>
      <c r="CG532" s="53"/>
      <c r="CH532" s="53"/>
      <c r="CI532" s="53"/>
      <c r="CJ532" s="53"/>
      <c r="CK532" s="53"/>
      <c r="CL532" s="53"/>
      <c r="CM532" s="53"/>
      <c r="CN532" s="53"/>
      <c r="CO532" s="53"/>
      <c r="CP532" s="53"/>
      <c r="CQ532" s="53"/>
      <c r="CR532" s="53"/>
      <c r="CS532" s="53"/>
      <c r="CT532" s="53"/>
      <c r="CU532" s="53"/>
      <c r="CV532" s="53"/>
      <c r="CW532" s="53"/>
      <c r="CX532" s="53"/>
      <c r="CY532" s="53"/>
      <c r="CZ532" s="53"/>
      <c r="DA532" s="53"/>
      <c r="DB532" s="53"/>
      <c r="DC532" s="53"/>
      <c r="DD532" s="53"/>
      <c r="DE532" s="53"/>
      <c r="DF532" s="53"/>
      <c r="DG532" s="53"/>
      <c r="DH532" s="53"/>
      <c r="DI532" s="53"/>
      <c r="DJ532" s="53"/>
      <c r="DK532" s="53"/>
      <c r="DL532" s="53"/>
      <c r="DM532" s="53"/>
      <c r="DN532" s="53"/>
      <c r="DO532" s="53"/>
      <c r="DP532" s="53"/>
      <c r="DQ532" s="53"/>
      <c r="DR532" s="53"/>
      <c r="DS532" s="53"/>
      <c r="DT532" s="53"/>
      <c r="DU532" s="53"/>
      <c r="DV532" s="53"/>
      <c r="DW532" s="53"/>
      <c r="DX532" s="53"/>
      <c r="DY532" s="53"/>
      <c r="DZ532" s="53"/>
      <c r="EA532" s="53"/>
      <c r="EB532" s="53"/>
      <c r="EC532" s="53"/>
      <c r="ED532" s="53"/>
      <c r="EE532" s="53"/>
      <c r="EF532" s="53"/>
      <c r="EG532" s="53"/>
      <c r="EH532" s="53"/>
      <c r="EI532" s="53"/>
      <c r="EJ532" s="53"/>
      <c r="EK532" s="53"/>
      <c r="EL532" s="53"/>
      <c r="EM532" s="53"/>
      <c r="EN532" s="53"/>
      <c r="EO532" s="53"/>
      <c r="EP532" s="53"/>
      <c r="EQ532" s="53"/>
      <c r="ER532" s="53"/>
      <c r="ES532" s="53"/>
      <c r="ET532" s="53"/>
      <c r="EU532" s="53"/>
      <c r="EV532" s="53"/>
      <c r="EW532" s="53"/>
      <c r="EX532" s="53"/>
      <c r="EY532" s="53"/>
      <c r="EZ532" s="53"/>
      <c r="FA532" s="53"/>
      <c r="FB532" s="53"/>
      <c r="FC532" s="53"/>
      <c r="FD532" s="53"/>
      <c r="FE532" s="53"/>
      <c r="FF532" s="53"/>
      <c r="FG532" s="53"/>
      <c r="FH532" s="53"/>
      <c r="FI532" s="53"/>
      <c r="FJ532" s="53"/>
      <c r="FK532" s="53"/>
      <c r="FL532" s="53"/>
      <c r="FM532" s="53"/>
      <c r="FN532" s="53"/>
      <c r="FO532" s="53"/>
      <c r="FP532" s="53"/>
      <c r="FQ532" s="53"/>
      <c r="FR532" s="53"/>
      <c r="FS532" s="53"/>
      <c r="FT532" s="53"/>
      <c r="FU532" s="53"/>
      <c r="FV532" s="53"/>
      <c r="FW532" s="53"/>
      <c r="FX532" s="53"/>
      <c r="FY532" s="53"/>
      <c r="FZ532" s="53"/>
      <c r="GA532" s="53"/>
      <c r="GB532" s="53"/>
      <c r="GC532" s="53"/>
      <c r="GD532" s="53"/>
      <c r="GE532" s="53"/>
      <c r="GF532" s="53"/>
      <c r="GG532" s="53"/>
      <c r="GH532" s="53"/>
      <c r="GI532" s="53"/>
      <c r="GJ532" s="53"/>
      <c r="GK532" s="53"/>
      <c r="GL532" s="53"/>
      <c r="GM532" s="53"/>
      <c r="GN532" s="53"/>
      <c r="GO532" s="53"/>
      <c r="GP532" s="53"/>
      <c r="GQ532" s="53"/>
      <c r="GR532" s="53"/>
      <c r="GS532" s="53"/>
      <c r="GT532" s="53"/>
      <c r="GU532" s="53"/>
      <c r="GV532" s="53"/>
      <c r="GW532" s="53"/>
      <c r="GX532" s="53"/>
      <c r="GY532" s="53"/>
      <c r="GZ532" s="53"/>
      <c r="HA532" s="53"/>
      <c r="HB532" s="53"/>
      <c r="HC532" s="53"/>
      <c r="HD532" s="53"/>
      <c r="HE532" s="53"/>
      <c r="HF532" s="53"/>
      <c r="HG532" s="53"/>
      <c r="HH532" s="53"/>
      <c r="HI532" s="53"/>
      <c r="HJ532" s="53"/>
      <c r="HK532" s="53"/>
      <c r="HL532" s="53"/>
      <c r="HM532" s="53"/>
      <c r="HN532" s="53"/>
      <c r="HO532" s="53"/>
      <c r="HP532" s="53"/>
      <c r="HQ532" s="53"/>
      <c r="HR532" s="53"/>
      <c r="HS532" s="53"/>
      <c r="HT532" s="53"/>
      <c r="HU532" s="53"/>
      <c r="HV532" s="53"/>
      <c r="HW532" s="53"/>
      <c r="HX532" s="53"/>
      <c r="HY532" s="53"/>
      <c r="HZ532" s="53"/>
      <c r="IA532" s="53"/>
    </row>
    <row r="533" spans="1:17" s="139" customFormat="1" ht="11.25">
      <c r="A533" s="154" t="s">
        <v>259</v>
      </c>
      <c r="B533" s="136"/>
      <c r="C533" s="136"/>
      <c r="D533" s="145">
        <f>D535</f>
        <v>1500000</v>
      </c>
      <c r="E533" s="145">
        <v>0</v>
      </c>
      <c r="F533" s="145">
        <f>D533</f>
        <v>1500000</v>
      </c>
      <c r="G533" s="145">
        <f>G535</f>
        <v>1800000</v>
      </c>
      <c r="H533" s="145"/>
      <c r="I533" s="145">
        <f>I535</f>
        <v>0</v>
      </c>
      <c r="J533" s="145">
        <f>J535</f>
        <v>1800000</v>
      </c>
      <c r="K533" s="145"/>
      <c r="L533" s="145"/>
      <c r="M533" s="145"/>
      <c r="N533" s="145">
        <f>N535</f>
        <v>1500000</v>
      </c>
      <c r="O533" s="145"/>
      <c r="P533" s="145">
        <f>P535</f>
        <v>1500000</v>
      </c>
      <c r="Q533" s="156"/>
    </row>
    <row r="534" spans="1:235" ht="54.75" customHeight="1">
      <c r="A534" s="8" t="s">
        <v>165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  <c r="CA534" s="53"/>
      <c r="CB534" s="53"/>
      <c r="CC534" s="53"/>
      <c r="CD534" s="53"/>
      <c r="CE534" s="53"/>
      <c r="CF534" s="53"/>
      <c r="CG534" s="53"/>
      <c r="CH534" s="53"/>
      <c r="CI534" s="53"/>
      <c r="CJ534" s="53"/>
      <c r="CK534" s="53"/>
      <c r="CL534" s="53"/>
      <c r="CM534" s="53"/>
      <c r="CN534" s="53"/>
      <c r="CO534" s="53"/>
      <c r="CP534" s="53"/>
      <c r="CQ534" s="53"/>
      <c r="CR534" s="53"/>
      <c r="CS534" s="53"/>
      <c r="CT534" s="53"/>
      <c r="CU534" s="53"/>
      <c r="CV534" s="53"/>
      <c r="CW534" s="53"/>
      <c r="CX534" s="53"/>
      <c r="CY534" s="53"/>
      <c r="CZ534" s="53"/>
      <c r="DA534" s="53"/>
      <c r="DB534" s="53"/>
      <c r="DC534" s="53"/>
      <c r="DD534" s="53"/>
      <c r="DE534" s="53"/>
      <c r="DF534" s="53"/>
      <c r="DG534" s="53"/>
      <c r="DH534" s="53"/>
      <c r="DI534" s="53"/>
      <c r="DJ534" s="53"/>
      <c r="DK534" s="53"/>
      <c r="DL534" s="53"/>
      <c r="DM534" s="53"/>
      <c r="DN534" s="53"/>
      <c r="DO534" s="53"/>
      <c r="DP534" s="53"/>
      <c r="DQ534" s="53"/>
      <c r="DR534" s="53"/>
      <c r="DS534" s="53"/>
      <c r="DT534" s="53"/>
      <c r="DU534" s="53"/>
      <c r="DV534" s="53"/>
      <c r="DW534" s="53"/>
      <c r="DX534" s="53"/>
      <c r="DY534" s="53"/>
      <c r="DZ534" s="53"/>
      <c r="EA534" s="53"/>
      <c r="EB534" s="53"/>
      <c r="EC534" s="53"/>
      <c r="ED534" s="53"/>
      <c r="EE534" s="53"/>
      <c r="EF534" s="53"/>
      <c r="EG534" s="53"/>
      <c r="EH534" s="53"/>
      <c r="EI534" s="53"/>
      <c r="EJ534" s="53"/>
      <c r="EK534" s="53"/>
      <c r="EL534" s="53"/>
      <c r="EM534" s="53"/>
      <c r="EN534" s="53"/>
      <c r="EO534" s="53"/>
      <c r="EP534" s="53"/>
      <c r="EQ534" s="53"/>
      <c r="ER534" s="53"/>
      <c r="ES534" s="53"/>
      <c r="ET534" s="53"/>
      <c r="EU534" s="53"/>
      <c r="EV534" s="53"/>
      <c r="EW534" s="53"/>
      <c r="EX534" s="53"/>
      <c r="EY534" s="53"/>
      <c r="EZ534" s="53"/>
      <c r="FA534" s="53"/>
      <c r="FB534" s="53"/>
      <c r="FC534" s="53"/>
      <c r="FD534" s="53"/>
      <c r="FE534" s="53"/>
      <c r="FF534" s="53"/>
      <c r="FG534" s="53"/>
      <c r="FH534" s="53"/>
      <c r="FI534" s="53"/>
      <c r="FJ534" s="53"/>
      <c r="FK534" s="53"/>
      <c r="FL534" s="53"/>
      <c r="FM534" s="53"/>
      <c r="FN534" s="53"/>
      <c r="FO534" s="53"/>
      <c r="FP534" s="53"/>
      <c r="FQ534" s="53"/>
      <c r="FR534" s="53"/>
      <c r="FS534" s="53"/>
      <c r="FT534" s="53"/>
      <c r="FU534" s="53"/>
      <c r="FV534" s="53"/>
      <c r="FW534" s="53"/>
      <c r="FX534" s="53"/>
      <c r="FY534" s="53"/>
      <c r="FZ534" s="53"/>
      <c r="GA534" s="53"/>
      <c r="GB534" s="53"/>
      <c r="GC534" s="53"/>
      <c r="GD534" s="53"/>
      <c r="GE534" s="53"/>
      <c r="GF534" s="53"/>
      <c r="GG534" s="53"/>
      <c r="GH534" s="53"/>
      <c r="GI534" s="53"/>
      <c r="GJ534" s="53"/>
      <c r="GK534" s="53"/>
      <c r="GL534" s="53"/>
      <c r="GM534" s="53"/>
      <c r="GN534" s="53"/>
      <c r="GO534" s="53"/>
      <c r="GP534" s="53"/>
      <c r="GQ534" s="53"/>
      <c r="GR534" s="53"/>
      <c r="GS534" s="53"/>
      <c r="GT534" s="53"/>
      <c r="GU534" s="53"/>
      <c r="GV534" s="53"/>
      <c r="GW534" s="53"/>
      <c r="GX534" s="53"/>
      <c r="GY534" s="53"/>
      <c r="GZ534" s="53"/>
      <c r="HA534" s="53"/>
      <c r="HB534" s="53"/>
      <c r="HC534" s="53"/>
      <c r="HD534" s="53"/>
      <c r="HE534" s="53"/>
      <c r="HF534" s="53"/>
      <c r="HG534" s="53"/>
      <c r="HH534" s="53"/>
      <c r="HI534" s="53"/>
      <c r="HJ534" s="53"/>
      <c r="HK534" s="53"/>
      <c r="HL534" s="53"/>
      <c r="HM534" s="53"/>
      <c r="HN534" s="53"/>
      <c r="HO534" s="53"/>
      <c r="HP534" s="53"/>
      <c r="HQ534" s="53"/>
      <c r="HR534" s="53"/>
      <c r="HS534" s="53"/>
      <c r="HT534" s="53"/>
      <c r="HU534" s="53"/>
      <c r="HV534" s="53"/>
      <c r="HW534" s="53"/>
      <c r="HX534" s="53"/>
      <c r="HY534" s="53"/>
      <c r="HZ534" s="53"/>
      <c r="IA534" s="53"/>
    </row>
    <row r="535" spans="1:17" s="76" customFormat="1" ht="22.5">
      <c r="A535" s="34" t="s">
        <v>421</v>
      </c>
      <c r="B535" s="37"/>
      <c r="C535" s="37"/>
      <c r="D535" s="57">
        <f>D536+D543</f>
        <v>1500000</v>
      </c>
      <c r="E535" s="57"/>
      <c r="F535" s="57">
        <f>D535</f>
        <v>1500000</v>
      </c>
      <c r="G535" s="30">
        <f>G536+G543</f>
        <v>1800000</v>
      </c>
      <c r="H535" s="30"/>
      <c r="I535" s="30"/>
      <c r="J535" s="30">
        <f>G535</f>
        <v>1800000</v>
      </c>
      <c r="K535" s="30"/>
      <c r="L535" s="30"/>
      <c r="M535" s="30"/>
      <c r="N535" s="30">
        <f>N536+N543</f>
        <v>1500000</v>
      </c>
      <c r="O535" s="30"/>
      <c r="P535" s="30">
        <f>N535</f>
        <v>1500000</v>
      </c>
      <c r="Q535" s="75"/>
    </row>
    <row r="536" spans="1:17" s="79" customFormat="1" ht="45">
      <c r="A536" s="77" t="s">
        <v>422</v>
      </c>
      <c r="B536" s="35"/>
      <c r="C536" s="35"/>
      <c r="D536" s="45">
        <f>D540*D542</f>
        <v>1300000</v>
      </c>
      <c r="E536" s="45"/>
      <c r="F536" s="45">
        <f>D536+E536</f>
        <v>1300000</v>
      </c>
      <c r="G536" s="36">
        <f>G540*G542</f>
        <v>1500000</v>
      </c>
      <c r="H536" s="36">
        <f aca="true" t="shared" si="61" ref="H536:O536">H540*H542</f>
        <v>0</v>
      </c>
      <c r="I536" s="36">
        <f t="shared" si="61"/>
        <v>0</v>
      </c>
      <c r="J536" s="36">
        <f>G536</f>
        <v>1500000</v>
      </c>
      <c r="K536" s="36">
        <f t="shared" si="61"/>
        <v>0</v>
      </c>
      <c r="L536" s="36">
        <f t="shared" si="61"/>
        <v>0</v>
      </c>
      <c r="M536" s="36">
        <f t="shared" si="61"/>
        <v>0</v>
      </c>
      <c r="N536" s="36">
        <f>N540*N542</f>
        <v>1300000</v>
      </c>
      <c r="O536" s="36">
        <f t="shared" si="61"/>
        <v>0</v>
      </c>
      <c r="P536" s="36">
        <f>N536</f>
        <v>1300000</v>
      </c>
      <c r="Q536" s="78"/>
    </row>
    <row r="537" spans="1:17" s="52" customFormat="1" ht="11.25">
      <c r="A537" s="5" t="s">
        <v>4</v>
      </c>
      <c r="B537" s="37"/>
      <c r="C537" s="37"/>
      <c r="D537" s="80"/>
      <c r="E537" s="80"/>
      <c r="F537" s="81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75"/>
    </row>
    <row r="538" spans="1:17" s="52" customFormat="1" ht="27.75" customHeight="1">
      <c r="A538" s="8" t="s">
        <v>166</v>
      </c>
      <c r="B538" s="37"/>
      <c r="C538" s="37"/>
      <c r="D538" s="49">
        <v>520</v>
      </c>
      <c r="E538" s="80"/>
      <c r="F538" s="81"/>
      <c r="G538" s="7">
        <v>500</v>
      </c>
      <c r="H538" s="30"/>
      <c r="I538" s="30"/>
      <c r="J538" s="7">
        <f>G538+H538</f>
        <v>500</v>
      </c>
      <c r="K538" s="30"/>
      <c r="L538" s="30"/>
      <c r="M538" s="30"/>
      <c r="N538" s="7">
        <v>520</v>
      </c>
      <c r="O538" s="7"/>
      <c r="P538" s="7">
        <f>N538+O538</f>
        <v>520</v>
      </c>
      <c r="Q538" s="75"/>
    </row>
    <row r="539" spans="1:17" s="52" customFormat="1" ht="11.25">
      <c r="A539" s="5" t="s">
        <v>5</v>
      </c>
      <c r="B539" s="37"/>
      <c r="C539" s="37"/>
      <c r="D539" s="80"/>
      <c r="E539" s="80"/>
      <c r="F539" s="81"/>
      <c r="G539" s="30"/>
      <c r="H539" s="30"/>
      <c r="I539" s="30"/>
      <c r="J539" s="7"/>
      <c r="K539" s="30"/>
      <c r="L539" s="30"/>
      <c r="M539" s="30"/>
      <c r="N539" s="30"/>
      <c r="O539" s="30"/>
      <c r="P539" s="7"/>
      <c r="Q539" s="75"/>
    </row>
    <row r="540" spans="1:17" s="52" customFormat="1" ht="22.5">
      <c r="A540" s="8" t="s">
        <v>167</v>
      </c>
      <c r="B540" s="37"/>
      <c r="C540" s="37"/>
      <c r="D540" s="49">
        <v>520</v>
      </c>
      <c r="E540" s="80"/>
      <c r="F540" s="81"/>
      <c r="G540" s="7">
        <f>G538</f>
        <v>500</v>
      </c>
      <c r="H540" s="7"/>
      <c r="I540" s="7"/>
      <c r="J540" s="7">
        <f>G540+H540</f>
        <v>500</v>
      </c>
      <c r="K540" s="7">
        <f>K538</f>
        <v>0</v>
      </c>
      <c r="L540" s="7">
        <f>L538</f>
        <v>0</v>
      </c>
      <c r="M540" s="7">
        <f>M538</f>
        <v>0</v>
      </c>
      <c r="N540" s="7">
        <v>520</v>
      </c>
      <c r="O540" s="7"/>
      <c r="P540" s="7">
        <f>N540+O540</f>
        <v>520</v>
      </c>
      <c r="Q540" s="75"/>
    </row>
    <row r="541" spans="1:17" s="52" customFormat="1" ht="11.25">
      <c r="A541" s="5" t="s">
        <v>7</v>
      </c>
      <c r="B541" s="37"/>
      <c r="C541" s="37"/>
      <c r="D541" s="80"/>
      <c r="E541" s="80"/>
      <c r="F541" s="81"/>
      <c r="G541" s="30"/>
      <c r="H541" s="30"/>
      <c r="I541" s="30"/>
      <c r="J541" s="7"/>
      <c r="K541" s="30"/>
      <c r="L541" s="30"/>
      <c r="M541" s="30"/>
      <c r="N541" s="30"/>
      <c r="O541" s="30"/>
      <c r="P541" s="7"/>
      <c r="Q541" s="75"/>
    </row>
    <row r="542" spans="1:17" s="52" customFormat="1" ht="17.25" customHeight="1">
      <c r="A542" s="8" t="s">
        <v>168</v>
      </c>
      <c r="B542" s="37"/>
      <c r="C542" s="37"/>
      <c r="D542" s="80">
        <v>2500</v>
      </c>
      <c r="E542" s="80"/>
      <c r="F542" s="81"/>
      <c r="G542" s="7">
        <v>3000</v>
      </c>
      <c r="H542" s="30"/>
      <c r="I542" s="30"/>
      <c r="J542" s="7">
        <f>G542+H542</f>
        <v>3000</v>
      </c>
      <c r="K542" s="30"/>
      <c r="L542" s="30"/>
      <c r="M542" s="30"/>
      <c r="N542" s="7">
        <v>2500</v>
      </c>
      <c r="O542" s="7"/>
      <c r="P542" s="7">
        <f>N542+O542</f>
        <v>2500</v>
      </c>
      <c r="Q542" s="75"/>
    </row>
    <row r="543" spans="1:17" s="83" customFormat="1" ht="65.25" customHeight="1">
      <c r="A543" s="77" t="s">
        <v>423</v>
      </c>
      <c r="B543" s="34"/>
      <c r="C543" s="34"/>
      <c r="D543" s="45">
        <f>D547*D550</f>
        <v>200000</v>
      </c>
      <c r="E543" s="45"/>
      <c r="F543" s="45">
        <f>D543+E543</f>
        <v>200000</v>
      </c>
      <c r="G543" s="36">
        <f>G547*G550</f>
        <v>300000</v>
      </c>
      <c r="H543" s="36">
        <f aca="true" t="shared" si="62" ref="H543:P543">H547*H550</f>
        <v>0</v>
      </c>
      <c r="I543" s="36">
        <f t="shared" si="62"/>
        <v>0</v>
      </c>
      <c r="J543" s="36">
        <f t="shared" si="62"/>
        <v>300000</v>
      </c>
      <c r="K543" s="36">
        <f t="shared" si="62"/>
        <v>0</v>
      </c>
      <c r="L543" s="36">
        <f t="shared" si="62"/>
        <v>0</v>
      </c>
      <c r="M543" s="36">
        <f t="shared" si="62"/>
        <v>0</v>
      </c>
      <c r="N543" s="36">
        <f t="shared" si="62"/>
        <v>200000</v>
      </c>
      <c r="O543" s="36">
        <f t="shared" si="62"/>
        <v>0</v>
      </c>
      <c r="P543" s="36">
        <f t="shared" si="62"/>
        <v>200000</v>
      </c>
      <c r="Q543" s="82"/>
    </row>
    <row r="544" spans="1:235" ht="11.25">
      <c r="A544" s="5" t="s">
        <v>4</v>
      </c>
      <c r="B544" s="6"/>
      <c r="C544" s="6"/>
      <c r="D544" s="84"/>
      <c r="E544" s="84"/>
      <c r="F544" s="84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  <c r="CZ544" s="53"/>
      <c r="DA544" s="53"/>
      <c r="DB544" s="53"/>
      <c r="DC544" s="53"/>
      <c r="DD544" s="53"/>
      <c r="DE544" s="53"/>
      <c r="DF544" s="53"/>
      <c r="DG544" s="53"/>
      <c r="DH544" s="53"/>
      <c r="DI544" s="53"/>
      <c r="DJ544" s="53"/>
      <c r="DK544" s="53"/>
      <c r="DL544" s="53"/>
      <c r="DM544" s="53"/>
      <c r="DN544" s="53"/>
      <c r="DO544" s="53"/>
      <c r="DP544" s="53"/>
      <c r="DQ544" s="53"/>
      <c r="DR544" s="53"/>
      <c r="DS544" s="53"/>
      <c r="DT544" s="53"/>
      <c r="DU544" s="53"/>
      <c r="DV544" s="53"/>
      <c r="DW544" s="53"/>
      <c r="DX544" s="53"/>
      <c r="DY544" s="53"/>
      <c r="DZ544" s="53"/>
      <c r="EA544" s="53"/>
      <c r="EB544" s="53"/>
      <c r="EC544" s="53"/>
      <c r="ED544" s="53"/>
      <c r="EE544" s="53"/>
      <c r="EF544" s="53"/>
      <c r="EG544" s="53"/>
      <c r="EH544" s="53"/>
      <c r="EI544" s="53"/>
      <c r="EJ544" s="53"/>
      <c r="EK544" s="53"/>
      <c r="EL544" s="53"/>
      <c r="EM544" s="53"/>
      <c r="EN544" s="53"/>
      <c r="EO544" s="53"/>
      <c r="EP544" s="53"/>
      <c r="EQ544" s="53"/>
      <c r="ER544" s="53"/>
      <c r="ES544" s="53"/>
      <c r="ET544" s="53"/>
      <c r="EU544" s="53"/>
      <c r="EV544" s="53"/>
      <c r="EW544" s="53"/>
      <c r="EX544" s="53"/>
      <c r="EY544" s="53"/>
      <c r="EZ544" s="53"/>
      <c r="FA544" s="53"/>
      <c r="FB544" s="53"/>
      <c r="FC544" s="53"/>
      <c r="FD544" s="53"/>
      <c r="FE544" s="53"/>
      <c r="FF544" s="53"/>
      <c r="FG544" s="53"/>
      <c r="FH544" s="53"/>
      <c r="FI544" s="53"/>
      <c r="FJ544" s="53"/>
      <c r="FK544" s="53"/>
      <c r="FL544" s="53"/>
      <c r="FM544" s="53"/>
      <c r="FN544" s="53"/>
      <c r="FO544" s="53"/>
      <c r="FP544" s="53"/>
      <c r="FQ544" s="53"/>
      <c r="FR544" s="53"/>
      <c r="FS544" s="53"/>
      <c r="FT544" s="53"/>
      <c r="FU544" s="53"/>
      <c r="FV544" s="53"/>
      <c r="FW544" s="53"/>
      <c r="FX544" s="53"/>
      <c r="FY544" s="53"/>
      <c r="FZ544" s="53"/>
      <c r="GA544" s="53"/>
      <c r="GB544" s="53"/>
      <c r="GC544" s="53"/>
      <c r="GD544" s="53"/>
      <c r="GE544" s="53"/>
      <c r="GF544" s="53"/>
      <c r="GG544" s="53"/>
      <c r="GH544" s="53"/>
      <c r="GI544" s="53"/>
      <c r="GJ544" s="53"/>
      <c r="GK544" s="53"/>
      <c r="GL544" s="53"/>
      <c r="GM544" s="53"/>
      <c r="GN544" s="53"/>
      <c r="GO544" s="53"/>
      <c r="GP544" s="53"/>
      <c r="GQ544" s="53"/>
      <c r="GR544" s="53"/>
      <c r="GS544" s="53"/>
      <c r="GT544" s="53"/>
      <c r="GU544" s="53"/>
      <c r="GV544" s="53"/>
      <c r="GW544" s="53"/>
      <c r="GX544" s="53"/>
      <c r="GY544" s="53"/>
      <c r="GZ544" s="53"/>
      <c r="HA544" s="53"/>
      <c r="HB544" s="53"/>
      <c r="HC544" s="53"/>
      <c r="HD544" s="53"/>
      <c r="HE544" s="53"/>
      <c r="HF544" s="53"/>
      <c r="HG544" s="53"/>
      <c r="HH544" s="53"/>
      <c r="HI544" s="53"/>
      <c r="HJ544" s="53"/>
      <c r="HK544" s="53"/>
      <c r="HL544" s="53"/>
      <c r="HM544" s="53"/>
      <c r="HN544" s="53"/>
      <c r="HO544" s="53"/>
      <c r="HP544" s="53"/>
      <c r="HQ544" s="53"/>
      <c r="HR544" s="53"/>
      <c r="HS544" s="53"/>
      <c r="HT544" s="53"/>
      <c r="HU544" s="53"/>
      <c r="HV544" s="53"/>
      <c r="HW544" s="53"/>
      <c r="HX544" s="53"/>
      <c r="HY544" s="53"/>
      <c r="HZ544" s="53"/>
      <c r="IA544" s="53"/>
    </row>
    <row r="545" spans="1:235" ht="33.75">
      <c r="A545" s="8" t="s">
        <v>166</v>
      </c>
      <c r="B545" s="6"/>
      <c r="C545" s="6"/>
      <c r="D545" s="44">
        <v>6</v>
      </c>
      <c r="E545" s="44"/>
      <c r="F545" s="44">
        <f>D545</f>
        <v>6</v>
      </c>
      <c r="G545" s="44">
        <v>6</v>
      </c>
      <c r="H545" s="44"/>
      <c r="I545" s="44"/>
      <c r="J545" s="7">
        <f>G545+H545</f>
        <v>6</v>
      </c>
      <c r="K545" s="44">
        <f>H545</f>
        <v>0</v>
      </c>
      <c r="L545" s="44">
        <f>J545</f>
        <v>6</v>
      </c>
      <c r="M545" s="44">
        <f>K545</f>
        <v>0</v>
      </c>
      <c r="N545" s="44">
        <v>4</v>
      </c>
      <c r="O545" s="44"/>
      <c r="P545" s="44">
        <f>N545</f>
        <v>4</v>
      </c>
      <c r="Q545" s="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  <c r="GB545" s="53"/>
      <c r="GC545" s="53"/>
      <c r="GD545" s="53"/>
      <c r="GE545" s="53"/>
      <c r="GF545" s="53"/>
      <c r="GG545" s="53"/>
      <c r="GH545" s="53"/>
      <c r="GI545" s="53"/>
      <c r="GJ545" s="53"/>
      <c r="GK545" s="53"/>
      <c r="GL545" s="53"/>
      <c r="GM545" s="53"/>
      <c r="GN545" s="53"/>
      <c r="GO545" s="53"/>
      <c r="GP545" s="53"/>
      <c r="GQ545" s="53"/>
      <c r="GR545" s="53"/>
      <c r="GS545" s="53"/>
      <c r="GT545" s="53"/>
      <c r="GU545" s="53"/>
      <c r="GV545" s="53"/>
      <c r="GW545" s="53"/>
      <c r="GX545" s="53"/>
      <c r="GY545" s="53"/>
      <c r="GZ545" s="53"/>
      <c r="HA545" s="53"/>
      <c r="HB545" s="53"/>
      <c r="HC545" s="53"/>
      <c r="HD545" s="53"/>
      <c r="HE545" s="53"/>
      <c r="HF545" s="53"/>
      <c r="HG545" s="53"/>
      <c r="HH545" s="53"/>
      <c r="HI545" s="53"/>
      <c r="HJ545" s="53"/>
      <c r="HK545" s="53"/>
      <c r="HL545" s="53"/>
      <c r="HM545" s="53"/>
      <c r="HN545" s="53"/>
      <c r="HO545" s="53"/>
      <c r="HP545" s="53"/>
      <c r="HQ545" s="53"/>
      <c r="HR545" s="53"/>
      <c r="HS545" s="53"/>
      <c r="HT545" s="53"/>
      <c r="HU545" s="53"/>
      <c r="HV545" s="53"/>
      <c r="HW545" s="53"/>
      <c r="HX545" s="53"/>
      <c r="HY545" s="53"/>
      <c r="HZ545" s="53"/>
      <c r="IA545" s="53"/>
    </row>
    <row r="546" spans="1:235" ht="11.25">
      <c r="A546" s="5" t="s">
        <v>5</v>
      </c>
      <c r="B546" s="6"/>
      <c r="C546" s="6"/>
      <c r="D546" s="44"/>
      <c r="E546" s="44"/>
      <c r="F546" s="44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32.25" customHeight="1">
      <c r="A547" s="8" t="s">
        <v>167</v>
      </c>
      <c r="B547" s="6"/>
      <c r="C547" s="6"/>
      <c r="D547" s="44">
        <v>6</v>
      </c>
      <c r="E547" s="44"/>
      <c r="F547" s="44">
        <f>D547</f>
        <v>6</v>
      </c>
      <c r="G547" s="7">
        <v>6</v>
      </c>
      <c r="H547" s="7"/>
      <c r="I547" s="7"/>
      <c r="J547" s="7">
        <f>G547+H547</f>
        <v>6</v>
      </c>
      <c r="K547" s="7"/>
      <c r="L547" s="7"/>
      <c r="M547" s="7"/>
      <c r="N547" s="7">
        <v>4</v>
      </c>
      <c r="O547" s="7"/>
      <c r="P547" s="7">
        <f>N547</f>
        <v>4</v>
      </c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22.5">
      <c r="A548" s="8" t="s">
        <v>164</v>
      </c>
      <c r="B548" s="6"/>
      <c r="C548" s="6"/>
      <c r="D548" s="44"/>
      <c r="E548" s="44"/>
      <c r="F548" s="44">
        <f>D548</f>
        <v>0</v>
      </c>
      <c r="G548" s="7"/>
      <c r="H548" s="7"/>
      <c r="I548" s="7"/>
      <c r="J548" s="7">
        <f>G548+H548</f>
        <v>0</v>
      </c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5" t="s">
        <v>7</v>
      </c>
      <c r="B549" s="6"/>
      <c r="C549" s="6"/>
      <c r="D549" s="44"/>
      <c r="E549" s="44"/>
      <c r="F549" s="44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22.5">
      <c r="A550" s="8" t="s">
        <v>168</v>
      </c>
      <c r="B550" s="6"/>
      <c r="C550" s="6"/>
      <c r="D550" s="44">
        <f>200000/6</f>
        <v>33333.333333333336</v>
      </c>
      <c r="E550" s="44"/>
      <c r="F550" s="44">
        <f>D550</f>
        <v>33333.333333333336</v>
      </c>
      <c r="G550" s="7">
        <v>50000</v>
      </c>
      <c r="H550" s="7"/>
      <c r="I550" s="7"/>
      <c r="J550" s="7">
        <f>G550+H550</f>
        <v>50000</v>
      </c>
      <c r="K550" s="7"/>
      <c r="L550" s="7"/>
      <c r="M550" s="7"/>
      <c r="N550" s="7">
        <v>50000</v>
      </c>
      <c r="O550" s="7"/>
      <c r="P550" s="7">
        <f>N550</f>
        <v>50000</v>
      </c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11.25">
      <c r="A551" s="37" t="s">
        <v>260</v>
      </c>
      <c r="B551" s="6"/>
      <c r="C551" s="6"/>
      <c r="D551" s="36">
        <f>D553</f>
        <v>0</v>
      </c>
      <c r="E551" s="36">
        <f aca="true" t="shared" si="63" ref="E551:P551">E553</f>
        <v>127784300</v>
      </c>
      <c r="F551" s="36">
        <f t="shared" si="63"/>
        <v>127784300</v>
      </c>
      <c r="G551" s="36">
        <f t="shared" si="63"/>
        <v>0</v>
      </c>
      <c r="H551" s="36">
        <f t="shared" si="63"/>
        <v>87960272</v>
      </c>
      <c r="I551" s="36">
        <f t="shared" si="63"/>
        <v>0</v>
      </c>
      <c r="J551" s="36">
        <f t="shared" si="63"/>
        <v>87960272</v>
      </c>
      <c r="K551" s="36">
        <f t="shared" si="63"/>
        <v>0</v>
      </c>
      <c r="L551" s="36">
        <f t="shared" si="63"/>
        <v>0</v>
      </c>
      <c r="M551" s="36">
        <f t="shared" si="63"/>
        <v>0</v>
      </c>
      <c r="N551" s="36">
        <f t="shared" si="63"/>
        <v>0</v>
      </c>
      <c r="O551" s="36">
        <f t="shared" si="63"/>
        <v>0</v>
      </c>
      <c r="P551" s="36">
        <f t="shared" si="63"/>
        <v>0</v>
      </c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22.5">
      <c r="A552" s="8" t="s">
        <v>170</v>
      </c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17" s="159" customFormat="1" ht="33.75">
      <c r="A553" s="157" t="s">
        <v>424</v>
      </c>
      <c r="B553" s="141"/>
      <c r="C553" s="141"/>
      <c r="D553" s="145"/>
      <c r="E553" s="145">
        <f>E555</f>
        <v>127784300</v>
      </c>
      <c r="F553" s="145">
        <f>D553+E553</f>
        <v>127784300</v>
      </c>
      <c r="G553" s="145"/>
      <c r="H553" s="145">
        <f>H557*H559</f>
        <v>87960272</v>
      </c>
      <c r="I553" s="145">
        <f>I555</f>
        <v>0</v>
      </c>
      <c r="J553" s="145">
        <f>H553+I553</f>
        <v>87960272</v>
      </c>
      <c r="K553" s="145"/>
      <c r="L553" s="145"/>
      <c r="M553" s="145"/>
      <c r="N553" s="145"/>
      <c r="O553" s="145">
        <f>O557*O559</f>
        <v>0</v>
      </c>
      <c r="P553" s="145">
        <f>O553</f>
        <v>0</v>
      </c>
      <c r="Q553" s="158"/>
    </row>
    <row r="554" spans="1:235" ht="11.25">
      <c r="A554" s="5" t="s">
        <v>4</v>
      </c>
      <c r="B554" s="6"/>
      <c r="C554" s="6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8" t="s">
        <v>43</v>
      </c>
      <c r="B555" s="6"/>
      <c r="C555" s="6"/>
      <c r="D555" s="7"/>
      <c r="E555" s="7">
        <v>127784300</v>
      </c>
      <c r="F555" s="7">
        <f>D555+E555</f>
        <v>127784300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5" t="s">
        <v>5</v>
      </c>
      <c r="B556" s="6"/>
      <c r="C556" s="6"/>
      <c r="D556" s="7"/>
      <c r="E556" s="7"/>
      <c r="F556" s="7">
        <f>D556+E556</f>
        <v>0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33.75">
      <c r="A557" s="8" t="s">
        <v>171</v>
      </c>
      <c r="B557" s="6"/>
      <c r="C557" s="6"/>
      <c r="D557" s="7"/>
      <c r="E557" s="7">
        <v>10</v>
      </c>
      <c r="F557" s="7">
        <f>D557+E557</f>
        <v>10</v>
      </c>
      <c r="G557" s="7"/>
      <c r="H557" s="7">
        <v>5</v>
      </c>
      <c r="I557" s="7"/>
      <c r="J557" s="7">
        <v>5</v>
      </c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5" t="s">
        <v>7</v>
      </c>
      <c r="B558" s="6"/>
      <c r="C558" s="6"/>
      <c r="D558" s="7"/>
      <c r="E558" s="7"/>
      <c r="F558" s="7">
        <f>D558+E558</f>
        <v>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24.75" customHeight="1">
      <c r="A559" s="8" t="s">
        <v>172</v>
      </c>
      <c r="B559" s="6"/>
      <c r="C559" s="6"/>
      <c r="D559" s="7"/>
      <c r="E559" s="7">
        <f>399355600/9</f>
        <v>44372844.44444445</v>
      </c>
      <c r="F559" s="7">
        <f>D559+E559</f>
        <v>44372844.44444445</v>
      </c>
      <c r="G559" s="7"/>
      <c r="H559" s="7">
        <v>17592054.4</v>
      </c>
      <c r="I559" s="7"/>
      <c r="J559" s="7">
        <v>17592054.4</v>
      </c>
      <c r="K559" s="7"/>
      <c r="L559" s="7"/>
      <c r="M559" s="7"/>
      <c r="N559" s="7"/>
      <c r="O559" s="7"/>
      <c r="P559" s="85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37" t="s">
        <v>261</v>
      </c>
      <c r="B560" s="6"/>
      <c r="C560" s="6"/>
      <c r="D560" s="36">
        <f>D562</f>
        <v>760000</v>
      </c>
      <c r="E560" s="36">
        <f aca="true" t="shared" si="64" ref="E560:P560">E562</f>
        <v>1220000</v>
      </c>
      <c r="F560" s="36">
        <f t="shared" si="64"/>
        <v>1980000</v>
      </c>
      <c r="G560" s="36">
        <f t="shared" si="64"/>
        <v>0</v>
      </c>
      <c r="H560" s="36">
        <f t="shared" si="64"/>
        <v>7000000</v>
      </c>
      <c r="I560" s="36">
        <f t="shared" si="64"/>
        <v>7000000</v>
      </c>
      <c r="J560" s="36">
        <f t="shared" si="64"/>
        <v>7000000</v>
      </c>
      <c r="K560" s="36">
        <f t="shared" si="64"/>
        <v>0</v>
      </c>
      <c r="L560" s="36">
        <f t="shared" si="64"/>
        <v>0</v>
      </c>
      <c r="M560" s="36">
        <f t="shared" si="64"/>
        <v>0</v>
      </c>
      <c r="N560" s="36">
        <f t="shared" si="64"/>
        <v>760000</v>
      </c>
      <c r="O560" s="36">
        <f t="shared" si="64"/>
        <v>7240000</v>
      </c>
      <c r="P560" s="36">
        <f t="shared" si="64"/>
        <v>8000000</v>
      </c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56.25">
      <c r="A561" s="8" t="s">
        <v>181</v>
      </c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17" s="39" customFormat="1" ht="36" customHeight="1">
      <c r="A562" s="34" t="s">
        <v>425</v>
      </c>
      <c r="B562" s="35"/>
      <c r="C562" s="35"/>
      <c r="D562" s="36">
        <f>D564</f>
        <v>760000</v>
      </c>
      <c r="E562" s="36">
        <f>E564</f>
        <v>1220000</v>
      </c>
      <c r="F562" s="36">
        <f>D562+E562</f>
        <v>1980000</v>
      </c>
      <c r="G562" s="36">
        <f>G564</f>
        <v>0</v>
      </c>
      <c r="H562" s="36">
        <f>H564</f>
        <v>7000000</v>
      </c>
      <c r="I562" s="36">
        <f>G562+H562</f>
        <v>7000000</v>
      </c>
      <c r="J562" s="36">
        <f>G562+H562</f>
        <v>7000000</v>
      </c>
      <c r="K562" s="36"/>
      <c r="L562" s="36"/>
      <c r="M562" s="36"/>
      <c r="N562" s="36">
        <f>N566*N568</f>
        <v>760000</v>
      </c>
      <c r="O562" s="36">
        <f>O566*O568</f>
        <v>7240000</v>
      </c>
      <c r="P562" s="36">
        <f>N562+O562</f>
        <v>8000000</v>
      </c>
      <c r="Q562" s="78"/>
    </row>
    <row r="563" spans="1:235" ht="11.25">
      <c r="A563" s="5" t="s">
        <v>4</v>
      </c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8" t="s">
        <v>43</v>
      </c>
      <c r="B564" s="6"/>
      <c r="C564" s="6"/>
      <c r="D564" s="7">
        <f>D566*D568</f>
        <v>760000</v>
      </c>
      <c r="E564" s="7">
        <f>E566*E568</f>
        <v>1220000</v>
      </c>
      <c r="F564" s="7">
        <f>D564+E564</f>
        <v>1980000</v>
      </c>
      <c r="G564" s="7">
        <f>G566*G568</f>
        <v>0</v>
      </c>
      <c r="H564" s="7">
        <f>H566*H568</f>
        <v>7000000</v>
      </c>
      <c r="I564" s="7"/>
      <c r="J564" s="7">
        <f>G564+H564</f>
        <v>7000000</v>
      </c>
      <c r="K564" s="7"/>
      <c r="L564" s="7"/>
      <c r="M564" s="7"/>
      <c r="N564" s="7">
        <f>N566*N568</f>
        <v>760000</v>
      </c>
      <c r="O564" s="7">
        <f>O566*O568</f>
        <v>7240000</v>
      </c>
      <c r="P564" s="7">
        <f>N564+O564</f>
        <v>8000000</v>
      </c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5" t="s">
        <v>5</v>
      </c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22.5">
      <c r="A566" s="8" t="s">
        <v>182</v>
      </c>
      <c r="B566" s="6"/>
      <c r="C566" s="6"/>
      <c r="D566" s="7">
        <v>1</v>
      </c>
      <c r="E566" s="7">
        <v>1</v>
      </c>
      <c r="F566" s="7">
        <f>D566+E566</f>
        <v>2</v>
      </c>
      <c r="G566" s="7">
        <v>0</v>
      </c>
      <c r="H566" s="7">
        <v>1</v>
      </c>
      <c r="I566" s="7"/>
      <c r="J566" s="7">
        <v>1</v>
      </c>
      <c r="K566" s="7"/>
      <c r="L566" s="7"/>
      <c r="M566" s="7"/>
      <c r="N566" s="7">
        <v>1</v>
      </c>
      <c r="O566" s="7">
        <v>1</v>
      </c>
      <c r="P566" s="7">
        <v>1</v>
      </c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7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22.5">
      <c r="A568" s="8" t="s">
        <v>183</v>
      </c>
      <c r="B568" s="6"/>
      <c r="C568" s="6"/>
      <c r="D568" s="7">
        <v>760000</v>
      </c>
      <c r="E568" s="7">
        <v>1220000</v>
      </c>
      <c r="F568" s="7">
        <f>D568+E568</f>
        <v>1980000</v>
      </c>
      <c r="G568" s="7">
        <v>0</v>
      </c>
      <c r="H568" s="7">
        <v>7000000</v>
      </c>
      <c r="I568" s="7"/>
      <c r="J568" s="23">
        <f>J564/J566</f>
        <v>7000000</v>
      </c>
      <c r="K568" s="23"/>
      <c r="L568" s="23"/>
      <c r="M568" s="23"/>
      <c r="N568" s="23">
        <v>760000</v>
      </c>
      <c r="O568" s="23">
        <v>7240000</v>
      </c>
      <c r="P568" s="7">
        <f>N568+O568</f>
        <v>8000000</v>
      </c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8"/>
      <c r="B569" s="6"/>
      <c r="C569" s="6"/>
      <c r="D569" s="7"/>
      <c r="E569" s="7"/>
      <c r="F569" s="7"/>
      <c r="G569" s="7"/>
      <c r="H569" s="7"/>
      <c r="I569" s="7"/>
      <c r="J569" s="23"/>
      <c r="K569" s="23"/>
      <c r="L569" s="23"/>
      <c r="M569" s="23"/>
      <c r="N569" s="23"/>
      <c r="O569" s="23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17" s="52" customFormat="1" ht="11.25">
      <c r="A570" s="37" t="s">
        <v>352</v>
      </c>
      <c r="B570" s="37"/>
      <c r="C570" s="37"/>
      <c r="D570" s="30">
        <f>D574</f>
        <v>0</v>
      </c>
      <c r="E570" s="30">
        <f>E574</f>
        <v>2275980</v>
      </c>
      <c r="F570" s="30">
        <f>D570+E570</f>
        <v>2275980</v>
      </c>
      <c r="G570" s="30">
        <v>0</v>
      </c>
      <c r="H570" s="30">
        <f>H572</f>
        <v>1108600</v>
      </c>
      <c r="I570" s="30" t="e">
        <f>#REF!</f>
        <v>#REF!</v>
      </c>
      <c r="J570" s="129">
        <f>J572</f>
        <v>1108600</v>
      </c>
      <c r="K570" s="129" t="e">
        <f>#REF!</f>
        <v>#REF!</v>
      </c>
      <c r="L570" s="129" t="e">
        <f>#REF!</f>
        <v>#REF!</v>
      </c>
      <c r="M570" s="129" t="e">
        <f>#REF!</f>
        <v>#REF!</v>
      </c>
      <c r="N570" s="129">
        <v>0</v>
      </c>
      <c r="O570" s="129">
        <v>0</v>
      </c>
      <c r="P570" s="30">
        <v>0</v>
      </c>
      <c r="Q570" s="75" t="e">
        <f>#REF!</f>
        <v>#REF!</v>
      </c>
    </row>
    <row r="571" spans="1:235" ht="33.75">
      <c r="A571" s="8" t="s">
        <v>353</v>
      </c>
      <c r="B571" s="6"/>
      <c r="C571" s="6"/>
      <c r="D571" s="7"/>
      <c r="E571" s="7"/>
      <c r="F571" s="7"/>
      <c r="G571" s="7"/>
      <c r="H571" s="7"/>
      <c r="I571" s="7"/>
      <c r="J571" s="23"/>
      <c r="K571" s="23"/>
      <c r="L571" s="23"/>
      <c r="M571" s="23"/>
      <c r="N571" s="23"/>
      <c r="O571" s="23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17" s="52" customFormat="1" ht="22.5">
      <c r="A572" s="34" t="s">
        <v>426</v>
      </c>
      <c r="B572" s="37"/>
      <c r="C572" s="37"/>
      <c r="D572" s="30"/>
      <c r="E572" s="30">
        <v>2275980</v>
      </c>
      <c r="F572" s="30">
        <v>2275980</v>
      </c>
      <c r="G572" s="30"/>
      <c r="H572" s="30">
        <f>H574</f>
        <v>1108600</v>
      </c>
      <c r="I572" s="30"/>
      <c r="J572" s="129">
        <f>H572</f>
        <v>1108600</v>
      </c>
      <c r="K572" s="129"/>
      <c r="L572" s="129"/>
      <c r="M572" s="129"/>
      <c r="N572" s="129"/>
      <c r="O572" s="129"/>
      <c r="P572" s="30"/>
      <c r="Q572" s="75"/>
    </row>
    <row r="573" spans="1:235" ht="11.25">
      <c r="A573" s="5" t="s">
        <v>4</v>
      </c>
      <c r="B573" s="6"/>
      <c r="C573" s="6"/>
      <c r="D573" s="7"/>
      <c r="E573" s="7"/>
      <c r="F573" s="7"/>
      <c r="G573" s="7"/>
      <c r="H573" s="7"/>
      <c r="I573" s="7"/>
      <c r="J573" s="23"/>
      <c r="K573" s="23"/>
      <c r="L573" s="23"/>
      <c r="M573" s="23"/>
      <c r="N573" s="23"/>
      <c r="O573" s="23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8" t="s">
        <v>43</v>
      </c>
      <c r="B574" s="6"/>
      <c r="C574" s="6"/>
      <c r="D574" s="7"/>
      <c r="E574" s="7">
        <f>2178000+97980</f>
        <v>2275980</v>
      </c>
      <c r="F574" s="7">
        <f>D574+E574</f>
        <v>2275980</v>
      </c>
      <c r="G574" s="7"/>
      <c r="H574" s="7">
        <v>1108600</v>
      </c>
      <c r="I574" s="7"/>
      <c r="J574" s="23">
        <f>H574</f>
        <v>1108600</v>
      </c>
      <c r="K574" s="23"/>
      <c r="L574" s="23"/>
      <c r="M574" s="23"/>
      <c r="N574" s="23"/>
      <c r="O574" s="23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5" t="s">
        <v>5</v>
      </c>
      <c r="B575" s="6"/>
      <c r="C575" s="6"/>
      <c r="D575" s="7"/>
      <c r="E575" s="7"/>
      <c r="F575" s="7"/>
      <c r="G575" s="7"/>
      <c r="H575" s="7"/>
      <c r="I575" s="7"/>
      <c r="J575" s="23"/>
      <c r="K575" s="23"/>
      <c r="L575" s="23"/>
      <c r="M575" s="23"/>
      <c r="N575" s="23"/>
      <c r="O575" s="23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22.5">
      <c r="A576" s="8" t="s">
        <v>354</v>
      </c>
      <c r="B576" s="6"/>
      <c r="C576" s="6"/>
      <c r="D576" s="7"/>
      <c r="E576" s="7">
        <v>63</v>
      </c>
      <c r="F576" s="7">
        <v>63</v>
      </c>
      <c r="G576" s="7"/>
      <c r="H576" s="7">
        <v>22</v>
      </c>
      <c r="I576" s="7"/>
      <c r="J576" s="23">
        <f>H576</f>
        <v>22</v>
      </c>
      <c r="K576" s="23"/>
      <c r="L576" s="23"/>
      <c r="M576" s="23"/>
      <c r="N576" s="23"/>
      <c r="O576" s="23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5" t="s">
        <v>7</v>
      </c>
      <c r="B577" s="6"/>
      <c r="C577" s="6"/>
      <c r="D577" s="7"/>
      <c r="E577" s="7"/>
      <c r="F577" s="7"/>
      <c r="G577" s="7"/>
      <c r="H577" s="7"/>
      <c r="I577" s="7"/>
      <c r="J577" s="23"/>
      <c r="K577" s="23"/>
      <c r="L577" s="23"/>
      <c r="M577" s="23"/>
      <c r="N577" s="23"/>
      <c r="O577" s="23"/>
      <c r="P577" s="7"/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22.5">
      <c r="A578" s="8" t="s">
        <v>355</v>
      </c>
      <c r="B578" s="6"/>
      <c r="C578" s="6"/>
      <c r="D578" s="7"/>
      <c r="E578" s="7">
        <v>36300</v>
      </c>
      <c r="F578" s="7">
        <v>36300</v>
      </c>
      <c r="G578" s="7"/>
      <c r="H578" s="7">
        <v>50390.91</v>
      </c>
      <c r="I578" s="7"/>
      <c r="J578" s="23">
        <f>H578</f>
        <v>50390.91</v>
      </c>
      <c r="K578" s="23"/>
      <c r="L578" s="23"/>
      <c r="M578" s="23"/>
      <c r="N578" s="23"/>
      <c r="O578" s="23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11.25">
      <c r="A579" s="8"/>
      <c r="B579" s="6"/>
      <c r="C579" s="6"/>
      <c r="D579" s="7"/>
      <c r="E579" s="7"/>
      <c r="F579" s="7"/>
      <c r="G579" s="7"/>
      <c r="H579" s="7"/>
      <c r="I579" s="7"/>
      <c r="J579" s="23"/>
      <c r="K579" s="23"/>
      <c r="L579" s="23"/>
      <c r="M579" s="23"/>
      <c r="N579" s="23"/>
      <c r="O579" s="23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235" ht="11.25">
      <c r="A580" s="37" t="s">
        <v>337</v>
      </c>
      <c r="B580" s="6"/>
      <c r="C580" s="6"/>
      <c r="D580" s="36">
        <f>D582</f>
        <v>3000000</v>
      </c>
      <c r="E580" s="36">
        <f aca="true" t="shared" si="65" ref="E580:Q580">E582</f>
        <v>0</v>
      </c>
      <c r="F580" s="36">
        <f t="shared" si="65"/>
        <v>3000000</v>
      </c>
      <c r="G580" s="36">
        <f t="shared" si="65"/>
        <v>3000000</v>
      </c>
      <c r="H580" s="36">
        <f t="shared" si="65"/>
        <v>0</v>
      </c>
      <c r="I580" s="36">
        <f t="shared" si="65"/>
        <v>0</v>
      </c>
      <c r="J580" s="36">
        <f t="shared" si="65"/>
        <v>3000000</v>
      </c>
      <c r="K580" s="36">
        <f t="shared" si="65"/>
        <v>0</v>
      </c>
      <c r="L580" s="36">
        <f t="shared" si="65"/>
        <v>0</v>
      </c>
      <c r="M580" s="36">
        <f t="shared" si="65"/>
        <v>0</v>
      </c>
      <c r="N580" s="36">
        <f t="shared" si="65"/>
        <v>0</v>
      </c>
      <c r="O580" s="36">
        <f t="shared" si="65"/>
        <v>0</v>
      </c>
      <c r="P580" s="36">
        <f t="shared" si="65"/>
        <v>0</v>
      </c>
      <c r="Q580" s="36">
        <f t="shared" si="65"/>
        <v>0</v>
      </c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22.5">
      <c r="A581" s="8" t="s">
        <v>264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17" s="39" customFormat="1" ht="37.5" customHeight="1">
      <c r="A582" s="34" t="s">
        <v>427</v>
      </c>
      <c r="B582" s="35"/>
      <c r="C582" s="35"/>
      <c r="D582" s="45">
        <f>D584</f>
        <v>3000000</v>
      </c>
      <c r="E582" s="45"/>
      <c r="F582" s="45">
        <f>D582+E582</f>
        <v>3000000</v>
      </c>
      <c r="G582" s="36">
        <f>G587*G589</f>
        <v>3000000</v>
      </c>
      <c r="H582" s="36"/>
      <c r="I582" s="36"/>
      <c r="J582" s="36">
        <f>J584</f>
        <v>3000000</v>
      </c>
      <c r="K582" s="36"/>
      <c r="L582" s="36"/>
      <c r="M582" s="36"/>
      <c r="N582" s="36">
        <f>N584</f>
        <v>0</v>
      </c>
      <c r="O582" s="36"/>
      <c r="P582" s="36">
        <f>N582</f>
        <v>0</v>
      </c>
      <c r="Q582" s="78"/>
    </row>
    <row r="583" spans="1:235" ht="11.25">
      <c r="A583" s="5" t="s">
        <v>4</v>
      </c>
      <c r="B583" s="6"/>
      <c r="C583" s="6"/>
      <c r="D583" s="84"/>
      <c r="E583" s="84"/>
      <c r="F583" s="84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0.5" customHeight="1">
      <c r="A584" s="8" t="s">
        <v>43</v>
      </c>
      <c r="B584" s="6"/>
      <c r="C584" s="6"/>
      <c r="D584" s="84">
        <f>D587*D589</f>
        <v>3000000</v>
      </c>
      <c r="E584" s="84"/>
      <c r="F584" s="84">
        <f>D584+E584</f>
        <v>3000000</v>
      </c>
      <c r="G584" s="7">
        <f>G587*G589</f>
        <v>3000000</v>
      </c>
      <c r="H584" s="7"/>
      <c r="I584" s="7"/>
      <c r="J584" s="7">
        <f>G584+H584</f>
        <v>3000000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5</v>
      </c>
      <c r="B585" s="6"/>
      <c r="C585" s="6"/>
      <c r="D585" s="84"/>
      <c r="E585" s="84"/>
      <c r="F585" s="8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0.75" customHeight="1">
      <c r="A586" s="8" t="s">
        <v>169</v>
      </c>
      <c r="B586" s="6"/>
      <c r="C586" s="6"/>
      <c r="D586" s="84"/>
      <c r="E586" s="84"/>
      <c r="F586" s="84">
        <f>D586+E586</f>
        <v>0</v>
      </c>
      <c r="G586" s="84"/>
      <c r="H586" s="84"/>
      <c r="I586" s="84"/>
      <c r="J586" s="84"/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8" t="s">
        <v>176</v>
      </c>
      <c r="B587" s="6"/>
      <c r="C587" s="6"/>
      <c r="D587" s="84">
        <v>667</v>
      </c>
      <c r="E587" s="84"/>
      <c r="F587" s="84">
        <f>D587+E587</f>
        <v>667</v>
      </c>
      <c r="G587" s="84">
        <v>667</v>
      </c>
      <c r="H587" s="84"/>
      <c r="I587" s="84"/>
      <c r="J587" s="84">
        <f>G587+H587</f>
        <v>667</v>
      </c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10.5" customHeight="1">
      <c r="A588" s="5" t="s">
        <v>7</v>
      </c>
      <c r="B588" s="6"/>
      <c r="C588" s="6"/>
      <c r="D588" s="84"/>
      <c r="E588" s="84"/>
      <c r="F588" s="84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235" ht="22.5" customHeight="1">
      <c r="A589" s="8" t="s">
        <v>177</v>
      </c>
      <c r="B589" s="6"/>
      <c r="C589" s="6"/>
      <c r="D589" s="7">
        <f>3000000/667</f>
        <v>4497.751124437781</v>
      </c>
      <c r="E589" s="7"/>
      <c r="F589" s="84">
        <f>D589+E589</f>
        <v>4497.751124437781</v>
      </c>
      <c r="G589" s="7">
        <f>3000000/667</f>
        <v>4497.751124437781</v>
      </c>
      <c r="H589" s="7"/>
      <c r="I589" s="7"/>
      <c r="J589" s="7">
        <f>G589+H589</f>
        <v>4497.751124437781</v>
      </c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11.25">
      <c r="A590" s="126" t="s">
        <v>338</v>
      </c>
      <c r="B590" s="6"/>
      <c r="C590" s="6"/>
      <c r="D590" s="30">
        <f>D591</f>
        <v>656000</v>
      </c>
      <c r="E590" s="30">
        <f>E591</f>
        <v>0</v>
      </c>
      <c r="F590" s="30">
        <f>F591</f>
        <v>656000</v>
      </c>
      <c r="G590" s="30">
        <f>G591</f>
        <v>819000</v>
      </c>
      <c r="H590" s="30"/>
      <c r="I590" s="30">
        <f>I591</f>
        <v>0</v>
      </c>
      <c r="J590" s="30">
        <f>G590</f>
        <v>819000</v>
      </c>
      <c r="K590" s="7"/>
      <c r="L590" s="7"/>
      <c r="M590" s="7"/>
      <c r="N590" s="30">
        <f>N591</f>
        <v>725000</v>
      </c>
      <c r="O590" s="30"/>
      <c r="P590" s="30">
        <f>N590</f>
        <v>725000</v>
      </c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17" s="39" customFormat="1" ht="22.5">
      <c r="A591" s="34" t="s">
        <v>428</v>
      </c>
      <c r="B591" s="35"/>
      <c r="C591" s="35"/>
      <c r="D591" s="36">
        <f>D593</f>
        <v>656000</v>
      </c>
      <c r="E591" s="36"/>
      <c r="F591" s="7">
        <f>D591</f>
        <v>656000</v>
      </c>
      <c r="G591" s="36">
        <f>G595*G597</f>
        <v>819000</v>
      </c>
      <c r="H591" s="36"/>
      <c r="I591" s="36"/>
      <c r="J591" s="36">
        <f>G591</f>
        <v>819000</v>
      </c>
      <c r="K591" s="36"/>
      <c r="L591" s="36"/>
      <c r="M591" s="36"/>
      <c r="N591" s="36">
        <f>N595*N597</f>
        <v>725000</v>
      </c>
      <c r="O591" s="36"/>
      <c r="P591" s="30">
        <f>N591</f>
        <v>725000</v>
      </c>
      <c r="Q591" s="78"/>
    </row>
    <row r="592" spans="1:235" ht="11.25">
      <c r="A592" s="5" t="s">
        <v>4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22.5">
      <c r="A593" s="8" t="s">
        <v>49</v>
      </c>
      <c r="B593" s="6"/>
      <c r="C593" s="6"/>
      <c r="D593" s="7">
        <f>D595*D597</f>
        <v>656000</v>
      </c>
      <c r="E593" s="7"/>
      <c r="F593" s="7">
        <f>D593</f>
        <v>656000</v>
      </c>
      <c r="G593" s="7">
        <v>819000</v>
      </c>
      <c r="H593" s="7"/>
      <c r="I593" s="7"/>
      <c r="J593" s="7">
        <f>G593</f>
        <v>819000</v>
      </c>
      <c r="K593" s="7"/>
      <c r="L593" s="7"/>
      <c r="M593" s="7"/>
      <c r="N593" s="7">
        <f>N595*N597</f>
        <v>725000</v>
      </c>
      <c r="O593" s="7"/>
      <c r="P593" s="7">
        <f>N593</f>
        <v>725000</v>
      </c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5</v>
      </c>
      <c r="B594" s="6"/>
      <c r="C594" s="6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7.75" customHeight="1">
      <c r="A595" s="8" t="s">
        <v>48</v>
      </c>
      <c r="B595" s="6"/>
      <c r="C595" s="6"/>
      <c r="D595" s="7">
        <v>16</v>
      </c>
      <c r="E595" s="7"/>
      <c r="F595" s="7">
        <f>D595</f>
        <v>16</v>
      </c>
      <c r="G595" s="7">
        <v>16</v>
      </c>
      <c r="H595" s="7"/>
      <c r="I595" s="7"/>
      <c r="J595" s="7">
        <f>G595</f>
        <v>16</v>
      </c>
      <c r="K595" s="7"/>
      <c r="L595" s="7"/>
      <c r="M595" s="7"/>
      <c r="N595" s="7">
        <v>16</v>
      </c>
      <c r="O595" s="7"/>
      <c r="P595" s="7">
        <f>N595</f>
        <v>16</v>
      </c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5" t="s">
        <v>7</v>
      </c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33.75">
      <c r="A597" s="8" t="s">
        <v>50</v>
      </c>
      <c r="B597" s="6"/>
      <c r="C597" s="6"/>
      <c r="D597" s="7">
        <v>41000</v>
      </c>
      <c r="E597" s="7"/>
      <c r="F597" s="7">
        <v>41000</v>
      </c>
      <c r="G597" s="7">
        <v>51187.5</v>
      </c>
      <c r="H597" s="7"/>
      <c r="I597" s="7"/>
      <c r="J597" s="7">
        <f>G597</f>
        <v>51187.5</v>
      </c>
      <c r="K597" s="7"/>
      <c r="L597" s="7"/>
      <c r="M597" s="7"/>
      <c r="N597" s="7">
        <v>45312.5</v>
      </c>
      <c r="O597" s="7"/>
      <c r="P597" s="7">
        <f>N597</f>
        <v>45312.5</v>
      </c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235" ht="11.25">
      <c r="A598" s="37" t="s">
        <v>369</v>
      </c>
      <c r="B598" s="6"/>
      <c r="C598" s="6"/>
      <c r="D598" s="36"/>
      <c r="E598" s="36">
        <f>E600+E613</f>
        <v>94580322</v>
      </c>
      <c r="F598" s="36">
        <f>D598+E598</f>
        <v>94580322</v>
      </c>
      <c r="G598" s="36">
        <f aca="true" t="shared" si="66" ref="G598:P598">G600+G613</f>
        <v>0</v>
      </c>
      <c r="H598" s="36">
        <f t="shared" si="66"/>
        <v>92000000</v>
      </c>
      <c r="I598" s="36">
        <f t="shared" si="66"/>
        <v>0</v>
      </c>
      <c r="J598" s="36">
        <f t="shared" si="66"/>
        <v>92000000</v>
      </c>
      <c r="K598" s="36">
        <f t="shared" si="66"/>
        <v>0</v>
      </c>
      <c r="L598" s="36">
        <f t="shared" si="66"/>
        <v>0</v>
      </c>
      <c r="M598" s="36">
        <f t="shared" si="66"/>
        <v>0</v>
      </c>
      <c r="N598" s="36">
        <f t="shared" si="66"/>
        <v>0</v>
      </c>
      <c r="O598" s="36">
        <f t="shared" si="66"/>
        <v>95000000</v>
      </c>
      <c r="P598" s="36">
        <f t="shared" si="66"/>
        <v>95000000</v>
      </c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22.5">
      <c r="A599" s="8" t="s">
        <v>202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17" s="39" customFormat="1" ht="22.5">
      <c r="A600" s="34" t="s">
        <v>429</v>
      </c>
      <c r="B600" s="35"/>
      <c r="C600" s="35"/>
      <c r="D600" s="86"/>
      <c r="E600" s="86">
        <f>E602+E608+E609+E610</f>
        <v>94580322</v>
      </c>
      <c r="F600" s="86">
        <f>D600+E600</f>
        <v>94580322</v>
      </c>
      <c r="G600" s="36">
        <f>G602</f>
        <v>0</v>
      </c>
      <c r="H600" s="36">
        <f>SUM(H602)</f>
        <v>92000000</v>
      </c>
      <c r="I600" s="36"/>
      <c r="J600" s="36">
        <f>G600+H600+I600</f>
        <v>92000000</v>
      </c>
      <c r="K600" s="36"/>
      <c r="L600" s="36"/>
      <c r="M600" s="36"/>
      <c r="N600" s="36"/>
      <c r="O600" s="36">
        <f>O602</f>
        <v>95000000</v>
      </c>
      <c r="P600" s="36">
        <f>N600+O600</f>
        <v>95000000</v>
      </c>
      <c r="Q600" s="78"/>
    </row>
    <row r="601" spans="1:17" s="39" customFormat="1" ht="11.25">
      <c r="A601" s="34" t="s">
        <v>4</v>
      </c>
      <c r="B601" s="35"/>
      <c r="C601" s="35"/>
      <c r="D601" s="86"/>
      <c r="E601" s="86"/>
      <c r="F601" s="8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78"/>
    </row>
    <row r="602" spans="1:17" s="39" customFormat="1" ht="11.25">
      <c r="A602" s="40" t="s">
        <v>43</v>
      </c>
      <c r="B602" s="41"/>
      <c r="C602" s="41"/>
      <c r="D602" s="80"/>
      <c r="E602" s="80">
        <f>E604*E606+1224322-0.03+30000+1000000+37400</f>
        <v>90291722</v>
      </c>
      <c r="F602" s="80">
        <f>F604*F606+1224322-0.03+30000+1000000</f>
        <v>90254322</v>
      </c>
      <c r="G602" s="87"/>
      <c r="H602" s="87">
        <v>92000000</v>
      </c>
      <c r="I602" s="87"/>
      <c r="J602" s="87">
        <f>H602</f>
        <v>92000000</v>
      </c>
      <c r="K602" s="87"/>
      <c r="L602" s="87"/>
      <c r="M602" s="87"/>
      <c r="N602" s="87"/>
      <c r="O602" s="87">
        <v>95000000</v>
      </c>
      <c r="P602" s="87">
        <f>O602</f>
        <v>95000000</v>
      </c>
      <c r="Q602" s="78"/>
    </row>
    <row r="603" spans="1:17" s="39" customFormat="1" ht="11.25">
      <c r="A603" s="34" t="s">
        <v>5</v>
      </c>
      <c r="B603" s="35"/>
      <c r="C603" s="35"/>
      <c r="D603" s="86"/>
      <c r="E603" s="86"/>
      <c r="F603" s="8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78"/>
    </row>
    <row r="604" spans="1:17" s="39" customFormat="1" ht="11.25">
      <c r="A604" s="40" t="s">
        <v>188</v>
      </c>
      <c r="B604" s="41"/>
      <c r="C604" s="41"/>
      <c r="D604" s="80"/>
      <c r="E604" s="80">
        <v>17</v>
      </c>
      <c r="F604" s="80">
        <v>17</v>
      </c>
      <c r="G604" s="87"/>
      <c r="H604" s="87">
        <v>11</v>
      </c>
      <c r="I604" s="87"/>
      <c r="J604" s="87">
        <f>H604</f>
        <v>11</v>
      </c>
      <c r="K604" s="87">
        <f>H604</f>
        <v>11</v>
      </c>
      <c r="L604" s="87">
        <f>J604</f>
        <v>11</v>
      </c>
      <c r="M604" s="87">
        <f>K604</f>
        <v>11</v>
      </c>
      <c r="N604" s="87"/>
      <c r="O604" s="87">
        <v>8</v>
      </c>
      <c r="P604" s="87">
        <f>O604</f>
        <v>8</v>
      </c>
      <c r="Q604" s="78"/>
    </row>
    <row r="605" spans="1:17" s="39" customFormat="1" ht="11.25">
      <c r="A605" s="40" t="s">
        <v>7</v>
      </c>
      <c r="B605" s="41"/>
      <c r="C605" s="41"/>
      <c r="D605" s="80"/>
      <c r="E605" s="80"/>
      <c r="F605" s="80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78"/>
    </row>
    <row r="606" spans="1:17" s="39" customFormat="1" ht="22.5">
      <c r="A606" s="40" t="s">
        <v>263</v>
      </c>
      <c r="B606" s="41"/>
      <c r="C606" s="41"/>
      <c r="D606" s="80"/>
      <c r="E606" s="87">
        <v>5176470.59</v>
      </c>
      <c r="F606" s="87">
        <v>5176470.59</v>
      </c>
      <c r="G606" s="87"/>
      <c r="H606" s="87">
        <f>SUM(H602)/H604</f>
        <v>8363636.363636363</v>
      </c>
      <c r="I606" s="87"/>
      <c r="J606" s="87">
        <f>SUM(J602)/J604</f>
        <v>8363636.363636363</v>
      </c>
      <c r="K606" s="87"/>
      <c r="L606" s="87"/>
      <c r="M606" s="87"/>
      <c r="N606" s="87"/>
      <c r="O606" s="87">
        <f>SUM(O602)/O604</f>
        <v>11875000</v>
      </c>
      <c r="P606" s="87">
        <f>SUM(P602)/P604</f>
        <v>11875000</v>
      </c>
      <c r="Q606" s="78"/>
    </row>
    <row r="607" spans="1:17" s="52" customFormat="1" ht="11.25">
      <c r="A607" s="34" t="s">
        <v>5</v>
      </c>
      <c r="B607" s="35"/>
      <c r="C607" s="35"/>
      <c r="D607" s="86"/>
      <c r="E607" s="86"/>
      <c r="F607" s="8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75"/>
    </row>
    <row r="608" spans="1:235" ht="33.75">
      <c r="A608" s="88" t="s">
        <v>282</v>
      </c>
      <c r="B608" s="29"/>
      <c r="C608" s="29"/>
      <c r="D608" s="89"/>
      <c r="E608" s="48">
        <v>621600</v>
      </c>
      <c r="F608" s="48">
        <v>621600</v>
      </c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88" t="s">
        <v>370</v>
      </c>
      <c r="B609" s="29"/>
      <c r="C609" s="29"/>
      <c r="D609" s="89"/>
      <c r="E609" s="48">
        <v>1247000</v>
      </c>
      <c r="F609" s="48">
        <f>E609</f>
        <v>1247000</v>
      </c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33.75">
      <c r="A610" s="88" t="s">
        <v>378</v>
      </c>
      <c r="B610" s="29"/>
      <c r="C610" s="29"/>
      <c r="D610" s="89"/>
      <c r="E610" s="48">
        <v>2420000</v>
      </c>
      <c r="F610" s="48">
        <f>E610</f>
        <v>2420000</v>
      </c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17" s="91" customFormat="1" ht="14.25" customHeight="1">
      <c r="A611" s="37" t="s">
        <v>339</v>
      </c>
      <c r="B611" s="37"/>
      <c r="C611" s="37"/>
      <c r="D611" s="81">
        <f>SUM(D613)</f>
        <v>0</v>
      </c>
      <c r="E611" s="81"/>
      <c r="F611" s="81">
        <f>SUM(F613)</f>
        <v>0</v>
      </c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90"/>
    </row>
    <row r="612" spans="1:17" s="22" customFormat="1" ht="21.75" customHeight="1">
      <c r="A612" s="8" t="s">
        <v>341</v>
      </c>
      <c r="B612" s="6"/>
      <c r="C612" s="6"/>
      <c r="D612" s="84"/>
      <c r="E612" s="84"/>
      <c r="F612" s="84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4"/>
    </row>
    <row r="613" spans="1:17" s="95" customFormat="1" ht="16.5" customHeight="1">
      <c r="A613" s="92" t="s">
        <v>430</v>
      </c>
      <c r="B613" s="93"/>
      <c r="C613" s="93"/>
      <c r="D613" s="94">
        <f>SUM(D615)</f>
        <v>0</v>
      </c>
      <c r="E613" s="94">
        <f>SUM(E615)</f>
        <v>0</v>
      </c>
      <c r="F613" s="94">
        <f>SUM(F615)</f>
        <v>0</v>
      </c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78"/>
    </row>
    <row r="614" spans="1:235" ht="11.25">
      <c r="A614" s="34" t="s">
        <v>4</v>
      </c>
      <c r="B614" s="6"/>
      <c r="C614" s="6"/>
      <c r="D614" s="84"/>
      <c r="E614" s="84"/>
      <c r="F614" s="84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5" customHeight="1">
      <c r="A615" s="40" t="s">
        <v>43</v>
      </c>
      <c r="B615" s="6"/>
      <c r="C615" s="6"/>
      <c r="D615" s="84">
        <v>0</v>
      </c>
      <c r="E615" s="84"/>
      <c r="F615" s="84">
        <f>SUM(D615:E615)</f>
        <v>0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17" s="52" customFormat="1" ht="11.25">
      <c r="A616" s="34" t="s">
        <v>5</v>
      </c>
      <c r="B616" s="37"/>
      <c r="C616" s="37"/>
      <c r="D616" s="81"/>
      <c r="E616" s="81"/>
      <c r="F616" s="81">
        <f>SUM(D616:E616)</f>
        <v>0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75"/>
    </row>
    <row r="617" spans="1:235" ht="13.5" customHeight="1">
      <c r="A617" s="34" t="s">
        <v>342</v>
      </c>
      <c r="B617" s="6"/>
      <c r="C617" s="6"/>
      <c r="D617" s="84">
        <v>0</v>
      </c>
      <c r="E617" s="84"/>
      <c r="F617" s="84">
        <f>SUM(D617:E617)</f>
        <v>0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17" s="52" customFormat="1" ht="16.5" customHeight="1">
      <c r="A618" s="34" t="s">
        <v>7</v>
      </c>
      <c r="B618" s="37"/>
      <c r="C618" s="37"/>
      <c r="D618" s="81"/>
      <c r="E618" s="81"/>
      <c r="F618" s="81"/>
      <c r="G618" s="81"/>
      <c r="H618" s="81"/>
      <c r="I618" s="81"/>
      <c r="J618" s="30"/>
      <c r="K618" s="81"/>
      <c r="L618" s="81"/>
      <c r="M618" s="81"/>
      <c r="N618" s="81"/>
      <c r="O618" s="81"/>
      <c r="P618" s="81"/>
      <c r="Q618" s="75"/>
    </row>
    <row r="619" spans="1:235" ht="11.25">
      <c r="A619" s="34" t="s">
        <v>340</v>
      </c>
      <c r="B619" s="6"/>
      <c r="C619" s="6"/>
      <c r="D619" s="84">
        <v>0</v>
      </c>
      <c r="E619" s="84"/>
      <c r="F619" s="84">
        <f>SUM(D619:E619)</f>
        <v>0</v>
      </c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37" t="s">
        <v>262</v>
      </c>
      <c r="B620" s="6"/>
      <c r="C620" s="6"/>
      <c r="D620" s="81">
        <f>D622</f>
        <v>0</v>
      </c>
      <c r="E620" s="81">
        <f>E622</f>
        <v>-2074090</v>
      </c>
      <c r="F620" s="81">
        <f>F622</f>
        <v>-2074090</v>
      </c>
      <c r="G620" s="81">
        <f aca="true" t="shared" si="67" ref="G620:Q620">G622</f>
        <v>0</v>
      </c>
      <c r="H620" s="81">
        <f t="shared" si="67"/>
        <v>0</v>
      </c>
      <c r="I620" s="81">
        <f t="shared" si="67"/>
        <v>0</v>
      </c>
      <c r="J620" s="81">
        <f t="shared" si="67"/>
        <v>0</v>
      </c>
      <c r="K620" s="81">
        <f t="shared" si="67"/>
        <v>0</v>
      </c>
      <c r="L620" s="81">
        <f t="shared" si="67"/>
        <v>0</v>
      </c>
      <c r="M620" s="81">
        <f t="shared" si="67"/>
        <v>0</v>
      </c>
      <c r="N620" s="81">
        <f t="shared" si="67"/>
        <v>0</v>
      </c>
      <c r="O620" s="81">
        <f t="shared" si="67"/>
        <v>0</v>
      </c>
      <c r="P620" s="81">
        <f t="shared" si="67"/>
        <v>0</v>
      </c>
      <c r="Q620" s="81">
        <f t="shared" si="67"/>
        <v>0</v>
      </c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17.25" customHeight="1">
      <c r="A621" s="8" t="s">
        <v>199</v>
      </c>
      <c r="B621" s="6"/>
      <c r="C621" s="6"/>
      <c r="D621" s="84"/>
      <c r="E621" s="84"/>
      <c r="F621" s="84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17" s="52" customFormat="1" ht="22.5">
      <c r="A622" s="34" t="s">
        <v>431</v>
      </c>
      <c r="B622" s="37"/>
      <c r="C622" s="37"/>
      <c r="D622" s="81"/>
      <c r="E622" s="81">
        <f>E624</f>
        <v>-2074090</v>
      </c>
      <c r="F622" s="81">
        <f>D622+E622</f>
        <v>-2074090</v>
      </c>
      <c r="G622" s="30"/>
      <c r="H622" s="36">
        <f>H624</f>
        <v>0</v>
      </c>
      <c r="I622" s="36"/>
      <c r="J622" s="36">
        <f>H622</f>
        <v>0</v>
      </c>
      <c r="K622" s="36"/>
      <c r="L622" s="36"/>
      <c r="M622" s="36"/>
      <c r="N622" s="36"/>
      <c r="O622" s="36">
        <f>O624</f>
        <v>0</v>
      </c>
      <c r="P622" s="36">
        <f>O622</f>
        <v>0</v>
      </c>
      <c r="Q622" s="75"/>
    </row>
    <row r="623" spans="1:235" ht="11.25">
      <c r="A623" s="5" t="s">
        <v>4</v>
      </c>
      <c r="B623" s="6"/>
      <c r="C623" s="6"/>
      <c r="D623" s="84"/>
      <c r="E623" s="84"/>
      <c r="F623" s="84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>
      <c r="A624" s="8" t="s">
        <v>201</v>
      </c>
      <c r="B624" s="6"/>
      <c r="C624" s="6"/>
      <c r="D624" s="49"/>
      <c r="E624" s="49">
        <f>E626*E628</f>
        <v>-2074090</v>
      </c>
      <c r="F624" s="49">
        <f>F626*F628</f>
        <v>-2074090</v>
      </c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5" t="s">
        <v>5</v>
      </c>
      <c r="B625" s="6"/>
      <c r="C625" s="6"/>
      <c r="D625" s="49"/>
      <c r="E625" s="49"/>
      <c r="F625" s="49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22.5">
      <c r="A626" s="8" t="s">
        <v>200</v>
      </c>
      <c r="B626" s="6"/>
      <c r="C626" s="6"/>
      <c r="D626" s="49"/>
      <c r="E626" s="49">
        <v>2</v>
      </c>
      <c r="F626" s="49">
        <f>D626+E626</f>
        <v>2</v>
      </c>
      <c r="G626" s="87"/>
      <c r="H626" s="96"/>
      <c r="I626" s="87"/>
      <c r="J626" s="96"/>
      <c r="K626" s="87"/>
      <c r="L626" s="87"/>
      <c r="M626" s="87"/>
      <c r="N626" s="87"/>
      <c r="O626" s="96"/>
      <c r="P626" s="96"/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1.25">
      <c r="A627" s="34" t="s">
        <v>7</v>
      </c>
      <c r="B627" s="6"/>
      <c r="C627" s="6"/>
      <c r="D627" s="49"/>
      <c r="E627" s="49"/>
      <c r="F627" s="49"/>
      <c r="G627" s="87"/>
      <c r="H627" s="96"/>
      <c r="I627" s="87"/>
      <c r="J627" s="96"/>
      <c r="K627" s="87"/>
      <c r="L627" s="87"/>
      <c r="M627" s="87"/>
      <c r="N627" s="87"/>
      <c r="O627" s="96"/>
      <c r="P627" s="96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40" t="s">
        <v>348</v>
      </c>
      <c r="B628" s="6"/>
      <c r="C628" s="6"/>
      <c r="D628" s="49"/>
      <c r="E628" s="49">
        <v>-1037045</v>
      </c>
      <c r="F628" s="49">
        <v>-1037045</v>
      </c>
      <c r="G628" s="87"/>
      <c r="H628" s="96"/>
      <c r="I628" s="87"/>
      <c r="J628" s="96"/>
      <c r="K628" s="87"/>
      <c r="L628" s="87"/>
      <c r="M628" s="87"/>
      <c r="N628" s="87"/>
      <c r="O628" s="96"/>
      <c r="P628" s="96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21.75" customHeight="1">
      <c r="A629" s="37" t="s">
        <v>269</v>
      </c>
      <c r="B629" s="6"/>
      <c r="C629" s="6"/>
      <c r="D629" s="81">
        <f>D631</f>
        <v>0</v>
      </c>
      <c r="E629" s="81">
        <f aca="true" t="shared" si="68" ref="E629:P629">E631</f>
        <v>74070200</v>
      </c>
      <c r="F629" s="81">
        <f t="shared" si="68"/>
        <v>74070200</v>
      </c>
      <c r="G629" s="81">
        <f t="shared" si="68"/>
        <v>0</v>
      </c>
      <c r="H629" s="81">
        <f t="shared" si="68"/>
        <v>0</v>
      </c>
      <c r="I629" s="81">
        <f t="shared" si="68"/>
        <v>0</v>
      </c>
      <c r="J629" s="81">
        <f t="shared" si="68"/>
        <v>0</v>
      </c>
      <c r="K629" s="81">
        <f t="shared" si="68"/>
        <v>0</v>
      </c>
      <c r="L629" s="81">
        <f t="shared" si="68"/>
        <v>0</v>
      </c>
      <c r="M629" s="81">
        <f t="shared" si="68"/>
        <v>0</v>
      </c>
      <c r="N629" s="81">
        <f t="shared" si="68"/>
        <v>0</v>
      </c>
      <c r="O629" s="81">
        <f t="shared" si="68"/>
        <v>0</v>
      </c>
      <c r="P629" s="81">
        <f t="shared" si="68"/>
        <v>0</v>
      </c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1.75" customHeight="1">
      <c r="A630" s="8" t="s">
        <v>265</v>
      </c>
      <c r="B630" s="6"/>
      <c r="C630" s="6"/>
      <c r="D630" s="84"/>
      <c r="E630" s="84"/>
      <c r="F630" s="84"/>
      <c r="G630" s="7"/>
      <c r="H630" s="7"/>
      <c r="I630" s="7"/>
      <c r="J630" s="7"/>
      <c r="K630" s="7"/>
      <c r="L630" s="7"/>
      <c r="M630" s="7"/>
      <c r="N630" s="7"/>
      <c r="O630" s="7"/>
      <c r="P630" s="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21.75" customHeight="1">
      <c r="A631" s="34" t="s">
        <v>432</v>
      </c>
      <c r="B631" s="37"/>
      <c r="C631" s="37"/>
      <c r="D631" s="81"/>
      <c r="E631" s="81">
        <f>E633</f>
        <v>74070200</v>
      </c>
      <c r="F631" s="81">
        <f>D631+E631</f>
        <v>74070200</v>
      </c>
      <c r="G631" s="30"/>
      <c r="H631" s="36">
        <f>H633</f>
        <v>0</v>
      </c>
      <c r="I631" s="36"/>
      <c r="J631" s="36">
        <f>H631</f>
        <v>0</v>
      </c>
      <c r="K631" s="36"/>
      <c r="L631" s="36"/>
      <c r="M631" s="36"/>
      <c r="N631" s="36"/>
      <c r="O631" s="36">
        <f>O633</f>
        <v>0</v>
      </c>
      <c r="P631" s="36">
        <f>O631</f>
        <v>0</v>
      </c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1.75" customHeight="1">
      <c r="A632" s="5" t="s">
        <v>4</v>
      </c>
      <c r="B632" s="6"/>
      <c r="C632" s="6"/>
      <c r="D632" s="84"/>
      <c r="E632" s="84"/>
      <c r="F632" s="84"/>
      <c r="G632" s="7"/>
      <c r="H632" s="7"/>
      <c r="I632" s="7"/>
      <c r="J632" s="7"/>
      <c r="K632" s="7"/>
      <c r="L632" s="7"/>
      <c r="M632" s="7"/>
      <c r="N632" s="7"/>
      <c r="O632" s="7"/>
      <c r="P632" s="7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21.75" customHeight="1">
      <c r="A633" s="8" t="s">
        <v>268</v>
      </c>
      <c r="B633" s="6"/>
      <c r="C633" s="6"/>
      <c r="D633" s="49"/>
      <c r="E633" s="49">
        <v>74070200</v>
      </c>
      <c r="F633" s="49">
        <f>D633+E633</f>
        <v>74070200</v>
      </c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1.75" customHeight="1">
      <c r="A634" s="5" t="s">
        <v>5</v>
      </c>
      <c r="B634" s="6"/>
      <c r="C634" s="6"/>
      <c r="D634" s="49"/>
      <c r="E634" s="49"/>
      <c r="F634" s="49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21.75" customHeight="1">
      <c r="A635" s="8" t="s">
        <v>266</v>
      </c>
      <c r="B635" s="6"/>
      <c r="C635" s="6"/>
      <c r="D635" s="49"/>
      <c r="E635" s="49">
        <v>1</v>
      </c>
      <c r="F635" s="49">
        <f>D635+E635</f>
        <v>1</v>
      </c>
      <c r="G635" s="87"/>
      <c r="H635" s="96"/>
      <c r="I635" s="87"/>
      <c r="J635" s="96"/>
      <c r="K635" s="87"/>
      <c r="L635" s="87"/>
      <c r="M635" s="87"/>
      <c r="N635" s="87"/>
      <c r="O635" s="96"/>
      <c r="P635" s="96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21.75" customHeight="1">
      <c r="A636" s="5" t="s">
        <v>7</v>
      </c>
      <c r="B636" s="6"/>
      <c r="C636" s="6"/>
      <c r="D636" s="49"/>
      <c r="E636" s="49"/>
      <c r="F636" s="49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21.75" customHeight="1">
      <c r="A637" s="8" t="s">
        <v>267</v>
      </c>
      <c r="B637" s="127"/>
      <c r="C637" s="127"/>
      <c r="D637" s="36"/>
      <c r="E637" s="87">
        <f>E633/E635</f>
        <v>74070200</v>
      </c>
      <c r="F637" s="49">
        <f>D637+E637</f>
        <v>74070200</v>
      </c>
      <c r="G637" s="128"/>
      <c r="H637" s="128"/>
      <c r="I637" s="128"/>
      <c r="J637" s="30"/>
      <c r="K637" s="30"/>
      <c r="L637" s="30"/>
      <c r="M637" s="30"/>
      <c r="N637" s="30"/>
      <c r="O637" s="30"/>
      <c r="P637" s="30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6.5" customHeight="1">
      <c r="A638" s="97"/>
      <c r="B638" s="98"/>
      <c r="C638" s="98"/>
      <c r="D638" s="99"/>
      <c r="E638" s="4"/>
      <c r="F638" s="4"/>
      <c r="G638" s="4"/>
      <c r="H638" s="4"/>
      <c r="I638" s="4"/>
      <c r="J638" s="100"/>
      <c r="K638" s="100"/>
      <c r="L638" s="100"/>
      <c r="M638" s="100"/>
      <c r="N638" s="100"/>
      <c r="O638" s="100"/>
      <c r="P638" s="100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7.25" customHeight="1">
      <c r="A639" s="97"/>
      <c r="B639" s="98"/>
      <c r="C639" s="98"/>
      <c r="D639" s="99"/>
      <c r="E639" s="4"/>
      <c r="F639" s="4"/>
      <c r="G639" s="4"/>
      <c r="H639" s="4"/>
      <c r="I639" s="4"/>
      <c r="J639" s="100"/>
      <c r="K639" s="100"/>
      <c r="L639" s="100"/>
      <c r="M639" s="100"/>
      <c r="N639" s="100"/>
      <c r="O639" s="100"/>
      <c r="P639" s="100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15.75" customHeight="1">
      <c r="A640" s="98"/>
      <c r="B640" s="98"/>
      <c r="C640" s="98"/>
      <c r="D640" s="99"/>
      <c r="E640" s="2"/>
      <c r="F640" s="2"/>
      <c r="G640" s="2"/>
      <c r="H640" s="2"/>
      <c r="I640" s="2"/>
      <c r="J640" s="100"/>
      <c r="K640" s="100"/>
      <c r="L640" s="100"/>
      <c r="M640" s="100"/>
      <c r="N640" s="100"/>
      <c r="O640" s="100"/>
      <c r="P640" s="100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5.75" customHeight="1">
      <c r="A641" s="98"/>
      <c r="B641" s="98"/>
      <c r="C641" s="98"/>
      <c r="D641" s="99"/>
      <c r="E641" s="2"/>
      <c r="F641" s="2"/>
      <c r="G641" s="2"/>
      <c r="H641" s="2"/>
      <c r="I641" s="2"/>
      <c r="J641" s="100"/>
      <c r="K641" s="100"/>
      <c r="L641" s="100"/>
      <c r="M641" s="100"/>
      <c r="N641" s="100"/>
      <c r="O641" s="100"/>
      <c r="P641" s="100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20.25" customHeight="1">
      <c r="A642" s="177" t="s">
        <v>356</v>
      </c>
      <c r="B642" s="177"/>
      <c r="C642" s="177"/>
      <c r="D642" s="102"/>
      <c r="E642" s="102"/>
      <c r="F642" s="103"/>
      <c r="G642" s="104"/>
      <c r="H642" s="104"/>
      <c r="I642" s="104"/>
      <c r="J642" s="105"/>
      <c r="K642" s="105"/>
      <c r="L642" s="105"/>
      <c r="M642" s="105"/>
      <c r="N642" s="104"/>
      <c r="O642" s="164" t="s">
        <v>357</v>
      </c>
      <c r="P642" s="164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8.25" customHeight="1">
      <c r="A643" s="101"/>
      <c r="B643" s="101"/>
      <c r="C643" s="101"/>
      <c r="D643" s="102"/>
      <c r="E643" s="102"/>
      <c r="F643" s="103"/>
      <c r="G643" s="104"/>
      <c r="H643" s="104"/>
      <c r="I643" s="104"/>
      <c r="J643" s="105"/>
      <c r="K643" s="105"/>
      <c r="L643" s="105"/>
      <c r="M643" s="105"/>
      <c r="N643" s="104"/>
      <c r="O643" s="106"/>
      <c r="P643" s="106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2.75" customHeight="1">
      <c r="A644" s="101"/>
      <c r="B644" s="101"/>
      <c r="C644" s="101"/>
      <c r="D644" s="102"/>
      <c r="E644" s="102"/>
      <c r="F644" s="103"/>
      <c r="G644" s="104"/>
      <c r="H644" s="104"/>
      <c r="I644" s="104"/>
      <c r="J644" s="105"/>
      <c r="K644" s="105"/>
      <c r="L644" s="105"/>
      <c r="M644" s="105"/>
      <c r="N644" s="104"/>
      <c r="O644" s="106"/>
      <c r="P644" s="106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8.75" customHeight="1">
      <c r="A645" s="176" t="s">
        <v>363</v>
      </c>
      <c r="B645" s="176"/>
      <c r="C645" s="107"/>
      <c r="D645" s="108"/>
      <c r="E645" s="102"/>
      <c r="F645" s="104"/>
      <c r="G645" s="102"/>
      <c r="H645" s="102"/>
      <c r="I645" s="102"/>
      <c r="J645" s="109"/>
      <c r="K645" s="109"/>
      <c r="L645" s="109"/>
      <c r="M645" s="109"/>
      <c r="N645" s="109"/>
      <c r="O645" s="109"/>
      <c r="P645" s="109"/>
      <c r="Q645" s="110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 customHeight="1">
      <c r="A646" s="28" t="s">
        <v>150</v>
      </c>
      <c r="B646" s="28"/>
      <c r="C646" s="111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28.5" customHeight="1">
      <c r="A647" s="112"/>
      <c r="B647" s="113"/>
      <c r="C647" s="114"/>
      <c r="D647" s="115"/>
      <c r="E647" s="115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11.25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11.25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11.25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1.25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11.25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04"/>
      <c r="O660" s="104"/>
      <c r="P660" s="104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04"/>
      <c r="O661" s="104"/>
      <c r="P661" s="104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04"/>
      <c r="O662" s="104"/>
      <c r="P662" s="104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04"/>
      <c r="O663" s="104"/>
      <c r="P663" s="104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04"/>
      <c r="O664" s="104"/>
      <c r="P664" s="104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04"/>
      <c r="O665" s="104"/>
      <c r="P665" s="104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04"/>
      <c r="O666" s="104"/>
      <c r="P666" s="104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04"/>
      <c r="O667" s="104"/>
      <c r="P667" s="104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04"/>
      <c r="O668" s="104"/>
      <c r="P668" s="104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04"/>
      <c r="O669" s="104"/>
      <c r="P669" s="104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04"/>
      <c r="O670" s="104"/>
      <c r="P670" s="104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04"/>
      <c r="O671" s="104"/>
      <c r="P671" s="104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04"/>
      <c r="O672" s="104"/>
      <c r="P672" s="104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04"/>
      <c r="O673" s="104"/>
      <c r="P673" s="104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04"/>
      <c r="O674" s="104"/>
      <c r="P674" s="104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4"/>
      <c r="O675" s="104"/>
      <c r="P675" s="104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11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4"/>
      <c r="O676" s="104"/>
      <c r="P676" s="104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4"/>
      <c r="O677" s="104"/>
      <c r="P677" s="104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11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4"/>
      <c r="O678" s="104"/>
      <c r="P678" s="104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4"/>
      <c r="O679" s="104"/>
      <c r="P679" s="104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1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4"/>
      <c r="O680" s="104"/>
      <c r="P680" s="104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4"/>
      <c r="O683" s="104"/>
      <c r="P683" s="104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4"/>
      <c r="O684" s="104"/>
      <c r="P684" s="104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4"/>
      <c r="O685" s="104"/>
      <c r="P685" s="104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4"/>
      <c r="O686" s="104"/>
      <c r="P686" s="104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4"/>
      <c r="O687" s="104"/>
      <c r="P687" s="104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4"/>
      <c r="O688" s="104"/>
      <c r="P688" s="104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4"/>
      <c r="O689" s="104"/>
      <c r="P689" s="104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4"/>
      <c r="O693" s="104"/>
      <c r="P693" s="104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4"/>
      <c r="O694" s="104"/>
      <c r="P694" s="104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</sheetData>
  <sheetProtection/>
  <mergeCells count="20">
    <mergeCell ref="A15:A17"/>
    <mergeCell ref="B15:B17"/>
    <mergeCell ref="C15:C17"/>
    <mergeCell ref="D16:E16"/>
    <mergeCell ref="G15:J15"/>
    <mergeCell ref="A645:B645"/>
    <mergeCell ref="A642:C642"/>
    <mergeCell ref="F16:F17"/>
    <mergeCell ref="D15:F15"/>
    <mergeCell ref="G16:I16"/>
    <mergeCell ref="J9:P9"/>
    <mergeCell ref="F14:G14"/>
    <mergeCell ref="J3:L3"/>
    <mergeCell ref="A13:P13"/>
    <mergeCell ref="O642:P642"/>
    <mergeCell ref="N15:P15"/>
    <mergeCell ref="N16:O16"/>
    <mergeCell ref="P16:P17"/>
    <mergeCell ref="J16:J17"/>
    <mergeCell ref="K16:M16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2018-11-15T07:33:18Z</cp:lastPrinted>
  <dcterms:created xsi:type="dcterms:W3CDTF">2014-04-22T08:24:49Z</dcterms:created>
  <dcterms:modified xsi:type="dcterms:W3CDTF">2018-11-15T07:41:16Z</dcterms:modified>
  <cp:category/>
  <cp:version/>
  <cp:contentType/>
  <cp:contentStatus/>
</cp:coreProperties>
</file>