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аток 1" sheetId="1" r:id="rId1"/>
    <sheet name="Додаток 2" sheetId="2" r:id="rId2"/>
    <sheet name="Додаток 3" sheetId="3" r:id="rId3"/>
    <sheet name="Додаток 4" sheetId="4" r:id="rId4"/>
    <sheet name="Паспорт" sheetId="5" state="hidden" r:id="rId5"/>
    <sheet name="Лист1" sheetId="6" state="hidden" r:id="rId6"/>
  </sheets>
  <externalReferences>
    <externalReference r:id="rId9"/>
  </externalReferences>
  <definedNames>
    <definedName name="_xlnm.Print_Titles" localSheetId="1">'Додаток 2'!$7:$10</definedName>
    <definedName name="_xlnm.Print_Titles" localSheetId="2">'Додаток 3'!$7:$10</definedName>
    <definedName name="_xlnm.Print_Area" localSheetId="0">'Додаток 1'!$A$1:$C$25</definedName>
    <definedName name="_xlnm.Print_Area" localSheetId="1">'Додаток 2'!$A$1:$K$89</definedName>
    <definedName name="_xlnm.Print_Area" localSheetId="2">'Додаток 3'!$A$1:$K$207</definedName>
    <definedName name="_xlnm.Print_Area" localSheetId="3">'Додаток 4'!$A$1:$K$26</definedName>
  </definedNames>
  <calcPr fullCalcOnLoad="1"/>
</workbook>
</file>

<file path=xl/sharedStrings.xml><?xml version="1.0" encoding="utf-8"?>
<sst xmlns="http://schemas.openxmlformats.org/spreadsheetml/2006/main" count="581" uniqueCount="284">
  <si>
    <t>2020 (прогноз)</t>
  </si>
  <si>
    <t>загальний фонд</t>
  </si>
  <si>
    <t>спеціальний фонд</t>
  </si>
  <si>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</si>
  <si>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</si>
  <si>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</si>
  <si>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</si>
  <si>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</si>
  <si>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</si>
  <si>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</si>
  <si>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</si>
  <si>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</si>
  <si>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</si>
  <si>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</si>
  <si>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Виконавець: Чумаченко О.Ю.</t>
  </si>
  <si>
    <t>Виконавець:Чумаченко О.Ю.</t>
  </si>
  <si>
    <t>О.М. Лисенко</t>
  </si>
  <si>
    <t xml:space="preserve">Сумський міський голова </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</si>
  <si>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</si>
  <si>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</si>
  <si>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 xml:space="preserve">2.1. Забезпечення інвалідів та дітей-інвалідів технічними та іншими засобами для догляду у домашніх умовах                                                          2.2. Придбання туберкуліну та вакцин для проведення  імунопрофілактики медичних працівників та населення з груп ризику  </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</si>
  <si>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</si>
  <si>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</si>
  <si>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</si>
  <si>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</si>
  <si>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Оновлення матеріально-технічної бази закладів та впровадження сучасних діагностичних та лікувальних технололгій.                   Приведення приміщень у відповідність до діючих нормативів та створення комфортних і безпечних умов лікування.</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</si>
  <si>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</si>
  <si>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</si>
  <si>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</si>
  <si>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</si>
  <si>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</si>
  <si>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Впровадження сучасних діагностичних та лікувальних технологій. Оновлення матеріально-технічної бази закладів у зв'язку з реформуванням у 2019 році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Приведення приміщень у відповідність до діючих нормативів та створення комфортних і безпечних умов лікування.</t>
  </si>
  <si>
    <t xml:space="preserve">Забезпечення надання стоматололгічної допомоги у повному обсязі відповідно до галузевих стандартів.                                                 </t>
  </si>
  <si>
    <t xml:space="preserve"> 1.1. Придбання лікарських засобів та витратних матеріалів для лікування та видалення зубів мешканцям м. Суми</t>
  </si>
  <si>
    <t>№4</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</si>
  <si>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</si>
  <si>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</si>
  <si>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</si>
  <si>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</si>
  <si>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</si>
  <si>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Централізовані заходи з лікування хворих на цукровий та нецукровий діабет</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</si>
  <si>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</si>
  <si>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Стоматологічна допомога населенню</t>
  </si>
  <si>
    <t>Відділ охорони здоров'я Сумської міської ради                                                                         Інші програми, заклади та заходи у сфері охорони здоров'я</t>
  </si>
  <si>
    <t>Відділ охорони здоров'я Сумської міської ради                                                                   Програми і централізовані заходи у галузі охорони здоров'я</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</si>
  <si>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</si>
  <si>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</si>
  <si>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_________"___"______.2018 р.</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</si>
  <si>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</si>
  <si>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</si>
  <si>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</si>
  <si>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</si>
  <si>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</si>
  <si>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</si>
  <si>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</si>
  <si>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</si>
  <si>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2019 (проект)</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</si>
  <si>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</si>
  <si>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</si>
  <si>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 xml:space="preserve">Кошти міського бюджету (загальний фонд) </t>
  </si>
  <si>
    <t>Відділ охорони здоров’я Сумської міської ради</t>
  </si>
  <si>
    <t xml:space="preserve">1.1. Забезпечення відповідних  категорій хворих лікуванням у повному обсязі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</si>
  <si>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</si>
  <si>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</si>
  <si>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</si>
  <si>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 xml:space="preserve">Кошти міського бюджету (спеціальний  фонд) </t>
  </si>
  <si>
    <t>УСЬОГО</t>
  </si>
  <si>
    <t>у тому числі</t>
  </si>
  <si>
    <t>Придбання медикаментів, реактивів, витратних матеріалів та перев’язувальних засобів</t>
  </si>
  <si>
    <t>заг</t>
  </si>
  <si>
    <t>спец</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</si>
  <si>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</si>
  <si>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</si>
  <si>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</si>
  <si>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держ</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</si>
  <si>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</si>
  <si>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</si>
  <si>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</si>
  <si>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дер</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</si>
  <si>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</si>
  <si>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</si>
  <si>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</si>
  <si>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</si>
  <si>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</si>
  <si>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_________"___"______. 2018 р.</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</si>
  <si>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</si>
  <si>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</si>
  <si>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</si>
  <si>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</si>
  <si>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до комплексної міської Програми "Охорона здоров'я м. Суми на 2019-2021 роки"</t>
  </si>
  <si>
    <t>бюджетних програм до комплексної міської Програми</t>
  </si>
  <si>
    <t>Напрями діяльності  (підпрограми), завдання та заходи комплексної міської  Програми "Охорона здоров'я м. Суми на 2019-2021 роки"</t>
  </si>
  <si>
    <t>6.1. Придбання обладнання довгострокового користування                                                              6.2. Капітальні ремонти приміщень</t>
  </si>
  <si>
    <t>гемодіаліз</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</si>
  <si>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</si>
  <si>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</si>
  <si>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</si>
  <si>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</si>
  <si>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2019 рік (проект)</t>
  </si>
  <si>
    <t>2020 рік (прогноз)</t>
  </si>
  <si>
    <t>2021рік (прогноз)</t>
  </si>
  <si>
    <t>в тому числі</t>
  </si>
  <si>
    <t>Загальний фонд</t>
  </si>
  <si>
    <t>Спеціальний фонд</t>
  </si>
  <si>
    <t>Всього на виконання програми, грн</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</si>
  <si>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</si>
  <si>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</si>
  <si>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</si>
  <si>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</si>
  <si>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</si>
  <si>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</si>
  <si>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Відхилення 2019 від 2018, %</t>
  </si>
  <si>
    <t>з/п</t>
  </si>
  <si>
    <t>ком</t>
  </si>
  <si>
    <t>інші</t>
  </si>
  <si>
    <t>РАЗОМ ПО ПРОГРАМІ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</si>
  <si>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</si>
  <si>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Додаток 4</t>
  </si>
  <si>
    <t>затверджено на 2018 рік з урахуванням змін станом на 01.12.2018, тис.грн.</t>
  </si>
  <si>
    <t>Проект на 2019 рік , тис.грн.</t>
  </si>
  <si>
    <t>Разом по галузі "Охорона здоров'я"</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</si>
  <si>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</si>
  <si>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</si>
  <si>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</si>
  <si>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</si>
  <si>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</si>
  <si>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</si>
  <si>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</si>
  <si>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</si>
  <si>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</si>
  <si>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r>
      <t>площа приміщень, м</t>
    </r>
    <r>
      <rPr>
        <vertAlign val="superscript"/>
        <sz val="12"/>
        <rFont val="Times New Roman"/>
        <family val="1"/>
      </rPr>
      <t>2</t>
    </r>
  </si>
  <si>
    <r>
      <t>середні витрати оплати за комунальні послуги та енергоносії на 1 м</t>
    </r>
    <r>
      <rPr>
        <vertAlign val="superscript"/>
        <sz val="12"/>
        <rFont val="Times New Roman"/>
        <family val="1"/>
      </rPr>
      <t xml:space="preserve">2 </t>
    </r>
    <r>
      <rPr>
        <sz val="12"/>
        <rFont val="Times New Roman"/>
        <family val="1"/>
      </rPr>
      <t>приміщення, грн.</t>
    </r>
  </si>
  <si>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</si>
  <si>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</si>
  <si>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</si>
  <si>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</si>
  <si>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</si>
  <si>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Оновлення матеріально-технічної бази закладів та впровадження сучасних діагностичних та лікувальних технололгій. Приведення приміщень у відповідність до діючих нормативів та створення комфортних і безпечних умов лікування.</t>
  </si>
  <si>
    <t xml:space="preserve">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</si>
  <si>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</si>
  <si>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</si>
  <si>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</si>
  <si>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</si>
  <si>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</si>
  <si>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</si>
  <si>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</si>
  <si>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</si>
  <si>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</si>
  <si>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</si>
  <si>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</si>
  <si>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</si>
  <si>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</si>
  <si>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 xml:space="preserve">4.1.Придбання обладнання довгострокового користування                                                      4.2. Капітальні ремонти приміщень                         </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</si>
  <si>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</si>
  <si>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</si>
  <si>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</si>
  <si>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</si>
  <si>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</si>
  <si>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</si>
  <si>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</si>
  <si>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</si>
  <si>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</si>
  <si>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</si>
  <si>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</si>
  <si>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</si>
  <si>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</si>
  <si>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</si>
  <si>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</si>
  <si>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</si>
  <si>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</si>
  <si>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Відділ охорони здоров’я  Сумської міської ради</t>
  </si>
  <si>
    <t>3.</t>
  </si>
  <si>
    <t>4.</t>
  </si>
  <si>
    <t>5.</t>
  </si>
  <si>
    <t>6.</t>
  </si>
  <si>
    <t xml:space="preserve">Міський бюджет </t>
  </si>
  <si>
    <t>7.</t>
  </si>
  <si>
    <t>8.</t>
  </si>
  <si>
    <t>1.</t>
  </si>
  <si>
    <t xml:space="preserve">Ініціатор розробки Програми </t>
  </si>
  <si>
    <t>Виконавчий комітет Сумської міської ради</t>
  </si>
  <si>
    <t>2.</t>
  </si>
  <si>
    <t>Дата, номер і назва розпорядчого документа про розроблення Програми</t>
  </si>
  <si>
    <t>Рішення Сумської міської ради від</t>
  </si>
  <si>
    <r>
      <t>29 лютого 2012 року № 1207 - МР «Про Положення про Порядок розробки, затвердження та виконання міських цільових (комплексних) програм, програми економічного і соціального розвитку міста Суми та виконання міського бюджету» (зі змінами)</t>
    </r>
    <r>
      <rPr>
        <sz val="14"/>
        <color indexed="8"/>
        <rFont val="Times New Roman"/>
        <family val="1"/>
      </rPr>
      <t xml:space="preserve"> </t>
    </r>
  </si>
  <si>
    <t>Міський замовник Програми</t>
  </si>
  <si>
    <t>-</t>
  </si>
  <si>
    <t>Розробник Програми</t>
  </si>
  <si>
    <t>Співрозробники Програми</t>
  </si>
  <si>
    <t>Відповідальний виконавець Програми</t>
  </si>
  <si>
    <t>Термін реалізації Програми</t>
  </si>
  <si>
    <t>2019 – 2021 роки</t>
  </si>
  <si>
    <t xml:space="preserve">Перелік бюджетів, які беруть участь у виконанні Програми </t>
  </si>
  <si>
    <t>9.</t>
  </si>
  <si>
    <t xml:space="preserve">Загальний обсяг фінансових ресурсів, необхідних для реалізації Програми, всього, в тому числі: </t>
  </si>
  <si>
    <t>Усього на 2019 – 2021 роки – 1531327,8 тис. грн, у т. ч.:</t>
  </si>
  <si>
    <t>2019 рік – 471569,2 тис. грн,</t>
  </si>
  <si>
    <t>2020 рік – 512130,2 тис. грн,</t>
  </si>
  <si>
    <t>2021 рік – 547628,4 тис. гривень.</t>
  </si>
  <si>
    <t>Паспорт до комплексної міської Програми "Охорона здоров'я м. Суми на 2019-2021 роки"</t>
  </si>
  <si>
    <t xml:space="preserve"> Багатопрофільна стаціонарна медична допомога населенню</t>
  </si>
  <si>
    <t>Стоматологічна допомога населенню</t>
  </si>
  <si>
    <t xml:space="preserve"> Інші програми, заклади та заходи у сфері охорони здоров'я</t>
  </si>
  <si>
    <t>Забезпечення діяльності інших закладів у сфері охорони здоров’я</t>
  </si>
  <si>
    <t xml:space="preserve"> Лікарсько-акушерська допомога вагітним, породіллям та новонародженим</t>
  </si>
  <si>
    <t>кількість звітних форм та інформацій, од,</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</si>
  <si>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</si>
  <si>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</si>
  <si>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</si>
  <si>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</si>
  <si>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</si>
  <si>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Централізовані заходи з лікування хворих на цукровий та нецукровий діабет</t>
  </si>
  <si>
    <t xml:space="preserve"> Відшкодування вартості лікарських засобів для лікування окремих захворювань</t>
  </si>
  <si>
    <t xml:space="preserve"> Первинна медична допомога населенню, що надається центрами первинної медичної (медико-санітарної) допомоги</t>
  </si>
  <si>
    <t xml:space="preserve"> Програми і централізовані заходи у галузі охорони здоров'я</t>
  </si>
  <si>
    <t xml:space="preserve"> Забезпечення діяльності інших закладів у сфері охорони здоров’я</t>
  </si>
  <si>
    <t>КПКВК 712144, 712146</t>
  </si>
  <si>
    <t xml:space="preserve"> Централізовані заходи з лікування хворих на цукровий та нецукровий діабет та відшкодування вартості лікарських засобів для лікування окремих захворювань</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</si>
  <si>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</si>
  <si>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</si>
  <si>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Результативні показники виконання завдань комплексної міської Програми «Охорона здоров'я  м. Суми на 2019-2021 роки» 
</t>
  </si>
  <si>
    <t>Порівняльна таблиця видатків, передбачених комплексною міською Програмою "Охорона здоров'я м. Суми на 2019-2021 роки" на 2019 рік, з фактичними видатками 2018 року</t>
  </si>
  <si>
    <t xml:space="preserve">Надання медичної допомоги учасникам АТО </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</si>
  <si>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для проведення стентування, ендопротезування, гемодіалізу, плазмаферезу.                                                               1.3. Проведення необхідних лабораторних обстежень, в т.ч. визначення глікозильованого гемоглобіну та мікроальбумінурії                                                               1.4. Забезпечення медикаментами, лабораторними реактивами та медичними виробами медичної комісії під час призову громадян та приписки допризовної дільниці                                                                                                                                                              1.6. Забезпечення хворих дітей медикаментами під час проведення оздоровчої кампанії                                                             1.7.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1.8.Забезпечення вагітних жінок та дітей з цукровим діабетом інсуліновими помпами та тест-системами для контролю за рівнем глікемії                                                                                          1.9. Забезпечення слуховими протезами осіб з порушеннями слуху </t>
  </si>
  <si>
    <t>2.1. Забезпечення медикаментами ветеранів війни та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</si>
  <si>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 xml:space="preserve">Підвищення рівня соціальної захищеності  учасників антитерористичної операції </t>
  </si>
  <si>
    <t>АТО</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</si>
  <si>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</si>
  <si>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</si>
  <si>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</si>
  <si>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</si>
  <si>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</si>
  <si>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</si>
  <si>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Департамент соціального захисту населення Сумської міської ради, відділ охорони здоров’я Сумської міської ради</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</si>
  <si>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</si>
  <si>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</si>
  <si>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</si>
  <si>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тис.грн.</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</si>
  <si>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</si>
  <si>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</si>
  <si>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</si>
  <si>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видатки, пов’язані з відпуском медикаментів за Урядовою програмою "Доступні ліки"</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</si>
  <si>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</si>
  <si>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</si>
  <si>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</si>
  <si>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</si>
  <si>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</si>
  <si>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стом</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</si>
  <si>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</si>
  <si>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</si>
  <si>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t>
  </si>
  <si>
    <t>6.1. Придбання обладнання довгострокового користування                                                             6.2. Капітальні ремонти приміщень</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</si>
  <si>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</si>
  <si>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</si>
  <si>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</si>
  <si>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</si>
  <si>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</si>
  <si>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</si>
  <si>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</si>
  <si>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</si>
  <si>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</si>
  <si>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</si>
  <si>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</si>
  <si>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збільшення  питомої ваги  кількості осіб, що отримали  пільгове зубопротезування, до загальної  кількості  осіб, що перебувають  на черзі на пільгове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</si>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</sst>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
  </numFmts>
  <fonts count="75">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b/>
      <sz val="12"/>
      <name val="Times New Roman"/>
      <family val="1"/>
    </font>
    <font>
      <sz val="8"/>
      <name val="Arial"/>
      <family val="2"/>
    </font>
    <font>
      <sz val="12"/>
      <name val="Arial"/>
      <family val="2"/>
    </font>
    <font>
      <i/>
      <sz val="12"/>
      <name val="Times New Roman"/>
      <family val="1"/>
    </font>
    <font>
      <sz val="10"/>
      <name val="Times New Roman"/>
      <family val="1"/>
    </font>
    <font>
      <sz val="8"/>
      <color indexed="8"/>
      <name val="Arial"/>
      <family val="2"/>
    </font>
    <font>
      <sz val="14"/>
      <color indexed="8"/>
      <name val="Times New Roman"/>
      <family val="1"/>
    </font>
    <font>
      <sz val="16"/>
      <name val="Times New Roman"/>
      <family val="1"/>
    </font>
    <font>
      <sz val="13"/>
      <name val="Times New Roman"/>
      <family val="1"/>
    </font>
    <font>
      <sz val="13"/>
      <name val="Arial"/>
      <family val="2"/>
    </font>
    <font>
      <sz val="11"/>
      <name val="Times New Roman"/>
      <family val="1"/>
    </font>
    <font>
      <b/>
      <sz val="11"/>
      <name val="Times New Roman"/>
      <family val="1"/>
    </font>
    <font>
      <b/>
      <i/>
      <sz val="14"/>
      <name val="Times New Roman"/>
      <family val="1"/>
    </font>
    <font>
      <b/>
      <i/>
      <sz val="11"/>
      <name val="Times New Roman"/>
      <family val="1"/>
    </font>
    <font>
      <b/>
      <sz val="18"/>
      <name val="Times New Roman"/>
      <family val="1"/>
    </font>
    <font>
      <sz val="12"/>
      <color indexed="8"/>
      <name val="Times New Roman"/>
      <family val="1"/>
    </font>
    <font>
      <vertAlign val="superscript"/>
      <sz val="12"/>
      <name val="Times New Roman"/>
      <family val="1"/>
    </font>
    <font>
      <sz val="10"/>
      <name val="Arial Cyr"/>
      <family val="2"/>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2"/>
      <color indexed="8"/>
      <name val="Times New Roman"/>
      <family val="1"/>
    </font>
    <font>
      <sz val="12"/>
      <color indexed="9"/>
      <name val="Times New Roman"/>
      <family val="1"/>
    </font>
    <font>
      <b/>
      <sz val="14"/>
      <color indexed="36"/>
      <name val="Times New Roman"/>
      <family val="1"/>
    </font>
    <font>
      <sz val="10"/>
      <color indexed="36"/>
      <name val="Arial"/>
      <family val="2"/>
    </font>
    <font>
      <sz val="14"/>
      <color indexed="9"/>
      <name val="Times New Roman"/>
      <family val="1"/>
    </font>
    <font>
      <b/>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2"/>
      <color theme="1"/>
      <name val="Times New Roman"/>
      <family val="1"/>
    </font>
    <font>
      <b/>
      <sz val="12"/>
      <color theme="1"/>
      <name val="Times New Roman"/>
      <family val="1"/>
    </font>
    <font>
      <sz val="12"/>
      <color theme="0"/>
      <name val="Times New Roman"/>
      <family val="1"/>
    </font>
    <font>
      <b/>
      <sz val="14"/>
      <color rgb="FF7030A0"/>
      <name val="Times New Roman"/>
      <family val="1"/>
    </font>
    <font>
      <sz val="10"/>
      <color rgb="FF7030A0"/>
      <name val="Arial"/>
      <family val="2"/>
    </font>
    <font>
      <sz val="14"/>
      <color theme="1"/>
      <name val="Times New Roman"/>
      <family val="1"/>
    </font>
    <font>
      <sz val="14"/>
      <color theme="0"/>
      <name val="Times New Roman"/>
      <family val="1"/>
    </font>
    <font>
      <b/>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4"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11" fillId="0" borderId="0">
      <alignment/>
      <protection/>
    </xf>
    <xf numFmtId="0" fontId="0" fillId="0" borderId="0">
      <alignment/>
      <protection/>
    </xf>
    <xf numFmtId="0" fontId="7" fillId="0" borderId="0">
      <alignment horizontal="left"/>
      <protection/>
    </xf>
    <xf numFmtId="0" fontId="2" fillId="0" borderId="0">
      <alignment/>
      <protection/>
    </xf>
    <xf numFmtId="0" fontId="2" fillId="0" borderId="0">
      <alignment/>
      <protection/>
    </xf>
    <xf numFmtId="0" fontId="23" fillId="0" borderId="0">
      <alignment/>
      <protection/>
    </xf>
    <xf numFmtId="0" fontId="5"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9" applyNumberFormat="0" applyFill="0" applyAlignment="0" applyProtection="0"/>
    <xf numFmtId="0" fontId="2" fillId="0" borderId="0">
      <alignment/>
      <protection/>
    </xf>
    <xf numFmtId="0" fontId="6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5" fillId="31" borderId="0" applyNumberFormat="0" applyBorder="0" applyAlignment="0" applyProtection="0"/>
  </cellStyleXfs>
  <cellXfs count="266">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0" fillId="0" borderId="0" xfId="0" applyFont="1" applyAlignment="1">
      <alignment/>
    </xf>
    <xf numFmtId="0" fontId="12" fillId="0" borderId="10" xfId="0" applyFont="1" applyBorder="1" applyAlignment="1">
      <alignment horizontal="center" vertical="center" wrapText="1"/>
    </xf>
    <xf numFmtId="0" fontId="3" fillId="0" borderId="10" xfId="0" applyFont="1" applyBorder="1" applyAlignment="1">
      <alignment horizontal="center" vertical="top" wrapText="1"/>
    </xf>
    <xf numFmtId="0" fontId="1" fillId="0" borderId="10" xfId="0" applyFont="1" applyBorder="1" applyAlignment="1">
      <alignment horizontal="center"/>
    </xf>
    <xf numFmtId="168" fontId="3" fillId="0" borderId="0" xfId="0" applyNumberFormat="1" applyFont="1" applyAlignment="1">
      <alignment/>
    </xf>
    <xf numFmtId="0" fontId="3" fillId="0" borderId="0" xfId="0" applyFont="1" applyAlignment="1">
      <alignment horizontal="left"/>
    </xf>
    <xf numFmtId="1" fontId="66" fillId="32" borderId="0" xfId="0" applyNumberFormat="1" applyFont="1" applyFill="1" applyAlignment="1">
      <alignment vertical="top"/>
    </xf>
    <xf numFmtId="0" fontId="13" fillId="0" borderId="0" xfId="0" applyFont="1" applyAlignment="1">
      <alignment/>
    </xf>
    <xf numFmtId="0" fontId="13" fillId="0" borderId="0" xfId="0" applyFont="1" applyAlignment="1">
      <alignment vertical="top" wrapText="1"/>
    </xf>
    <xf numFmtId="168" fontId="13" fillId="0" borderId="0" xfId="0" applyNumberFormat="1" applyFont="1" applyAlignment="1">
      <alignment/>
    </xf>
    <xf numFmtId="0" fontId="15" fillId="0" borderId="0" xfId="0" applyFont="1" applyAlignment="1">
      <alignment/>
    </xf>
    <xf numFmtId="2" fontId="67" fillId="0" borderId="10" xfId="0" applyNumberFormat="1" applyFont="1" applyBorder="1" applyAlignment="1">
      <alignment horizontal="center"/>
    </xf>
    <xf numFmtId="0" fontId="21" fillId="0" borderId="11" xfId="0" applyFont="1" applyBorder="1" applyAlignment="1">
      <alignment horizontal="center" vertical="center" wrapText="1"/>
    </xf>
    <xf numFmtId="2" fontId="67" fillId="0" borderId="12" xfId="0" applyNumberFormat="1" applyFont="1" applyBorder="1" applyAlignment="1">
      <alignment horizont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2" fontId="67" fillId="0" borderId="14" xfId="0" applyNumberFormat="1" applyFont="1" applyBorder="1" applyAlignment="1">
      <alignment horizontal="center"/>
    </xf>
    <xf numFmtId="2" fontId="67" fillId="0" borderId="15" xfId="0" applyNumberFormat="1" applyFont="1" applyBorder="1" applyAlignment="1">
      <alignment horizontal="center"/>
    </xf>
    <xf numFmtId="0" fontId="21" fillId="0" borderId="16" xfId="0" applyFont="1" applyBorder="1" applyAlignment="1">
      <alignment horizontal="center" vertical="center" wrapText="1"/>
    </xf>
    <xf numFmtId="2" fontId="67" fillId="0" borderId="17" xfId="0" applyNumberFormat="1" applyFont="1" applyBorder="1" applyAlignment="1">
      <alignment horizontal="center"/>
    </xf>
    <xf numFmtId="2" fontId="67" fillId="0" borderId="18" xfId="0" applyNumberFormat="1" applyFont="1" applyBorder="1" applyAlignment="1">
      <alignment horizontal="center"/>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0" xfId="0" applyFont="1" applyBorder="1" applyAlignment="1">
      <alignment horizontal="center" vertical="center"/>
    </xf>
    <xf numFmtId="0" fontId="68" fillId="0" borderId="21" xfId="0" applyFont="1" applyBorder="1" applyAlignment="1">
      <alignment horizontal="center" vertical="center"/>
    </xf>
    <xf numFmtId="4" fontId="8" fillId="0" borderId="17" xfId="0" applyNumberFormat="1" applyFont="1" applyBorder="1" applyAlignment="1">
      <alignment/>
    </xf>
    <xf numFmtId="4" fontId="8" fillId="0" borderId="10" xfId="0" applyNumberFormat="1" applyFont="1" applyBorder="1" applyAlignment="1">
      <alignment/>
    </xf>
    <xf numFmtId="4" fontId="8" fillId="0" borderId="14" xfId="0" applyNumberFormat="1" applyFont="1" applyBorder="1" applyAlignment="1">
      <alignment/>
    </xf>
    <xf numFmtId="0" fontId="1" fillId="0" borderId="19" xfId="0" applyFont="1" applyBorder="1" applyAlignment="1">
      <alignment wrapText="1"/>
    </xf>
    <xf numFmtId="4" fontId="1" fillId="0" borderId="20" xfId="0" applyNumberFormat="1" applyFont="1" applyBorder="1" applyAlignment="1">
      <alignment/>
    </xf>
    <xf numFmtId="2" fontId="69" fillId="0" borderId="10" xfId="0" applyNumberFormat="1" applyFont="1" applyBorder="1" applyAlignment="1">
      <alignment horizontal="center"/>
    </xf>
    <xf numFmtId="0" fontId="2" fillId="32" borderId="10" xfId="0" applyFont="1" applyFill="1" applyBorder="1" applyAlignment="1">
      <alignment horizontal="justify" vertical="top" wrapText="1"/>
    </xf>
    <xf numFmtId="4" fontId="2" fillId="32" borderId="10" xfId="0" applyNumberFormat="1" applyFont="1" applyFill="1" applyBorder="1" applyAlignment="1">
      <alignment horizontal="center" vertical="top" wrapText="1"/>
    </xf>
    <xf numFmtId="3" fontId="2" fillId="32" borderId="10" xfId="0" applyNumberFormat="1" applyFont="1" applyFill="1" applyBorder="1" applyAlignment="1">
      <alignment horizontal="center" vertical="top" wrapText="1"/>
    </xf>
    <xf numFmtId="170" fontId="2" fillId="32" borderId="10" xfId="0" applyNumberFormat="1" applyFont="1" applyFill="1" applyBorder="1" applyAlignment="1">
      <alignment horizontal="center"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horizontal="justify" vertical="top" wrapText="1"/>
    </xf>
    <xf numFmtId="0" fontId="3" fillId="0" borderId="25" xfId="0" applyFont="1" applyBorder="1" applyAlignment="1">
      <alignment horizontal="justify" vertical="top" wrapText="1"/>
    </xf>
    <xf numFmtId="0" fontId="3" fillId="0" borderId="26" xfId="0" applyFont="1" applyBorder="1" applyAlignment="1">
      <alignment vertical="top" wrapText="1"/>
    </xf>
    <xf numFmtId="0" fontId="3" fillId="0" borderId="23" xfId="0" applyFont="1" applyBorder="1" applyAlignment="1">
      <alignment horizontal="center" vertical="top" wrapText="1"/>
    </xf>
    <xf numFmtId="0" fontId="68" fillId="0" borderId="27" xfId="0" applyFont="1" applyBorder="1" applyAlignment="1">
      <alignment horizontal="center" vertical="center" wrapText="1"/>
    </xf>
    <xf numFmtId="0" fontId="1" fillId="0" borderId="27" xfId="0" applyFont="1" applyBorder="1" applyAlignment="1">
      <alignment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 fillId="0" borderId="29" xfId="0" applyFont="1" applyBorder="1" applyAlignment="1">
      <alignment horizontal="left" vertical="center" wrapText="1"/>
    </xf>
    <xf numFmtId="168" fontId="2" fillId="32" borderId="10" xfId="0" applyNumberFormat="1" applyFont="1" applyFill="1" applyBorder="1" applyAlignment="1">
      <alignment horizontal="center" wrapText="1"/>
    </xf>
    <xf numFmtId="0" fontId="2" fillId="0" borderId="30" xfId="0" applyFont="1" applyBorder="1" applyAlignment="1">
      <alignment horizontal="left" vertical="center" wrapText="1"/>
    </xf>
    <xf numFmtId="0" fontId="3" fillId="32" borderId="0" xfId="0" applyFont="1" applyFill="1" applyAlignment="1">
      <alignment/>
    </xf>
    <xf numFmtId="49" fontId="1" fillId="32" borderId="10" xfId="0" applyNumberFormat="1" applyFont="1" applyFill="1" applyBorder="1" applyAlignment="1">
      <alignment horizontal="left" vertical="top" wrapText="1"/>
    </xf>
    <xf numFmtId="49" fontId="3" fillId="32" borderId="10" xfId="0" applyNumberFormat="1" applyFont="1" applyFill="1" applyBorder="1" applyAlignment="1">
      <alignment horizontal="left" vertical="top" wrapText="1"/>
    </xf>
    <xf numFmtId="0" fontId="3" fillId="32" borderId="10" xfId="0" applyFont="1" applyFill="1" applyBorder="1" applyAlignment="1">
      <alignment horizontal="center" vertical="center" wrapText="1"/>
    </xf>
    <xf numFmtId="0" fontId="3" fillId="32" borderId="10" xfId="0" applyFont="1" applyFill="1" applyBorder="1" applyAlignment="1">
      <alignment vertical="top" wrapText="1"/>
    </xf>
    <xf numFmtId="168" fontId="3" fillId="32" borderId="10" xfId="0" applyNumberFormat="1" applyFont="1" applyFill="1" applyBorder="1" applyAlignment="1">
      <alignment horizontal="left" vertical="top" wrapText="1"/>
    </xf>
    <xf numFmtId="168" fontId="2" fillId="32" borderId="10" xfId="0" applyNumberFormat="1" applyFont="1" applyFill="1" applyBorder="1" applyAlignment="1">
      <alignment/>
    </xf>
    <xf numFmtId="0" fontId="2" fillId="32" borderId="10" xfId="0" applyFont="1" applyFill="1" applyBorder="1" applyAlignment="1">
      <alignment horizontal="center" vertical="top" wrapText="1"/>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horizontal="left" wrapText="1"/>
    </xf>
    <xf numFmtId="0" fontId="3" fillId="32" borderId="0" xfId="0" applyFont="1" applyFill="1" applyAlignment="1">
      <alignment vertical="top" wrapText="1"/>
    </xf>
    <xf numFmtId="0" fontId="8"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1" fontId="3" fillId="32" borderId="0" xfId="0" applyNumberFormat="1" applyFont="1" applyFill="1" applyAlignment="1">
      <alignment/>
    </xf>
    <xf numFmtId="168" fontId="70" fillId="32" borderId="0" xfId="0" applyNumberFormat="1" applyFont="1" applyFill="1" applyBorder="1" applyAlignment="1">
      <alignment horizontal="center" wrapText="1"/>
    </xf>
    <xf numFmtId="0" fontId="66" fillId="32" borderId="0" xfId="0" applyFont="1" applyFill="1" applyAlignment="1">
      <alignment vertical="top"/>
    </xf>
    <xf numFmtId="0" fontId="0" fillId="32" borderId="0" xfId="0" applyFont="1" applyFill="1" applyAlignment="1">
      <alignment/>
    </xf>
    <xf numFmtId="0" fontId="71" fillId="32" borderId="0" xfId="0" applyFont="1" applyFill="1" applyAlignment="1">
      <alignment/>
    </xf>
    <xf numFmtId="0" fontId="66" fillId="32" borderId="0" xfId="0" applyFont="1" applyFill="1" applyAlignment="1">
      <alignment/>
    </xf>
    <xf numFmtId="0" fontId="3" fillId="32" borderId="0" xfId="0" applyFont="1" applyFill="1" applyAlignment="1">
      <alignment horizontal="left" vertical="center"/>
    </xf>
    <xf numFmtId="0" fontId="66" fillId="32" borderId="0" xfId="0" applyFont="1" applyFill="1" applyAlignment="1">
      <alignment horizontal="left" vertical="center"/>
    </xf>
    <xf numFmtId="0" fontId="66" fillId="32" borderId="0" xfId="0" applyFont="1" applyFill="1" applyAlignment="1">
      <alignment vertical="center"/>
    </xf>
    <xf numFmtId="0" fontId="3" fillId="32" borderId="0" xfId="0" applyFont="1" applyFill="1" applyAlignment="1">
      <alignment/>
    </xf>
    <xf numFmtId="168" fontId="1" fillId="32" borderId="10" xfId="0" applyNumberFormat="1" applyFont="1" applyFill="1" applyBorder="1" applyAlignment="1">
      <alignment horizontal="left" vertical="top" wrapText="1"/>
    </xf>
    <xf numFmtId="0" fontId="3" fillId="32" borderId="0" xfId="0" applyFont="1" applyFill="1" applyAlignment="1">
      <alignment horizontal="right"/>
    </xf>
    <xf numFmtId="0" fontId="1" fillId="32" borderId="10" xfId="57" applyFont="1" applyFill="1" applyBorder="1" applyAlignment="1">
      <alignment horizontal="center" vertical="top" wrapText="1"/>
      <protection/>
    </xf>
    <xf numFmtId="0" fontId="66" fillId="32" borderId="0" xfId="0" applyFont="1" applyFill="1" applyBorder="1" applyAlignment="1">
      <alignment vertical="center"/>
    </xf>
    <xf numFmtId="0" fontId="72" fillId="32" borderId="0" xfId="0" applyFont="1" applyFill="1" applyBorder="1" applyAlignment="1">
      <alignment vertical="center"/>
    </xf>
    <xf numFmtId="0" fontId="3" fillId="32" borderId="0" xfId="0" applyFont="1" applyFill="1" applyBorder="1" applyAlignment="1">
      <alignment vertical="center"/>
    </xf>
    <xf numFmtId="0" fontId="3" fillId="32" borderId="0" xfId="0" applyFont="1" applyFill="1" applyBorder="1" applyAlignment="1">
      <alignment/>
    </xf>
    <xf numFmtId="168" fontId="66" fillId="32" borderId="0" xfId="0" applyNumberFormat="1" applyFont="1" applyFill="1" applyAlignment="1">
      <alignment vertical="center"/>
    </xf>
    <xf numFmtId="168" fontId="3" fillId="32" borderId="0" xfId="0" applyNumberFormat="1" applyFont="1" applyFill="1" applyAlignment="1">
      <alignment vertical="center"/>
    </xf>
    <xf numFmtId="168" fontId="3" fillId="32" borderId="0" xfId="0" applyNumberFormat="1" applyFont="1" applyFill="1" applyBorder="1" applyAlignment="1">
      <alignment vertical="center"/>
    </xf>
    <xf numFmtId="168" fontId="66" fillId="32" borderId="0" xfId="0" applyNumberFormat="1" applyFont="1" applyFill="1" applyBorder="1" applyAlignment="1">
      <alignment vertical="center"/>
    </xf>
    <xf numFmtId="168" fontId="3" fillId="32" borderId="0" xfId="0" applyNumberFormat="1" applyFont="1" applyFill="1" applyAlignment="1">
      <alignment/>
    </xf>
    <xf numFmtId="0" fontId="1" fillId="32" borderId="20" xfId="0" applyFont="1" applyFill="1" applyBorder="1" applyAlignment="1">
      <alignment vertical="top" wrapText="1"/>
    </xf>
    <xf numFmtId="0" fontId="13" fillId="32" borderId="0" xfId="0" applyFont="1" applyFill="1" applyAlignment="1">
      <alignment/>
    </xf>
    <xf numFmtId="168" fontId="13" fillId="32" borderId="0" xfId="0" applyNumberFormat="1" applyFont="1" applyFill="1" applyAlignment="1">
      <alignment/>
    </xf>
    <xf numFmtId="0" fontId="1" fillId="32" borderId="0" xfId="0" applyFont="1" applyFill="1" applyBorder="1" applyAlignment="1">
      <alignment vertical="top" wrapText="1"/>
    </xf>
    <xf numFmtId="168"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3" fillId="32" borderId="0" xfId="0" applyFont="1" applyFill="1" applyAlignment="1">
      <alignment horizontal="center" vertical="center"/>
    </xf>
    <xf numFmtId="0" fontId="13" fillId="32" borderId="0" xfId="0" applyFont="1" applyFill="1" applyAlignment="1">
      <alignment wrapText="1"/>
    </xf>
    <xf numFmtId="0" fontId="13" fillId="32" borderId="0" xfId="0" applyFont="1" applyFill="1" applyAlignment="1">
      <alignment horizontal="center"/>
    </xf>
    <xf numFmtId="0" fontId="13" fillId="32" borderId="0" xfId="0" applyFont="1" applyFill="1" applyAlignment="1">
      <alignment vertical="top" wrapText="1"/>
    </xf>
    <xf numFmtId="0" fontId="13" fillId="32" borderId="0" xfId="0" applyFont="1" applyFill="1" applyAlignment="1">
      <alignment horizontal="left"/>
    </xf>
    <xf numFmtId="0" fontId="13" fillId="32" borderId="0" xfId="0" applyFont="1" applyFill="1" applyAlignment="1">
      <alignment vertical="top"/>
    </xf>
    <xf numFmtId="0" fontId="3" fillId="32" borderId="0" xfId="0" applyFont="1" applyFill="1" applyAlignment="1">
      <alignment horizontal="left"/>
    </xf>
    <xf numFmtId="168" fontId="2" fillId="32" borderId="20" xfId="0" applyNumberFormat="1" applyFont="1" applyFill="1" applyBorder="1" applyAlignment="1">
      <alignment horizontal="left" vertical="top" wrapText="1"/>
    </xf>
    <xf numFmtId="168" fontId="2" fillId="32" borderId="31" xfId="0" applyNumberFormat="1" applyFont="1" applyFill="1" applyBorder="1" applyAlignment="1">
      <alignment horizontal="left" vertical="top" wrapText="1"/>
    </xf>
    <xf numFmtId="168" fontId="2" fillId="32" borderId="10" xfId="0" applyNumberFormat="1" applyFont="1" applyFill="1" applyBorder="1" applyAlignment="1">
      <alignment horizontal="left" vertical="top" wrapText="1"/>
    </xf>
    <xf numFmtId="168" fontId="2" fillId="32" borderId="14" xfId="0" applyNumberFormat="1" applyFont="1" applyFill="1" applyBorder="1" applyAlignment="1">
      <alignment horizontal="left" vertical="top" wrapText="1"/>
    </xf>
    <xf numFmtId="0" fontId="2" fillId="32" borderId="31"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14" xfId="0" applyFont="1" applyFill="1" applyBorder="1" applyAlignment="1">
      <alignment horizontal="left" vertical="top" wrapText="1"/>
    </xf>
    <xf numFmtId="0" fontId="10" fillId="32" borderId="0" xfId="0" applyFont="1" applyFill="1" applyAlignment="1">
      <alignment/>
    </xf>
    <xf numFmtId="0" fontId="14" fillId="32" borderId="0" xfId="0" applyFont="1" applyFill="1" applyAlignment="1">
      <alignment/>
    </xf>
    <xf numFmtId="0" fontId="10" fillId="32" borderId="0" xfId="0" applyFont="1" applyFill="1" applyBorder="1" applyAlignment="1">
      <alignment/>
    </xf>
    <xf numFmtId="0" fontId="16" fillId="32" borderId="0" xfId="0" applyFont="1" applyFill="1" applyBorder="1" applyAlignment="1">
      <alignment horizontal="left" vertical="top" wrapText="1"/>
    </xf>
    <xf numFmtId="0" fontId="2" fillId="32" borderId="0" xfId="0" applyFont="1" applyFill="1" applyAlignment="1">
      <alignment horizontal="left"/>
    </xf>
    <xf numFmtId="0" fontId="10" fillId="32" borderId="0" xfId="0" applyFont="1" applyFill="1" applyAlignment="1">
      <alignment horizontal="center"/>
    </xf>
    <xf numFmtId="0" fontId="2" fillId="32" borderId="0" xfId="0" applyFont="1" applyFill="1" applyAlignment="1">
      <alignment/>
    </xf>
    <xf numFmtId="170" fontId="6" fillId="32" borderId="10" xfId="0" applyNumberFormat="1" applyFont="1" applyFill="1" applyBorder="1" applyAlignment="1">
      <alignment horizontal="center" vertical="top" wrapText="1"/>
    </xf>
    <xf numFmtId="170" fontId="10" fillId="32" borderId="0" xfId="0" applyNumberFormat="1" applyFont="1" applyFill="1" applyAlignment="1">
      <alignment/>
    </xf>
    <xf numFmtId="0" fontId="2" fillId="32" borderId="10" xfId="0" applyFont="1" applyFill="1" applyBorder="1" applyAlignment="1">
      <alignment/>
    </xf>
    <xf numFmtId="168" fontId="10" fillId="32" borderId="0" xfId="0" applyNumberFormat="1" applyFont="1" applyFill="1" applyAlignment="1">
      <alignment/>
    </xf>
    <xf numFmtId="0" fontId="10" fillId="32" borderId="10" xfId="0" applyFont="1" applyFill="1" applyBorder="1" applyAlignment="1">
      <alignment/>
    </xf>
    <xf numFmtId="1" fontId="2" fillId="32" borderId="10" xfId="56" applyNumberFormat="1" applyFont="1" applyFill="1" applyBorder="1" applyAlignment="1">
      <alignment horizontal="center" wrapText="1"/>
      <protection/>
    </xf>
    <xf numFmtId="0" fontId="1" fillId="32" borderId="0" xfId="0" applyFont="1" applyFill="1" applyBorder="1" applyAlignment="1">
      <alignment horizontal="left" vertical="top"/>
    </xf>
    <xf numFmtId="4" fontId="8" fillId="32" borderId="10" xfId="0" applyNumberFormat="1" applyFont="1" applyFill="1" applyBorder="1" applyAlignment="1">
      <alignment/>
    </xf>
    <xf numFmtId="0" fontId="73" fillId="32" borderId="0" xfId="0" applyFont="1" applyFill="1" applyAlignment="1">
      <alignment wrapText="1"/>
    </xf>
    <xf numFmtId="169" fontId="73" fillId="32" borderId="0" xfId="0" applyNumberFormat="1" applyFont="1" applyFill="1" applyAlignment="1">
      <alignment wrapText="1"/>
    </xf>
    <xf numFmtId="168" fontId="2" fillId="32" borderId="10" xfId="56" applyNumberFormat="1" applyFont="1" applyFill="1" applyBorder="1" applyAlignment="1">
      <alignment horizontal="center" wrapText="1"/>
      <protection/>
    </xf>
    <xf numFmtId="0" fontId="2" fillId="32" borderId="10" xfId="58" applyFont="1" applyFill="1" applyBorder="1" applyAlignment="1">
      <alignment horizontal="center" vertical="center" wrapText="1"/>
      <protection/>
    </xf>
    <xf numFmtId="1" fontId="2" fillId="32" borderId="10" xfId="0" applyNumberFormat="1" applyFont="1" applyFill="1" applyBorder="1" applyAlignment="1">
      <alignment horizontal="center" vertical="top" wrapText="1"/>
    </xf>
    <xf numFmtId="0" fontId="1" fillId="32" borderId="10" xfId="0" applyFont="1" applyFill="1" applyBorder="1" applyAlignment="1">
      <alignment horizontal="center" vertical="top"/>
    </xf>
    <xf numFmtId="0" fontId="1"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3" fillId="32" borderId="10" xfId="0" applyFont="1" applyFill="1" applyBorder="1" applyAlignment="1">
      <alignment horizontal="left" vertical="top" wrapText="1"/>
    </xf>
    <xf numFmtId="0" fontId="3" fillId="32" borderId="10" xfId="57" applyFont="1" applyFill="1" applyBorder="1" applyAlignment="1">
      <alignment horizontal="left" vertical="top" wrapText="1"/>
      <protection/>
    </xf>
    <xf numFmtId="0" fontId="17" fillId="32" borderId="10" xfId="0" applyFont="1" applyFill="1" applyBorder="1" applyAlignment="1">
      <alignment horizontal="center" vertical="center" wrapText="1"/>
    </xf>
    <xf numFmtId="0" fontId="17" fillId="32" borderId="10" xfId="0" applyFont="1" applyFill="1" applyBorder="1" applyAlignment="1">
      <alignment horizontal="center" wrapText="1"/>
    </xf>
    <xf numFmtId="0" fontId="1" fillId="0" borderId="32" xfId="0" applyFont="1" applyBorder="1" applyAlignment="1">
      <alignment horizontal="center"/>
    </xf>
    <xf numFmtId="0" fontId="1" fillId="0" borderId="29" xfId="0" applyFont="1" applyBorder="1" applyAlignment="1">
      <alignment horizontal="center"/>
    </xf>
    <xf numFmtId="0" fontId="1" fillId="0" borderId="0" xfId="0" applyFont="1" applyAlignment="1">
      <alignment horizontal="center"/>
    </xf>
    <xf numFmtId="0" fontId="1" fillId="0" borderId="33" xfId="0" applyFont="1" applyBorder="1" applyAlignment="1">
      <alignment horizontal="center" vertical="top" wrapText="1"/>
    </xf>
    <xf numFmtId="0" fontId="1" fillId="0" borderId="28" xfId="0" applyFont="1" applyBorder="1" applyAlignment="1">
      <alignment horizontal="center" vertical="top" wrapText="1"/>
    </xf>
    <xf numFmtId="0" fontId="1" fillId="0" borderId="34"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32" xfId="0" applyFont="1" applyBorder="1" applyAlignment="1">
      <alignment horizontal="left" vertical="top" wrapText="1"/>
    </xf>
    <xf numFmtId="0" fontId="3" fillId="0" borderId="29" xfId="0" applyFont="1" applyBorder="1" applyAlignment="1">
      <alignment horizontal="left" vertical="top" wrapText="1"/>
    </xf>
    <xf numFmtId="0" fontId="3" fillId="32" borderId="32" xfId="0" applyFont="1" applyFill="1" applyBorder="1" applyAlignment="1">
      <alignment horizontal="left" vertical="top" wrapText="1"/>
    </xf>
    <xf numFmtId="0" fontId="3" fillId="32" borderId="29" xfId="0" applyFont="1" applyFill="1" applyBorder="1" applyAlignment="1">
      <alignment horizontal="left" vertical="top" wrapText="1"/>
    </xf>
    <xf numFmtId="0" fontId="3" fillId="32" borderId="10" xfId="57" applyFont="1" applyFill="1" applyBorder="1" applyAlignment="1">
      <alignment horizontal="left" vertical="top" wrapText="1"/>
      <protection/>
    </xf>
    <xf numFmtId="0" fontId="1" fillId="32" borderId="10" xfId="0" applyFont="1" applyFill="1" applyBorder="1" applyAlignment="1">
      <alignment horizontal="center" vertical="top"/>
    </xf>
    <xf numFmtId="0" fontId="1" fillId="32" borderId="10" xfId="0" applyFont="1" applyFill="1" applyBorder="1" applyAlignment="1">
      <alignment vertical="top" wrapText="1"/>
    </xf>
    <xf numFmtId="0" fontId="20" fillId="32" borderId="0" xfId="0" applyFont="1" applyFill="1" applyAlignment="1">
      <alignment horizontal="center" vertical="center"/>
    </xf>
    <xf numFmtId="0" fontId="1" fillId="32" borderId="10" xfId="0" applyFont="1" applyFill="1" applyBorder="1" applyAlignment="1">
      <alignment horizontal="center" vertical="center" wrapText="1"/>
    </xf>
    <xf numFmtId="0" fontId="66" fillId="32" borderId="0" xfId="0" applyFont="1" applyFill="1" applyAlignment="1">
      <alignment horizontal="center" vertical="center"/>
    </xf>
    <xf numFmtId="0" fontId="1" fillId="32" borderId="10" xfId="0" applyFont="1" applyFill="1" applyBorder="1" applyAlignment="1">
      <alignment horizontal="left" vertical="top" wrapText="1"/>
    </xf>
    <xf numFmtId="0" fontId="3" fillId="32" borderId="10" xfId="0" applyFont="1" applyFill="1" applyBorder="1" applyAlignment="1">
      <alignment horizontal="left" vertical="top" wrapText="1"/>
    </xf>
    <xf numFmtId="0" fontId="1" fillId="32" borderId="10" xfId="0" applyFont="1" applyFill="1" applyBorder="1" applyAlignment="1">
      <alignment horizontal="center" wrapText="1"/>
    </xf>
    <xf numFmtId="0" fontId="17" fillId="32" borderId="10" xfId="0" applyFont="1" applyFill="1" applyBorder="1" applyAlignment="1">
      <alignment horizontal="center" vertical="center" wrapText="1"/>
    </xf>
    <xf numFmtId="0" fontId="17" fillId="32" borderId="10" xfId="0" applyFont="1" applyFill="1" applyBorder="1" applyAlignment="1">
      <alignment horizontal="center" wrapText="1"/>
    </xf>
    <xf numFmtId="0" fontId="14" fillId="32" borderId="0" xfId="0" applyFont="1" applyFill="1" applyAlignment="1">
      <alignment horizontal="left"/>
    </xf>
    <xf numFmtId="0" fontId="14" fillId="32" borderId="0" xfId="0" applyFont="1" applyFill="1" applyAlignment="1">
      <alignment horizontal="left" wrapText="1"/>
    </xf>
    <xf numFmtId="0" fontId="2" fillId="32" borderId="0" xfId="0" applyFont="1" applyFill="1" applyAlignment="1">
      <alignment horizontal="center"/>
    </xf>
    <xf numFmtId="0" fontId="1" fillId="32" borderId="0" xfId="0" applyFont="1" applyFill="1" applyAlignment="1">
      <alignment horizontal="center" vertical="center" wrapText="1"/>
    </xf>
    <xf numFmtId="0" fontId="6" fillId="32" borderId="10" xfId="0" applyFont="1" applyFill="1" applyBorder="1" applyAlignment="1">
      <alignment horizontal="center" vertical="center" wrapText="1"/>
    </xf>
    <xf numFmtId="0" fontId="68" fillId="0" borderId="36" xfId="0" applyFont="1" applyBorder="1" applyAlignment="1">
      <alignment horizontal="center" vertical="center"/>
    </xf>
    <xf numFmtId="0" fontId="68" fillId="0" borderId="37" xfId="0" applyFont="1" applyBorder="1" applyAlignment="1">
      <alignment horizontal="center" vertical="center"/>
    </xf>
    <xf numFmtId="0" fontId="18" fillId="0" borderId="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2" xfId="0" applyFont="1" applyBorder="1" applyAlignment="1">
      <alignment horizontal="center" vertical="center"/>
    </xf>
    <xf numFmtId="0" fontId="68" fillId="0" borderId="15" xfId="0" applyFont="1" applyBorder="1" applyAlignment="1">
      <alignment horizontal="center" vertical="center"/>
    </xf>
    <xf numFmtId="0" fontId="68" fillId="0" borderId="38"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37" xfId="0" applyFont="1" applyBorder="1" applyAlignment="1">
      <alignment horizontal="center" vertical="center" wrapText="1"/>
    </xf>
    <xf numFmtId="0" fontId="14" fillId="0" borderId="0" xfId="0" applyFont="1" applyFill="1" applyAlignment="1">
      <alignment horizontal="left"/>
    </xf>
    <xf numFmtId="0" fontId="14" fillId="0" borderId="0" xfId="0" applyFont="1" applyAlignment="1">
      <alignment horizontal="left" wrapText="1"/>
    </xf>
    <xf numFmtId="0" fontId="67" fillId="0" borderId="31" xfId="0" applyFont="1" applyBorder="1" applyAlignment="1">
      <alignment horizontal="center" wrapText="1"/>
    </xf>
    <xf numFmtId="0" fontId="67" fillId="0" borderId="31" xfId="0" applyFont="1" applyBorder="1" applyAlignment="1">
      <alignment horizontal="center" vertical="center"/>
    </xf>
    <xf numFmtId="0" fontId="67" fillId="0" borderId="43" xfId="0" applyFont="1" applyBorder="1" applyAlignment="1">
      <alignment horizontal="center" vertical="center"/>
    </xf>
    <xf numFmtId="0" fontId="68" fillId="0" borderId="36" xfId="0" applyFont="1" applyBorder="1" applyAlignment="1">
      <alignment horizontal="center" vertical="center" wrapText="1"/>
    </xf>
    <xf numFmtId="0" fontId="3" fillId="0" borderId="44" xfId="0" applyFont="1" applyBorder="1" applyAlignment="1">
      <alignment horizontal="justify" vertical="top" wrapText="1"/>
    </xf>
    <xf numFmtId="0" fontId="3" fillId="0" borderId="24" xfId="0" applyFont="1" applyBorder="1" applyAlignment="1">
      <alignment horizontal="justify" vertical="top" wrapText="1"/>
    </xf>
    <xf numFmtId="0" fontId="3" fillId="0" borderId="44" xfId="0" applyFont="1" applyBorder="1" applyAlignment="1">
      <alignment vertical="top" wrapText="1"/>
    </xf>
    <xf numFmtId="0" fontId="3" fillId="0" borderId="24" xfId="0" applyFont="1" applyBorder="1" applyAlignment="1">
      <alignment vertical="top" wrapText="1"/>
    </xf>
    <xf numFmtId="0" fontId="3" fillId="0" borderId="45" xfId="0" applyFont="1" applyBorder="1" applyAlignment="1">
      <alignment horizontal="justify" vertical="top" wrapText="1"/>
    </xf>
    <xf numFmtId="0" fontId="3" fillId="0" borderId="45" xfId="0" applyFont="1" applyBorder="1" applyAlignment="1">
      <alignment vertical="top" wrapText="1"/>
    </xf>
    <xf numFmtId="0" fontId="1" fillId="0" borderId="46" xfId="0" applyFont="1" applyBorder="1" applyAlignment="1">
      <alignment horizontal="center"/>
    </xf>
    <xf numFmtId="0" fontId="1" fillId="0" borderId="0" xfId="0" applyFont="1" applyAlignment="1">
      <alignment horizontal="center" wrapText="1"/>
    </xf>
    <xf numFmtId="0" fontId="3" fillId="32" borderId="47" xfId="0" applyFont="1" applyFill="1" applyBorder="1" applyAlignment="1">
      <alignment horizontal="left" vertical="top" wrapText="1"/>
    </xf>
    <xf numFmtId="0" fontId="3" fillId="32" borderId="48" xfId="0" applyFont="1" applyFill="1" applyBorder="1" applyAlignment="1">
      <alignment horizontal="left" vertical="top" wrapText="1"/>
    </xf>
    <xf numFmtId="0" fontId="3" fillId="32" borderId="10" xfId="0" applyFont="1" applyFill="1" applyBorder="1" applyAlignment="1">
      <alignment horizontal="left" vertical="top"/>
    </xf>
    <xf numFmtId="0" fontId="18" fillId="32" borderId="10" xfId="0" applyFont="1" applyFill="1" applyBorder="1" applyAlignment="1">
      <alignment horizontal="justify" vertical="top" wrapText="1"/>
    </xf>
    <xf numFmtId="170" fontId="19" fillId="32" borderId="10" xfId="0" applyNumberFormat="1" applyFont="1" applyFill="1" applyBorder="1" applyAlignment="1">
      <alignment horizontal="center" vertical="top" wrapText="1"/>
    </xf>
    <xf numFmtId="0" fontId="3" fillId="32" borderId="10" xfId="0" applyFont="1" applyFill="1" applyBorder="1" applyAlignment="1">
      <alignment horizontal="right" vertical="top" wrapText="1"/>
    </xf>
    <xf numFmtId="0" fontId="1" fillId="32" borderId="10" xfId="0" applyFont="1" applyFill="1" applyBorder="1" applyAlignment="1">
      <alignment horizontal="right"/>
    </xf>
    <xf numFmtId="0" fontId="1" fillId="32" borderId="10" xfId="0" applyFont="1" applyFill="1" applyBorder="1" applyAlignment="1">
      <alignment horizontal="left"/>
    </xf>
    <xf numFmtId="0" fontId="6" fillId="32" borderId="10" xfId="55" applyFont="1" applyFill="1" applyBorder="1" applyAlignment="1">
      <alignment horizontal="left" vertical="top" wrapText="1"/>
      <protection/>
    </xf>
    <xf numFmtId="0" fontId="2" fillId="32" borderId="10" xfId="55" applyFont="1" applyFill="1" applyBorder="1" applyAlignment="1">
      <alignment horizontal="left" vertical="top" wrapText="1"/>
      <protection/>
    </xf>
    <xf numFmtId="0" fontId="9" fillId="32" borderId="10" xfId="0" applyFont="1" applyFill="1" applyBorder="1" applyAlignment="1">
      <alignment horizontal="left" vertical="top" wrapText="1"/>
    </xf>
    <xf numFmtId="0" fontId="6" fillId="32" borderId="10" xfId="0" applyFont="1" applyFill="1" applyBorder="1" applyAlignment="1">
      <alignment horizontal="left" vertical="top" wrapText="1"/>
    </xf>
    <xf numFmtId="4" fontId="6" fillId="32" borderId="10" xfId="0" applyNumberFormat="1" applyFont="1" applyFill="1" applyBorder="1" applyAlignment="1">
      <alignment horizontal="center" vertical="top" wrapText="1"/>
    </xf>
    <xf numFmtId="0" fontId="2" fillId="32" borderId="10" xfId="0" applyFont="1" applyFill="1" applyBorder="1" applyAlignment="1">
      <alignment vertical="top" wrapText="1"/>
    </xf>
    <xf numFmtId="0" fontId="2" fillId="32" borderId="10" xfId="0" applyFont="1" applyFill="1" applyBorder="1" applyAlignment="1">
      <alignment horizontal="left" wrapText="1"/>
    </xf>
    <xf numFmtId="1" fontId="6" fillId="32" borderId="10" xfId="0" applyNumberFormat="1" applyFont="1" applyFill="1" applyBorder="1" applyAlignment="1">
      <alignment horizontal="left" vertical="top" wrapText="1"/>
    </xf>
    <xf numFmtId="1" fontId="2" fillId="32" borderId="10" xfId="0" applyNumberFormat="1" applyFont="1" applyFill="1" applyBorder="1" applyAlignment="1">
      <alignment horizontal="left" vertical="top" wrapText="1"/>
    </xf>
    <xf numFmtId="0" fontId="2" fillId="32" borderId="10" xfId="0" applyFont="1" applyFill="1" applyBorder="1" applyAlignment="1">
      <alignment wrapText="1"/>
    </xf>
    <xf numFmtId="0" fontId="6" fillId="32" borderId="10" xfId="0" applyFont="1" applyFill="1" applyBorder="1" applyAlignment="1">
      <alignment vertical="top" wrapText="1" shrinkToFit="1"/>
    </xf>
    <xf numFmtId="0" fontId="2" fillId="32" borderId="10" xfId="0" applyFont="1" applyFill="1" applyBorder="1" applyAlignment="1">
      <alignment vertical="top" wrapText="1" shrinkToFit="1"/>
    </xf>
    <xf numFmtId="0" fontId="2" fillId="32" borderId="10" xfId="0" applyFont="1" applyFill="1" applyBorder="1" applyAlignment="1">
      <alignment wrapText="1" shrinkToFit="1"/>
    </xf>
    <xf numFmtId="0" fontId="3" fillId="32" borderId="10" xfId="0" applyFont="1" applyFill="1" applyBorder="1" applyAlignment="1">
      <alignment horizontal="right" vertical="center" wrapText="1"/>
    </xf>
    <xf numFmtId="0" fontId="3" fillId="32" borderId="10" xfId="0" applyFont="1" applyFill="1" applyBorder="1" applyAlignment="1">
      <alignment horizontal="left" vertical="center"/>
    </xf>
    <xf numFmtId="0" fontId="1" fillId="32" borderId="10" xfId="0" applyFont="1" applyFill="1" applyBorder="1" applyAlignment="1">
      <alignment horizontal="right" vertical="top"/>
    </xf>
    <xf numFmtId="0" fontId="2" fillId="32" borderId="10" xfId="56" applyFont="1" applyFill="1" applyBorder="1" applyAlignment="1">
      <alignment vertical="top" wrapText="1"/>
      <protection/>
    </xf>
    <xf numFmtId="0" fontId="3" fillId="32" borderId="10" xfId="0" applyFont="1" applyFill="1" applyBorder="1" applyAlignment="1">
      <alignment horizontal="right" wrapText="1"/>
    </xf>
    <xf numFmtId="0" fontId="3" fillId="32" borderId="10" xfId="0" applyFont="1" applyFill="1" applyBorder="1" applyAlignment="1">
      <alignment horizontal="left"/>
    </xf>
    <xf numFmtId="168" fontId="2" fillId="32" borderId="10" xfId="0" applyNumberFormat="1" applyFont="1" applyFill="1" applyBorder="1" applyAlignment="1">
      <alignment horizontal="center" vertical="top" wrapText="1"/>
    </xf>
    <xf numFmtId="0" fontId="0" fillId="32" borderId="10" xfId="0" applyFill="1" applyBorder="1" applyAlignment="1">
      <alignment/>
    </xf>
    <xf numFmtId="49" fontId="2" fillId="32" borderId="10" xfId="55" applyNumberFormat="1" applyFont="1" applyFill="1" applyBorder="1" applyAlignment="1">
      <alignment horizontal="left" vertical="top" wrapText="1"/>
      <protection/>
    </xf>
    <xf numFmtId="0" fontId="2" fillId="32" borderId="10" xfId="56" applyFont="1" applyFill="1" applyBorder="1" applyAlignment="1">
      <alignment wrapText="1"/>
      <protection/>
    </xf>
    <xf numFmtId="0" fontId="3" fillId="32" borderId="10" xfId="0" applyFont="1" applyFill="1" applyBorder="1" applyAlignment="1">
      <alignment horizontal="left" wrapText="1"/>
    </xf>
    <xf numFmtId="0" fontId="1" fillId="32" borderId="10" xfId="0" applyFont="1" applyFill="1" applyBorder="1" applyAlignment="1">
      <alignment horizontal="left" wrapText="1"/>
    </xf>
    <xf numFmtId="168" fontId="10" fillId="32" borderId="10" xfId="0" applyNumberFormat="1" applyFont="1" applyFill="1" applyBorder="1" applyAlignment="1">
      <alignment/>
    </xf>
    <xf numFmtId="0" fontId="3" fillId="32" borderId="10" xfId="0" applyFont="1" applyFill="1" applyBorder="1" applyAlignment="1">
      <alignment horizontal="left" vertical="center" wrapText="1"/>
    </xf>
    <xf numFmtId="0" fontId="10" fillId="32" borderId="10" xfId="0" applyFont="1" applyFill="1" applyBorder="1" applyAlignment="1">
      <alignment wrapText="1"/>
    </xf>
    <xf numFmtId="0" fontId="24" fillId="32" borderId="10" xfId="0" applyFont="1" applyFill="1" applyBorder="1" applyAlignment="1">
      <alignment horizontal="left"/>
    </xf>
    <xf numFmtId="0" fontId="24" fillId="32" borderId="10" xfId="0" applyFont="1" applyFill="1" applyBorder="1" applyAlignment="1">
      <alignment horizontal="left" wrapText="1"/>
    </xf>
    <xf numFmtId="0" fontId="74" fillId="32" borderId="10" xfId="0" applyFont="1" applyFill="1" applyBorder="1" applyAlignment="1">
      <alignment horizontal="center" vertical="center" wrapText="1"/>
    </xf>
    <xf numFmtId="0" fontId="6" fillId="32" borderId="10" xfId="0" applyFont="1" applyFill="1" applyBorder="1" applyAlignment="1">
      <alignment horizontal="center" vertical="top" wrapText="1"/>
    </xf>
    <xf numFmtId="170" fontId="6" fillId="32" borderId="10" xfId="0" applyNumberFormat="1" applyFont="1" applyFill="1" applyBorder="1" applyAlignment="1">
      <alignment horizontal="justify" vertical="top" wrapText="1"/>
    </xf>
    <xf numFmtId="168" fontId="6" fillId="32" borderId="10" xfId="0" applyNumberFormat="1" applyFont="1" applyFill="1" applyBorder="1" applyAlignment="1">
      <alignment/>
    </xf>
    <xf numFmtId="168" fontId="6" fillId="32" borderId="10" xfId="56" applyNumberFormat="1" applyFont="1" applyFill="1" applyBorder="1" applyAlignment="1">
      <alignment horizontal="center" wrapText="1"/>
      <protection/>
    </xf>
    <xf numFmtId="0" fontId="1" fillId="32" borderId="10" xfId="57" applyFont="1" applyFill="1" applyBorder="1" applyAlignment="1">
      <alignment horizontal="center" vertical="center" wrapText="1"/>
      <protection/>
    </xf>
    <xf numFmtId="16" fontId="3" fillId="32" borderId="10" xfId="0" applyNumberFormat="1" applyFont="1" applyFill="1" applyBorder="1" applyAlignment="1">
      <alignment horizontal="left" vertical="top" wrapText="1"/>
    </xf>
    <xf numFmtId="0" fontId="1" fillId="32" borderId="10" xfId="0" applyFont="1" applyFill="1" applyBorder="1" applyAlignment="1">
      <alignment horizontal="left" vertical="top"/>
    </xf>
    <xf numFmtId="0" fontId="1" fillId="32" borderId="10" xfId="57" applyFont="1" applyFill="1" applyBorder="1" applyAlignment="1">
      <alignment horizontal="left" vertical="top" wrapText="1"/>
      <protection/>
    </xf>
    <xf numFmtId="0" fontId="3" fillId="32" borderId="10" xfId="57" applyFont="1" applyFill="1" applyBorder="1" applyAlignment="1">
      <alignment vertical="top" wrapText="1"/>
      <protection/>
    </xf>
    <xf numFmtId="0" fontId="1" fillId="32" borderId="10" xfId="57" applyFont="1" applyFill="1" applyBorder="1" applyAlignment="1">
      <alignment horizontal="center" vertical="top" wrapText="1"/>
      <protection/>
    </xf>
    <xf numFmtId="0" fontId="3" fillId="32" borderId="10" xfId="0" applyFont="1" applyFill="1" applyBorder="1" applyAlignment="1">
      <alignment horizontal="center" vertical="center" wrapText="1"/>
    </xf>
    <xf numFmtId="0" fontId="3" fillId="32" borderId="10" xfId="57" applyFont="1" applyFill="1" applyBorder="1" applyAlignment="1">
      <alignment vertical="top" wrapText="1"/>
      <protection/>
    </xf>
    <xf numFmtId="0" fontId="3" fillId="32" borderId="10" xfId="0" applyFont="1" applyFill="1" applyBorder="1" applyAlignment="1">
      <alignment/>
    </xf>
    <xf numFmtId="0" fontId="3" fillId="32" borderId="10" xfId="0" applyFont="1" applyFill="1" applyBorder="1" applyAlignment="1">
      <alignment vertical="top" wrapText="1"/>
    </xf>
    <xf numFmtId="16" fontId="3" fillId="32" borderId="10" xfId="0" applyNumberFormat="1" applyFont="1" applyFill="1" applyBorder="1" applyAlignment="1">
      <alignment horizontal="justify" vertical="top"/>
    </xf>
    <xf numFmtId="0" fontId="3" fillId="32" borderId="10" xfId="0" applyFont="1" applyFill="1" applyBorder="1" applyAlignment="1">
      <alignment horizontal="center" vertical="top"/>
    </xf>
    <xf numFmtId="0" fontId="1" fillId="32" borderId="10" xfId="0" applyFont="1" applyFill="1" applyBorder="1" applyAlignment="1">
      <alignment horizontal="center" vertical="center"/>
    </xf>
    <xf numFmtId="0" fontId="3" fillId="32" borderId="10" xfId="57" applyFont="1" applyFill="1" applyBorder="1" applyAlignment="1">
      <alignment horizontal="center" vertical="top" wrapText="1"/>
      <protection/>
    </xf>
    <xf numFmtId="0" fontId="3" fillId="32" borderId="10" xfId="0" applyFont="1" applyFill="1" applyBorder="1" applyAlignment="1">
      <alignment horizontal="center" vertical="top"/>
    </xf>
    <xf numFmtId="0" fontId="3" fillId="32" borderId="10" xfId="0" applyFont="1" applyFill="1" applyBorder="1" applyAlignment="1">
      <alignment horizontal="center" vertical="top" wrapText="1"/>
    </xf>
    <xf numFmtId="0" fontId="1" fillId="32" borderId="10" xfId="0" applyFont="1" applyFill="1" applyBorder="1" applyAlignment="1">
      <alignment horizont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080;&#1076;&#1072;&#1090;&#1082;&#1080;2019%20-&#1057;&#1042;&#1054;&#1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МКЛ №1"/>
      <sheetName val="СМКЛ №4"/>
      <sheetName val="СМКЛ №5"/>
      <sheetName val="ДИТЯЧА"/>
      <sheetName val="0712010"/>
      <sheetName val="Пологовий"/>
      <sheetName val="МСП"/>
      <sheetName val="№6"/>
      <sheetName val="№1-113"/>
      <sheetName val="№4-113"/>
      <sheetName val="№5-113"/>
      <sheetName val="дит-113"/>
      <sheetName val="№6-113"/>
      <sheetName val="0712113"/>
      <sheetName val="№3"/>
      <sheetName val="Ц №1"/>
      <sheetName val="Ц №2"/>
      <sheetName val="0712111"/>
      <sheetName val="ЦМС"/>
      <sheetName val="ЦБ"/>
      <sheetName val="0712151"/>
      <sheetName val="0712152"/>
      <sheetName val="інсуліни"/>
      <sheetName val="доступні ліки"/>
      <sheetName val="0712140"/>
      <sheetName val="07120000"/>
    </sheetNames>
    <sheetDataSet>
      <sheetData sheetId="4">
        <row r="51">
          <cell r="J51">
            <v>40649944</v>
          </cell>
        </row>
      </sheetData>
      <sheetData sheetId="5">
        <row r="51">
          <cell r="J51">
            <v>157300</v>
          </cell>
        </row>
      </sheetData>
      <sheetData sheetId="6">
        <row r="51">
          <cell r="J51">
            <v>5058989</v>
          </cell>
        </row>
      </sheetData>
      <sheetData sheetId="17">
        <row r="51">
          <cell r="J51">
            <v>167000</v>
          </cell>
        </row>
      </sheetData>
      <sheetData sheetId="20">
        <row r="51">
          <cell r="J51">
            <v>0</v>
          </cell>
        </row>
      </sheetData>
      <sheetData sheetId="21">
        <row r="51">
          <cell r="J51">
            <v>3406496</v>
          </cell>
        </row>
      </sheetData>
      <sheetData sheetId="22">
        <row r="51">
          <cell r="J51">
            <v>0</v>
          </cell>
        </row>
      </sheetData>
      <sheetData sheetId="23">
        <row r="51">
          <cell r="J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H25"/>
  <sheetViews>
    <sheetView tabSelected="1" view="pageBreakPreview" zoomScale="84" zoomScaleSheetLayoutView="84" zoomScalePageLayoutView="0" workbookViewId="0" topLeftCell="A1">
      <selection activeCell="G20" sqref="G20"/>
    </sheetView>
  </sheetViews>
  <sheetFormatPr defaultColWidth="9.140625" defaultRowHeight="12.75"/>
  <cols>
    <col min="1" max="1" width="32.00390625" style="1" customWidth="1"/>
    <col min="2" max="2" width="38.8515625" style="1" customWidth="1"/>
    <col min="3" max="3" width="52.140625" style="1" customWidth="1"/>
    <col min="4" max="16384" width="9.140625" style="1" customWidth="1"/>
  </cols>
  <sheetData>
    <row r="1" ht="18.75">
      <c r="C1" s="1" t="s">
        <v>4</v>
      </c>
    </row>
    <row r="2" ht="35.25" customHeight="1">
      <c r="C2" s="5" t="s">
        <v>89</v>
      </c>
    </row>
    <row r="3" ht="82.5" customHeight="1">
      <c r="C3" s="5"/>
    </row>
    <row r="4" spans="1:3" ht="17.25" customHeight="1">
      <c r="A4" s="152" t="s">
        <v>36</v>
      </c>
      <c r="B4" s="152"/>
      <c r="C4" s="152"/>
    </row>
    <row r="5" spans="1:3" ht="17.25" customHeight="1">
      <c r="A5" s="152" t="s">
        <v>90</v>
      </c>
      <c r="B5" s="152"/>
      <c r="C5" s="152"/>
    </row>
    <row r="6" spans="1:3" ht="17.25" customHeight="1">
      <c r="A6" s="152" t="s">
        <v>48</v>
      </c>
      <c r="B6" s="152"/>
      <c r="C6" s="152"/>
    </row>
    <row r="7" ht="45.75" customHeight="1"/>
    <row r="8" spans="1:3" ht="37.5" customHeight="1">
      <c r="A8" s="157" t="s">
        <v>35</v>
      </c>
      <c r="B8" s="155" t="s">
        <v>37</v>
      </c>
      <c r="C8" s="156"/>
    </row>
    <row r="9" spans="1:3" ht="37.5" customHeight="1">
      <c r="A9" s="158"/>
      <c r="B9" s="153" t="s">
        <v>38</v>
      </c>
      <c r="C9" s="154"/>
    </row>
    <row r="10" spans="1:3" ht="18.75">
      <c r="A10" s="11">
        <v>1</v>
      </c>
      <c r="B10" s="150">
        <v>2</v>
      </c>
      <c r="C10" s="151"/>
    </row>
    <row r="11" spans="1:3" ht="49.5" customHeight="1">
      <c r="A11" s="9">
        <v>712010</v>
      </c>
      <c r="B11" s="159" t="s">
        <v>39</v>
      </c>
      <c r="C11" s="160"/>
    </row>
    <row r="12" spans="1:3" ht="49.5" customHeight="1">
      <c r="A12" s="9">
        <v>712030</v>
      </c>
      <c r="B12" s="159" t="s">
        <v>46</v>
      </c>
      <c r="C12" s="160"/>
    </row>
    <row r="13" spans="1:3" ht="49.5" customHeight="1">
      <c r="A13" s="10">
        <v>712100</v>
      </c>
      <c r="B13" s="159" t="s">
        <v>42</v>
      </c>
      <c r="C13" s="160"/>
    </row>
    <row r="14" spans="1:3" ht="49.5" customHeight="1">
      <c r="A14" s="10">
        <v>712150</v>
      </c>
      <c r="B14" s="159" t="s">
        <v>43</v>
      </c>
      <c r="C14" s="160"/>
    </row>
    <row r="15" spans="1:3" ht="49.5" customHeight="1">
      <c r="A15" s="10">
        <v>712151</v>
      </c>
      <c r="B15" s="159" t="s">
        <v>283</v>
      </c>
      <c r="C15" s="160"/>
    </row>
    <row r="16" spans="1:3" ht="49.5" customHeight="1">
      <c r="A16" s="10">
        <v>712152</v>
      </c>
      <c r="B16" s="159" t="s">
        <v>282</v>
      </c>
      <c r="C16" s="160"/>
    </row>
    <row r="17" spans="1:3" ht="49.5" customHeight="1">
      <c r="A17" s="10">
        <v>712140</v>
      </c>
      <c r="B17" s="161" t="s">
        <v>44</v>
      </c>
      <c r="C17" s="162"/>
    </row>
    <row r="18" spans="1:3" ht="49.5" customHeight="1">
      <c r="A18" s="10">
        <v>712144</v>
      </c>
      <c r="B18" s="161" t="s">
        <v>40</v>
      </c>
      <c r="C18" s="162"/>
    </row>
    <row r="19" spans="1:3" ht="49.5" customHeight="1">
      <c r="A19" s="10">
        <v>712146</v>
      </c>
      <c r="B19" s="161" t="s">
        <v>41</v>
      </c>
      <c r="C19" s="162"/>
    </row>
    <row r="20" spans="1:3" ht="57" customHeight="1">
      <c r="A20" s="10">
        <v>712111</v>
      </c>
      <c r="B20" s="159" t="s">
        <v>45</v>
      </c>
      <c r="C20" s="160"/>
    </row>
    <row r="23" spans="1:8" ht="33" customHeight="1">
      <c r="A23" s="1" t="s">
        <v>17</v>
      </c>
      <c r="B23"/>
      <c r="C23" s="2" t="s">
        <v>16</v>
      </c>
      <c r="D23" s="4"/>
      <c r="F23" s="5"/>
      <c r="H23" s="7"/>
    </row>
    <row r="24" spans="1:8" ht="20.25" customHeight="1">
      <c r="A24" s="3" t="s">
        <v>15</v>
      </c>
      <c r="B24"/>
      <c r="C24" s="6"/>
      <c r="D24" s="4"/>
      <c r="F24" s="5"/>
      <c r="H24" s="7"/>
    </row>
    <row r="25" ht="18.75">
      <c r="A25" s="1" t="s">
        <v>47</v>
      </c>
    </row>
  </sheetData>
  <sheetProtection/>
  <mergeCells count="17">
    <mergeCell ref="B16:C16"/>
    <mergeCell ref="B17:C17"/>
    <mergeCell ref="B18:C18"/>
    <mergeCell ref="B19:C19"/>
    <mergeCell ref="B20:C20"/>
    <mergeCell ref="B11:C11"/>
    <mergeCell ref="B12:C12"/>
    <mergeCell ref="B13:C13"/>
    <mergeCell ref="B14:C14"/>
    <mergeCell ref="B15:C15"/>
    <mergeCell ref="B10:C10"/>
    <mergeCell ref="A4:C4"/>
    <mergeCell ref="A5:C5"/>
    <mergeCell ref="A6:C6"/>
    <mergeCell ref="B9:C9"/>
    <mergeCell ref="B8:C8"/>
    <mergeCell ref="A8:A9"/>
  </mergeCells>
  <printOptions/>
  <pageMargins left="0.7086614173228347" right="0.5118110236220472" top="0.9448818897637796" bottom="0.5511811023622047" header="0.31496062992125984" footer="0.31496062992125984"/>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92D050"/>
  </sheetPr>
  <dimension ref="A1:Q101"/>
  <sheetViews>
    <sheetView view="pageBreakPreview" zoomScale="56" zoomScaleNormal="74" zoomScaleSheetLayoutView="56" zoomScalePageLayoutView="0" workbookViewId="0" topLeftCell="A1">
      <pane ySplit="10" topLeftCell="A77" activePane="bottomLeft" state="frozen"/>
      <selection pane="topLeft" activeCell="A1" sqref="A1"/>
      <selection pane="bottomLeft" activeCell="K82" sqref="K82"/>
    </sheetView>
  </sheetViews>
  <sheetFormatPr defaultColWidth="9.140625" defaultRowHeight="12.75"/>
  <cols>
    <col min="1" max="1" width="6.7109375" style="56" customWidth="1"/>
    <col min="2" max="2" width="36.57421875" style="56" customWidth="1"/>
    <col min="3" max="3" width="72.57421875" style="64" customWidth="1"/>
    <col min="4" max="4" width="16.57421875" style="65" customWidth="1"/>
    <col min="5" max="5" width="22.7109375" style="56" customWidth="1"/>
    <col min="6" max="6" width="38.28125" style="68" customWidth="1"/>
    <col min="7" max="7" width="18.140625" style="68" customWidth="1"/>
    <col min="8" max="10" width="16.28125" style="68" customWidth="1"/>
    <col min="11" max="11" width="66.8515625" style="71" customWidth="1"/>
    <col min="12" max="12" width="17.8515625" style="56" customWidth="1"/>
    <col min="13" max="13" width="15.421875" style="56" customWidth="1"/>
    <col min="14" max="14" width="12.140625" style="56" bestFit="1" customWidth="1"/>
    <col min="15" max="15" width="14.57421875" style="56" customWidth="1"/>
    <col min="16" max="16" width="13.28125" style="56" bestFit="1" customWidth="1"/>
    <col min="17" max="17" width="10.00390625" style="56" bestFit="1" customWidth="1"/>
    <col min="18" max="16384" width="9.140625" style="56" customWidth="1"/>
  </cols>
  <sheetData>
    <row r="1" spans="6:14" ht="23.25" customHeight="1">
      <c r="F1" s="66"/>
      <c r="G1" s="66"/>
      <c r="H1" s="66"/>
      <c r="I1" s="66"/>
      <c r="J1" s="66"/>
      <c r="K1" s="56" t="s">
        <v>13</v>
      </c>
      <c r="L1" s="67"/>
      <c r="M1" s="67"/>
      <c r="N1" s="67"/>
    </row>
    <row r="2" ht="39.75" customHeight="1">
      <c r="K2" s="68" t="s">
        <v>89</v>
      </c>
    </row>
    <row r="3" spans="1:11" ht="39" customHeight="1">
      <c r="A3" s="69"/>
      <c r="K3" s="70"/>
    </row>
    <row r="4" ht="45.75" customHeight="1">
      <c r="A4" s="69"/>
    </row>
    <row r="5" spans="1:11" ht="33.75" customHeight="1">
      <c r="A5" s="166" t="s">
        <v>91</v>
      </c>
      <c r="B5" s="166"/>
      <c r="C5" s="166"/>
      <c r="D5" s="166"/>
      <c r="E5" s="166"/>
      <c r="F5" s="166"/>
      <c r="G5" s="166"/>
      <c r="H5" s="166"/>
      <c r="I5" s="166"/>
      <c r="J5" s="166"/>
      <c r="K5" s="166"/>
    </row>
    <row r="6" spans="7:8" ht="44.25" customHeight="1">
      <c r="G6" s="137" t="s">
        <v>226</v>
      </c>
      <c r="H6" s="138">
        <f>H23+H38+H54+H78</f>
        <v>373.65</v>
      </c>
    </row>
    <row r="7" spans="1:11" ht="20.25" customHeight="1">
      <c r="A7" s="167" t="s">
        <v>5</v>
      </c>
      <c r="B7" s="167" t="s">
        <v>6</v>
      </c>
      <c r="C7" s="167" t="s">
        <v>7</v>
      </c>
      <c r="D7" s="167" t="s">
        <v>8</v>
      </c>
      <c r="E7" s="167" t="s">
        <v>9</v>
      </c>
      <c r="F7" s="167" t="s">
        <v>10</v>
      </c>
      <c r="G7" s="171" t="s">
        <v>53</v>
      </c>
      <c r="H7" s="171"/>
      <c r="I7" s="171"/>
      <c r="J7" s="171"/>
      <c r="K7" s="167" t="s">
        <v>11</v>
      </c>
    </row>
    <row r="8" spans="1:11" ht="20.25" customHeight="1">
      <c r="A8" s="167"/>
      <c r="B8" s="167"/>
      <c r="C8" s="167"/>
      <c r="D8" s="167"/>
      <c r="E8" s="167"/>
      <c r="F8" s="167"/>
      <c r="G8" s="167" t="s">
        <v>54</v>
      </c>
      <c r="H8" s="171" t="s">
        <v>55</v>
      </c>
      <c r="I8" s="171"/>
      <c r="J8" s="171"/>
      <c r="K8" s="167"/>
    </row>
    <row r="9" spans="1:11" s="65" customFormat="1" ht="42.75" customHeight="1">
      <c r="A9" s="167"/>
      <c r="B9" s="167"/>
      <c r="C9" s="167"/>
      <c r="D9" s="167"/>
      <c r="E9" s="167"/>
      <c r="F9" s="167"/>
      <c r="G9" s="167"/>
      <c r="H9" s="144" t="s">
        <v>56</v>
      </c>
      <c r="I9" s="144" t="s">
        <v>0</v>
      </c>
      <c r="J9" s="144" t="s">
        <v>57</v>
      </c>
      <c r="K9" s="167"/>
    </row>
    <row r="10" spans="1:16" s="65" customFormat="1" ht="19.5" customHeight="1">
      <c r="A10" s="144">
        <v>1</v>
      </c>
      <c r="B10" s="144">
        <v>2</v>
      </c>
      <c r="C10" s="144">
        <v>3</v>
      </c>
      <c r="D10" s="144">
        <v>4</v>
      </c>
      <c r="E10" s="144">
        <v>5</v>
      </c>
      <c r="F10" s="144">
        <v>6</v>
      </c>
      <c r="G10" s="144">
        <v>7</v>
      </c>
      <c r="H10" s="144">
        <v>8</v>
      </c>
      <c r="I10" s="144">
        <v>9</v>
      </c>
      <c r="J10" s="144">
        <v>10</v>
      </c>
      <c r="K10" s="144">
        <v>11</v>
      </c>
      <c r="O10" s="72"/>
      <c r="P10" s="73"/>
    </row>
    <row r="11" spans="1:15" s="74" customFormat="1" ht="60.75" customHeight="1">
      <c r="A11" s="249" t="s">
        <v>18</v>
      </c>
      <c r="B11" s="249"/>
      <c r="C11" s="249"/>
      <c r="D11" s="249"/>
      <c r="E11" s="249"/>
      <c r="F11" s="249"/>
      <c r="G11" s="249"/>
      <c r="H11" s="249"/>
      <c r="I11" s="249"/>
      <c r="J11" s="249"/>
      <c r="K11" s="249"/>
      <c r="O11" s="72"/>
    </row>
    <row r="12" spans="1:16" ht="141" customHeight="1">
      <c r="A12" s="142">
        <v>1</v>
      </c>
      <c r="B12" s="143" t="s">
        <v>49</v>
      </c>
      <c r="C12" s="146" t="s">
        <v>61</v>
      </c>
      <c r="D12" s="59" t="s">
        <v>62</v>
      </c>
      <c r="E12" s="146" t="s">
        <v>60</v>
      </c>
      <c r="F12" s="146" t="s">
        <v>59</v>
      </c>
      <c r="G12" s="61">
        <f>H12+I12+J12</f>
        <v>42143.442</v>
      </c>
      <c r="H12" s="61">
        <f>(L12*20%)+L12</f>
        <v>13200</v>
      </c>
      <c r="I12" s="61">
        <f>H12*1.067</f>
        <v>14084.4</v>
      </c>
      <c r="J12" s="61">
        <f>I12*1.055</f>
        <v>14859.042</v>
      </c>
      <c r="K12" s="60" t="s">
        <v>58</v>
      </c>
      <c r="L12" s="14">
        <v>11000</v>
      </c>
      <c r="O12" s="72"/>
      <c r="P12" s="75"/>
    </row>
    <row r="13" spans="1:15" ht="99.75" customHeight="1">
      <c r="A13" s="142">
        <v>2</v>
      </c>
      <c r="B13" s="143" t="s">
        <v>50</v>
      </c>
      <c r="C13" s="60" t="s">
        <v>20</v>
      </c>
      <c r="D13" s="59" t="s">
        <v>62</v>
      </c>
      <c r="E13" s="146" t="s">
        <v>60</v>
      </c>
      <c r="F13" s="146" t="s">
        <v>59</v>
      </c>
      <c r="G13" s="61">
        <f>H13+I13+J13</f>
        <v>6896.199599999999</v>
      </c>
      <c r="H13" s="61">
        <f>(L13*20%)+L13</f>
        <v>2160</v>
      </c>
      <c r="I13" s="61">
        <f>H13*1.067</f>
        <v>2304.72</v>
      </c>
      <c r="J13" s="61">
        <f>I13*1.055</f>
        <v>2431.4795999999997</v>
      </c>
      <c r="K13" s="60" t="s">
        <v>19</v>
      </c>
      <c r="L13" s="14">
        <v>1800</v>
      </c>
      <c r="O13" s="72"/>
    </row>
    <row r="14" spans="1:16" ht="117.75" customHeight="1">
      <c r="A14" s="142">
        <v>3</v>
      </c>
      <c r="B14" s="145" t="s">
        <v>51</v>
      </c>
      <c r="C14" s="146" t="s">
        <v>138</v>
      </c>
      <c r="D14" s="59" t="s">
        <v>62</v>
      </c>
      <c r="E14" s="146" t="s">
        <v>60</v>
      </c>
      <c r="F14" s="146" t="s">
        <v>59</v>
      </c>
      <c r="G14" s="61">
        <f>H14+I14+J14</f>
        <v>10380.727008000002</v>
      </c>
      <c r="H14" s="61">
        <f>(L14*20%)+L14</f>
        <v>3216</v>
      </c>
      <c r="I14" s="61">
        <f>H14*1.082</f>
        <v>3479.7120000000004</v>
      </c>
      <c r="J14" s="61">
        <f>I14*1.059</f>
        <v>3685.0150080000003</v>
      </c>
      <c r="K14" s="60" t="s">
        <v>63</v>
      </c>
      <c r="L14" s="14">
        <v>2680</v>
      </c>
      <c r="O14" s="72"/>
      <c r="P14" s="76"/>
    </row>
    <row r="15" spans="1:16" ht="157.5" customHeight="1">
      <c r="A15" s="142">
        <v>4</v>
      </c>
      <c r="B15" s="143" t="s">
        <v>80</v>
      </c>
      <c r="C15" s="250" t="s">
        <v>152</v>
      </c>
      <c r="D15" s="59" t="s">
        <v>62</v>
      </c>
      <c r="E15" s="146" t="s">
        <v>60</v>
      </c>
      <c r="F15" s="146" t="s">
        <v>65</v>
      </c>
      <c r="G15" s="61">
        <f>H15+I15+J15</f>
        <v>11493.666</v>
      </c>
      <c r="H15" s="61">
        <f>(L15*20%)+L15</f>
        <v>3600</v>
      </c>
      <c r="I15" s="61">
        <f>H15*1.067</f>
        <v>3841.2</v>
      </c>
      <c r="J15" s="61">
        <f>I15*1.055</f>
        <v>4052.4659999999994</v>
      </c>
      <c r="K15" s="60" t="s">
        <v>137</v>
      </c>
      <c r="L15" s="77">
        <v>3000</v>
      </c>
      <c r="P15" s="75"/>
    </row>
    <row r="16" spans="1:17" ht="54.75" customHeight="1">
      <c r="A16" s="251" t="s">
        <v>66</v>
      </c>
      <c r="B16" s="251"/>
      <c r="C16" s="251"/>
      <c r="D16" s="251"/>
      <c r="E16" s="251"/>
      <c r="F16" s="145"/>
      <c r="G16" s="85">
        <f>G12+G13+G14+G15</f>
        <v>70914.034608</v>
      </c>
      <c r="H16" s="85">
        <f>H12+H13+H14+H15</f>
        <v>22176</v>
      </c>
      <c r="I16" s="85">
        <f>I12+I13+I14+I15</f>
        <v>23710.032</v>
      </c>
      <c r="J16" s="85">
        <f>J12+J13+J14+J15</f>
        <v>25028.002608000003</v>
      </c>
      <c r="K16" s="60"/>
      <c r="L16" s="77"/>
      <c r="P16" s="78"/>
      <c r="Q16" s="79"/>
    </row>
    <row r="17" spans="1:17" ht="60" customHeight="1">
      <c r="A17" s="251" t="s">
        <v>67</v>
      </c>
      <c r="B17" s="251"/>
      <c r="C17" s="251"/>
      <c r="D17" s="251"/>
      <c r="E17" s="251"/>
      <c r="F17" s="145" t="s">
        <v>59</v>
      </c>
      <c r="G17" s="85">
        <f>G12+G13+G14</f>
        <v>59420.368608000004</v>
      </c>
      <c r="H17" s="85">
        <f>H12+H13+H14</f>
        <v>18576</v>
      </c>
      <c r="I17" s="85">
        <f>I12+I13+I14</f>
        <v>19868.832</v>
      </c>
      <c r="J17" s="85">
        <f>J12+J13+J14</f>
        <v>20975.536608000002</v>
      </c>
      <c r="K17" s="60"/>
      <c r="L17" s="77"/>
      <c r="P17" s="78"/>
      <c r="Q17" s="79"/>
    </row>
    <row r="18" spans="1:17" ht="60" customHeight="1">
      <c r="A18" s="164"/>
      <c r="B18" s="164"/>
      <c r="C18" s="164"/>
      <c r="D18" s="164"/>
      <c r="E18" s="164"/>
      <c r="F18" s="145" t="s">
        <v>65</v>
      </c>
      <c r="G18" s="85">
        <f>G15</f>
        <v>11493.666</v>
      </c>
      <c r="H18" s="85">
        <f>H15</f>
        <v>3600</v>
      </c>
      <c r="I18" s="85">
        <f>I15</f>
        <v>3841.2</v>
      </c>
      <c r="J18" s="85">
        <f>J15</f>
        <v>4052.4659999999994</v>
      </c>
      <c r="K18" s="60"/>
      <c r="L18" s="80"/>
      <c r="Q18" s="75"/>
    </row>
    <row r="19" spans="1:11" s="74" customFormat="1" ht="69.75" customHeight="1">
      <c r="A19" s="249" t="s">
        <v>64</v>
      </c>
      <c r="B19" s="249"/>
      <c r="C19" s="249"/>
      <c r="D19" s="249"/>
      <c r="E19" s="249"/>
      <c r="F19" s="249"/>
      <c r="G19" s="249"/>
      <c r="H19" s="249"/>
      <c r="I19" s="249"/>
      <c r="J19" s="249"/>
      <c r="K19" s="249"/>
    </row>
    <row r="20" spans="1:14" s="81" customFormat="1" ht="171.75" customHeight="1">
      <c r="A20" s="252">
        <v>1</v>
      </c>
      <c r="B20" s="169" t="s">
        <v>68</v>
      </c>
      <c r="C20" s="163" t="s">
        <v>223</v>
      </c>
      <c r="D20" s="240" t="s">
        <v>62</v>
      </c>
      <c r="E20" s="163" t="s">
        <v>60</v>
      </c>
      <c r="F20" s="146" t="s">
        <v>59</v>
      </c>
      <c r="G20" s="61">
        <f aca="true" t="shared" si="0" ref="G20:G30">H20+I20+J20</f>
        <v>41854.33798788</v>
      </c>
      <c r="H20" s="61">
        <f>(L20*20%)+L20</f>
        <v>13109.448</v>
      </c>
      <c r="I20" s="61">
        <f aca="true" t="shared" si="1" ref="I20:I25">H20*1.067</f>
        <v>13987.781015999999</v>
      </c>
      <c r="J20" s="61">
        <f aca="true" t="shared" si="2" ref="J20:J25">I20*1.055</f>
        <v>14757.108971879998</v>
      </c>
      <c r="K20" s="163" t="s">
        <v>21</v>
      </c>
      <c r="L20" s="81">
        <f>11073.1-148.56</f>
        <v>10924.54</v>
      </c>
      <c r="M20" s="81">
        <v>486.435</v>
      </c>
      <c r="N20" s="82">
        <f>L20+M20</f>
        <v>11410.975</v>
      </c>
    </row>
    <row r="21" spans="1:11" s="81" customFormat="1" ht="171.75" customHeight="1">
      <c r="A21" s="252"/>
      <c r="B21" s="169"/>
      <c r="C21" s="163"/>
      <c r="D21" s="240"/>
      <c r="E21" s="163"/>
      <c r="F21" s="146" t="s">
        <v>65</v>
      </c>
      <c r="G21" s="61">
        <f t="shared" si="0"/>
        <v>1863.64047357</v>
      </c>
      <c r="H21" s="61">
        <f>(M20*20%)+M20</f>
        <v>583.722</v>
      </c>
      <c r="I21" s="61">
        <f t="shared" si="1"/>
        <v>622.831374</v>
      </c>
      <c r="J21" s="61">
        <f t="shared" si="2"/>
        <v>657.08709957</v>
      </c>
      <c r="K21" s="163"/>
    </row>
    <row r="22" spans="1:13" s="81" customFormat="1" ht="59.25" customHeight="1">
      <c r="A22" s="252"/>
      <c r="B22" s="169"/>
      <c r="C22" s="163"/>
      <c r="D22" s="240"/>
      <c r="E22" s="163"/>
      <c r="F22" s="146" t="s">
        <v>73</v>
      </c>
      <c r="G22" s="61">
        <f t="shared" si="0"/>
        <v>63519.74514900001</v>
      </c>
      <c r="H22" s="61">
        <f>L22</f>
        <v>19895.4</v>
      </c>
      <c r="I22" s="61">
        <f t="shared" si="1"/>
        <v>21228.3918</v>
      </c>
      <c r="J22" s="61">
        <f t="shared" si="2"/>
        <v>22395.953349</v>
      </c>
      <c r="K22" s="163"/>
      <c r="L22" s="81">
        <v>19895.4</v>
      </c>
      <c r="M22" s="81" t="s">
        <v>93</v>
      </c>
    </row>
    <row r="23" spans="1:13" s="81" customFormat="1" ht="156.75" customHeight="1">
      <c r="A23" s="87">
        <v>2</v>
      </c>
      <c r="B23" s="145" t="s">
        <v>222</v>
      </c>
      <c r="C23" s="147" t="s">
        <v>224</v>
      </c>
      <c r="D23" s="59" t="s">
        <v>62</v>
      </c>
      <c r="E23" s="147" t="s">
        <v>233</v>
      </c>
      <c r="F23" s="146" t="s">
        <v>59</v>
      </c>
      <c r="G23" s="61">
        <f>H23+I23+J23</f>
        <v>474.30528360000005</v>
      </c>
      <c r="H23" s="61">
        <f>L23</f>
        <v>148.56</v>
      </c>
      <c r="I23" s="61">
        <f>H23*1.067</f>
        <v>158.51352</v>
      </c>
      <c r="J23" s="61">
        <f>I23*1.055</f>
        <v>167.2317636</v>
      </c>
      <c r="K23" s="253" t="s">
        <v>225</v>
      </c>
      <c r="L23" s="81">
        <f>148.56</f>
        <v>148.56</v>
      </c>
      <c r="M23" s="81" t="s">
        <v>226</v>
      </c>
    </row>
    <row r="24" spans="1:15" s="74" customFormat="1" ht="91.5" customHeight="1">
      <c r="A24" s="254">
        <v>3</v>
      </c>
      <c r="B24" s="165" t="s">
        <v>71</v>
      </c>
      <c r="C24" s="163" t="s">
        <v>248</v>
      </c>
      <c r="D24" s="255" t="s">
        <v>62</v>
      </c>
      <c r="E24" s="163" t="s">
        <v>60</v>
      </c>
      <c r="F24" s="60" t="s">
        <v>59</v>
      </c>
      <c r="G24" s="61">
        <f t="shared" si="0"/>
        <v>55660.10815266</v>
      </c>
      <c r="H24" s="61">
        <f>(N24*20%)+N24</f>
        <v>17433.636</v>
      </c>
      <c r="I24" s="61">
        <f t="shared" si="1"/>
        <v>18601.689612</v>
      </c>
      <c r="J24" s="61">
        <f t="shared" si="2"/>
        <v>19624.78254066</v>
      </c>
      <c r="K24" s="256" t="s">
        <v>22</v>
      </c>
      <c r="L24" s="83">
        <f>3519.678+7432.095+5144.454+164.765+618.197+667.268+230.269</f>
        <v>17776.726</v>
      </c>
      <c r="N24" s="74">
        <f>2700.3+5441.8+4935.7+667.268+164.765+618.197</f>
        <v>14528.029999999999</v>
      </c>
      <c r="O24" s="74">
        <f>230.269+208.754+1990.295+819.378</f>
        <v>3248.6960000000004</v>
      </c>
    </row>
    <row r="25" spans="1:16" s="74" customFormat="1" ht="91.5" customHeight="1">
      <c r="A25" s="254"/>
      <c r="B25" s="165"/>
      <c r="C25" s="163"/>
      <c r="D25" s="255"/>
      <c r="E25" s="257"/>
      <c r="F25" s="146" t="s">
        <v>65</v>
      </c>
      <c r="G25" s="61">
        <f t="shared" si="0"/>
        <v>12446.475586511999</v>
      </c>
      <c r="H25" s="61">
        <f>O24*20%+O24</f>
        <v>3898.4352000000003</v>
      </c>
      <c r="I25" s="61">
        <f t="shared" si="1"/>
        <v>4159.6303584</v>
      </c>
      <c r="J25" s="61">
        <f t="shared" si="2"/>
        <v>4388.410028111999</v>
      </c>
      <c r="K25" s="256"/>
      <c r="N25" s="84" t="s">
        <v>69</v>
      </c>
      <c r="O25" s="84" t="s">
        <v>70</v>
      </c>
      <c r="P25" s="84" t="s">
        <v>74</v>
      </c>
    </row>
    <row r="26" spans="1:16" s="74" customFormat="1" ht="42" customHeight="1">
      <c r="A26" s="254">
        <v>4</v>
      </c>
      <c r="B26" s="169" t="s">
        <v>72</v>
      </c>
      <c r="C26" s="163" t="s">
        <v>249</v>
      </c>
      <c r="D26" s="255" t="s">
        <v>62</v>
      </c>
      <c r="E26" s="163" t="s">
        <v>60</v>
      </c>
      <c r="F26" s="60" t="s">
        <v>59</v>
      </c>
      <c r="G26" s="61">
        <f t="shared" si="0"/>
        <v>160201.52963904003</v>
      </c>
      <c r="H26" s="61">
        <f>(N26*20%)+N26</f>
        <v>48974.16</v>
      </c>
      <c r="I26" s="61">
        <f>H26*1.094</f>
        <v>53577.731040000006</v>
      </c>
      <c r="J26" s="61">
        <f>I26*1.076</f>
        <v>57649.63859904001</v>
      </c>
      <c r="K26" s="163" t="s">
        <v>23</v>
      </c>
      <c r="L26" s="74">
        <f>33454.175+7357.625+7593.118+1670.458</f>
        <v>50075.376000000004</v>
      </c>
      <c r="M26" s="168">
        <f>L26+L27</f>
        <v>217197.67599999998</v>
      </c>
      <c r="N26" s="74">
        <f>33454.175+7357.625</f>
        <v>40811.8</v>
      </c>
      <c r="O26" s="74">
        <f>7593.118+1670.458</f>
        <v>9263.576000000001</v>
      </c>
      <c r="P26" s="74">
        <f>136983.525+30138.775</f>
        <v>167122.3</v>
      </c>
    </row>
    <row r="27" spans="1:13" s="74" customFormat="1" ht="62.25" customHeight="1">
      <c r="A27" s="254"/>
      <c r="B27" s="169"/>
      <c r="C27" s="163"/>
      <c r="D27" s="255"/>
      <c r="E27" s="163"/>
      <c r="F27" s="146" t="s">
        <v>73</v>
      </c>
      <c r="G27" s="61">
        <f t="shared" si="0"/>
        <v>656017.33069344</v>
      </c>
      <c r="H27" s="61">
        <f>(P26*20%)+P26</f>
        <v>200546.75999999998</v>
      </c>
      <c r="I27" s="61">
        <f>H27*1.094</f>
        <v>219398.15544</v>
      </c>
      <c r="J27" s="61">
        <f>I27*1.076</f>
        <v>236072.41525344</v>
      </c>
      <c r="K27" s="163"/>
      <c r="L27" s="74">
        <f>136983.525+30138.775</f>
        <v>167122.3</v>
      </c>
      <c r="M27" s="168"/>
    </row>
    <row r="28" spans="1:15" s="74" customFormat="1" ht="38.25" customHeight="1">
      <c r="A28" s="254"/>
      <c r="B28" s="169"/>
      <c r="C28" s="163"/>
      <c r="D28" s="255"/>
      <c r="E28" s="163"/>
      <c r="F28" s="146" t="s">
        <v>65</v>
      </c>
      <c r="G28" s="61">
        <f t="shared" si="0"/>
        <v>36362.98926113281</v>
      </c>
      <c r="H28" s="61">
        <f>(O26*20%)+O26</f>
        <v>11116.291200000001</v>
      </c>
      <c r="I28" s="61">
        <f>H28*1.094</f>
        <v>12161.222572800003</v>
      </c>
      <c r="J28" s="61">
        <f>I28*1.076</f>
        <v>13085.475488332804</v>
      </c>
      <c r="K28" s="163"/>
      <c r="M28" s="65"/>
      <c r="N28" s="84" t="s">
        <v>69</v>
      </c>
      <c r="O28" s="84" t="s">
        <v>70</v>
      </c>
    </row>
    <row r="29" spans="1:15" s="74" customFormat="1" ht="40.5" customHeight="1">
      <c r="A29" s="164">
        <v>5</v>
      </c>
      <c r="B29" s="169" t="s">
        <v>51</v>
      </c>
      <c r="C29" s="170" t="s">
        <v>250</v>
      </c>
      <c r="D29" s="255" t="s">
        <v>62</v>
      </c>
      <c r="E29" s="163" t="s">
        <v>60</v>
      </c>
      <c r="F29" s="60" t="s">
        <v>59</v>
      </c>
      <c r="G29" s="61">
        <f t="shared" si="0"/>
        <v>84466.68969343681</v>
      </c>
      <c r="H29" s="61">
        <f>N29*20%+N29</f>
        <v>26168.193600000002</v>
      </c>
      <c r="I29" s="61">
        <f>H29*1.082</f>
        <v>28313.985475200003</v>
      </c>
      <c r="J29" s="61">
        <f>I29*1.059</f>
        <v>29984.5106182368</v>
      </c>
      <c r="K29" s="258" t="s">
        <v>24</v>
      </c>
      <c r="L29" s="83">
        <v>22024.989</v>
      </c>
      <c r="N29" s="74">
        <v>21806.828</v>
      </c>
      <c r="O29" s="74">
        <v>218.161</v>
      </c>
    </row>
    <row r="30" spans="1:11" s="74" customFormat="1" ht="61.5" customHeight="1">
      <c r="A30" s="164"/>
      <c r="B30" s="169"/>
      <c r="C30" s="170"/>
      <c r="D30" s="255"/>
      <c r="E30" s="163"/>
      <c r="F30" s="146" t="s">
        <v>65</v>
      </c>
      <c r="G30" s="61">
        <f t="shared" si="0"/>
        <v>845.0260391016</v>
      </c>
      <c r="H30" s="61">
        <f>O29*20%+O29</f>
        <v>261.7932</v>
      </c>
      <c r="I30" s="61">
        <f>H30*1.082</f>
        <v>283.26024240000004</v>
      </c>
      <c r="J30" s="61">
        <f>I30*1.059</f>
        <v>299.9725967016</v>
      </c>
      <c r="K30" s="258"/>
    </row>
    <row r="31" spans="1:12" s="74" customFormat="1" ht="198.75" customHeight="1">
      <c r="A31" s="142">
        <v>6</v>
      </c>
      <c r="B31" s="143" t="s">
        <v>80</v>
      </c>
      <c r="C31" s="259" t="s">
        <v>251</v>
      </c>
      <c r="D31" s="59" t="s">
        <v>62</v>
      </c>
      <c r="E31" s="147" t="s">
        <v>60</v>
      </c>
      <c r="F31" s="146" t="s">
        <v>65</v>
      </c>
      <c r="G31" s="61">
        <f>H31+I31+J31</f>
        <v>45974.664</v>
      </c>
      <c r="H31" s="61">
        <f>L31*20%+L31</f>
        <v>14400</v>
      </c>
      <c r="I31" s="61">
        <f>H31*1.067</f>
        <v>15364.8</v>
      </c>
      <c r="J31" s="61">
        <f>I31*1.055</f>
        <v>16209.863999999998</v>
      </c>
      <c r="K31" s="60" t="s">
        <v>31</v>
      </c>
      <c r="L31" s="83">
        <v>12000</v>
      </c>
    </row>
    <row r="32" spans="1:12" s="74" customFormat="1" ht="48" customHeight="1">
      <c r="A32" s="251" t="s">
        <v>66</v>
      </c>
      <c r="B32" s="251"/>
      <c r="C32" s="251"/>
      <c r="D32" s="251"/>
      <c r="E32" s="251"/>
      <c r="F32" s="145"/>
      <c r="G32" s="85">
        <f>G20+G21+G24+G25+G26+G27+G28+G29+G30+G31+G22+G23</f>
        <v>1159686.8419593736</v>
      </c>
      <c r="H32" s="85">
        <f>H20+H21+H24+H25+H26+H27+H28+H29+H30+H31+H22+H23</f>
        <v>356536.3992</v>
      </c>
      <c r="I32" s="85">
        <f>I20+I21+I24+I25+I26+I27+I28+I29+I30+I31+I22+I23</f>
        <v>387857.9924507999</v>
      </c>
      <c r="J32" s="85">
        <f>J20+J21+J24+J25+J26+J27+J28+J29+J30+J31+J22+J23</f>
        <v>415292.45030857326</v>
      </c>
      <c r="K32" s="60"/>
      <c r="L32" s="83"/>
    </row>
    <row r="33" spans="1:12" s="74" customFormat="1" ht="36" customHeight="1">
      <c r="A33" s="251" t="s">
        <v>67</v>
      </c>
      <c r="B33" s="251"/>
      <c r="C33" s="251"/>
      <c r="D33" s="251"/>
      <c r="E33" s="251"/>
      <c r="F33" s="145" t="s">
        <v>59</v>
      </c>
      <c r="G33" s="85">
        <f>G20+G24+G26+G29+G23</f>
        <v>342656.97075661685</v>
      </c>
      <c r="H33" s="85">
        <f>H20+H24+H26+H29+H23</f>
        <v>105833.9976</v>
      </c>
      <c r="I33" s="85">
        <f>I20+I24+I26+I29+I23</f>
        <v>114639.70066319998</v>
      </c>
      <c r="J33" s="85">
        <f>J20+J24+J26+J29+J23</f>
        <v>122183.2724934168</v>
      </c>
      <c r="K33" s="60"/>
      <c r="L33" s="83"/>
    </row>
    <row r="34" spans="1:12" s="74" customFormat="1" ht="38.25" customHeight="1">
      <c r="A34" s="164"/>
      <c r="B34" s="164"/>
      <c r="C34" s="164"/>
      <c r="D34" s="164"/>
      <c r="E34" s="164"/>
      <c r="F34" s="145" t="s">
        <v>65</v>
      </c>
      <c r="G34" s="85">
        <f>G21+G25+G30+G31+G28</f>
        <v>97492.7953603164</v>
      </c>
      <c r="H34" s="85">
        <f>H21+H25+H30+H31+H28</f>
        <v>30260.2416</v>
      </c>
      <c r="I34" s="85">
        <f>I21+I25+I30+I31+I28</f>
        <v>32591.7445476</v>
      </c>
      <c r="J34" s="85">
        <f>J21+J25+J30+J31+J28</f>
        <v>34640.8092127164</v>
      </c>
      <c r="K34" s="60"/>
      <c r="L34" s="83"/>
    </row>
    <row r="35" spans="1:12" s="74" customFormat="1" ht="73.5" customHeight="1">
      <c r="A35" s="260"/>
      <c r="B35" s="164"/>
      <c r="C35" s="164"/>
      <c r="D35" s="164"/>
      <c r="E35" s="164"/>
      <c r="F35" s="145" t="s">
        <v>73</v>
      </c>
      <c r="G35" s="85">
        <f>G27+G22</f>
        <v>719537.07584244</v>
      </c>
      <c r="H35" s="85">
        <f>H27+H22</f>
        <v>220442.15999999997</v>
      </c>
      <c r="I35" s="85">
        <f>I27+I22</f>
        <v>240626.54724</v>
      </c>
      <c r="J35" s="85">
        <f>J27+J22</f>
        <v>258468.36860244</v>
      </c>
      <c r="K35" s="60"/>
      <c r="L35" s="83"/>
    </row>
    <row r="36" spans="1:11" s="74" customFormat="1" ht="50.25" customHeight="1">
      <c r="A36" s="261" t="s">
        <v>76</v>
      </c>
      <c r="B36" s="261"/>
      <c r="C36" s="261"/>
      <c r="D36" s="261"/>
      <c r="E36" s="261"/>
      <c r="F36" s="261"/>
      <c r="G36" s="261"/>
      <c r="H36" s="261"/>
      <c r="I36" s="261"/>
      <c r="J36" s="261"/>
      <c r="K36" s="261"/>
    </row>
    <row r="37" spans="1:14" s="74" customFormat="1" ht="303.75" customHeight="1">
      <c r="A37" s="87">
        <v>1</v>
      </c>
      <c r="B37" s="143" t="s">
        <v>79</v>
      </c>
      <c r="C37" s="147" t="s">
        <v>75</v>
      </c>
      <c r="D37" s="59" t="s">
        <v>62</v>
      </c>
      <c r="E37" s="147" t="s">
        <v>60</v>
      </c>
      <c r="F37" s="146" t="s">
        <v>59</v>
      </c>
      <c r="G37" s="61">
        <f>H37+I37+J37</f>
        <v>9488.44271742</v>
      </c>
      <c r="H37" s="61">
        <f>L37*20%+L37</f>
        <v>2971.932</v>
      </c>
      <c r="I37" s="61">
        <f>H37*1.067</f>
        <v>3171.0514439999997</v>
      </c>
      <c r="J37" s="61">
        <f>I37*1.055</f>
        <v>3345.4592734199996</v>
      </c>
      <c r="K37" s="253" t="s">
        <v>21</v>
      </c>
      <c r="L37" s="83">
        <f>2492.7-16.09</f>
        <v>2476.6099999999997</v>
      </c>
      <c r="M37" s="86" t="s">
        <v>69</v>
      </c>
      <c r="N37" s="86" t="s">
        <v>70</v>
      </c>
    </row>
    <row r="38" spans="1:14" s="74" customFormat="1" ht="136.5" customHeight="1">
      <c r="A38" s="87">
        <v>2</v>
      </c>
      <c r="B38" s="145" t="s">
        <v>222</v>
      </c>
      <c r="C38" s="147" t="s">
        <v>224</v>
      </c>
      <c r="D38" s="59" t="s">
        <v>62</v>
      </c>
      <c r="E38" s="147" t="s">
        <v>233</v>
      </c>
      <c r="F38" s="146" t="s">
        <v>59</v>
      </c>
      <c r="G38" s="61">
        <f>H38+I38+J38</f>
        <v>51.370301649999995</v>
      </c>
      <c r="H38" s="61">
        <f>L38</f>
        <v>16.09</v>
      </c>
      <c r="I38" s="61">
        <f>H38*1.067</f>
        <v>17.168029999999998</v>
      </c>
      <c r="J38" s="61">
        <f>I38*1.055</f>
        <v>18.112271649999997</v>
      </c>
      <c r="K38" s="253" t="s">
        <v>225</v>
      </c>
      <c r="L38" s="83">
        <v>16.09</v>
      </c>
      <c r="M38" s="86" t="s">
        <v>226</v>
      </c>
      <c r="N38" s="86"/>
    </row>
    <row r="39" spans="1:14" s="89" customFormat="1" ht="68.25" customHeight="1">
      <c r="A39" s="254">
        <v>3</v>
      </c>
      <c r="B39" s="165" t="s">
        <v>71</v>
      </c>
      <c r="C39" s="163" t="s">
        <v>229</v>
      </c>
      <c r="D39" s="255" t="s">
        <v>62</v>
      </c>
      <c r="E39" s="262" t="s">
        <v>60</v>
      </c>
      <c r="F39" s="60" t="s">
        <v>59</v>
      </c>
      <c r="G39" s="61">
        <f aca="true" t="shared" si="3" ref="G39:G46">SUM(H39:J39)</f>
        <v>8054.761132799998</v>
      </c>
      <c r="H39" s="61">
        <f>L39*20%+L39</f>
        <v>2522.8799999999997</v>
      </c>
      <c r="I39" s="61">
        <f>H39*1.067</f>
        <v>2691.9129599999997</v>
      </c>
      <c r="J39" s="61">
        <f>I39*1.055</f>
        <v>2839.9681727999996</v>
      </c>
      <c r="K39" s="256" t="s">
        <v>26</v>
      </c>
      <c r="L39" s="88">
        <f>563+495.8+993.8+23+15.7+0.1+11</f>
        <v>2102.3999999999996</v>
      </c>
      <c r="M39" s="89">
        <f>561+495.8+991.8+23+15.7+0.1</f>
        <v>2087.3999999999996</v>
      </c>
      <c r="N39" s="89">
        <f>2+2+11</f>
        <v>15</v>
      </c>
    </row>
    <row r="40" spans="1:15" s="90" customFormat="1" ht="68.25" customHeight="1">
      <c r="A40" s="254"/>
      <c r="B40" s="165"/>
      <c r="C40" s="163"/>
      <c r="D40" s="255"/>
      <c r="E40" s="262"/>
      <c r="F40" s="60" t="s">
        <v>65</v>
      </c>
      <c r="G40" s="61">
        <f t="shared" si="3"/>
        <v>57.46833</v>
      </c>
      <c r="H40" s="61">
        <f>N39*20%+N39</f>
        <v>18</v>
      </c>
      <c r="I40" s="61">
        <f>H40*1.067</f>
        <v>19.206</v>
      </c>
      <c r="J40" s="61">
        <f>I40*1.055</f>
        <v>20.26233</v>
      </c>
      <c r="K40" s="256"/>
      <c r="L40" s="90">
        <f>L39*1.067</f>
        <v>2243.2607999999996</v>
      </c>
      <c r="M40" s="86" t="s">
        <v>69</v>
      </c>
      <c r="N40" s="86" t="s">
        <v>70</v>
      </c>
      <c r="O40" s="91" t="s">
        <v>78</v>
      </c>
    </row>
    <row r="41" spans="1:15" s="74" customFormat="1" ht="54" customHeight="1">
      <c r="A41" s="254">
        <v>4</v>
      </c>
      <c r="B41" s="169" t="s">
        <v>72</v>
      </c>
      <c r="C41" s="163" t="s">
        <v>228</v>
      </c>
      <c r="D41" s="255" t="s">
        <v>62</v>
      </c>
      <c r="E41" s="262" t="s">
        <v>60</v>
      </c>
      <c r="F41" s="60" t="s">
        <v>59</v>
      </c>
      <c r="G41" s="61">
        <f t="shared" si="3"/>
        <v>22702.00105152</v>
      </c>
      <c r="H41" s="61">
        <f>M41*20%+M41</f>
        <v>6940.08</v>
      </c>
      <c r="I41" s="61">
        <f>H41*1.094</f>
        <v>7592.447520000001</v>
      </c>
      <c r="J41" s="61">
        <f>I41*1.076</f>
        <v>8169.473531520001</v>
      </c>
      <c r="K41" s="163" t="s">
        <v>23</v>
      </c>
      <c r="L41" s="83">
        <f>4740.5+1042.9+11.8+2.6</f>
        <v>5797.8</v>
      </c>
      <c r="M41" s="74">
        <f>4740.5+1042.9</f>
        <v>5783.4</v>
      </c>
      <c r="N41" s="74">
        <f>11.8+2.6</f>
        <v>14.4</v>
      </c>
      <c r="O41" s="74">
        <f>19262+4237.6</f>
        <v>23499.6</v>
      </c>
    </row>
    <row r="42" spans="1:12" s="74" customFormat="1" ht="45.75" customHeight="1">
      <c r="A42" s="254"/>
      <c r="B42" s="169"/>
      <c r="C42" s="163"/>
      <c r="D42" s="255"/>
      <c r="E42" s="262"/>
      <c r="F42" s="60" t="s">
        <v>65</v>
      </c>
      <c r="G42" s="61">
        <f t="shared" si="3"/>
        <v>56.52536832</v>
      </c>
      <c r="H42" s="61">
        <f>N41*20%+N41</f>
        <v>17.28</v>
      </c>
      <c r="I42" s="61">
        <f>H42*1.094</f>
        <v>18.904320000000002</v>
      </c>
      <c r="J42" s="61">
        <f>I42*1.076</f>
        <v>20.341048320000002</v>
      </c>
      <c r="K42" s="163"/>
      <c r="L42" s="83">
        <f>19262+4237.6</f>
        <v>23499.6</v>
      </c>
    </row>
    <row r="43" spans="1:14" s="74" customFormat="1" ht="63" customHeight="1">
      <c r="A43" s="254"/>
      <c r="B43" s="169"/>
      <c r="C43" s="163"/>
      <c r="D43" s="255"/>
      <c r="E43" s="262"/>
      <c r="F43" s="146" t="s">
        <v>73</v>
      </c>
      <c r="G43" s="61">
        <f t="shared" si="3"/>
        <v>92244.69065087999</v>
      </c>
      <c r="H43" s="61">
        <f>O41*20%+O41</f>
        <v>28199.519999999997</v>
      </c>
      <c r="I43" s="61">
        <f>H43*1.094</f>
        <v>30850.274879999997</v>
      </c>
      <c r="J43" s="61">
        <f>I43*1.076</f>
        <v>33194.89577088</v>
      </c>
      <c r="K43" s="163"/>
      <c r="L43" s="74">
        <f>L41*1.094</f>
        <v>6342.793200000001</v>
      </c>
      <c r="M43" s="86" t="s">
        <v>69</v>
      </c>
      <c r="N43" s="86" t="s">
        <v>70</v>
      </c>
    </row>
    <row r="44" spans="1:14" s="74" customFormat="1" ht="53.25" customHeight="1">
      <c r="A44" s="164">
        <v>5</v>
      </c>
      <c r="B44" s="169" t="s">
        <v>51</v>
      </c>
      <c r="C44" s="170" t="s">
        <v>227</v>
      </c>
      <c r="D44" s="255" t="s">
        <v>62</v>
      </c>
      <c r="E44" s="163" t="s">
        <v>60</v>
      </c>
      <c r="F44" s="60" t="s">
        <v>59</v>
      </c>
      <c r="G44" s="61">
        <f t="shared" si="3"/>
        <v>14971.161959049601</v>
      </c>
      <c r="H44" s="61">
        <f>M44*20%+M44</f>
        <v>4638.1392</v>
      </c>
      <c r="I44" s="61">
        <f>H44*1.082</f>
        <v>5018.4666144</v>
      </c>
      <c r="J44" s="61">
        <f>I44*1.059</f>
        <v>5314.5561446496</v>
      </c>
      <c r="K44" s="258" t="s">
        <v>24</v>
      </c>
      <c r="L44" s="83">
        <v>3873.116</v>
      </c>
      <c r="M44" s="74">
        <v>3865.116</v>
      </c>
      <c r="N44" s="74">
        <v>8</v>
      </c>
    </row>
    <row r="45" spans="1:12" s="74" customFormat="1" ht="38.25" customHeight="1">
      <c r="A45" s="164"/>
      <c r="B45" s="169"/>
      <c r="C45" s="170"/>
      <c r="D45" s="255"/>
      <c r="E45" s="163"/>
      <c r="F45" s="60" t="s">
        <v>65</v>
      </c>
      <c r="G45" s="61">
        <f t="shared" si="3"/>
        <v>30.9872448</v>
      </c>
      <c r="H45" s="61">
        <f>N44*20%+N44</f>
        <v>9.6</v>
      </c>
      <c r="I45" s="61">
        <f>H45*1.082</f>
        <v>10.3872</v>
      </c>
      <c r="J45" s="61">
        <f>I45*1.059</f>
        <v>11.0000448</v>
      </c>
      <c r="K45" s="258"/>
      <c r="L45" s="74">
        <f>L44*1.082</f>
        <v>4190.711512</v>
      </c>
    </row>
    <row r="46" spans="1:13" s="74" customFormat="1" ht="125.25" customHeight="1">
      <c r="A46" s="142">
        <v>6</v>
      </c>
      <c r="B46" s="143" t="s">
        <v>80</v>
      </c>
      <c r="C46" s="259" t="s">
        <v>92</v>
      </c>
      <c r="D46" s="59" t="s">
        <v>62</v>
      </c>
      <c r="E46" s="147" t="s">
        <v>60</v>
      </c>
      <c r="F46" s="60" t="s">
        <v>65</v>
      </c>
      <c r="G46" s="61">
        <f t="shared" si="3"/>
        <v>3831.2219999999998</v>
      </c>
      <c r="H46" s="61">
        <f>L46*20%+L46</f>
        <v>1200</v>
      </c>
      <c r="I46" s="61">
        <f>H46*1.067</f>
        <v>1280.3999999999999</v>
      </c>
      <c r="J46" s="61">
        <f>I46*1.055</f>
        <v>1350.822</v>
      </c>
      <c r="K46" s="60" t="s">
        <v>25</v>
      </c>
      <c r="L46" s="83">
        <v>1000</v>
      </c>
      <c r="M46" s="74" t="s">
        <v>70</v>
      </c>
    </row>
    <row r="47" spans="1:12" s="74" customFormat="1" ht="26.25" customHeight="1">
      <c r="A47" s="251" t="s">
        <v>66</v>
      </c>
      <c r="B47" s="251"/>
      <c r="C47" s="251"/>
      <c r="D47" s="251"/>
      <c r="E47" s="251"/>
      <c r="F47" s="145"/>
      <c r="G47" s="85">
        <f>G37+G39+G40+G41+G42+G43+G44+G45+G46+G38</f>
        <v>151488.6307564396</v>
      </c>
      <c r="H47" s="85">
        <f>H37+H39+H40+H41+H42+H43+H44+H45+H46+H38</f>
        <v>46533.52119999999</v>
      </c>
      <c r="I47" s="85">
        <f>I37+I39+I40+I41+I42+I43+I44+I45+I46+I38</f>
        <v>50670.2189684</v>
      </c>
      <c r="J47" s="85">
        <f>J37+J39+J40+J41+J42+J43+J44+J45+J46+J38</f>
        <v>54284.890588039605</v>
      </c>
      <c r="K47" s="60"/>
      <c r="L47" s="83"/>
    </row>
    <row r="48" spans="1:12" s="74" customFormat="1" ht="54" customHeight="1">
      <c r="A48" s="251" t="s">
        <v>67</v>
      </c>
      <c r="B48" s="251"/>
      <c r="C48" s="251"/>
      <c r="D48" s="251"/>
      <c r="E48" s="251"/>
      <c r="F48" s="145" t="s">
        <v>59</v>
      </c>
      <c r="G48" s="85">
        <f>G37+G39+G41+G44+G38</f>
        <v>55267.7371624396</v>
      </c>
      <c r="H48" s="85">
        <f>H37+H39+H41+H44+H38</f>
        <v>17089.121199999998</v>
      </c>
      <c r="I48" s="85">
        <f>I37+I39+I41+I44+I38</f>
        <v>18491.0465684</v>
      </c>
      <c r="J48" s="85">
        <f>J37+J39+J41+J44+J38</f>
        <v>19687.5693940396</v>
      </c>
      <c r="K48" s="60"/>
      <c r="L48" s="83"/>
    </row>
    <row r="49" spans="1:12" s="74" customFormat="1" ht="54" customHeight="1">
      <c r="A49" s="164"/>
      <c r="B49" s="164"/>
      <c r="C49" s="164"/>
      <c r="D49" s="164"/>
      <c r="E49" s="164"/>
      <c r="F49" s="145" t="s">
        <v>65</v>
      </c>
      <c r="G49" s="85">
        <f>G40+G42+G45+G46</f>
        <v>3976.20294312</v>
      </c>
      <c r="H49" s="85">
        <f>H40+H42+H45+H46</f>
        <v>1244.88</v>
      </c>
      <c r="I49" s="85">
        <f>I40+I42+I45+I46</f>
        <v>1328.8975199999998</v>
      </c>
      <c r="J49" s="85">
        <f>J40+J42+J45+J46</f>
        <v>1402.4254231199998</v>
      </c>
      <c r="K49" s="60"/>
      <c r="L49" s="83"/>
    </row>
    <row r="50" spans="1:12" s="74" customFormat="1" ht="60" customHeight="1">
      <c r="A50" s="263"/>
      <c r="B50" s="263"/>
      <c r="C50" s="263"/>
      <c r="D50" s="263"/>
      <c r="E50" s="263"/>
      <c r="F50" s="145" t="s">
        <v>73</v>
      </c>
      <c r="G50" s="85">
        <f>G43</f>
        <v>92244.69065087999</v>
      </c>
      <c r="H50" s="85">
        <f>H43</f>
        <v>28199.519999999997</v>
      </c>
      <c r="I50" s="85">
        <f>I43</f>
        <v>30850.274879999997</v>
      </c>
      <c r="J50" s="85">
        <f>J43</f>
        <v>33194.89577088</v>
      </c>
      <c r="K50" s="60"/>
      <c r="L50" s="83"/>
    </row>
    <row r="51" spans="1:14" s="74" customFormat="1" ht="45.75" customHeight="1">
      <c r="A51" s="261" t="s">
        <v>81</v>
      </c>
      <c r="B51" s="261"/>
      <c r="C51" s="261"/>
      <c r="D51" s="261"/>
      <c r="E51" s="261"/>
      <c r="F51" s="261"/>
      <c r="G51" s="261"/>
      <c r="H51" s="261"/>
      <c r="I51" s="261"/>
      <c r="J51" s="261"/>
      <c r="K51" s="261"/>
      <c r="M51" s="74" t="s">
        <v>69</v>
      </c>
      <c r="N51" s="74" t="s">
        <v>70</v>
      </c>
    </row>
    <row r="52" spans="1:14" s="74" customFormat="1" ht="37.5" customHeight="1">
      <c r="A52" s="254">
        <v>1</v>
      </c>
      <c r="B52" s="165" t="s">
        <v>68</v>
      </c>
      <c r="C52" s="163" t="s">
        <v>33</v>
      </c>
      <c r="D52" s="264" t="s">
        <v>62</v>
      </c>
      <c r="E52" s="163" t="s">
        <v>60</v>
      </c>
      <c r="F52" s="146" t="s">
        <v>59</v>
      </c>
      <c r="G52" s="61">
        <f aca="true" t="shared" si="4" ref="G52:G62">SUM(H52:J52)</f>
        <v>1111.8206243999998</v>
      </c>
      <c r="H52" s="61">
        <f>M52*20%+M52</f>
        <v>348.24</v>
      </c>
      <c r="I52" s="61">
        <f>H52*1.067</f>
        <v>371.57207999999997</v>
      </c>
      <c r="J52" s="61">
        <f>I52*1.055</f>
        <v>392.00854439999995</v>
      </c>
      <c r="K52" s="256" t="s">
        <v>32</v>
      </c>
      <c r="L52" s="83">
        <v>955.2</v>
      </c>
      <c r="M52" s="74">
        <f>299.2-9</f>
        <v>290.2</v>
      </c>
      <c r="N52" s="74">
        <v>656</v>
      </c>
    </row>
    <row r="53" spans="1:12" s="74" customFormat="1" ht="37.5" customHeight="1">
      <c r="A53" s="254"/>
      <c r="B53" s="165"/>
      <c r="C53" s="163"/>
      <c r="D53" s="264"/>
      <c r="E53" s="163"/>
      <c r="F53" s="146" t="s">
        <v>65</v>
      </c>
      <c r="G53" s="61">
        <f t="shared" si="4"/>
        <v>2513.281632</v>
      </c>
      <c r="H53" s="146">
        <f>N52*20%+N52</f>
        <v>787.2</v>
      </c>
      <c r="I53" s="61">
        <f>H53*1.067</f>
        <v>839.9424</v>
      </c>
      <c r="J53" s="61">
        <f>I53*1.055</f>
        <v>886.139232</v>
      </c>
      <c r="K53" s="256"/>
      <c r="L53" s="74">
        <f>L52*1.067</f>
        <v>1019.1984</v>
      </c>
    </row>
    <row r="54" spans="1:15" s="74" customFormat="1" ht="144" customHeight="1">
      <c r="A54" s="87">
        <v>2</v>
      </c>
      <c r="B54" s="145" t="s">
        <v>222</v>
      </c>
      <c r="C54" s="147" t="s">
        <v>224</v>
      </c>
      <c r="D54" s="59" t="s">
        <v>62</v>
      </c>
      <c r="E54" s="147" t="s">
        <v>233</v>
      </c>
      <c r="F54" s="146" t="s">
        <v>59</v>
      </c>
      <c r="G54" s="61">
        <f>H54+I54+J54</f>
        <v>28.734165</v>
      </c>
      <c r="H54" s="61">
        <f>L54</f>
        <v>9</v>
      </c>
      <c r="I54" s="61">
        <f>H54*1.067</f>
        <v>9.603</v>
      </c>
      <c r="J54" s="61">
        <f>I54*1.055</f>
        <v>10.131165</v>
      </c>
      <c r="K54" s="253" t="s">
        <v>225</v>
      </c>
      <c r="L54" s="74">
        <v>9</v>
      </c>
      <c r="M54" s="86" t="s">
        <v>226</v>
      </c>
      <c r="N54" s="86"/>
      <c r="O54" s="91"/>
    </row>
    <row r="55" spans="1:14" s="74" customFormat="1" ht="55.5" customHeight="1">
      <c r="A55" s="254">
        <v>3</v>
      </c>
      <c r="B55" s="165" t="s">
        <v>71</v>
      </c>
      <c r="C55" s="163" t="s">
        <v>252</v>
      </c>
      <c r="D55" s="255" t="s">
        <v>62</v>
      </c>
      <c r="E55" s="163" t="s">
        <v>60</v>
      </c>
      <c r="F55" s="146" t="s">
        <v>59</v>
      </c>
      <c r="G55" s="61">
        <f t="shared" si="4"/>
        <v>1266.44874432</v>
      </c>
      <c r="H55" s="61">
        <f>M55*20%+M55</f>
        <v>396.672</v>
      </c>
      <c r="I55" s="61">
        <f>H55*1.067</f>
        <v>423.249024</v>
      </c>
      <c r="J55" s="61">
        <f>I55*1.055</f>
        <v>446.52772032</v>
      </c>
      <c r="K55" s="256" t="s">
        <v>26</v>
      </c>
      <c r="L55" s="83">
        <f>226.3+301.3+5+10+32.46+10</f>
        <v>585.0600000000001</v>
      </c>
      <c r="M55" s="74">
        <f>138.8+151.3+8+32.46</f>
        <v>330.56</v>
      </c>
      <c r="N55" s="74">
        <f>87.5+150+5+2+10</f>
        <v>254.5</v>
      </c>
    </row>
    <row r="56" spans="1:15" s="74" customFormat="1" ht="55.5" customHeight="1">
      <c r="A56" s="254"/>
      <c r="B56" s="165"/>
      <c r="C56" s="163"/>
      <c r="D56" s="255"/>
      <c r="E56" s="163"/>
      <c r="F56" s="146" t="s">
        <v>65</v>
      </c>
      <c r="G56" s="61">
        <f t="shared" si="4"/>
        <v>975.0459989999999</v>
      </c>
      <c r="H56" s="61">
        <f>N55*20%+N55</f>
        <v>305.4</v>
      </c>
      <c r="I56" s="61">
        <f>H56*1.067</f>
        <v>325.86179999999996</v>
      </c>
      <c r="J56" s="61">
        <f>I56*1.055</f>
        <v>343.78419899999994</v>
      </c>
      <c r="K56" s="256"/>
      <c r="L56" s="74">
        <f>L55*1.067</f>
        <v>624.2590200000001</v>
      </c>
      <c r="M56" s="86" t="s">
        <v>69</v>
      </c>
      <c r="N56" s="86" t="s">
        <v>70</v>
      </c>
      <c r="O56" s="91" t="s">
        <v>78</v>
      </c>
    </row>
    <row r="57" spans="1:15" s="74" customFormat="1" ht="50.25" customHeight="1">
      <c r="A57" s="254">
        <v>4</v>
      </c>
      <c r="B57" s="169" t="s">
        <v>72</v>
      </c>
      <c r="C57" s="163" t="s">
        <v>253</v>
      </c>
      <c r="D57" s="255" t="s">
        <v>62</v>
      </c>
      <c r="E57" s="163" t="s">
        <v>60</v>
      </c>
      <c r="F57" s="60" t="s">
        <v>59</v>
      </c>
      <c r="G57" s="61">
        <f t="shared" si="4"/>
        <v>3926.9429491200003</v>
      </c>
      <c r="H57" s="61">
        <f>M57*20%+M57</f>
        <v>1200.48</v>
      </c>
      <c r="I57" s="61">
        <f>H57*1.094</f>
        <v>1313.3251200000002</v>
      </c>
      <c r="J57" s="61">
        <f>I57*1.076</f>
        <v>1413.1378291200003</v>
      </c>
      <c r="K57" s="163" t="s">
        <v>23</v>
      </c>
      <c r="L57" s="92">
        <f>820+5264+180.4+1184</f>
        <v>7448.4</v>
      </c>
      <c r="M57" s="74">
        <f>820+180.4</f>
        <v>1000.4</v>
      </c>
      <c r="N57" s="74">
        <f>5264+1184</f>
        <v>6448</v>
      </c>
      <c r="O57" s="81">
        <f>3331.8+733</f>
        <v>4064.8</v>
      </c>
    </row>
    <row r="58" spans="1:12" s="74" customFormat="1" ht="50.25" customHeight="1">
      <c r="A58" s="254"/>
      <c r="B58" s="169"/>
      <c r="C58" s="163"/>
      <c r="D58" s="255"/>
      <c r="E58" s="163"/>
      <c r="F58" s="60" t="s">
        <v>65</v>
      </c>
      <c r="G58" s="61">
        <f t="shared" si="4"/>
        <v>25310.803814400006</v>
      </c>
      <c r="H58" s="61">
        <f>N57*20%+N57</f>
        <v>7737.6</v>
      </c>
      <c r="I58" s="61">
        <f>H58*1.094</f>
        <v>8464.934400000002</v>
      </c>
      <c r="J58" s="61">
        <f>I58*1.076</f>
        <v>9108.269414400003</v>
      </c>
      <c r="K58" s="163"/>
      <c r="L58" s="92">
        <f>3331.8+733</f>
        <v>4064.8</v>
      </c>
    </row>
    <row r="59" spans="1:14" s="74" customFormat="1" ht="65.25" customHeight="1">
      <c r="A59" s="254"/>
      <c r="B59" s="169"/>
      <c r="C59" s="163"/>
      <c r="D59" s="255"/>
      <c r="E59" s="163"/>
      <c r="F59" s="146" t="s">
        <v>73</v>
      </c>
      <c r="G59" s="61">
        <f t="shared" si="4"/>
        <v>15955.855357440003</v>
      </c>
      <c r="H59" s="61">
        <f>O57*20%+O57</f>
        <v>4877.76</v>
      </c>
      <c r="I59" s="61">
        <f>H59*1.094</f>
        <v>5336.269440000001</v>
      </c>
      <c r="J59" s="61">
        <f>I59*1.076</f>
        <v>5741.825917440001</v>
      </c>
      <c r="K59" s="163"/>
      <c r="L59" s="93">
        <f>L57*1.094</f>
        <v>8148.5496</v>
      </c>
      <c r="M59" s="86" t="s">
        <v>69</v>
      </c>
      <c r="N59" s="86" t="s">
        <v>70</v>
      </c>
    </row>
    <row r="60" spans="1:14" s="74" customFormat="1" ht="47.25" customHeight="1">
      <c r="A60" s="164">
        <v>5</v>
      </c>
      <c r="B60" s="169" t="s">
        <v>51</v>
      </c>
      <c r="C60" s="170" t="s">
        <v>254</v>
      </c>
      <c r="D60" s="255" t="s">
        <v>62</v>
      </c>
      <c r="E60" s="163" t="s">
        <v>60</v>
      </c>
      <c r="F60" s="60" t="s">
        <v>59</v>
      </c>
      <c r="G60" s="61">
        <f t="shared" si="4"/>
        <v>2058.7034561831997</v>
      </c>
      <c r="H60" s="61">
        <f>M60*20%+M60</f>
        <v>637.7964</v>
      </c>
      <c r="I60" s="61">
        <f>H60*1.082</f>
        <v>690.0957048</v>
      </c>
      <c r="J60" s="61">
        <f>I60*1.059</f>
        <v>730.8113513832</v>
      </c>
      <c r="K60" s="258" t="s">
        <v>24</v>
      </c>
      <c r="L60" s="92">
        <v>807.407</v>
      </c>
      <c r="M60" s="74">
        <v>531.497</v>
      </c>
      <c r="N60" s="74">
        <v>275.91</v>
      </c>
    </row>
    <row r="61" spans="1:12" s="90" customFormat="1" ht="47.25" customHeight="1">
      <c r="A61" s="164"/>
      <c r="B61" s="169"/>
      <c r="C61" s="170"/>
      <c r="D61" s="255"/>
      <c r="E61" s="163"/>
      <c r="F61" s="60" t="s">
        <v>65</v>
      </c>
      <c r="G61" s="61">
        <f t="shared" si="4"/>
        <v>1068.711339096</v>
      </c>
      <c r="H61" s="61">
        <f>N60*20%+N60</f>
        <v>331.09200000000004</v>
      </c>
      <c r="I61" s="61">
        <f>H61*1.082</f>
        <v>358.2415440000001</v>
      </c>
      <c r="J61" s="61">
        <f>I61*1.059</f>
        <v>379.37779509600006</v>
      </c>
      <c r="K61" s="258"/>
      <c r="L61" s="94">
        <f>L60*1.082</f>
        <v>873.6143740000001</v>
      </c>
    </row>
    <row r="62" spans="1:13" s="90" customFormat="1" ht="94.5" customHeight="1">
      <c r="A62" s="142">
        <v>6</v>
      </c>
      <c r="B62" s="143" t="s">
        <v>52</v>
      </c>
      <c r="C62" s="259" t="s">
        <v>255</v>
      </c>
      <c r="D62" s="59" t="s">
        <v>62</v>
      </c>
      <c r="E62" s="147" t="s">
        <v>60</v>
      </c>
      <c r="F62" s="60" t="s">
        <v>65</v>
      </c>
      <c r="G62" s="61">
        <f t="shared" si="4"/>
        <v>1532.4887999999999</v>
      </c>
      <c r="H62" s="61">
        <f>L62*20%+L62</f>
        <v>480</v>
      </c>
      <c r="I62" s="61">
        <f>H62*1.067</f>
        <v>512.16</v>
      </c>
      <c r="J62" s="61">
        <f>I62*1.055</f>
        <v>540.3287999999999</v>
      </c>
      <c r="K62" s="60" t="s">
        <v>137</v>
      </c>
      <c r="L62" s="95">
        <v>400</v>
      </c>
      <c r="M62" s="90" t="s">
        <v>70</v>
      </c>
    </row>
    <row r="63" spans="1:12" s="90" customFormat="1" ht="31.5" customHeight="1">
      <c r="A63" s="251" t="s">
        <v>66</v>
      </c>
      <c r="B63" s="251"/>
      <c r="C63" s="251"/>
      <c r="D63" s="251"/>
      <c r="E63" s="251"/>
      <c r="F63" s="145"/>
      <c r="G63" s="85">
        <f>G52+G53+G55+G56+G57+G58+G59+G60+G61+G62+G54</f>
        <v>55748.8368809592</v>
      </c>
      <c r="H63" s="85">
        <f>H52+H53+H55+H56+H57+H58+H59+H60+H61+H62+H54</f>
        <v>17111.2404</v>
      </c>
      <c r="I63" s="85">
        <f>I52+I53+I55+I56+I57+I58+I59+I60+I61+I62+I54</f>
        <v>18645.254512800002</v>
      </c>
      <c r="J63" s="85">
        <f>J52+J53+J55+J56+J57+J58+J59+J60+J61+J62+J54</f>
        <v>19992.341968159202</v>
      </c>
      <c r="K63" s="60"/>
      <c r="L63" s="95"/>
    </row>
    <row r="64" spans="1:12" s="90" customFormat="1" ht="45.75" customHeight="1">
      <c r="A64" s="251" t="s">
        <v>67</v>
      </c>
      <c r="B64" s="251"/>
      <c r="C64" s="251"/>
      <c r="D64" s="251"/>
      <c r="E64" s="251"/>
      <c r="F64" s="145" t="s">
        <v>59</v>
      </c>
      <c r="G64" s="85">
        <f>G52+G55+G57+G60+G54</f>
        <v>8392.6499390232</v>
      </c>
      <c r="H64" s="85">
        <f>H52+H55+H57+H60+H54</f>
        <v>2592.1884</v>
      </c>
      <c r="I64" s="85">
        <f>I52+I55+I57+I60+I54</f>
        <v>2807.8449288</v>
      </c>
      <c r="J64" s="85">
        <f>J52+J55+J57+J60+J54</f>
        <v>2992.6166102232</v>
      </c>
      <c r="K64" s="60"/>
      <c r="L64" s="95"/>
    </row>
    <row r="65" spans="1:12" s="90" customFormat="1" ht="45.75" customHeight="1">
      <c r="A65" s="164"/>
      <c r="B65" s="164"/>
      <c r="C65" s="164"/>
      <c r="D65" s="164"/>
      <c r="E65" s="164"/>
      <c r="F65" s="145" t="s">
        <v>65</v>
      </c>
      <c r="G65" s="85">
        <f>G53+G56+G58+G61+G62</f>
        <v>31400.331584496005</v>
      </c>
      <c r="H65" s="85">
        <f>H53+H56+H58+H61+H62</f>
        <v>9641.292000000001</v>
      </c>
      <c r="I65" s="85">
        <f>I53+I56+I58+I61+I62</f>
        <v>10501.140144000003</v>
      </c>
      <c r="J65" s="85">
        <f>J53+J56+J58+J61+J62</f>
        <v>11257.899440496001</v>
      </c>
      <c r="K65" s="60"/>
      <c r="L65" s="95"/>
    </row>
    <row r="66" spans="1:12" s="90" customFormat="1" ht="59.25" customHeight="1">
      <c r="A66" s="263"/>
      <c r="B66" s="263"/>
      <c r="C66" s="263"/>
      <c r="D66" s="263"/>
      <c r="E66" s="263"/>
      <c r="F66" s="145" t="s">
        <v>73</v>
      </c>
      <c r="G66" s="85">
        <f>G59</f>
        <v>15955.855357440003</v>
      </c>
      <c r="H66" s="85">
        <f>H59</f>
        <v>4877.76</v>
      </c>
      <c r="I66" s="85">
        <f>I59</f>
        <v>5336.269440000001</v>
      </c>
      <c r="J66" s="85">
        <f>J59</f>
        <v>5741.825917440001</v>
      </c>
      <c r="K66" s="60"/>
      <c r="L66" s="95"/>
    </row>
    <row r="67" spans="1:11" ht="44.25" customHeight="1">
      <c r="A67" s="261" t="s">
        <v>83</v>
      </c>
      <c r="B67" s="261"/>
      <c r="C67" s="261"/>
      <c r="D67" s="261"/>
      <c r="E67" s="261"/>
      <c r="F67" s="261"/>
      <c r="G67" s="261"/>
      <c r="H67" s="261"/>
      <c r="I67" s="261"/>
      <c r="J67" s="261"/>
      <c r="K67" s="261"/>
    </row>
    <row r="68" spans="1:12" ht="85.5" customHeight="1">
      <c r="A68" s="142">
        <v>1</v>
      </c>
      <c r="B68" s="57" t="s">
        <v>85</v>
      </c>
      <c r="C68" s="58" t="s">
        <v>27</v>
      </c>
      <c r="D68" s="59" t="s">
        <v>62</v>
      </c>
      <c r="E68" s="147" t="s">
        <v>60</v>
      </c>
      <c r="F68" s="146" t="s">
        <v>73</v>
      </c>
      <c r="G68" s="61">
        <f>SUM(H68:J68)</f>
        <v>46293.932499999995</v>
      </c>
      <c r="H68" s="61">
        <v>14500</v>
      </c>
      <c r="I68" s="61">
        <f>H68*1.067</f>
        <v>15471.5</v>
      </c>
      <c r="J68" s="61">
        <f>I68*1.055</f>
        <v>16322.432499999999</v>
      </c>
      <c r="K68" s="60" t="s">
        <v>28</v>
      </c>
      <c r="L68" s="56">
        <v>14152</v>
      </c>
    </row>
    <row r="69" spans="1:12" ht="98.25" customHeight="1">
      <c r="A69" s="142">
        <v>2</v>
      </c>
      <c r="B69" s="143" t="s">
        <v>82</v>
      </c>
      <c r="C69" s="58" t="s">
        <v>29</v>
      </c>
      <c r="D69" s="59" t="s">
        <v>62</v>
      </c>
      <c r="E69" s="147" t="s">
        <v>60</v>
      </c>
      <c r="F69" s="146" t="s">
        <v>73</v>
      </c>
      <c r="G69" s="61">
        <f>SUM(H69:J69)</f>
        <v>28734.165</v>
      </c>
      <c r="H69" s="61">
        <v>9000</v>
      </c>
      <c r="I69" s="61">
        <f>H69*1.067</f>
        <v>9603</v>
      </c>
      <c r="J69" s="61">
        <f>I69*1.055</f>
        <v>10131.164999999999</v>
      </c>
      <c r="K69" s="60" t="s">
        <v>30</v>
      </c>
      <c r="L69" s="56">
        <v>8200</v>
      </c>
    </row>
    <row r="70" spans="1:11" ht="24" customHeight="1">
      <c r="A70" s="251" t="s">
        <v>66</v>
      </c>
      <c r="B70" s="251"/>
      <c r="C70" s="251"/>
      <c r="D70" s="251"/>
      <c r="E70" s="251"/>
      <c r="F70" s="145"/>
      <c r="G70" s="85">
        <f>G68+G69</f>
        <v>75028.0975</v>
      </c>
      <c r="H70" s="85">
        <f>H68+H69</f>
        <v>23500</v>
      </c>
      <c r="I70" s="85">
        <f>I68+I69</f>
        <v>25074.5</v>
      </c>
      <c r="J70" s="85">
        <f>J68+J69</f>
        <v>26453.597499999996</v>
      </c>
      <c r="K70" s="60"/>
    </row>
    <row r="71" spans="1:11" ht="78.75" customHeight="1">
      <c r="A71" s="251" t="s">
        <v>67</v>
      </c>
      <c r="B71" s="251"/>
      <c r="C71" s="251"/>
      <c r="D71" s="251"/>
      <c r="E71" s="251"/>
      <c r="F71" s="145" t="s">
        <v>73</v>
      </c>
      <c r="G71" s="85">
        <f>G68+G69</f>
        <v>75028.0975</v>
      </c>
      <c r="H71" s="85">
        <f>H68+H69</f>
        <v>23500</v>
      </c>
      <c r="I71" s="85">
        <f>I68+I69</f>
        <v>25074.5</v>
      </c>
      <c r="J71" s="85">
        <f>J68+J69</f>
        <v>26453.597499999996</v>
      </c>
      <c r="K71" s="60"/>
    </row>
    <row r="72" spans="1:15" ht="40.5" customHeight="1">
      <c r="A72" s="265" t="s">
        <v>94</v>
      </c>
      <c r="B72" s="265"/>
      <c r="C72" s="265"/>
      <c r="D72" s="265"/>
      <c r="E72" s="265"/>
      <c r="F72" s="265"/>
      <c r="G72" s="265"/>
      <c r="H72" s="265"/>
      <c r="I72" s="265"/>
      <c r="J72" s="265"/>
      <c r="K72" s="265"/>
      <c r="M72" s="56" t="s">
        <v>112</v>
      </c>
      <c r="N72" s="56" t="s">
        <v>113</v>
      </c>
      <c r="O72" s="56" t="s">
        <v>114</v>
      </c>
    </row>
    <row r="73" spans="1:15" ht="98.25" customHeight="1">
      <c r="A73" s="142" t="s">
        <v>87</v>
      </c>
      <c r="B73" s="57" t="s">
        <v>88</v>
      </c>
      <c r="C73" s="58" t="s">
        <v>86</v>
      </c>
      <c r="D73" s="59" t="s">
        <v>62</v>
      </c>
      <c r="E73" s="147" t="s">
        <v>60</v>
      </c>
      <c r="F73" s="60" t="s">
        <v>59</v>
      </c>
      <c r="G73" s="61">
        <f>SUM(H73:J73)</f>
        <v>10195.30703754744</v>
      </c>
      <c r="H73" s="61">
        <f>P74</f>
        <v>3122.9628</v>
      </c>
      <c r="I73" s="61">
        <f>P75</f>
        <v>3409.6723896000003</v>
      </c>
      <c r="J73" s="61">
        <f>P81</f>
        <v>3662.6718479474407</v>
      </c>
      <c r="K73" s="60" t="s">
        <v>116</v>
      </c>
      <c r="L73" s="56">
        <f>1360.513+1241.956</f>
        <v>2602.469</v>
      </c>
      <c r="M73" s="56">
        <f>1273+1093.6</f>
        <v>2366.6</v>
      </c>
      <c r="N73" s="56">
        <f>32.356+11.713</f>
        <v>44.069</v>
      </c>
      <c r="O73" s="56">
        <f>40+30+5+0.8+50+50+15+1</f>
        <v>191.8</v>
      </c>
    </row>
    <row r="74" spans="1:16" ht="34.5" customHeight="1">
      <c r="A74" s="251" t="s">
        <v>66</v>
      </c>
      <c r="B74" s="251"/>
      <c r="C74" s="251"/>
      <c r="D74" s="251"/>
      <c r="E74" s="251"/>
      <c r="F74" s="145"/>
      <c r="G74" s="85">
        <f>G73</f>
        <v>10195.30703754744</v>
      </c>
      <c r="H74" s="85">
        <f>H73</f>
        <v>3122.9628</v>
      </c>
      <c r="I74" s="85">
        <f>I73</f>
        <v>3409.6723896000003</v>
      </c>
      <c r="J74" s="85">
        <f>J73</f>
        <v>3662.6718479474407</v>
      </c>
      <c r="K74" s="60"/>
      <c r="L74" s="56">
        <v>19</v>
      </c>
      <c r="M74" s="96">
        <f>M73*20%+M73</f>
        <v>2839.92</v>
      </c>
      <c r="N74" s="96">
        <f>N73*20%+N73</f>
        <v>52.8828</v>
      </c>
      <c r="O74" s="96">
        <f>O73*20%+O73</f>
        <v>230.16000000000003</v>
      </c>
      <c r="P74" s="96">
        <f>SUM(M74:O74)</f>
        <v>3122.9628</v>
      </c>
    </row>
    <row r="75" spans="1:16" ht="53.25" customHeight="1">
      <c r="A75" s="251" t="s">
        <v>67</v>
      </c>
      <c r="B75" s="251"/>
      <c r="C75" s="251"/>
      <c r="D75" s="251"/>
      <c r="E75" s="251"/>
      <c r="F75" s="143" t="s">
        <v>59</v>
      </c>
      <c r="G75" s="85">
        <f>G73</f>
        <v>10195.30703754744</v>
      </c>
      <c r="H75" s="85">
        <f>H73</f>
        <v>3122.9628</v>
      </c>
      <c r="I75" s="85">
        <f>I73</f>
        <v>3409.6723896000003</v>
      </c>
      <c r="J75" s="85">
        <f>J73</f>
        <v>3662.6718479474407</v>
      </c>
      <c r="K75" s="60"/>
      <c r="L75" s="56">
        <v>20</v>
      </c>
      <c r="M75" s="96">
        <f>M74*1.094</f>
        <v>3106.8724800000005</v>
      </c>
      <c r="N75" s="96">
        <f>N74*1.082</f>
        <v>57.21918960000001</v>
      </c>
      <c r="O75" s="96">
        <f>O74*1.067</f>
        <v>245.58072</v>
      </c>
      <c r="P75" s="96">
        <f>SUM(M75:O75)</f>
        <v>3409.6723896000003</v>
      </c>
    </row>
    <row r="76" spans="1:16" ht="53.25" customHeight="1">
      <c r="A76" s="265" t="s">
        <v>245</v>
      </c>
      <c r="B76" s="265"/>
      <c r="C76" s="265"/>
      <c r="D76" s="265"/>
      <c r="E76" s="265"/>
      <c r="F76" s="265"/>
      <c r="G76" s="265"/>
      <c r="H76" s="265"/>
      <c r="I76" s="265"/>
      <c r="J76" s="265"/>
      <c r="K76" s="265"/>
      <c r="M76" s="96"/>
      <c r="N76" s="56" t="s">
        <v>34</v>
      </c>
      <c r="O76" s="96" t="s">
        <v>247</v>
      </c>
      <c r="P76" s="96"/>
    </row>
    <row r="77" spans="1:16" ht="99" customHeight="1">
      <c r="A77" s="142" t="s">
        <v>87</v>
      </c>
      <c r="B77" s="143" t="s">
        <v>77</v>
      </c>
      <c r="C77" s="58" t="s">
        <v>246</v>
      </c>
      <c r="D77" s="59" t="s">
        <v>62</v>
      </c>
      <c r="E77" s="147" t="s">
        <v>60</v>
      </c>
      <c r="F77" s="60" t="s">
        <v>59</v>
      </c>
      <c r="G77" s="61">
        <f>SUM(H77:J77)</f>
        <v>7388.894749199999</v>
      </c>
      <c r="H77" s="146">
        <f>L77*20%+L77</f>
        <v>2314.3199999999997</v>
      </c>
      <c r="I77" s="61">
        <f>H77*1.067</f>
        <v>2469.3794399999997</v>
      </c>
      <c r="J77" s="61">
        <f>I77*1.055</f>
        <v>2605.1953091999994</v>
      </c>
      <c r="K77" s="253" t="s">
        <v>256</v>
      </c>
      <c r="L77" s="96">
        <f>N77+O77</f>
        <v>1928.6</v>
      </c>
      <c r="M77" s="96"/>
      <c r="N77" s="96">
        <f>610.5-56</f>
        <v>554.5</v>
      </c>
      <c r="O77" s="96">
        <f>1518.1-144</f>
        <v>1374.1</v>
      </c>
      <c r="P77" s="96"/>
    </row>
    <row r="78" spans="1:16" ht="143.25" customHeight="1">
      <c r="A78" s="142">
        <v>2</v>
      </c>
      <c r="B78" s="145" t="s">
        <v>222</v>
      </c>
      <c r="C78" s="147" t="s">
        <v>224</v>
      </c>
      <c r="D78" s="59" t="s">
        <v>62</v>
      </c>
      <c r="E78" s="147" t="s">
        <v>233</v>
      </c>
      <c r="F78" s="60" t="s">
        <v>59</v>
      </c>
      <c r="G78" s="61">
        <f>SUM(H78:J78)</f>
        <v>638.5369999999999</v>
      </c>
      <c r="H78" s="61">
        <f>L78</f>
        <v>200</v>
      </c>
      <c r="I78" s="61">
        <f>H78*1.067</f>
        <v>213.39999999999998</v>
      </c>
      <c r="J78" s="61">
        <f>I78*1.055</f>
        <v>225.13699999999997</v>
      </c>
      <c r="K78" s="253" t="s">
        <v>225</v>
      </c>
      <c r="L78" s="96">
        <f>N78+O78</f>
        <v>200</v>
      </c>
      <c r="M78" s="96"/>
      <c r="N78" s="96">
        <v>56</v>
      </c>
      <c r="O78" s="96">
        <v>144</v>
      </c>
      <c r="P78" s="96"/>
    </row>
    <row r="79" spans="1:16" ht="53.25" customHeight="1">
      <c r="A79" s="251" t="s">
        <v>66</v>
      </c>
      <c r="B79" s="251"/>
      <c r="C79" s="251"/>
      <c r="D79" s="251"/>
      <c r="E79" s="251"/>
      <c r="F79" s="145"/>
      <c r="G79" s="85">
        <f>G77+G78</f>
        <v>8027.431749199999</v>
      </c>
      <c r="H79" s="85">
        <f>H77+H78</f>
        <v>2514.3199999999997</v>
      </c>
      <c r="I79" s="85">
        <f>I77+I78</f>
        <v>2682.77944</v>
      </c>
      <c r="J79" s="85">
        <f>J77+J78</f>
        <v>2830.3323091999996</v>
      </c>
      <c r="K79" s="60"/>
      <c r="M79" s="96"/>
      <c r="N79" s="96"/>
      <c r="O79" s="96"/>
      <c r="P79" s="96"/>
    </row>
    <row r="80" spans="1:16" ht="53.25" customHeight="1">
      <c r="A80" s="251" t="s">
        <v>67</v>
      </c>
      <c r="B80" s="251"/>
      <c r="C80" s="251"/>
      <c r="D80" s="251"/>
      <c r="E80" s="251"/>
      <c r="F80" s="143" t="s">
        <v>59</v>
      </c>
      <c r="G80" s="85">
        <f>H80+I80+J80</f>
        <v>8027.431749199999</v>
      </c>
      <c r="H80" s="85">
        <f>H77+H78</f>
        <v>2514.3199999999997</v>
      </c>
      <c r="I80" s="85">
        <f>I77+I78</f>
        <v>2682.77944</v>
      </c>
      <c r="J80" s="85">
        <f>J77+J78</f>
        <v>2830.3323091999996</v>
      </c>
      <c r="K80" s="60"/>
      <c r="M80" s="96"/>
      <c r="N80" s="96"/>
      <c r="O80" s="96"/>
      <c r="P80" s="96"/>
    </row>
    <row r="81" spans="1:16" ht="53.25" customHeight="1">
      <c r="A81" s="251" t="s">
        <v>115</v>
      </c>
      <c r="B81" s="251"/>
      <c r="C81" s="251"/>
      <c r="D81" s="251"/>
      <c r="E81" s="251"/>
      <c r="F81" s="143"/>
      <c r="G81" s="85">
        <f>G16+G32+G47+G63+G70+G74+G79</f>
        <v>1531089.1804915196</v>
      </c>
      <c r="H81" s="85">
        <f>H16+H32+H47+H63+H70+H74+H79</f>
        <v>471494.44359999994</v>
      </c>
      <c r="I81" s="85">
        <f>I16+I32+I47+I63+I70+I74+I79</f>
        <v>512050.44976159994</v>
      </c>
      <c r="J81" s="85">
        <f>J16+J32+J47+J63+J70+J74+J79</f>
        <v>547544.2871299194</v>
      </c>
      <c r="K81" s="60"/>
      <c r="L81" s="98">
        <v>21</v>
      </c>
      <c r="M81" s="99">
        <f>M75*1.076</f>
        <v>3342.994788480001</v>
      </c>
      <c r="N81" s="99">
        <f>N75*1.0589</f>
        <v>60.58939986744001</v>
      </c>
      <c r="O81" s="99">
        <f>O75*1.055</f>
        <v>259.0876596</v>
      </c>
      <c r="P81" s="96">
        <f>SUM(M81:O81)</f>
        <v>3662.6718479474407</v>
      </c>
    </row>
    <row r="82" spans="1:16" ht="53.25" customHeight="1">
      <c r="A82" s="251" t="s">
        <v>67</v>
      </c>
      <c r="B82" s="251"/>
      <c r="C82" s="251"/>
      <c r="D82" s="251"/>
      <c r="E82" s="251"/>
      <c r="F82" s="145" t="s">
        <v>59</v>
      </c>
      <c r="G82" s="85">
        <f>H82+I82+J82</f>
        <v>483960.4652528271</v>
      </c>
      <c r="H82" s="85">
        <f>H17+H33+H48+H64+H75+H80</f>
        <v>149728.59000000003</v>
      </c>
      <c r="I82" s="85">
        <f>I17+I33+I48+I64+I75+I80</f>
        <v>161899.87599</v>
      </c>
      <c r="J82" s="85">
        <f>J17+J33+J48+J64+J75+J80</f>
        <v>172331.99926282704</v>
      </c>
      <c r="K82" s="60"/>
      <c r="M82" s="96"/>
      <c r="N82" s="96"/>
      <c r="O82" s="96"/>
      <c r="P82" s="96"/>
    </row>
    <row r="83" spans="1:16" ht="53.25" customHeight="1">
      <c r="A83" s="251"/>
      <c r="B83" s="251"/>
      <c r="C83" s="251"/>
      <c r="D83" s="251"/>
      <c r="E83" s="251"/>
      <c r="F83" s="145" t="s">
        <v>65</v>
      </c>
      <c r="G83" s="85">
        <f>H83+I83+J83</f>
        <v>144362.9958879324</v>
      </c>
      <c r="H83" s="85">
        <f>H18+H34+H49+H65</f>
        <v>44746.4136</v>
      </c>
      <c r="I83" s="85">
        <f>I18+I34+I49+I65</f>
        <v>48262.9822116</v>
      </c>
      <c r="J83" s="85">
        <f>J18+J34+J49+J65</f>
        <v>51353.600076332405</v>
      </c>
      <c r="K83" s="60"/>
      <c r="M83" s="96"/>
      <c r="N83" s="96"/>
      <c r="O83" s="96"/>
      <c r="P83" s="96"/>
    </row>
    <row r="84" spans="1:16" ht="66.75" customHeight="1">
      <c r="A84" s="251"/>
      <c r="B84" s="251"/>
      <c r="C84" s="251"/>
      <c r="D84" s="251"/>
      <c r="E84" s="251"/>
      <c r="F84" s="145" t="s">
        <v>73</v>
      </c>
      <c r="G84" s="85">
        <f>H84+I84+J84</f>
        <v>902765.71935076</v>
      </c>
      <c r="H84" s="85">
        <f>H35+H50+H66+H71</f>
        <v>277019.43999999994</v>
      </c>
      <c r="I84" s="85">
        <f>I35+I50+I66+I71</f>
        <v>301887.59156000003</v>
      </c>
      <c r="J84" s="85">
        <f>J35+J50+J66+J71</f>
        <v>323858.68779075996</v>
      </c>
      <c r="K84" s="60"/>
      <c r="M84" s="96"/>
      <c r="N84" s="96"/>
      <c r="O84" s="96"/>
      <c r="P84" s="96"/>
    </row>
    <row r="85" spans="1:16" ht="53.25" customHeight="1">
      <c r="A85" s="135"/>
      <c r="B85" s="135"/>
      <c r="C85" s="135"/>
      <c r="D85" s="135"/>
      <c r="E85" s="135"/>
      <c r="F85" s="100"/>
      <c r="G85" s="101"/>
      <c r="H85" s="101"/>
      <c r="I85" s="101"/>
      <c r="J85" s="101"/>
      <c r="K85" s="102"/>
      <c r="M85" s="96"/>
      <c r="N85" s="96"/>
      <c r="O85" s="96"/>
      <c r="P85" s="96"/>
    </row>
    <row r="86" spans="1:16" ht="27.75" customHeight="1">
      <c r="A86" s="103"/>
      <c r="C86" s="104"/>
      <c r="D86" s="105"/>
      <c r="E86" s="106"/>
      <c r="F86" s="107"/>
      <c r="G86" s="107"/>
      <c r="H86" s="107"/>
      <c r="I86" s="107"/>
      <c r="J86" s="107"/>
      <c r="K86" s="102"/>
      <c r="M86" s="96"/>
      <c r="N86" s="96"/>
      <c r="O86" s="96"/>
      <c r="P86" s="96"/>
    </row>
    <row r="87" spans="1:16" s="98" customFormat="1" ht="25.5" customHeight="1">
      <c r="A87" s="98" t="s">
        <v>17</v>
      </c>
      <c r="D87" s="108"/>
      <c r="F87" s="109"/>
      <c r="G87" s="109"/>
      <c r="H87" s="109"/>
      <c r="I87" s="110" t="s">
        <v>16</v>
      </c>
      <c r="J87" s="109"/>
      <c r="K87" s="111"/>
      <c r="M87" s="99"/>
      <c r="N87" s="99"/>
      <c r="O87" s="99"/>
      <c r="P87" s="96"/>
    </row>
    <row r="88" spans="1:15" s="98" customFormat="1" ht="30" customHeight="1">
      <c r="A88" s="112" t="s">
        <v>14</v>
      </c>
      <c r="C88" s="113"/>
      <c r="D88" s="108"/>
      <c r="F88" s="109"/>
      <c r="G88" s="109"/>
      <c r="H88" s="109"/>
      <c r="I88" s="109"/>
      <c r="J88" s="109"/>
      <c r="K88" s="111"/>
      <c r="O88" s="99"/>
    </row>
    <row r="89" spans="1:11" s="98" customFormat="1" ht="31.5" customHeight="1">
      <c r="A89" s="98" t="s">
        <v>84</v>
      </c>
      <c r="D89" s="108"/>
      <c r="F89" s="109"/>
      <c r="G89" s="109"/>
      <c r="H89" s="109"/>
      <c r="I89" s="109"/>
      <c r="J89" s="109"/>
      <c r="K89" s="111"/>
    </row>
    <row r="90" ht="15.75" customHeight="1"/>
    <row r="93" ht="18.75">
      <c r="O93" s="96"/>
    </row>
    <row r="95" ht="18.75">
      <c r="B95" s="114"/>
    </row>
    <row r="101" spans="1:11" ht="18.75">
      <c r="A101" s="114"/>
      <c r="C101" s="114"/>
      <c r="D101" s="114"/>
      <c r="E101" s="114"/>
      <c r="F101" s="114"/>
      <c r="G101" s="114"/>
      <c r="H101" s="114"/>
      <c r="I101" s="114"/>
      <c r="J101" s="114"/>
      <c r="K101" s="114"/>
    </row>
  </sheetData>
  <sheetProtection/>
  <mergeCells count="108">
    <mergeCell ref="A49:E49"/>
    <mergeCell ref="A50:E50"/>
    <mergeCell ref="A70:E70"/>
    <mergeCell ref="A67:K67"/>
    <mergeCell ref="K57:K59"/>
    <mergeCell ref="B55:B56"/>
    <mergeCell ref="C55:C56"/>
    <mergeCell ref="A52:A53"/>
    <mergeCell ref="A55:A56"/>
    <mergeCell ref="D55:D56"/>
    <mergeCell ref="G8:G9"/>
    <mergeCell ref="H8:J8"/>
    <mergeCell ref="K7:K9"/>
    <mergeCell ref="G7:J7"/>
    <mergeCell ref="D7:D9"/>
    <mergeCell ref="D44:D45"/>
    <mergeCell ref="D41:D43"/>
    <mergeCell ref="A19:K19"/>
    <mergeCell ref="B24:B25"/>
    <mergeCell ref="C24:C25"/>
    <mergeCell ref="A44:A45"/>
    <mergeCell ref="A63:E63"/>
    <mergeCell ref="A57:A59"/>
    <mergeCell ref="B57:B59"/>
    <mergeCell ref="C57:C59"/>
    <mergeCell ref="E57:E59"/>
    <mergeCell ref="E55:E56"/>
    <mergeCell ref="A47:E47"/>
    <mergeCell ref="A48:E48"/>
    <mergeCell ref="B44:B45"/>
    <mergeCell ref="A72:K72"/>
    <mergeCell ref="B60:B61"/>
    <mergeCell ref="C60:C61"/>
    <mergeCell ref="E60:E61"/>
    <mergeCell ref="K60:K61"/>
    <mergeCell ref="A64:E64"/>
    <mergeCell ref="A60:A61"/>
    <mergeCell ref="D60:D61"/>
    <mergeCell ref="K41:K43"/>
    <mergeCell ref="K55:K56"/>
    <mergeCell ref="A65:E65"/>
    <mergeCell ref="A66:E66"/>
    <mergeCell ref="A51:K51"/>
    <mergeCell ref="B52:B53"/>
    <mergeCell ref="C52:C53"/>
    <mergeCell ref="E52:E53"/>
    <mergeCell ref="K52:K53"/>
    <mergeCell ref="D52:D53"/>
    <mergeCell ref="M26:M27"/>
    <mergeCell ref="A29:A30"/>
    <mergeCell ref="B29:B30"/>
    <mergeCell ref="C29:C30"/>
    <mergeCell ref="E29:E30"/>
    <mergeCell ref="B26:B28"/>
    <mergeCell ref="C26:C28"/>
    <mergeCell ref="E26:E28"/>
    <mergeCell ref="K26:K28"/>
    <mergeCell ref="D26:D28"/>
    <mergeCell ref="K24:K25"/>
    <mergeCell ref="D24:D25"/>
    <mergeCell ref="A24:A25"/>
    <mergeCell ref="K29:K30"/>
    <mergeCell ref="C44:C45"/>
    <mergeCell ref="E44:E45"/>
    <mergeCell ref="K44:K45"/>
    <mergeCell ref="K39:K40"/>
    <mergeCell ref="A41:A43"/>
    <mergeCell ref="B41:B43"/>
    <mergeCell ref="A16:E16"/>
    <mergeCell ref="E7:E9"/>
    <mergeCell ref="F7:F9"/>
    <mergeCell ref="A74:E74"/>
    <mergeCell ref="A75:E75"/>
    <mergeCell ref="E24:E25"/>
    <mergeCell ref="C41:C43"/>
    <mergeCell ref="E41:E43"/>
    <mergeCell ref="D57:D59"/>
    <mergeCell ref="A71:E71"/>
    <mergeCell ref="A36:K36"/>
    <mergeCell ref="A39:A40"/>
    <mergeCell ref="B39:B40"/>
    <mergeCell ref="A17:E17"/>
    <mergeCell ref="A18:E18"/>
    <mergeCell ref="A5:K5"/>
    <mergeCell ref="A11:K11"/>
    <mergeCell ref="B7:B9"/>
    <mergeCell ref="A7:A9"/>
    <mergeCell ref="C7:C9"/>
    <mergeCell ref="C39:C40"/>
    <mergeCell ref="A26:A28"/>
    <mergeCell ref="D29:D30"/>
    <mergeCell ref="K20:K22"/>
    <mergeCell ref="A32:E32"/>
    <mergeCell ref="A33:E33"/>
    <mergeCell ref="A34:E34"/>
    <mergeCell ref="B35:E35"/>
    <mergeCell ref="E39:E40"/>
    <mergeCell ref="D39:D40"/>
    <mergeCell ref="A76:K76"/>
    <mergeCell ref="A79:E79"/>
    <mergeCell ref="A80:E80"/>
    <mergeCell ref="A81:E81"/>
    <mergeCell ref="A82:E84"/>
    <mergeCell ref="C20:C22"/>
    <mergeCell ref="B20:B22"/>
    <mergeCell ref="A20:A22"/>
    <mergeCell ref="D20:D22"/>
    <mergeCell ref="E20:E22"/>
  </mergeCells>
  <printOptions/>
  <pageMargins left="0.9055118110236221" right="0.9055118110236221" top="1.141732283464567" bottom="0.5511811023622047" header="0.31496062992125984" footer="0.31496062992125984"/>
  <pageSetup fitToHeight="6" horizontalDpi="600" verticalDpi="600" orientation="landscape" paperSize="9" scale="39" r:id="rId1"/>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rgb="FF92D050"/>
  </sheetPr>
  <dimension ref="A1:P207"/>
  <sheetViews>
    <sheetView view="pageBreakPreview" zoomScale="69" zoomScaleNormal="64" zoomScaleSheetLayoutView="69" zoomScalePageLayoutView="0" workbookViewId="0" topLeftCell="A1">
      <pane ySplit="10" topLeftCell="A11" activePane="bottomLeft" state="frozen"/>
      <selection pane="topLeft" activeCell="A1" sqref="A1"/>
      <selection pane="bottomLeft" activeCell="B192" sqref="B192"/>
    </sheetView>
  </sheetViews>
  <sheetFormatPr defaultColWidth="9.140625" defaultRowHeight="12.75"/>
  <cols>
    <col min="1" max="1" width="69.7109375" style="122" customWidth="1"/>
    <col min="2" max="2" width="17.7109375" style="128" customWidth="1"/>
    <col min="3" max="5" width="16.00390625" style="122" customWidth="1"/>
    <col min="6" max="6" width="18.421875" style="122" customWidth="1"/>
    <col min="7" max="8" width="16.00390625" style="122" customWidth="1"/>
    <col min="9" max="9" width="17.8515625" style="122" customWidth="1"/>
    <col min="10" max="11" width="16.00390625" style="122" customWidth="1"/>
    <col min="12" max="12" width="11.7109375" style="122" bestFit="1" customWidth="1"/>
    <col min="13" max="16384" width="9.140625" style="122" customWidth="1"/>
  </cols>
  <sheetData>
    <row r="1" spans="8:11" ht="16.5">
      <c r="H1" s="174" t="s">
        <v>12</v>
      </c>
      <c r="I1" s="174"/>
      <c r="J1" s="174"/>
      <c r="K1" s="123"/>
    </row>
    <row r="2" spans="1:11" ht="35.25" customHeight="1">
      <c r="A2" s="124"/>
      <c r="H2" s="175" t="s">
        <v>89</v>
      </c>
      <c r="I2" s="175"/>
      <c r="J2" s="175"/>
      <c r="K2" s="175"/>
    </row>
    <row r="3" spans="1:11" ht="15" customHeight="1">
      <c r="A3" s="125"/>
      <c r="H3" s="176"/>
      <c r="I3" s="176"/>
      <c r="J3" s="176"/>
      <c r="K3" s="176"/>
    </row>
    <row r="4" spans="8:10" ht="15.75" hidden="1">
      <c r="H4" s="126"/>
      <c r="I4" s="126"/>
      <c r="J4" s="126"/>
    </row>
    <row r="5" spans="1:11" ht="18.75">
      <c r="A5" s="177" t="s">
        <v>220</v>
      </c>
      <c r="B5" s="177"/>
      <c r="C5" s="177"/>
      <c r="D5" s="177"/>
      <c r="E5" s="177"/>
      <c r="F5" s="177"/>
      <c r="G5" s="177"/>
      <c r="H5" s="177"/>
      <c r="I5" s="177"/>
      <c r="J5" s="177"/>
      <c r="K5" s="177"/>
    </row>
    <row r="6" spans="1:11" ht="15.75">
      <c r="A6" s="127"/>
      <c r="K6" s="128" t="s">
        <v>95</v>
      </c>
    </row>
    <row r="7" spans="1:11" ht="12.75">
      <c r="A7" s="178" t="s">
        <v>96</v>
      </c>
      <c r="B7" s="244" t="s">
        <v>97</v>
      </c>
      <c r="C7" s="172" t="s">
        <v>98</v>
      </c>
      <c r="D7" s="172"/>
      <c r="E7" s="172"/>
      <c r="F7" s="172" t="s">
        <v>99</v>
      </c>
      <c r="G7" s="172"/>
      <c r="H7" s="172"/>
      <c r="I7" s="172" t="s">
        <v>100</v>
      </c>
      <c r="J7" s="172"/>
      <c r="K7" s="172"/>
    </row>
    <row r="8" spans="1:11" ht="12.75">
      <c r="A8" s="178"/>
      <c r="B8" s="244"/>
      <c r="C8" s="172"/>
      <c r="D8" s="172"/>
      <c r="E8" s="172"/>
      <c r="F8" s="172"/>
      <c r="G8" s="172"/>
      <c r="H8" s="172"/>
      <c r="I8" s="172"/>
      <c r="J8" s="172"/>
      <c r="K8" s="172"/>
    </row>
    <row r="9" spans="1:11" ht="14.25">
      <c r="A9" s="178"/>
      <c r="B9" s="244"/>
      <c r="C9" s="173" t="s">
        <v>3</v>
      </c>
      <c r="D9" s="173" t="s">
        <v>101</v>
      </c>
      <c r="E9" s="173"/>
      <c r="F9" s="173" t="s">
        <v>3</v>
      </c>
      <c r="G9" s="173" t="s">
        <v>101</v>
      </c>
      <c r="H9" s="173"/>
      <c r="I9" s="173" t="s">
        <v>3</v>
      </c>
      <c r="J9" s="173" t="s">
        <v>101</v>
      </c>
      <c r="K9" s="173"/>
    </row>
    <row r="10" spans="1:11" ht="28.5">
      <c r="A10" s="178"/>
      <c r="B10" s="244"/>
      <c r="C10" s="173"/>
      <c r="D10" s="149" t="s">
        <v>102</v>
      </c>
      <c r="E10" s="149" t="s">
        <v>103</v>
      </c>
      <c r="F10" s="173"/>
      <c r="G10" s="149" t="s">
        <v>102</v>
      </c>
      <c r="H10" s="149" t="s">
        <v>103</v>
      </c>
      <c r="I10" s="173"/>
      <c r="J10" s="149" t="s">
        <v>102</v>
      </c>
      <c r="K10" s="149" t="s">
        <v>103</v>
      </c>
    </row>
    <row r="11" spans="1:11" ht="15.75">
      <c r="A11" s="148">
        <v>1</v>
      </c>
      <c r="B11" s="245">
        <v>2</v>
      </c>
      <c r="C11" s="149">
        <v>3</v>
      </c>
      <c r="D11" s="149">
        <v>4</v>
      </c>
      <c r="E11" s="149">
        <v>5</v>
      </c>
      <c r="F11" s="149">
        <v>6</v>
      </c>
      <c r="G11" s="149">
        <v>7</v>
      </c>
      <c r="H11" s="149">
        <v>8</v>
      </c>
      <c r="I11" s="149">
        <v>9</v>
      </c>
      <c r="J11" s="149">
        <v>10</v>
      </c>
      <c r="K11" s="149">
        <v>11</v>
      </c>
    </row>
    <row r="12" spans="1:11" ht="39" customHeight="1">
      <c r="A12" s="209" t="s">
        <v>104</v>
      </c>
      <c r="B12" s="246">
        <f>C12+F12+I12</f>
        <v>1531089180.4915195</v>
      </c>
      <c r="C12" s="210">
        <f>D12+E12</f>
        <v>471494443.6</v>
      </c>
      <c r="D12" s="210">
        <f>D17+D51+D87+D124+D155+D171+D192</f>
        <v>426748030</v>
      </c>
      <c r="E12" s="210">
        <f>E17+E51+E87+E124+E155+E171+E192</f>
        <v>44746413.6</v>
      </c>
      <c r="F12" s="210">
        <f>G12+H12</f>
        <v>512050449.76159996</v>
      </c>
      <c r="G12" s="210">
        <f>G17+G51+G87+G124+G155+G171+G192</f>
        <v>463787467.54999995</v>
      </c>
      <c r="H12" s="210">
        <f>H17+H51+H87+H124+H155+H171+H192</f>
        <v>48262982.211600006</v>
      </c>
      <c r="I12" s="210">
        <f>J12+K12</f>
        <v>547544287.1299194</v>
      </c>
      <c r="J12" s="210">
        <f>J17+J51+J87+J124+J155+J171+J192</f>
        <v>496190687.05358696</v>
      </c>
      <c r="K12" s="210">
        <f>K17+K51+K87+K124+K155+K171+K192</f>
        <v>51353600.076332405</v>
      </c>
    </row>
    <row r="13" spans="1:11" ht="39" customHeight="1">
      <c r="A13" s="169" t="s">
        <v>121</v>
      </c>
      <c r="B13" s="169"/>
      <c r="C13" s="169"/>
      <c r="D13" s="169"/>
      <c r="E13" s="169"/>
      <c r="F13" s="169"/>
      <c r="G13" s="169"/>
      <c r="H13" s="169"/>
      <c r="I13" s="169"/>
      <c r="J13" s="169"/>
      <c r="K13" s="169"/>
    </row>
    <row r="14" spans="1:11" ht="28.5" customHeight="1">
      <c r="A14" s="242" t="str">
        <f>'Додаток 2'!A11:K11</f>
        <v>Підпрограма 1. СПРИЯННЯ ПОКРАЩЕННЮ НАДАННЯ ПЕРВИННОЇ МЕДИКО-САНІТАРНОЇ ДОПОМОГИ НАСЕЛЕННЮ М. СУМИ</v>
      </c>
      <c r="B14" s="242"/>
      <c r="C14" s="242"/>
      <c r="D14" s="242"/>
      <c r="E14" s="242"/>
      <c r="F14" s="242"/>
      <c r="G14" s="242"/>
      <c r="H14" s="242"/>
      <c r="I14" s="242"/>
      <c r="J14" s="242"/>
      <c r="K14" s="242"/>
    </row>
    <row r="15" spans="1:11" s="56" customFormat="1" ht="26.25" customHeight="1">
      <c r="A15" s="211" t="s">
        <v>122</v>
      </c>
      <c r="B15" s="170" t="s">
        <v>264</v>
      </c>
      <c r="C15" s="170"/>
      <c r="D15" s="170"/>
      <c r="E15" s="170"/>
      <c r="F15" s="170"/>
      <c r="G15" s="170"/>
      <c r="H15" s="170"/>
      <c r="I15" s="170"/>
      <c r="J15" s="170"/>
      <c r="K15" s="170"/>
    </row>
    <row r="16" spans="1:11" ht="33" customHeight="1">
      <c r="A16" s="212" t="s">
        <v>123</v>
      </c>
      <c r="B16" s="213" t="s">
        <v>218</v>
      </c>
      <c r="C16" s="213"/>
      <c r="D16" s="213"/>
      <c r="E16" s="213"/>
      <c r="F16" s="213"/>
      <c r="G16" s="213"/>
      <c r="H16" s="213"/>
      <c r="I16" s="213"/>
      <c r="J16" s="213"/>
      <c r="K16" s="213"/>
    </row>
    <row r="17" spans="1:12" ht="22.5" customHeight="1">
      <c r="A17" s="214" t="s">
        <v>105</v>
      </c>
      <c r="B17" s="246">
        <f>C17+F17+I17</f>
        <v>70914034.60800001</v>
      </c>
      <c r="C17" s="129">
        <f>D17+E17</f>
        <v>22176000</v>
      </c>
      <c r="D17" s="129">
        <f>SUM(D18:D22)</f>
        <v>18576000</v>
      </c>
      <c r="E17" s="129">
        <f>SUM(E18:E22)</f>
        <v>3600000</v>
      </c>
      <c r="F17" s="129">
        <f aca="true" t="shared" si="0" ref="F17:F22">G17+H17</f>
        <v>23710032</v>
      </c>
      <c r="G17" s="129">
        <f>SUM(G18:G22)</f>
        <v>19868832</v>
      </c>
      <c r="H17" s="129">
        <f>SUM(H18:H22)</f>
        <v>3841200</v>
      </c>
      <c r="I17" s="129">
        <f aca="true" t="shared" si="1" ref="I17:I22">J17+K17</f>
        <v>25028002.608000003</v>
      </c>
      <c r="J17" s="129">
        <f>SUM(J18:J22)</f>
        <v>20975536.608000003</v>
      </c>
      <c r="K17" s="129">
        <f>SUM(K18:K22)</f>
        <v>4052466</v>
      </c>
      <c r="L17" s="130">
        <f>B17-'Додаток 2'!G16*1000</f>
        <v>0</v>
      </c>
    </row>
    <row r="18" spans="1:11" ht="38.25" customHeight="1">
      <c r="A18" s="215" t="str">
        <f>'Додаток 2'!B12</f>
        <v>Забезпечення виконання соціальних гарантій для пільгових категорій населення</v>
      </c>
      <c r="B18" s="131"/>
      <c r="C18" s="62">
        <f>E18+D18</f>
        <v>13200000</v>
      </c>
      <c r="D18" s="62">
        <f>'Додаток 2'!H12*1000</f>
        <v>13200000</v>
      </c>
      <c r="E18" s="62"/>
      <c r="F18" s="62">
        <f t="shared" si="0"/>
        <v>14084400</v>
      </c>
      <c r="G18" s="62">
        <f>D18*1.067</f>
        <v>14084400</v>
      </c>
      <c r="H18" s="62"/>
      <c r="I18" s="62">
        <f t="shared" si="1"/>
        <v>14859042</v>
      </c>
      <c r="J18" s="62">
        <f>G18*1.055</f>
        <v>14859042</v>
      </c>
      <c r="K18" s="62"/>
    </row>
    <row r="19" spans="1:11" ht="19.5" customHeight="1">
      <c r="A19" s="215" t="str">
        <f>'Додаток 2'!B13</f>
        <v>Придбання медикаментів та перев’язувальних матеріалів</v>
      </c>
      <c r="B19" s="131"/>
      <c r="C19" s="62">
        <f>E19+D19</f>
        <v>2160000</v>
      </c>
      <c r="D19" s="62">
        <f>'Додаток 2'!H13*1000</f>
        <v>2160000</v>
      </c>
      <c r="E19" s="62"/>
      <c r="F19" s="62">
        <f t="shared" si="0"/>
        <v>2304720</v>
      </c>
      <c r="G19" s="62">
        <f>D19*1.067</f>
        <v>2304720</v>
      </c>
      <c r="H19" s="62"/>
      <c r="I19" s="62">
        <f t="shared" si="1"/>
        <v>2431479.5999999996</v>
      </c>
      <c r="J19" s="62">
        <f>G19*1.055</f>
        <v>2431479.5999999996</v>
      </c>
      <c r="K19" s="62"/>
    </row>
    <row r="20" spans="1:11" ht="20.25" customHeight="1">
      <c r="A20" s="215" t="str">
        <f>'Додаток 2'!B14</f>
        <v>Видатки на оплату вартості комунальних послуг та енергоносіїв</v>
      </c>
      <c r="B20" s="131"/>
      <c r="C20" s="62">
        <f>E20+D20</f>
        <v>3216000</v>
      </c>
      <c r="D20" s="62">
        <f>'Додаток 2'!H14*1000</f>
        <v>3216000</v>
      </c>
      <c r="E20" s="62"/>
      <c r="F20" s="62">
        <f t="shared" si="0"/>
        <v>3479712.0000000005</v>
      </c>
      <c r="G20" s="62">
        <f>D20*1.082</f>
        <v>3479712.0000000005</v>
      </c>
      <c r="H20" s="62"/>
      <c r="I20" s="62">
        <f t="shared" si="1"/>
        <v>3685015.0080000004</v>
      </c>
      <c r="J20" s="62">
        <f>G20*1.059</f>
        <v>3685015.0080000004</v>
      </c>
      <c r="K20" s="62"/>
    </row>
    <row r="21" spans="1:11" ht="21.75" customHeight="1">
      <c r="A21" s="215" t="s">
        <v>124</v>
      </c>
      <c r="B21" s="131"/>
      <c r="C21" s="62">
        <f>E21+D21</f>
        <v>1200000</v>
      </c>
      <c r="D21" s="62"/>
      <c r="E21" s="62">
        <f>1000000*20%+1000000</f>
        <v>1200000</v>
      </c>
      <c r="F21" s="62">
        <f t="shared" si="0"/>
        <v>1280400</v>
      </c>
      <c r="G21" s="62"/>
      <c r="H21" s="62">
        <f>E21*1.067</f>
        <v>1280400</v>
      </c>
      <c r="I21" s="62">
        <f t="shared" si="1"/>
        <v>1350822</v>
      </c>
      <c r="J21" s="62"/>
      <c r="K21" s="62">
        <f>H21*1.055</f>
        <v>1350822</v>
      </c>
    </row>
    <row r="22" spans="1:11" ht="29.25" customHeight="1">
      <c r="A22" s="215" t="s">
        <v>125</v>
      </c>
      <c r="B22" s="131"/>
      <c r="C22" s="62">
        <f>E22+D22</f>
        <v>2400000</v>
      </c>
      <c r="D22" s="62"/>
      <c r="E22" s="62">
        <f>2000000*20%+2000000</f>
        <v>2400000</v>
      </c>
      <c r="F22" s="62">
        <f t="shared" si="0"/>
        <v>2560800</v>
      </c>
      <c r="G22" s="62"/>
      <c r="H22" s="62">
        <f>E22*1.067</f>
        <v>2560800</v>
      </c>
      <c r="I22" s="62">
        <f t="shared" si="1"/>
        <v>2701644</v>
      </c>
      <c r="J22" s="62"/>
      <c r="K22" s="62">
        <f>H22*1.055</f>
        <v>2701644</v>
      </c>
    </row>
    <row r="23" spans="1:11" ht="17.25" customHeight="1">
      <c r="A23" s="216" t="s">
        <v>106</v>
      </c>
      <c r="B23" s="131"/>
      <c r="C23" s="131"/>
      <c r="D23" s="131"/>
      <c r="E23" s="131"/>
      <c r="F23" s="131"/>
      <c r="G23" s="131"/>
      <c r="H23" s="131"/>
      <c r="I23" s="131"/>
      <c r="J23" s="131"/>
      <c r="K23" s="131"/>
    </row>
    <row r="24" spans="1:11" ht="18.75" customHeight="1">
      <c r="A24" s="217" t="s">
        <v>126</v>
      </c>
      <c r="B24" s="39"/>
      <c r="C24" s="40"/>
      <c r="D24" s="40"/>
      <c r="E24" s="40"/>
      <c r="F24" s="40"/>
      <c r="G24" s="40"/>
      <c r="H24" s="40"/>
      <c r="I24" s="40"/>
      <c r="J24" s="40"/>
      <c r="K24" s="218"/>
    </row>
    <row r="25" spans="1:11" ht="15.75">
      <c r="A25" s="219" t="s">
        <v>127</v>
      </c>
      <c r="B25" s="39"/>
      <c r="C25" s="41">
        <v>2</v>
      </c>
      <c r="D25" s="41"/>
      <c r="E25" s="41"/>
      <c r="F25" s="41">
        <f>C25</f>
        <v>2</v>
      </c>
      <c r="G25" s="41"/>
      <c r="H25" s="41"/>
      <c r="I25" s="41">
        <f>F25</f>
        <v>2</v>
      </c>
      <c r="J25" s="40"/>
      <c r="K25" s="218"/>
    </row>
    <row r="26" spans="1:11" ht="15.75">
      <c r="A26" s="219" t="s">
        <v>128</v>
      </c>
      <c r="B26" s="39"/>
      <c r="C26" s="41">
        <v>617</v>
      </c>
      <c r="D26" s="40"/>
      <c r="E26" s="40"/>
      <c r="F26" s="41">
        <v>591</v>
      </c>
      <c r="G26" s="40"/>
      <c r="H26" s="40"/>
      <c r="I26" s="41">
        <f aca="true" t="shared" si="2" ref="I26:I36">F26</f>
        <v>591</v>
      </c>
      <c r="J26" s="40"/>
      <c r="K26" s="218"/>
    </row>
    <row r="27" spans="1:11" ht="31.5">
      <c r="A27" s="219" t="s">
        <v>271</v>
      </c>
      <c r="B27" s="39"/>
      <c r="C27" s="41">
        <v>168</v>
      </c>
      <c r="D27" s="40"/>
      <c r="E27" s="40"/>
      <c r="F27" s="41">
        <v>191</v>
      </c>
      <c r="G27" s="40"/>
      <c r="H27" s="40"/>
      <c r="I27" s="41">
        <f>F27</f>
        <v>191</v>
      </c>
      <c r="J27" s="40"/>
      <c r="K27" s="218"/>
    </row>
    <row r="28" spans="1:11" ht="17.25" customHeight="1">
      <c r="A28" s="217" t="s">
        <v>107</v>
      </c>
      <c r="B28" s="39"/>
      <c r="C28" s="41"/>
      <c r="D28" s="41"/>
      <c r="E28" s="41"/>
      <c r="F28" s="41"/>
      <c r="G28" s="41"/>
      <c r="H28" s="41"/>
      <c r="I28" s="41"/>
      <c r="J28" s="41"/>
      <c r="K28" s="218"/>
    </row>
    <row r="29" spans="1:11" ht="17.25" customHeight="1">
      <c r="A29" s="120" t="s">
        <v>274</v>
      </c>
      <c r="B29" s="39"/>
      <c r="C29" s="41">
        <v>130</v>
      </c>
      <c r="D29" s="41"/>
      <c r="E29" s="41"/>
      <c r="F29" s="41">
        <f>C29</f>
        <v>130</v>
      </c>
      <c r="G29" s="41"/>
      <c r="H29" s="41"/>
      <c r="I29" s="41">
        <f>F29</f>
        <v>130</v>
      </c>
      <c r="J29" s="41"/>
      <c r="K29" s="218"/>
    </row>
    <row r="30" spans="1:11" ht="21.75" customHeight="1">
      <c r="A30" s="120" t="s">
        <v>273</v>
      </c>
      <c r="B30" s="39"/>
      <c r="C30" s="41">
        <v>60319</v>
      </c>
      <c r="D30" s="41"/>
      <c r="E30" s="40"/>
      <c r="F30" s="41">
        <f aca="true" t="shared" si="3" ref="F30:F36">C30</f>
        <v>60319</v>
      </c>
      <c r="G30" s="41"/>
      <c r="H30" s="40"/>
      <c r="I30" s="41">
        <f t="shared" si="2"/>
        <v>60319</v>
      </c>
      <c r="J30" s="41"/>
      <c r="K30" s="218"/>
    </row>
    <row r="31" spans="1:11" ht="33.75" customHeight="1">
      <c r="A31" s="120" t="s">
        <v>269</v>
      </c>
      <c r="B31" s="39"/>
      <c r="C31" s="41">
        <f>517693/1000</f>
        <v>517.693</v>
      </c>
      <c r="D31" s="41"/>
      <c r="E31" s="40"/>
      <c r="F31" s="41">
        <f>506.751</f>
        <v>506.751</v>
      </c>
      <c r="G31" s="41"/>
      <c r="H31" s="40"/>
      <c r="I31" s="41">
        <f>510.539</f>
        <v>510.539</v>
      </c>
      <c r="J31" s="41"/>
      <c r="K31" s="218"/>
    </row>
    <row r="32" spans="1:11" ht="20.25" customHeight="1">
      <c r="A32" s="120" t="s">
        <v>129</v>
      </c>
      <c r="B32" s="39"/>
      <c r="C32" s="41">
        <f>4</f>
        <v>4</v>
      </c>
      <c r="D32" s="41"/>
      <c r="E32" s="40"/>
      <c r="F32" s="41">
        <v>5</v>
      </c>
      <c r="G32" s="41"/>
      <c r="H32" s="40"/>
      <c r="I32" s="41">
        <v>6</v>
      </c>
      <c r="J32" s="41"/>
      <c r="K32" s="218"/>
    </row>
    <row r="33" spans="1:11" ht="20.25" customHeight="1">
      <c r="A33" s="230" t="s">
        <v>267</v>
      </c>
      <c r="B33" s="39"/>
      <c r="C33" s="41">
        <v>69</v>
      </c>
      <c r="D33" s="41"/>
      <c r="E33" s="40"/>
      <c r="F33" s="41">
        <f>C33-C32</f>
        <v>65</v>
      </c>
      <c r="G33" s="41"/>
      <c r="H33" s="40"/>
      <c r="I33" s="41">
        <f>F33-F32</f>
        <v>60</v>
      </c>
      <c r="J33" s="41"/>
      <c r="K33" s="218"/>
    </row>
    <row r="34" spans="1:11" ht="21.75" customHeight="1">
      <c r="A34" s="120" t="s">
        <v>108</v>
      </c>
      <c r="B34" s="39"/>
      <c r="C34" s="41">
        <v>2</v>
      </c>
      <c r="D34" s="41"/>
      <c r="E34" s="40"/>
      <c r="F34" s="41">
        <f>C34</f>
        <v>2</v>
      </c>
      <c r="G34" s="41"/>
      <c r="H34" s="40"/>
      <c r="I34" s="41">
        <f t="shared" si="2"/>
        <v>2</v>
      </c>
      <c r="J34" s="41"/>
      <c r="K34" s="218"/>
    </row>
    <row r="35" spans="1:11" ht="19.5" customHeight="1">
      <c r="A35" s="220" t="s">
        <v>130</v>
      </c>
      <c r="B35" s="39"/>
      <c r="C35" s="41">
        <f>6738.31+3997.55</f>
        <v>10735.86</v>
      </c>
      <c r="D35" s="40"/>
      <c r="E35" s="40"/>
      <c r="F35" s="41">
        <f t="shared" si="3"/>
        <v>10735.86</v>
      </c>
      <c r="G35" s="40"/>
      <c r="H35" s="40"/>
      <c r="I35" s="41">
        <f t="shared" si="2"/>
        <v>10735.86</v>
      </c>
      <c r="J35" s="40"/>
      <c r="K35" s="218"/>
    </row>
    <row r="36" spans="1:11" ht="18" customHeight="1">
      <c r="A36" s="221" t="s">
        <v>109</v>
      </c>
      <c r="B36" s="39"/>
      <c r="C36" s="41"/>
      <c r="D36" s="40"/>
      <c r="E36" s="40"/>
      <c r="F36" s="41">
        <f t="shared" si="3"/>
        <v>0</v>
      </c>
      <c r="G36" s="40"/>
      <c r="H36" s="40"/>
      <c r="I36" s="41">
        <f t="shared" si="2"/>
        <v>0</v>
      </c>
      <c r="J36" s="40"/>
      <c r="K36" s="218"/>
    </row>
    <row r="37" spans="1:11" ht="33.75" customHeight="1">
      <c r="A37" s="222" t="s">
        <v>270</v>
      </c>
      <c r="B37" s="39"/>
      <c r="C37" s="41">
        <f>C31*1000/C27</f>
        <v>3081.5059523809523</v>
      </c>
      <c r="D37" s="40"/>
      <c r="E37" s="40"/>
      <c r="F37" s="41">
        <f>F31*1000/F27</f>
        <v>2653.1465968586385</v>
      </c>
      <c r="G37" s="40"/>
      <c r="H37" s="40"/>
      <c r="I37" s="41">
        <f>I31*1000/I27</f>
        <v>2672.979057591623</v>
      </c>
      <c r="J37" s="40"/>
      <c r="K37" s="218"/>
    </row>
    <row r="38" spans="1:11" ht="33.75" customHeight="1">
      <c r="A38" s="222" t="s">
        <v>272</v>
      </c>
      <c r="B38" s="39"/>
      <c r="C38" s="41">
        <f>C29*1000/C27</f>
        <v>773.8095238095239</v>
      </c>
      <c r="D38" s="40"/>
      <c r="E38" s="40"/>
      <c r="F38" s="41">
        <f>F29*1000/F27</f>
        <v>680.6282722513089</v>
      </c>
      <c r="G38" s="40"/>
      <c r="H38" s="40"/>
      <c r="I38" s="41">
        <f>I29*1000/I27</f>
        <v>680.6282722513089</v>
      </c>
      <c r="J38" s="40"/>
      <c r="K38" s="218"/>
    </row>
    <row r="39" spans="1:11" ht="24" customHeight="1">
      <c r="A39" s="223" t="s">
        <v>132</v>
      </c>
      <c r="B39" s="39"/>
      <c r="C39" s="40">
        <f>C18/C30</f>
        <v>218.8365191730632</v>
      </c>
      <c r="D39" s="40"/>
      <c r="E39" s="40"/>
      <c r="F39" s="40">
        <f>F18/F30</f>
        <v>233.49856595765846</v>
      </c>
      <c r="G39" s="40"/>
      <c r="H39" s="40"/>
      <c r="I39" s="40">
        <f>I18/I30</f>
        <v>246.34098708532966</v>
      </c>
      <c r="J39" s="40"/>
      <c r="K39" s="218"/>
    </row>
    <row r="40" spans="1:11" ht="24" customHeight="1">
      <c r="A40" s="223" t="s">
        <v>265</v>
      </c>
      <c r="B40" s="39"/>
      <c r="C40" s="40">
        <f>(C21/C32)/1000</f>
        <v>300</v>
      </c>
      <c r="D40" s="40"/>
      <c r="E40" s="40"/>
      <c r="F40" s="40">
        <f>(F21/F32)/1000</f>
        <v>256.08</v>
      </c>
      <c r="G40" s="40"/>
      <c r="H40" s="40"/>
      <c r="I40" s="40">
        <f>(I21/I32)/1000</f>
        <v>225.137</v>
      </c>
      <c r="J40" s="40"/>
      <c r="K40" s="218"/>
    </row>
    <row r="41" spans="1:11" ht="23.25" customHeight="1">
      <c r="A41" s="223" t="s">
        <v>266</v>
      </c>
      <c r="B41" s="39"/>
      <c r="C41" s="40">
        <f>(C22/C34)/1000</f>
        <v>1200</v>
      </c>
      <c r="D41" s="40"/>
      <c r="E41" s="40"/>
      <c r="F41" s="40">
        <f>(F22/F34)/1000</f>
        <v>1280.4</v>
      </c>
      <c r="G41" s="40"/>
      <c r="H41" s="40"/>
      <c r="I41" s="40">
        <f>(I22/I34)/1000</f>
        <v>1350.822</v>
      </c>
      <c r="J41" s="40"/>
      <c r="K41" s="218"/>
    </row>
    <row r="42" spans="1:11" ht="29.25" customHeight="1">
      <c r="A42" s="223" t="s">
        <v>131</v>
      </c>
      <c r="B42" s="39"/>
      <c r="C42" s="40">
        <f>C20/C35</f>
        <v>299.5568124025462</v>
      </c>
      <c r="D42" s="40"/>
      <c r="E42" s="40"/>
      <c r="F42" s="40">
        <f>F20/F35</f>
        <v>324.12047101955505</v>
      </c>
      <c r="G42" s="40"/>
      <c r="H42" s="40"/>
      <c r="I42" s="40">
        <f>I20/I35</f>
        <v>343.24357880970877</v>
      </c>
      <c r="J42" s="40"/>
      <c r="K42" s="218"/>
    </row>
    <row r="43" spans="1:11" ht="25.5" customHeight="1">
      <c r="A43" s="224" t="s">
        <v>110</v>
      </c>
      <c r="B43" s="39"/>
      <c r="C43" s="41"/>
      <c r="D43" s="40"/>
      <c r="E43" s="40"/>
      <c r="F43" s="41"/>
      <c r="G43" s="40"/>
      <c r="H43" s="40"/>
      <c r="I43" s="41"/>
      <c r="J43" s="40"/>
      <c r="K43" s="218"/>
    </row>
    <row r="44" spans="1:11" ht="25.5" customHeight="1">
      <c r="A44" s="225" t="s">
        <v>275</v>
      </c>
      <c r="B44" s="39"/>
      <c r="C44" s="41">
        <v>80</v>
      </c>
      <c r="D44" s="40"/>
      <c r="E44" s="40"/>
      <c r="F44" s="41">
        <f>C44</f>
        <v>80</v>
      </c>
      <c r="G44" s="40"/>
      <c r="H44" s="40"/>
      <c r="I44" s="41">
        <f>F44</f>
        <v>80</v>
      </c>
      <c r="J44" s="40"/>
      <c r="K44" s="218"/>
    </row>
    <row r="45" spans="1:11" ht="30" customHeight="1">
      <c r="A45" s="225" t="s">
        <v>268</v>
      </c>
      <c r="B45" s="39"/>
      <c r="C45" s="42">
        <f>C32/C33*100</f>
        <v>5.797101449275362</v>
      </c>
      <c r="D45" s="40"/>
      <c r="E45" s="40"/>
      <c r="F45" s="42">
        <f>F32/F33*100</f>
        <v>7.6923076923076925</v>
      </c>
      <c r="G45" s="40"/>
      <c r="H45" s="40"/>
      <c r="I45" s="42">
        <f>I32/I33*100</f>
        <v>10</v>
      </c>
      <c r="J45" s="40"/>
      <c r="K45" s="218"/>
    </row>
    <row r="46" spans="1:11" ht="30" customHeight="1" hidden="1">
      <c r="A46" s="226" t="s">
        <v>238</v>
      </c>
      <c r="B46" s="39"/>
      <c r="C46" s="42">
        <v>43.4</v>
      </c>
      <c r="D46" s="42"/>
      <c r="E46" s="42"/>
      <c r="F46" s="42">
        <f>C46-0.1</f>
        <v>43.3</v>
      </c>
      <c r="G46" s="42"/>
      <c r="H46" s="42"/>
      <c r="I46" s="42">
        <f>F46-0.2</f>
        <v>43.099999999999994</v>
      </c>
      <c r="J46" s="40"/>
      <c r="K46" s="218"/>
    </row>
    <row r="47" spans="1:11" ht="26.25" customHeight="1">
      <c r="A47" s="223" t="s">
        <v>239</v>
      </c>
      <c r="B47" s="39"/>
      <c r="C47" s="63">
        <v>52668.1</v>
      </c>
      <c r="D47" s="40"/>
      <c r="E47" s="40"/>
      <c r="F47" s="63">
        <f>C47+300</f>
        <v>52968.1</v>
      </c>
      <c r="G47" s="40"/>
      <c r="H47" s="40"/>
      <c r="I47" s="63">
        <f>C47</f>
        <v>52668.1</v>
      </c>
      <c r="J47" s="40"/>
      <c r="K47" s="218"/>
    </row>
    <row r="48" spans="1:11" ht="52.5" customHeight="1">
      <c r="A48" s="243" t="str">
        <f>'Додаток 2'!A19:K19</f>
        <v>Підпрограма 2. РОЗВИТОК МЕРЕЖІ ЗАКЛАДІВ ОХОРОНИ ЗДОРОВ'Я, ЯКІ НАДАЮТЬ ВТОРИННУ (СПЕЦІАЛІЗОВАНУ) МЕДИЧНУ ДОПОМОГУ НАСЕЛЕННЮ </v>
      </c>
      <c r="B48" s="243"/>
      <c r="C48" s="243"/>
      <c r="D48" s="243"/>
      <c r="E48" s="243"/>
      <c r="F48" s="243"/>
      <c r="G48" s="243"/>
      <c r="H48" s="243"/>
      <c r="I48" s="243"/>
      <c r="J48" s="243"/>
      <c r="K48" s="243"/>
    </row>
    <row r="49" spans="1:11" s="74" customFormat="1" ht="30.75" customHeight="1">
      <c r="A49" s="227" t="s">
        <v>122</v>
      </c>
      <c r="B49" s="228" t="s">
        <v>21</v>
      </c>
      <c r="C49" s="228"/>
      <c r="D49" s="228"/>
      <c r="E49" s="228"/>
      <c r="F49" s="228"/>
      <c r="G49" s="228"/>
      <c r="H49" s="228"/>
      <c r="I49" s="228"/>
      <c r="J49" s="228"/>
      <c r="K49" s="228"/>
    </row>
    <row r="50" spans="1:11" ht="28.5" customHeight="1">
      <c r="A50" s="229" t="s">
        <v>133</v>
      </c>
      <c r="B50" s="169" t="s">
        <v>219</v>
      </c>
      <c r="C50" s="169"/>
      <c r="D50" s="169"/>
      <c r="E50" s="169"/>
      <c r="F50" s="169"/>
      <c r="G50" s="169"/>
      <c r="H50" s="169"/>
      <c r="I50" s="169"/>
      <c r="J50" s="169"/>
      <c r="K50" s="169"/>
    </row>
    <row r="51" spans="1:12" ht="33" customHeight="1">
      <c r="A51" s="214" t="s">
        <v>105</v>
      </c>
      <c r="B51" s="246">
        <f>C51+F51+I51</f>
        <v>1159686841.9593732</v>
      </c>
      <c r="C51" s="129">
        <f>D51+E51</f>
        <v>356536399.20000005</v>
      </c>
      <c r="D51" s="129">
        <f>D52+D55+D56+D57+D58+D59+D54</f>
        <v>326276157.6</v>
      </c>
      <c r="E51" s="129">
        <f>E52+E55+E56+E57+E58+E59+E54</f>
        <v>30260241.6</v>
      </c>
      <c r="F51" s="129">
        <f aca="true" t="shared" si="4" ref="F51:F59">G51+H51</f>
        <v>387857992.4508</v>
      </c>
      <c r="G51" s="129">
        <f>G52+G55+G56+G57+G58+G59+G54</f>
        <v>355266247.9032</v>
      </c>
      <c r="H51" s="129">
        <f>H52+H55+H56+H57+H58+H59+H54</f>
        <v>32591744.547600005</v>
      </c>
      <c r="I51" s="129">
        <f aca="true" t="shared" si="5" ref="I51:I59">J51+K51</f>
        <v>415292450.3085732</v>
      </c>
      <c r="J51" s="129">
        <f>J52+J55+J56+J57+J58+J59+J54</f>
        <v>380651641.0958568</v>
      </c>
      <c r="K51" s="129">
        <f>K52+K55+K56+K57+K58+K59+K54</f>
        <v>34640809.2127164</v>
      </c>
      <c r="L51" s="132">
        <f>B51-'Додаток 2'!G32*1000</f>
        <v>0</v>
      </c>
    </row>
    <row r="52" spans="1:11" ht="31.5">
      <c r="A52" s="215" t="s">
        <v>135</v>
      </c>
      <c r="B52" s="131"/>
      <c r="C52" s="62">
        <f aca="true" t="shared" si="6" ref="C52:C59">E52+D52</f>
        <v>33588570</v>
      </c>
      <c r="D52" s="62">
        <f>('Додаток 2'!H20+'Додаток 2'!H22)*1000</f>
        <v>33004848</v>
      </c>
      <c r="E52" s="62">
        <f>'Додаток 2'!H21*1000</f>
        <v>583722</v>
      </c>
      <c r="F52" s="62">
        <f t="shared" si="4"/>
        <v>35839004.19</v>
      </c>
      <c r="G52" s="62">
        <f>D52*1.067</f>
        <v>35216172.816</v>
      </c>
      <c r="H52" s="62">
        <f>E52*1.067</f>
        <v>622831.374</v>
      </c>
      <c r="I52" s="62">
        <f t="shared" si="5"/>
        <v>37810149.420449995</v>
      </c>
      <c r="J52" s="62">
        <f>G52*1.055</f>
        <v>37153062.320879996</v>
      </c>
      <c r="K52" s="62">
        <f>H52*1.055</f>
        <v>657087.09957</v>
      </c>
    </row>
    <row r="53" spans="1:11" ht="31.5">
      <c r="A53" s="215" t="s">
        <v>136</v>
      </c>
      <c r="B53" s="131"/>
      <c r="C53" s="62">
        <f t="shared" si="6"/>
        <v>19895400</v>
      </c>
      <c r="D53" s="62">
        <f>'Додаток 2'!H22*1000</f>
        <v>19895400</v>
      </c>
      <c r="E53" s="62"/>
      <c r="F53" s="62">
        <f t="shared" si="4"/>
        <v>21228391.8</v>
      </c>
      <c r="G53" s="62">
        <f>D53*1.067</f>
        <v>21228391.8</v>
      </c>
      <c r="H53" s="62"/>
      <c r="I53" s="62">
        <f t="shared" si="5"/>
        <v>22395953.349</v>
      </c>
      <c r="J53" s="62">
        <f>G53*1.055</f>
        <v>22395953.349</v>
      </c>
      <c r="K53" s="62"/>
    </row>
    <row r="54" spans="1:11" ht="15.75">
      <c r="A54" s="215" t="s">
        <v>222</v>
      </c>
      <c r="B54" s="131"/>
      <c r="C54" s="62">
        <f t="shared" si="6"/>
        <v>148560</v>
      </c>
      <c r="D54" s="62">
        <f>'Додаток 2'!H23*1000</f>
        <v>148560</v>
      </c>
      <c r="E54" s="62"/>
      <c r="F54" s="62">
        <f t="shared" si="4"/>
        <v>158513.52</v>
      </c>
      <c r="G54" s="62">
        <f>D54*1.067</f>
        <v>158513.52</v>
      </c>
      <c r="H54" s="62"/>
      <c r="I54" s="62">
        <f t="shared" si="5"/>
        <v>167231.76359999998</v>
      </c>
      <c r="J54" s="62">
        <f>G54*1.055</f>
        <v>167231.76359999998</v>
      </c>
      <c r="K54" s="62"/>
    </row>
    <row r="55" spans="1:11" ht="31.5" customHeight="1">
      <c r="A55" s="215" t="s">
        <v>71</v>
      </c>
      <c r="B55" s="131"/>
      <c r="C55" s="62">
        <f t="shared" si="6"/>
        <v>21332071.2</v>
      </c>
      <c r="D55" s="62">
        <f>'Додаток 2'!H24*1000</f>
        <v>17433636</v>
      </c>
      <c r="E55" s="62">
        <f>'Додаток 2'!H25*1000</f>
        <v>3898435.2</v>
      </c>
      <c r="F55" s="62">
        <f t="shared" si="4"/>
        <v>22761319.970399998</v>
      </c>
      <c r="G55" s="62">
        <f>D55*1.067</f>
        <v>18601689.612</v>
      </c>
      <c r="H55" s="62">
        <f>E55*1.067</f>
        <v>4159630.3584</v>
      </c>
      <c r="I55" s="62">
        <f t="shared" si="5"/>
        <v>24013192.568771996</v>
      </c>
      <c r="J55" s="62">
        <f>G55*1.055</f>
        <v>19624782.540659998</v>
      </c>
      <c r="K55" s="62">
        <f>H55*1.055</f>
        <v>4388410.028112</v>
      </c>
    </row>
    <row r="56" spans="1:11" ht="19.5" customHeight="1">
      <c r="A56" s="215" t="s">
        <v>72</v>
      </c>
      <c r="B56" s="131"/>
      <c r="C56" s="62">
        <f t="shared" si="6"/>
        <v>260637211.19999996</v>
      </c>
      <c r="D56" s="62">
        <f>('Додаток 2'!H26+'Додаток 2'!H27)*1000</f>
        <v>249520919.99999997</v>
      </c>
      <c r="E56" s="62">
        <f>'Додаток 2'!H28*1000</f>
        <v>11116291.200000001</v>
      </c>
      <c r="F56" s="62">
        <f t="shared" si="4"/>
        <v>285137109.05279994</v>
      </c>
      <c r="G56" s="62">
        <f>D56*1.094</f>
        <v>272975886.47999996</v>
      </c>
      <c r="H56" s="62">
        <f>E56*1.094</f>
        <v>12161222.572800003</v>
      </c>
      <c r="I56" s="62">
        <f t="shared" si="5"/>
        <v>306807529.3408128</v>
      </c>
      <c r="J56" s="62">
        <f>G56*1.076</f>
        <v>293722053.85248</v>
      </c>
      <c r="K56" s="62">
        <f>H56*1.076</f>
        <v>13085475.488332804</v>
      </c>
    </row>
    <row r="57" spans="1:11" ht="19.5" customHeight="1">
      <c r="A57" s="215" t="s">
        <v>51</v>
      </c>
      <c r="B57" s="131"/>
      <c r="C57" s="62">
        <f t="shared" si="6"/>
        <v>26429986.8</v>
      </c>
      <c r="D57" s="62">
        <f>'Додаток 2'!H29*1000</f>
        <v>26168193.6</v>
      </c>
      <c r="E57" s="62">
        <f>'Додаток 2'!H30*1000</f>
        <v>261793.2</v>
      </c>
      <c r="F57" s="62">
        <f t="shared" si="4"/>
        <v>28597245.717600007</v>
      </c>
      <c r="G57" s="62">
        <f>D57*1.082</f>
        <v>28313985.475200005</v>
      </c>
      <c r="H57" s="62">
        <f>E57*1.082</f>
        <v>283260.24240000005</v>
      </c>
      <c r="I57" s="62">
        <f t="shared" si="5"/>
        <v>30284483.214938402</v>
      </c>
      <c r="J57" s="62">
        <f>G57*1.059</f>
        <v>29984510.618236803</v>
      </c>
      <c r="K57" s="62">
        <f>H57*1.059</f>
        <v>299972.5967016</v>
      </c>
    </row>
    <row r="58" spans="1:11" ht="21.75" customHeight="1">
      <c r="A58" s="215" t="s">
        <v>124</v>
      </c>
      <c r="B58" s="131"/>
      <c r="C58" s="62">
        <f t="shared" si="6"/>
        <v>9600000</v>
      </c>
      <c r="D58" s="62"/>
      <c r="E58" s="62">
        <f>8000000*20%+8000000</f>
        <v>9600000</v>
      </c>
      <c r="F58" s="62">
        <f t="shared" si="4"/>
        <v>10243200</v>
      </c>
      <c r="G58" s="62"/>
      <c r="H58" s="62">
        <f>E58*1.067</f>
        <v>10243200</v>
      </c>
      <c r="I58" s="62">
        <f t="shared" si="5"/>
        <v>10806576</v>
      </c>
      <c r="J58" s="62"/>
      <c r="K58" s="62">
        <f>H58*1.055</f>
        <v>10806576</v>
      </c>
    </row>
    <row r="59" spans="1:11" ht="31.5">
      <c r="A59" s="215" t="s">
        <v>125</v>
      </c>
      <c r="B59" s="131"/>
      <c r="C59" s="62">
        <f t="shared" si="6"/>
        <v>4800000</v>
      </c>
      <c r="D59" s="62"/>
      <c r="E59" s="62">
        <f>4000000*20%+4000000</f>
        <v>4800000</v>
      </c>
      <c r="F59" s="62">
        <f t="shared" si="4"/>
        <v>5121600</v>
      </c>
      <c r="G59" s="62"/>
      <c r="H59" s="62">
        <f>E59*1.067</f>
        <v>5121600</v>
      </c>
      <c r="I59" s="62">
        <f t="shared" si="5"/>
        <v>5403288</v>
      </c>
      <c r="J59" s="62"/>
      <c r="K59" s="62">
        <f>H59*1.055</f>
        <v>5403288</v>
      </c>
    </row>
    <row r="60" spans="1:11" ht="15.75">
      <c r="A60" s="216" t="s">
        <v>106</v>
      </c>
      <c r="B60" s="131"/>
      <c r="C60" s="131"/>
      <c r="D60" s="131"/>
      <c r="E60" s="131"/>
      <c r="F60" s="131"/>
      <c r="G60" s="131"/>
      <c r="H60" s="131"/>
      <c r="I60" s="131"/>
      <c r="J60" s="131"/>
      <c r="K60" s="131"/>
    </row>
    <row r="61" spans="1:11" ht="15.75">
      <c r="A61" s="217" t="s">
        <v>126</v>
      </c>
      <c r="B61" s="39"/>
      <c r="C61" s="40"/>
      <c r="D61" s="40"/>
      <c r="E61" s="40"/>
      <c r="F61" s="40"/>
      <c r="G61" s="40"/>
      <c r="H61" s="40"/>
      <c r="I61" s="40"/>
      <c r="J61" s="40"/>
      <c r="K61" s="218"/>
    </row>
    <row r="62" spans="1:11" ht="15.75">
      <c r="A62" s="230" t="s">
        <v>134</v>
      </c>
      <c r="B62" s="39"/>
      <c r="C62" s="41">
        <v>64</v>
      </c>
      <c r="D62" s="40"/>
      <c r="E62" s="40"/>
      <c r="F62" s="41">
        <f>C62</f>
        <v>64</v>
      </c>
      <c r="G62" s="40"/>
      <c r="H62" s="40"/>
      <c r="I62" s="41">
        <f>F62</f>
        <v>64</v>
      </c>
      <c r="J62" s="40"/>
      <c r="K62" s="218"/>
    </row>
    <row r="63" spans="1:11" ht="15.75">
      <c r="A63" s="230" t="s">
        <v>230</v>
      </c>
      <c r="B63" s="39"/>
      <c r="C63" s="40">
        <f>885</f>
        <v>885</v>
      </c>
      <c r="D63" s="40"/>
      <c r="E63" s="40"/>
      <c r="F63" s="41">
        <f>C63</f>
        <v>885</v>
      </c>
      <c r="G63" s="40"/>
      <c r="H63" s="40"/>
      <c r="I63" s="41">
        <f>F63</f>
        <v>885</v>
      </c>
      <c r="J63" s="40"/>
      <c r="K63" s="218"/>
    </row>
    <row r="64" spans="1:11" ht="15.75">
      <c r="A64" s="219" t="s">
        <v>127</v>
      </c>
      <c r="B64" s="39"/>
      <c r="C64" s="41">
        <v>4</v>
      </c>
      <c r="D64" s="41"/>
      <c r="E64" s="41"/>
      <c r="F64" s="41">
        <f>C64</f>
        <v>4</v>
      </c>
      <c r="G64" s="41"/>
      <c r="H64" s="41"/>
      <c r="I64" s="41">
        <f>F64</f>
        <v>4</v>
      </c>
      <c r="J64" s="40"/>
      <c r="K64" s="218"/>
    </row>
    <row r="65" spans="1:11" ht="15.75">
      <c r="A65" s="219" t="s">
        <v>128</v>
      </c>
      <c r="B65" s="39"/>
      <c r="C65" s="40">
        <v>554.75</v>
      </c>
      <c r="D65" s="40"/>
      <c r="E65" s="40"/>
      <c r="F65" s="40">
        <f>C65</f>
        <v>554.75</v>
      </c>
      <c r="G65" s="40"/>
      <c r="H65" s="40"/>
      <c r="I65" s="40">
        <f>F65</f>
        <v>554.75</v>
      </c>
      <c r="J65" s="40"/>
      <c r="K65" s="218"/>
    </row>
    <row r="66" spans="1:11" ht="15.75">
      <c r="A66" s="217" t="s">
        <v>107</v>
      </c>
      <c r="B66" s="39"/>
      <c r="C66" s="41"/>
      <c r="D66" s="41"/>
      <c r="E66" s="41"/>
      <c r="F66" s="41"/>
      <c r="G66" s="41"/>
      <c r="H66" s="41"/>
      <c r="I66" s="41"/>
      <c r="J66" s="41"/>
      <c r="K66" s="218"/>
    </row>
    <row r="67" spans="1:11" ht="15.75">
      <c r="A67" s="120" t="s">
        <v>129</v>
      </c>
      <c r="B67" s="39"/>
      <c r="C67" s="140">
        <v>11</v>
      </c>
      <c r="D67" s="41"/>
      <c r="E67" s="40"/>
      <c r="F67" s="41">
        <f>C67</f>
        <v>11</v>
      </c>
      <c r="G67" s="41"/>
      <c r="H67" s="40"/>
      <c r="I67" s="41">
        <f>F67</f>
        <v>11</v>
      </c>
      <c r="J67" s="41"/>
      <c r="K67" s="218"/>
    </row>
    <row r="68" spans="1:11" ht="15.75">
      <c r="A68" s="120" t="s">
        <v>267</v>
      </c>
      <c r="B68" s="39"/>
      <c r="C68" s="140">
        <v>1944</v>
      </c>
      <c r="D68" s="41"/>
      <c r="E68" s="40"/>
      <c r="F68" s="41">
        <f>C68-C67</f>
        <v>1933</v>
      </c>
      <c r="G68" s="41"/>
      <c r="H68" s="40"/>
      <c r="I68" s="41">
        <f>F68-F67</f>
        <v>1922</v>
      </c>
      <c r="J68" s="41"/>
      <c r="K68" s="218"/>
    </row>
    <row r="69" spans="1:11" ht="17.25" customHeight="1">
      <c r="A69" s="120" t="s">
        <v>108</v>
      </c>
      <c r="B69" s="39"/>
      <c r="C69" s="41">
        <v>4</v>
      </c>
      <c r="D69" s="41"/>
      <c r="E69" s="40"/>
      <c r="F69" s="41">
        <f>C69</f>
        <v>4</v>
      </c>
      <c r="G69" s="41"/>
      <c r="H69" s="40"/>
      <c r="I69" s="41">
        <f>F69</f>
        <v>4</v>
      </c>
      <c r="J69" s="41"/>
      <c r="K69" s="218"/>
    </row>
    <row r="70" spans="1:11" ht="18.75" customHeight="1">
      <c r="A70" s="120" t="s">
        <v>130</v>
      </c>
      <c r="B70" s="39"/>
      <c r="C70" s="41">
        <v>125075.22</v>
      </c>
      <c r="D70" s="40"/>
      <c r="E70" s="40"/>
      <c r="F70" s="41">
        <f>C70</f>
        <v>125075.22</v>
      </c>
      <c r="G70" s="40"/>
      <c r="H70" s="40"/>
      <c r="I70" s="41">
        <f>F70</f>
        <v>125075.22</v>
      </c>
      <c r="J70" s="40"/>
      <c r="K70" s="218"/>
    </row>
    <row r="71" spans="1:11" ht="15.75">
      <c r="A71" s="221" t="s">
        <v>109</v>
      </c>
      <c r="B71" s="39"/>
      <c r="C71" s="41"/>
      <c r="D71" s="40"/>
      <c r="E71" s="40"/>
      <c r="F71" s="41"/>
      <c r="G71" s="40"/>
      <c r="H71" s="40"/>
      <c r="I71" s="41"/>
      <c r="J71" s="40"/>
      <c r="K71" s="218"/>
    </row>
    <row r="72" spans="1:11" ht="35.25" customHeight="1">
      <c r="A72" s="230" t="s">
        <v>276</v>
      </c>
      <c r="B72" s="39"/>
      <c r="C72" s="41">
        <f>(C53/C62)/1000</f>
        <v>310.865625</v>
      </c>
      <c r="D72" s="40"/>
      <c r="E72" s="40"/>
      <c r="F72" s="41">
        <f>(F53/F62)/1000</f>
        <v>331.693621875</v>
      </c>
      <c r="G72" s="40"/>
      <c r="H72" s="40"/>
      <c r="I72" s="41">
        <f>(I53/I62)/1000</f>
        <v>349.936771078125</v>
      </c>
      <c r="J72" s="40"/>
      <c r="K72" s="218"/>
    </row>
    <row r="73" spans="1:11" ht="15" customHeight="1">
      <c r="A73" s="223" t="s">
        <v>231</v>
      </c>
      <c r="B73" s="39"/>
      <c r="C73" s="41">
        <f>C54/C63</f>
        <v>167.864406779661</v>
      </c>
      <c r="D73" s="40"/>
      <c r="E73" s="40"/>
      <c r="F73" s="41">
        <f>F54/F63</f>
        <v>179.1113220338983</v>
      </c>
      <c r="G73" s="40"/>
      <c r="H73" s="40"/>
      <c r="I73" s="41">
        <f>I54/I63</f>
        <v>188.9624447457627</v>
      </c>
      <c r="J73" s="40"/>
      <c r="K73" s="218"/>
    </row>
    <row r="74" spans="1:11" ht="15.75">
      <c r="A74" s="223" t="s">
        <v>234</v>
      </c>
      <c r="B74" s="39"/>
      <c r="C74" s="40">
        <v>16.25</v>
      </c>
      <c r="D74" s="40"/>
      <c r="E74" s="40"/>
      <c r="F74" s="40">
        <f>C74*1.067</f>
        <v>17.338749999999997</v>
      </c>
      <c r="G74" s="40"/>
      <c r="H74" s="40"/>
      <c r="I74" s="40">
        <f>F74*1.055</f>
        <v>18.292381249999995</v>
      </c>
      <c r="J74" s="40"/>
      <c r="K74" s="218"/>
    </row>
    <row r="75" spans="1:11" ht="15.75">
      <c r="A75" s="223" t="s">
        <v>265</v>
      </c>
      <c r="B75" s="39"/>
      <c r="C75" s="40">
        <f>(C58/C67)/1000</f>
        <v>872.7272727272727</v>
      </c>
      <c r="D75" s="40"/>
      <c r="E75" s="40"/>
      <c r="F75" s="40">
        <f>(F58/F67)/1000</f>
        <v>931.2</v>
      </c>
      <c r="G75" s="40"/>
      <c r="H75" s="40"/>
      <c r="I75" s="40">
        <f>(I58/I67)/1000</f>
        <v>982.416</v>
      </c>
      <c r="J75" s="40"/>
      <c r="K75" s="218"/>
    </row>
    <row r="76" spans="1:11" ht="15.75">
      <c r="A76" s="223" t="s">
        <v>266</v>
      </c>
      <c r="B76" s="39"/>
      <c r="C76" s="40">
        <f>(C59/C69)/1000</f>
        <v>1200</v>
      </c>
      <c r="D76" s="40"/>
      <c r="E76" s="40"/>
      <c r="F76" s="40">
        <f>(F59/F69)/1000</f>
        <v>1280.4</v>
      </c>
      <c r="G76" s="40"/>
      <c r="H76" s="40"/>
      <c r="I76" s="40">
        <f>(I59/I69)/1000</f>
        <v>1350.822</v>
      </c>
      <c r="J76" s="40"/>
      <c r="K76" s="218"/>
    </row>
    <row r="77" spans="1:11" ht="29.25" customHeight="1">
      <c r="A77" s="223" t="s">
        <v>131</v>
      </c>
      <c r="B77" s="39"/>
      <c r="C77" s="40">
        <f>C57/C70</f>
        <v>211.31273484867745</v>
      </c>
      <c r="D77" s="40"/>
      <c r="E77" s="40"/>
      <c r="F77" s="40">
        <f>F55/F70</f>
        <v>181.98105084604288</v>
      </c>
      <c r="G77" s="40"/>
      <c r="H77" s="40"/>
      <c r="I77" s="40">
        <f>I55/I70</f>
        <v>191.99000864257522</v>
      </c>
      <c r="J77" s="40"/>
      <c r="K77" s="218"/>
    </row>
    <row r="78" spans="1:11" ht="15.75">
      <c r="A78" s="224" t="s">
        <v>110</v>
      </c>
      <c r="B78" s="39"/>
      <c r="C78" s="41"/>
      <c r="D78" s="40"/>
      <c r="E78" s="40"/>
      <c r="F78" s="41"/>
      <c r="G78" s="40"/>
      <c r="H78" s="40"/>
      <c r="I78" s="41"/>
      <c r="J78" s="40"/>
      <c r="K78" s="218"/>
    </row>
    <row r="79" spans="1:11" ht="18.75" customHeight="1">
      <c r="A79" s="225" t="s">
        <v>277</v>
      </c>
      <c r="B79" s="39"/>
      <c r="C79" s="41">
        <v>100</v>
      </c>
      <c r="D79" s="40"/>
      <c r="E79" s="40"/>
      <c r="F79" s="41">
        <f>C79</f>
        <v>100</v>
      </c>
      <c r="G79" s="40"/>
      <c r="H79" s="40"/>
      <c r="I79" s="41">
        <f>F79</f>
        <v>100</v>
      </c>
      <c r="J79" s="40"/>
      <c r="K79" s="218"/>
    </row>
    <row r="80" spans="1:11" ht="21.75" customHeight="1">
      <c r="A80" s="223" t="s">
        <v>140</v>
      </c>
      <c r="B80" s="39"/>
      <c r="C80" s="63">
        <v>0.01</v>
      </c>
      <c r="D80" s="40"/>
      <c r="E80" s="40"/>
      <c r="F80" s="40">
        <f>C80</f>
        <v>0.01</v>
      </c>
      <c r="G80" s="40"/>
      <c r="H80" s="40"/>
      <c r="I80" s="40">
        <f>F80</f>
        <v>0.01</v>
      </c>
      <c r="J80" s="40"/>
      <c r="K80" s="218"/>
    </row>
    <row r="81" spans="1:11" ht="36" customHeight="1">
      <c r="A81" s="230" t="s">
        <v>278</v>
      </c>
      <c r="B81" s="39"/>
      <c r="C81" s="41">
        <f>C67/C68*100</f>
        <v>0.565843621399177</v>
      </c>
      <c r="D81" s="40"/>
      <c r="E81" s="40"/>
      <c r="F81" s="41">
        <f>F67/F68*100</f>
        <v>0.5690636316606311</v>
      </c>
      <c r="G81" s="40"/>
      <c r="H81" s="40"/>
      <c r="I81" s="41">
        <f>I67/I68*100</f>
        <v>0.5723204994797086</v>
      </c>
      <c r="J81" s="40"/>
      <c r="K81" s="218"/>
    </row>
    <row r="82" spans="1:11" ht="24" customHeight="1">
      <c r="A82" s="230" t="s">
        <v>279</v>
      </c>
      <c r="B82" s="39"/>
      <c r="C82" s="42">
        <v>61.1</v>
      </c>
      <c r="D82" s="40"/>
      <c r="E82" s="40"/>
      <c r="F82" s="42">
        <f>C82-0.3</f>
        <v>60.800000000000004</v>
      </c>
      <c r="G82" s="40"/>
      <c r="H82" s="40"/>
      <c r="I82" s="42">
        <f>F82-0.2</f>
        <v>60.6</v>
      </c>
      <c r="J82" s="40"/>
      <c r="K82" s="218"/>
    </row>
    <row r="83" spans="1:11" ht="28.5" customHeight="1">
      <c r="A83" s="230" t="s">
        <v>280</v>
      </c>
      <c r="B83" s="39"/>
      <c r="C83" s="41">
        <v>1</v>
      </c>
      <c r="D83" s="40"/>
      <c r="E83" s="40"/>
      <c r="F83" s="41">
        <f>C83</f>
        <v>1</v>
      </c>
      <c r="G83" s="40"/>
      <c r="H83" s="40"/>
      <c r="I83" s="41">
        <f>F83</f>
        <v>1</v>
      </c>
      <c r="J83" s="40"/>
      <c r="K83" s="218"/>
    </row>
    <row r="84" spans="1:11" ht="30" customHeight="1">
      <c r="A84" s="242" t="str">
        <f>'Додаток 2'!A36:K36</f>
        <v>Підпрограма 3. ОХОРОНА МАТЕРИНСТВА ТА ДИТИНСТВА</v>
      </c>
      <c r="B84" s="242"/>
      <c r="C84" s="242"/>
      <c r="D84" s="242"/>
      <c r="E84" s="242"/>
      <c r="F84" s="242"/>
      <c r="G84" s="242"/>
      <c r="H84" s="242"/>
      <c r="I84" s="242"/>
      <c r="J84" s="242"/>
      <c r="K84" s="242"/>
    </row>
    <row r="85" spans="1:11" ht="33" customHeight="1">
      <c r="A85" s="231" t="s">
        <v>122</v>
      </c>
      <c r="B85" s="232" t="s">
        <v>281</v>
      </c>
      <c r="C85" s="232"/>
      <c r="D85" s="232"/>
      <c r="E85" s="232"/>
      <c r="F85" s="232"/>
      <c r="G85" s="232"/>
      <c r="H85" s="232"/>
      <c r="I85" s="232"/>
      <c r="J85" s="232"/>
      <c r="K85" s="232"/>
    </row>
    <row r="86" spans="1:11" ht="27" customHeight="1">
      <c r="A86" s="229" t="s">
        <v>139</v>
      </c>
      <c r="B86" s="169" t="s">
        <v>204</v>
      </c>
      <c r="C86" s="169"/>
      <c r="D86" s="169"/>
      <c r="E86" s="169"/>
      <c r="F86" s="169"/>
      <c r="G86" s="169"/>
      <c r="H86" s="169"/>
      <c r="I86" s="169"/>
      <c r="J86" s="169"/>
      <c r="K86" s="169"/>
    </row>
    <row r="87" spans="1:12" ht="22.5" customHeight="1">
      <c r="A87" s="214" t="s">
        <v>105</v>
      </c>
      <c r="B87" s="129">
        <f>C87+F87+I87</f>
        <v>151488630.75643963</v>
      </c>
      <c r="C87" s="129">
        <f>D87+E87</f>
        <v>46533521.2</v>
      </c>
      <c r="D87" s="129">
        <f>D88+D90+D91+D92+D93+D94+D89</f>
        <v>45288641.2</v>
      </c>
      <c r="E87" s="129">
        <f>E88+E90+E91+E92+E93+E94</f>
        <v>1244880</v>
      </c>
      <c r="F87" s="129">
        <f aca="true" t="shared" si="7" ref="F87:F94">G87+H87</f>
        <v>50670218.96840001</v>
      </c>
      <c r="G87" s="129">
        <f>G88+G90+G91+G92+G93+G94+G89</f>
        <v>49341321.448400006</v>
      </c>
      <c r="H87" s="129">
        <f>H88+H90+H91+H92+H93+H94</f>
        <v>1328897.52</v>
      </c>
      <c r="I87" s="129">
        <f aca="true" t="shared" si="8" ref="I87:I94">J87+K87</f>
        <v>54284890.5880396</v>
      </c>
      <c r="J87" s="129">
        <f>J88+J90+J91+J92+J93+J94+J89</f>
        <v>52882465.1649196</v>
      </c>
      <c r="K87" s="129">
        <f>K88+K90+K91+K92+K93+K94</f>
        <v>1402425.42312</v>
      </c>
      <c r="L87" s="122">
        <f>B87-'Додаток 2'!G47*1000</f>
        <v>0</v>
      </c>
    </row>
    <row r="88" spans="1:11" ht="39" customHeight="1">
      <c r="A88" s="215" t="s">
        <v>79</v>
      </c>
      <c r="B88" s="131"/>
      <c r="C88" s="62">
        <f aca="true" t="shared" si="9" ref="C88:C94">E88+D88</f>
        <v>2971932</v>
      </c>
      <c r="D88" s="62">
        <f>'Додаток 2'!H37*1000</f>
        <v>2971932</v>
      </c>
      <c r="E88" s="62"/>
      <c r="F88" s="62">
        <f t="shared" si="7"/>
        <v>3171051.4439999997</v>
      </c>
      <c r="G88" s="62">
        <f>D88*1.067</f>
        <v>3171051.4439999997</v>
      </c>
      <c r="H88" s="62"/>
      <c r="I88" s="62">
        <f t="shared" si="8"/>
        <v>3345459.2734199995</v>
      </c>
      <c r="J88" s="62">
        <f>G88*1.055</f>
        <v>3345459.2734199995</v>
      </c>
      <c r="K88" s="62"/>
    </row>
    <row r="89" spans="1:11" ht="21.75" customHeight="1">
      <c r="A89" s="215" t="s">
        <v>232</v>
      </c>
      <c r="B89" s="131"/>
      <c r="C89" s="62">
        <f t="shared" si="9"/>
        <v>16090</v>
      </c>
      <c r="D89" s="62">
        <f>'Додаток 2'!H38*1000</f>
        <v>16090</v>
      </c>
      <c r="E89" s="62"/>
      <c r="F89" s="62">
        <f t="shared" si="7"/>
        <v>17168.03</v>
      </c>
      <c r="G89" s="62">
        <f>D89*1.067</f>
        <v>17168.03</v>
      </c>
      <c r="H89" s="62"/>
      <c r="I89" s="62">
        <f t="shared" si="8"/>
        <v>18112.27165</v>
      </c>
      <c r="J89" s="62">
        <f>G89*1.055</f>
        <v>18112.27165</v>
      </c>
      <c r="K89" s="62"/>
    </row>
    <row r="90" spans="1:11" ht="39" customHeight="1">
      <c r="A90" s="215" t="s">
        <v>71</v>
      </c>
      <c r="B90" s="131"/>
      <c r="C90" s="62">
        <f t="shared" si="9"/>
        <v>2540879.9999999995</v>
      </c>
      <c r="D90" s="62">
        <f>'Додаток 2'!H39*1000</f>
        <v>2522879.9999999995</v>
      </c>
      <c r="E90" s="62">
        <f>'Додаток 2'!H40*1000</f>
        <v>18000</v>
      </c>
      <c r="F90" s="62">
        <f t="shared" si="7"/>
        <v>2711118.9599999995</v>
      </c>
      <c r="G90" s="62">
        <f>D90*1.067</f>
        <v>2691912.9599999995</v>
      </c>
      <c r="H90" s="62">
        <f>E90*1.067</f>
        <v>19206</v>
      </c>
      <c r="I90" s="62">
        <f t="shared" si="8"/>
        <v>2860230.5027999994</v>
      </c>
      <c r="J90" s="62">
        <f>G90*1.055</f>
        <v>2839968.1727999994</v>
      </c>
      <c r="K90" s="62">
        <f>H90*1.055</f>
        <v>20262.329999999998</v>
      </c>
    </row>
    <row r="91" spans="1:11" ht="23.25" customHeight="1">
      <c r="A91" s="215" t="s">
        <v>72</v>
      </c>
      <c r="B91" s="131"/>
      <c r="C91" s="62">
        <f t="shared" si="9"/>
        <v>35156880</v>
      </c>
      <c r="D91" s="62">
        <f>('Додаток 2'!H41+'Додаток 2'!H43)*1000</f>
        <v>35139600</v>
      </c>
      <c r="E91" s="62">
        <f>'Додаток 2'!H42*1000</f>
        <v>17280</v>
      </c>
      <c r="F91" s="62">
        <f t="shared" si="7"/>
        <v>38461626.720000006</v>
      </c>
      <c r="G91" s="62">
        <f>D91*1.094</f>
        <v>38442722.400000006</v>
      </c>
      <c r="H91" s="62">
        <f>E91*1.094</f>
        <v>18904.32</v>
      </c>
      <c r="I91" s="62">
        <f t="shared" si="8"/>
        <v>41384710.35072001</v>
      </c>
      <c r="J91" s="62">
        <f>G91*1.076</f>
        <v>41364369.30240001</v>
      </c>
      <c r="K91" s="62">
        <f>H91*1.076</f>
        <v>20341.04832</v>
      </c>
    </row>
    <row r="92" spans="1:11" ht="23.25" customHeight="1">
      <c r="A92" s="215" t="s">
        <v>51</v>
      </c>
      <c r="B92" s="131"/>
      <c r="C92" s="62">
        <f t="shared" si="9"/>
        <v>4647739.199999999</v>
      </c>
      <c r="D92" s="62">
        <f>'Додаток 2'!H44*1000</f>
        <v>4638139.199999999</v>
      </c>
      <c r="E92" s="62">
        <f>'Додаток 2'!H45*1000</f>
        <v>9600</v>
      </c>
      <c r="F92" s="62">
        <f t="shared" si="7"/>
        <v>5028853.8144</v>
      </c>
      <c r="G92" s="62">
        <f>D92*1.082</f>
        <v>5018466.614399999</v>
      </c>
      <c r="H92" s="62">
        <f>E92*1.082</f>
        <v>10387.2</v>
      </c>
      <c r="I92" s="62">
        <f t="shared" si="8"/>
        <v>5325556.189449599</v>
      </c>
      <c r="J92" s="62">
        <f>G92*1.059</f>
        <v>5314556.144649599</v>
      </c>
      <c r="K92" s="62">
        <f>H92*1.059</f>
        <v>11000.0448</v>
      </c>
    </row>
    <row r="93" spans="1:11" ht="15.75">
      <c r="A93" s="215" t="s">
        <v>124</v>
      </c>
      <c r="B93" s="131"/>
      <c r="C93" s="62">
        <f t="shared" si="9"/>
        <v>588600</v>
      </c>
      <c r="D93" s="62"/>
      <c r="E93" s="62">
        <f>490500*20%+490500</f>
        <v>588600</v>
      </c>
      <c r="F93" s="62">
        <f t="shared" si="7"/>
        <v>628036.2</v>
      </c>
      <c r="G93" s="62"/>
      <c r="H93" s="62">
        <f>E93*1.067</f>
        <v>628036.2</v>
      </c>
      <c r="I93" s="62">
        <f t="shared" si="8"/>
        <v>662578.1909999999</v>
      </c>
      <c r="J93" s="62"/>
      <c r="K93" s="62">
        <f>H93*1.055</f>
        <v>662578.1909999999</v>
      </c>
    </row>
    <row r="94" spans="1:11" ht="31.5">
      <c r="A94" s="215" t="s">
        <v>125</v>
      </c>
      <c r="B94" s="131"/>
      <c r="C94" s="62">
        <f t="shared" si="9"/>
        <v>611400</v>
      </c>
      <c r="D94" s="62"/>
      <c r="E94" s="62">
        <f>509500*20%+509500</f>
        <v>611400</v>
      </c>
      <c r="F94" s="62">
        <f t="shared" si="7"/>
        <v>652363.7999999999</v>
      </c>
      <c r="G94" s="62"/>
      <c r="H94" s="62">
        <f>E94*1.067</f>
        <v>652363.7999999999</v>
      </c>
      <c r="I94" s="62">
        <f t="shared" si="8"/>
        <v>688243.8089999999</v>
      </c>
      <c r="J94" s="62"/>
      <c r="K94" s="62">
        <f>H94*1.055</f>
        <v>688243.8089999999</v>
      </c>
    </row>
    <row r="95" spans="1:11" ht="15.75">
      <c r="A95" s="216" t="s">
        <v>106</v>
      </c>
      <c r="B95" s="131"/>
      <c r="C95" s="131"/>
      <c r="D95" s="131"/>
      <c r="E95" s="131"/>
      <c r="F95" s="131"/>
      <c r="G95" s="131"/>
      <c r="H95" s="131"/>
      <c r="I95" s="131"/>
      <c r="J95" s="131"/>
      <c r="K95" s="131"/>
    </row>
    <row r="96" spans="1:11" ht="15.75">
      <c r="A96" s="217" t="s">
        <v>126</v>
      </c>
      <c r="B96" s="39"/>
      <c r="C96" s="40"/>
      <c r="D96" s="40"/>
      <c r="E96" s="40"/>
      <c r="F96" s="40"/>
      <c r="G96" s="40"/>
      <c r="H96" s="40"/>
      <c r="I96" s="40"/>
      <c r="J96" s="40"/>
      <c r="K96" s="218"/>
    </row>
    <row r="97" spans="1:11" ht="15.75">
      <c r="A97" s="219" t="s">
        <v>127</v>
      </c>
      <c r="B97" s="39"/>
      <c r="C97" s="41">
        <v>1</v>
      </c>
      <c r="D97" s="41"/>
      <c r="E97" s="41"/>
      <c r="F97" s="41">
        <f>C97</f>
        <v>1</v>
      </c>
      <c r="G97" s="41"/>
      <c r="H97" s="41"/>
      <c r="I97" s="41">
        <f>F97</f>
        <v>1</v>
      </c>
      <c r="J97" s="40"/>
      <c r="K97" s="218"/>
    </row>
    <row r="98" spans="1:11" ht="15.75">
      <c r="A98" s="219" t="s">
        <v>128</v>
      </c>
      <c r="B98" s="39"/>
      <c r="C98" s="40">
        <v>86.75</v>
      </c>
      <c r="D98" s="40"/>
      <c r="E98" s="40"/>
      <c r="F98" s="40">
        <f>C98</f>
        <v>86.75</v>
      </c>
      <c r="G98" s="40"/>
      <c r="H98" s="40"/>
      <c r="I98" s="40">
        <f>F98</f>
        <v>86.75</v>
      </c>
      <c r="J98" s="40"/>
      <c r="K98" s="218"/>
    </row>
    <row r="99" spans="1:11" ht="15.75">
      <c r="A99" s="230" t="s">
        <v>230</v>
      </c>
      <c r="B99" s="39"/>
      <c r="C99" s="40">
        <v>30</v>
      </c>
      <c r="D99" s="40"/>
      <c r="E99" s="40"/>
      <c r="F99" s="40">
        <f>C99</f>
        <v>30</v>
      </c>
      <c r="G99" s="40"/>
      <c r="H99" s="40"/>
      <c r="I99" s="40">
        <f>F99</f>
        <v>30</v>
      </c>
      <c r="J99" s="40"/>
      <c r="K99" s="218"/>
    </row>
    <row r="100" spans="1:11" ht="15.75">
      <c r="A100" s="223" t="s">
        <v>141</v>
      </c>
      <c r="B100" s="39"/>
      <c r="C100" s="40">
        <v>165</v>
      </c>
      <c r="D100" s="40"/>
      <c r="E100" s="40"/>
      <c r="F100" s="40">
        <f>C100</f>
        <v>165</v>
      </c>
      <c r="G100" s="40"/>
      <c r="H100" s="40"/>
      <c r="I100" s="40">
        <f>F100</f>
        <v>165</v>
      </c>
      <c r="J100" s="40"/>
      <c r="K100" s="218"/>
    </row>
    <row r="101" spans="1:11" ht="15.75">
      <c r="A101" s="217" t="s">
        <v>107</v>
      </c>
      <c r="B101" s="39"/>
      <c r="C101" s="41"/>
      <c r="D101" s="41"/>
      <c r="E101" s="41"/>
      <c r="F101" s="41"/>
      <c r="G101" s="41"/>
      <c r="H101" s="41"/>
      <c r="I101" s="41"/>
      <c r="J101" s="41"/>
      <c r="K101" s="218"/>
    </row>
    <row r="102" spans="1:11" ht="15.75">
      <c r="A102" s="120" t="s">
        <v>142</v>
      </c>
      <c r="B102" s="39"/>
      <c r="C102" s="42">
        <v>3300</v>
      </c>
      <c r="D102" s="42"/>
      <c r="E102" s="42"/>
      <c r="F102" s="42">
        <f>C102+50</f>
        <v>3350</v>
      </c>
      <c r="G102" s="42"/>
      <c r="H102" s="42"/>
      <c r="I102" s="42">
        <f>F102+50</f>
        <v>3400</v>
      </c>
      <c r="J102" s="41"/>
      <c r="K102" s="218"/>
    </row>
    <row r="103" spans="1:11" ht="15.75">
      <c r="A103" s="120" t="s">
        <v>143</v>
      </c>
      <c r="B103" s="39"/>
      <c r="C103" s="42">
        <v>3316</v>
      </c>
      <c r="D103" s="42"/>
      <c r="E103" s="42"/>
      <c r="F103" s="42">
        <f>C103</f>
        <v>3316</v>
      </c>
      <c r="G103" s="42"/>
      <c r="H103" s="42"/>
      <c r="I103" s="42">
        <f>F103</f>
        <v>3316</v>
      </c>
      <c r="J103" s="41"/>
      <c r="K103" s="218"/>
    </row>
    <row r="104" spans="1:11" ht="15.75">
      <c r="A104" s="120" t="s">
        <v>144</v>
      </c>
      <c r="B104" s="39"/>
      <c r="C104" s="42">
        <v>147714</v>
      </c>
      <c r="D104" s="42"/>
      <c r="E104" s="42"/>
      <c r="F104" s="42">
        <f>C104</f>
        <v>147714</v>
      </c>
      <c r="G104" s="42"/>
      <c r="H104" s="42"/>
      <c r="I104" s="42">
        <f>F104</f>
        <v>147714</v>
      </c>
      <c r="J104" s="41"/>
      <c r="K104" s="218"/>
    </row>
    <row r="105" spans="1:11" ht="15.75">
      <c r="A105" s="120" t="s">
        <v>129</v>
      </c>
      <c r="B105" s="39"/>
      <c r="C105" s="140">
        <v>6</v>
      </c>
      <c r="D105" s="41"/>
      <c r="E105" s="40"/>
      <c r="F105" s="41">
        <f>C105</f>
        <v>6</v>
      </c>
      <c r="G105" s="41"/>
      <c r="H105" s="40"/>
      <c r="I105" s="41">
        <f>F105</f>
        <v>6</v>
      </c>
      <c r="J105" s="41"/>
      <c r="K105" s="218"/>
    </row>
    <row r="106" spans="1:11" ht="15.75">
      <c r="A106" s="120" t="s">
        <v>267</v>
      </c>
      <c r="B106" s="39"/>
      <c r="C106" s="140">
        <v>37</v>
      </c>
      <c r="D106" s="41"/>
      <c r="E106" s="40"/>
      <c r="F106" s="41">
        <f>C106-C105</f>
        <v>31</v>
      </c>
      <c r="G106" s="41"/>
      <c r="H106" s="40"/>
      <c r="I106" s="41">
        <f>F106-F105</f>
        <v>25</v>
      </c>
      <c r="J106" s="41"/>
      <c r="K106" s="218"/>
    </row>
    <row r="107" spans="1:11" ht="15.75">
      <c r="A107" s="120" t="s">
        <v>108</v>
      </c>
      <c r="B107" s="39"/>
      <c r="C107" s="41">
        <v>53</v>
      </c>
      <c r="D107" s="41"/>
      <c r="E107" s="40"/>
      <c r="F107" s="41">
        <f>C107</f>
        <v>53</v>
      </c>
      <c r="G107" s="41"/>
      <c r="H107" s="40"/>
      <c r="I107" s="41">
        <f>F107</f>
        <v>53</v>
      </c>
      <c r="J107" s="41"/>
      <c r="K107" s="218"/>
    </row>
    <row r="108" spans="1:11" ht="18.75">
      <c r="A108" s="120" t="s">
        <v>130</v>
      </c>
      <c r="B108" s="39"/>
      <c r="C108" s="41">
        <v>19323.039999999997</v>
      </c>
      <c r="D108" s="40"/>
      <c r="E108" s="40"/>
      <c r="F108" s="41">
        <f>C108</f>
        <v>19323.039999999997</v>
      </c>
      <c r="G108" s="40"/>
      <c r="H108" s="40"/>
      <c r="I108" s="41">
        <f>F108</f>
        <v>19323.039999999997</v>
      </c>
      <c r="J108" s="40"/>
      <c r="K108" s="218"/>
    </row>
    <row r="109" spans="1:11" ht="15.75">
      <c r="A109" s="221" t="s">
        <v>109</v>
      </c>
      <c r="B109" s="39"/>
      <c r="C109" s="41"/>
      <c r="D109" s="40"/>
      <c r="E109" s="40"/>
      <c r="F109" s="41"/>
      <c r="G109" s="40"/>
      <c r="H109" s="40"/>
      <c r="I109" s="41"/>
      <c r="J109" s="40"/>
      <c r="K109" s="218"/>
    </row>
    <row r="110" spans="1:11" ht="34.5" customHeight="1">
      <c r="A110" s="230" t="s">
        <v>145</v>
      </c>
      <c r="B110" s="39"/>
      <c r="C110" s="42">
        <v>5.1</v>
      </c>
      <c r="D110" s="40"/>
      <c r="E110" s="40"/>
      <c r="F110" s="42">
        <f>C110</f>
        <v>5.1</v>
      </c>
      <c r="G110" s="40"/>
      <c r="H110" s="40"/>
      <c r="I110" s="42">
        <f>F110</f>
        <v>5.1</v>
      </c>
      <c r="J110" s="40"/>
      <c r="K110" s="218"/>
    </row>
    <row r="111" spans="1:11" ht="15.75">
      <c r="A111" s="223" t="s">
        <v>146</v>
      </c>
      <c r="B111" s="39"/>
      <c r="C111" s="42">
        <f>C102/C98</f>
        <v>38.04034582132565</v>
      </c>
      <c r="D111" s="40"/>
      <c r="E111" s="40"/>
      <c r="F111" s="42">
        <f>F102/F98</f>
        <v>38.61671469740634</v>
      </c>
      <c r="G111" s="40"/>
      <c r="H111" s="40"/>
      <c r="I111" s="42">
        <f>I102/I98</f>
        <v>39.19308357348703</v>
      </c>
      <c r="J111" s="40"/>
      <c r="K111" s="218"/>
    </row>
    <row r="112" spans="1:11" ht="15.75">
      <c r="A112" s="223" t="s">
        <v>231</v>
      </c>
      <c r="B112" s="39"/>
      <c r="C112" s="41">
        <f>C89/C99</f>
        <v>536.3333333333334</v>
      </c>
      <c r="D112" s="40"/>
      <c r="E112" s="40"/>
      <c r="F112" s="41">
        <f>F89/F99</f>
        <v>572.2676666666666</v>
      </c>
      <c r="G112" s="40"/>
      <c r="H112" s="40"/>
      <c r="I112" s="41">
        <f>I89/I99</f>
        <v>603.7423883333333</v>
      </c>
      <c r="J112" s="40"/>
      <c r="K112" s="218"/>
    </row>
    <row r="113" spans="1:11" ht="15.75">
      <c r="A113" s="223" t="s">
        <v>148</v>
      </c>
      <c r="B113" s="39"/>
      <c r="C113" s="40">
        <f>C93/C105</f>
        <v>98100</v>
      </c>
      <c r="D113" s="40"/>
      <c r="E113" s="40"/>
      <c r="F113" s="40">
        <f>F93/F105</f>
        <v>104672.7</v>
      </c>
      <c r="G113" s="40"/>
      <c r="H113" s="40"/>
      <c r="I113" s="40">
        <f>I93/I105</f>
        <v>110429.69849999998</v>
      </c>
      <c r="J113" s="40"/>
      <c r="K113" s="218"/>
    </row>
    <row r="114" spans="1:11" ht="15.75">
      <c r="A114" s="223" t="s">
        <v>149</v>
      </c>
      <c r="B114" s="39"/>
      <c r="C114" s="40">
        <f>C94/C107</f>
        <v>11535.849056603774</v>
      </c>
      <c r="D114" s="40"/>
      <c r="E114" s="40"/>
      <c r="F114" s="40">
        <f>F94/F107</f>
        <v>12308.750943396226</v>
      </c>
      <c r="G114" s="40"/>
      <c r="H114" s="40"/>
      <c r="I114" s="40">
        <f>I94/I107</f>
        <v>12985.732245283018</v>
      </c>
      <c r="J114" s="40"/>
      <c r="K114" s="218"/>
    </row>
    <row r="115" spans="1:11" ht="34.5">
      <c r="A115" s="223" t="s">
        <v>131</v>
      </c>
      <c r="B115" s="39"/>
      <c r="C115" s="40">
        <f>C92/C108</f>
        <v>240.5283640669377</v>
      </c>
      <c r="D115" s="40"/>
      <c r="E115" s="40"/>
      <c r="F115" s="40">
        <f>F92/F108</f>
        <v>260.2516899204266</v>
      </c>
      <c r="G115" s="40"/>
      <c r="H115" s="40"/>
      <c r="I115" s="40">
        <f>I92/I108</f>
        <v>275.6065396257318</v>
      </c>
      <c r="J115" s="40"/>
      <c r="K115" s="218"/>
    </row>
    <row r="116" spans="1:11" ht="15.75">
      <c r="A116" s="224" t="s">
        <v>110</v>
      </c>
      <c r="B116" s="39"/>
      <c r="C116" s="41"/>
      <c r="D116" s="40"/>
      <c r="E116" s="40"/>
      <c r="F116" s="41"/>
      <c r="G116" s="40"/>
      <c r="H116" s="40"/>
      <c r="I116" s="41"/>
      <c r="J116" s="40"/>
      <c r="K116" s="218"/>
    </row>
    <row r="117" spans="1:11" ht="22.5" customHeight="1">
      <c r="A117" s="223" t="s">
        <v>235</v>
      </c>
      <c r="B117" s="39"/>
      <c r="C117" s="141">
        <v>0</v>
      </c>
      <c r="D117" s="40"/>
      <c r="E117" s="40"/>
      <c r="F117" s="63">
        <f>C117</f>
        <v>0</v>
      </c>
      <c r="G117" s="40"/>
      <c r="H117" s="40"/>
      <c r="I117" s="63">
        <f>F117</f>
        <v>0</v>
      </c>
      <c r="J117" s="40"/>
      <c r="K117" s="218"/>
    </row>
    <row r="118" spans="1:11" ht="31.5">
      <c r="A118" s="223" t="s">
        <v>147</v>
      </c>
      <c r="B118" s="39"/>
      <c r="C118" s="63">
        <v>0.2</v>
      </c>
      <c r="D118" s="40"/>
      <c r="E118" s="40"/>
      <c r="F118" s="63">
        <f>C118</f>
        <v>0.2</v>
      </c>
      <c r="G118" s="40"/>
      <c r="H118" s="40"/>
      <c r="I118" s="63">
        <f>F118</f>
        <v>0.2</v>
      </c>
      <c r="J118" s="40"/>
      <c r="K118" s="218"/>
    </row>
    <row r="119" spans="1:11" ht="31.5">
      <c r="A119" s="223" t="s">
        <v>236</v>
      </c>
      <c r="B119" s="39"/>
      <c r="C119" s="63">
        <v>3</v>
      </c>
      <c r="D119" s="40"/>
      <c r="E119" s="40"/>
      <c r="F119" s="63">
        <f>C119</f>
        <v>3</v>
      </c>
      <c r="G119" s="40"/>
      <c r="H119" s="40"/>
      <c r="I119" s="63">
        <f>F119</f>
        <v>3</v>
      </c>
      <c r="J119" s="40"/>
      <c r="K119" s="218"/>
    </row>
    <row r="120" spans="1:11" ht="35.25" customHeight="1">
      <c r="A120" s="223" t="s">
        <v>278</v>
      </c>
      <c r="B120" s="39"/>
      <c r="C120" s="233">
        <f>C105/C106*100</f>
        <v>16.216216216216218</v>
      </c>
      <c r="D120" s="40"/>
      <c r="E120" s="40"/>
      <c r="F120" s="233">
        <f>F105/F106*100</f>
        <v>19.35483870967742</v>
      </c>
      <c r="G120" s="40"/>
      <c r="H120" s="40"/>
      <c r="I120" s="233">
        <f>I105/I106*100</f>
        <v>24</v>
      </c>
      <c r="J120" s="40"/>
      <c r="K120" s="218"/>
    </row>
    <row r="121" spans="1:11" ht="40.5" customHeight="1">
      <c r="A121" s="242" t="str">
        <f>'Додаток 2'!A51:K51</f>
        <v>Підпрограма 4. НАДАННЯ СТОМАТОЛОГІЧНОЇ ДОПОМОГИ НАСЕЛЕННЮ МІСТА</v>
      </c>
      <c r="B121" s="242"/>
      <c r="C121" s="242"/>
      <c r="D121" s="242"/>
      <c r="E121" s="242"/>
      <c r="F121" s="242"/>
      <c r="G121" s="242"/>
      <c r="H121" s="242"/>
      <c r="I121" s="242"/>
      <c r="J121" s="242"/>
      <c r="K121" s="242"/>
    </row>
    <row r="122" spans="1:11" s="56" customFormat="1" ht="26.25" customHeight="1">
      <c r="A122" s="231" t="s">
        <v>122</v>
      </c>
      <c r="B122" s="232" t="s">
        <v>150</v>
      </c>
      <c r="C122" s="232"/>
      <c r="D122" s="232"/>
      <c r="E122" s="232"/>
      <c r="F122" s="232"/>
      <c r="G122" s="232"/>
      <c r="H122" s="232"/>
      <c r="I122" s="232"/>
      <c r="J122" s="232"/>
      <c r="K122" s="232"/>
    </row>
    <row r="123" spans="1:11" ht="18.75">
      <c r="A123" s="212" t="s">
        <v>151</v>
      </c>
      <c r="B123" s="169" t="s">
        <v>201</v>
      </c>
      <c r="C123" s="169"/>
      <c r="D123" s="169"/>
      <c r="E123" s="169"/>
      <c r="F123" s="169"/>
      <c r="G123" s="169"/>
      <c r="H123" s="169"/>
      <c r="I123" s="169"/>
      <c r="J123" s="169"/>
      <c r="K123" s="169"/>
    </row>
    <row r="124" spans="1:12" ht="35.25" customHeight="1">
      <c r="A124" s="214" t="s">
        <v>105</v>
      </c>
      <c r="B124" s="129">
        <f>C124+F124+I124</f>
        <v>55748836.8809592</v>
      </c>
      <c r="C124" s="129">
        <f>D124+E124</f>
        <v>17111240.4</v>
      </c>
      <c r="D124" s="129">
        <f>D125+D127+D128+D129+D126+D130</f>
        <v>7469948.4</v>
      </c>
      <c r="E124" s="129">
        <f>E125+E127+E128+E129+E126+E130</f>
        <v>9641292</v>
      </c>
      <c r="F124" s="129">
        <f aca="true" t="shared" si="10" ref="F124:F130">G124+H124</f>
        <v>18645254.5128</v>
      </c>
      <c r="G124" s="129">
        <f>G125+G127+G128+G129+G126+G130</f>
        <v>8144114.368800001</v>
      </c>
      <c r="H124" s="129">
        <f>H125+H127+H128+H129+H126+H130</f>
        <v>10501140.144</v>
      </c>
      <c r="I124" s="129">
        <f aca="true" t="shared" si="11" ref="I124:I130">J124+K124</f>
        <v>19992341.9681592</v>
      </c>
      <c r="J124" s="129">
        <f>J125+J127+J128+J129+J126+J130</f>
        <v>8734442.5276632</v>
      </c>
      <c r="K124" s="129">
        <f>K125+K127+K128+K129+K126+K130</f>
        <v>11257899.440496001</v>
      </c>
      <c r="L124" s="122">
        <f>B124-'Додаток 2'!G63*1000</f>
        <v>0</v>
      </c>
    </row>
    <row r="125" spans="1:11" ht="31.5">
      <c r="A125" s="215" t="s">
        <v>68</v>
      </c>
      <c r="B125" s="131"/>
      <c r="C125" s="62">
        <f aca="true" t="shared" si="12" ref="C125:C130">E125+D125</f>
        <v>1135440</v>
      </c>
      <c r="D125" s="62">
        <f>'Додаток 2'!H52*1000</f>
        <v>348240</v>
      </c>
      <c r="E125" s="62">
        <f>'Додаток 2'!H53*1000</f>
        <v>787200</v>
      </c>
      <c r="F125" s="62">
        <f t="shared" si="10"/>
        <v>1211514.48</v>
      </c>
      <c r="G125" s="62">
        <f aca="true" t="shared" si="13" ref="G125:H127">D125*1.067</f>
        <v>371572.07999999996</v>
      </c>
      <c r="H125" s="62">
        <f t="shared" si="13"/>
        <v>839942.3999999999</v>
      </c>
      <c r="I125" s="62">
        <f t="shared" si="11"/>
        <v>1278147.7763999999</v>
      </c>
      <c r="J125" s="62">
        <f aca="true" t="shared" si="14" ref="J125:K127">G125*1.055</f>
        <v>392008.54439999996</v>
      </c>
      <c r="K125" s="62">
        <f t="shared" si="14"/>
        <v>886139.2319999998</v>
      </c>
    </row>
    <row r="126" spans="1:11" ht="22.5" customHeight="1">
      <c r="A126" s="215" t="s">
        <v>222</v>
      </c>
      <c r="B126" s="131"/>
      <c r="C126" s="62">
        <f t="shared" si="12"/>
        <v>9000</v>
      </c>
      <c r="D126" s="62">
        <f>'Додаток 2'!H54*1000</f>
        <v>9000</v>
      </c>
      <c r="E126" s="62"/>
      <c r="F126" s="62">
        <f t="shared" si="10"/>
        <v>9603</v>
      </c>
      <c r="G126" s="62">
        <f t="shared" si="13"/>
        <v>9603</v>
      </c>
      <c r="H126" s="62">
        <f t="shared" si="13"/>
        <v>0</v>
      </c>
      <c r="I126" s="62">
        <f t="shared" si="11"/>
        <v>10131.164999999999</v>
      </c>
      <c r="J126" s="62">
        <f t="shared" si="14"/>
        <v>10131.164999999999</v>
      </c>
      <c r="K126" s="62">
        <f t="shared" si="14"/>
        <v>0</v>
      </c>
    </row>
    <row r="127" spans="1:11" ht="36.75" customHeight="1">
      <c r="A127" s="215" t="s">
        <v>71</v>
      </c>
      <c r="B127" s="131"/>
      <c r="C127" s="62">
        <f t="shared" si="12"/>
        <v>702072</v>
      </c>
      <c r="D127" s="62">
        <f>'Додаток 2'!H55*1000</f>
        <v>396672</v>
      </c>
      <c r="E127" s="62">
        <f>'Додаток 2'!H56*1000</f>
        <v>305400</v>
      </c>
      <c r="F127" s="62">
        <f t="shared" si="10"/>
        <v>749110.824</v>
      </c>
      <c r="G127" s="62">
        <f t="shared" si="13"/>
        <v>423249.024</v>
      </c>
      <c r="H127" s="62">
        <f t="shared" si="13"/>
        <v>325861.8</v>
      </c>
      <c r="I127" s="62">
        <f t="shared" si="11"/>
        <v>790311.9193199999</v>
      </c>
      <c r="J127" s="62">
        <f t="shared" si="14"/>
        <v>446527.72031999996</v>
      </c>
      <c r="K127" s="62">
        <f t="shared" si="14"/>
        <v>343784.19899999996</v>
      </c>
    </row>
    <row r="128" spans="1:11" ht="18" customHeight="1">
      <c r="A128" s="215" t="s">
        <v>72</v>
      </c>
      <c r="B128" s="131"/>
      <c r="C128" s="62">
        <f t="shared" si="12"/>
        <v>13815840</v>
      </c>
      <c r="D128" s="62">
        <f>('Додаток 2'!H57+'Додаток 2'!H59)*1000</f>
        <v>6078240</v>
      </c>
      <c r="E128" s="62">
        <f>'Додаток 2'!H58*1000</f>
        <v>7737600</v>
      </c>
      <c r="F128" s="62">
        <f t="shared" si="10"/>
        <v>15114528.96</v>
      </c>
      <c r="G128" s="62">
        <f>D128*1.094</f>
        <v>6649594.5600000005</v>
      </c>
      <c r="H128" s="62">
        <f>E128*1.094</f>
        <v>8464934.4</v>
      </c>
      <c r="I128" s="62">
        <f t="shared" si="11"/>
        <v>16263233.16096</v>
      </c>
      <c r="J128" s="62">
        <f>G128*1.076</f>
        <v>7154963.746560001</v>
      </c>
      <c r="K128" s="62">
        <f>H128*1.076</f>
        <v>9108269.4144</v>
      </c>
    </row>
    <row r="129" spans="1:11" ht="21" customHeight="1">
      <c r="A129" s="215" t="s">
        <v>51</v>
      </c>
      <c r="B129" s="131"/>
      <c r="C129" s="62">
        <f t="shared" si="12"/>
        <v>968888.3999999999</v>
      </c>
      <c r="D129" s="62">
        <f>'Додаток 2'!H60*1000</f>
        <v>637796.3999999999</v>
      </c>
      <c r="E129" s="62">
        <f>'Додаток 2'!H61*1000</f>
        <v>331092.00000000006</v>
      </c>
      <c r="F129" s="62">
        <f t="shared" si="10"/>
        <v>1048337.2488000001</v>
      </c>
      <c r="G129" s="62">
        <f>D129*1.082</f>
        <v>690095.7048</v>
      </c>
      <c r="H129" s="62">
        <f>E129*1.082</f>
        <v>358241.5440000001</v>
      </c>
      <c r="I129" s="62">
        <f t="shared" si="11"/>
        <v>1110189.1464792</v>
      </c>
      <c r="J129" s="62">
        <f>G129*1.059</f>
        <v>730811.3513831999</v>
      </c>
      <c r="K129" s="62">
        <f>H129*1.059</f>
        <v>379377.7950960001</v>
      </c>
    </row>
    <row r="130" spans="1:11" ht="21" customHeight="1">
      <c r="A130" s="215" t="s">
        <v>124</v>
      </c>
      <c r="B130" s="131"/>
      <c r="C130" s="62">
        <f t="shared" si="12"/>
        <v>480000</v>
      </c>
      <c r="D130" s="62"/>
      <c r="E130" s="62">
        <f>'Додаток 2'!H62*1000</f>
        <v>480000</v>
      </c>
      <c r="F130" s="62">
        <f t="shared" si="10"/>
        <v>512160</v>
      </c>
      <c r="G130" s="62"/>
      <c r="H130" s="62">
        <f>E130*1.067</f>
        <v>512160</v>
      </c>
      <c r="I130" s="62">
        <f t="shared" si="11"/>
        <v>540328.7999999999</v>
      </c>
      <c r="J130" s="62"/>
      <c r="K130" s="62">
        <f>H130*1.055</f>
        <v>540328.7999999999</v>
      </c>
    </row>
    <row r="131" spans="1:11" ht="15.75">
      <c r="A131" s="216" t="s">
        <v>106</v>
      </c>
      <c r="B131" s="131"/>
      <c r="C131" s="131"/>
      <c r="D131" s="131"/>
      <c r="E131" s="131"/>
      <c r="F131" s="131"/>
      <c r="G131" s="131"/>
      <c r="H131" s="131"/>
      <c r="I131" s="131"/>
      <c r="J131" s="131"/>
      <c r="K131" s="131"/>
    </row>
    <row r="132" spans="1:11" ht="20.25" customHeight="1">
      <c r="A132" s="217" t="s">
        <v>126</v>
      </c>
      <c r="B132" s="39"/>
      <c r="C132" s="40"/>
      <c r="D132" s="40"/>
      <c r="E132" s="40"/>
      <c r="F132" s="40"/>
      <c r="G132" s="40"/>
      <c r="H132" s="40"/>
      <c r="I132" s="40"/>
      <c r="J132" s="40"/>
      <c r="K132" s="218"/>
    </row>
    <row r="133" spans="1:11" ht="15.75">
      <c r="A133" s="219" t="s">
        <v>127</v>
      </c>
      <c r="B133" s="39"/>
      <c r="C133" s="41">
        <v>1</v>
      </c>
      <c r="D133" s="41"/>
      <c r="E133" s="41"/>
      <c r="F133" s="41">
        <f>C133</f>
        <v>1</v>
      </c>
      <c r="G133" s="41"/>
      <c r="H133" s="41"/>
      <c r="I133" s="41">
        <f>F133</f>
        <v>1</v>
      </c>
      <c r="J133" s="40"/>
      <c r="K133" s="218"/>
    </row>
    <row r="134" spans="1:11" ht="15.75">
      <c r="A134" s="230" t="s">
        <v>230</v>
      </c>
      <c r="B134" s="39"/>
      <c r="C134" s="41">
        <f>36+150</f>
        <v>186</v>
      </c>
      <c r="D134" s="41"/>
      <c r="E134" s="41"/>
      <c r="F134" s="41">
        <f>C134</f>
        <v>186</v>
      </c>
      <c r="G134" s="41"/>
      <c r="H134" s="41"/>
      <c r="I134" s="41">
        <f>F134</f>
        <v>186</v>
      </c>
      <c r="J134" s="40"/>
      <c r="K134" s="218"/>
    </row>
    <row r="135" spans="1:11" ht="15.75">
      <c r="A135" s="219" t="s">
        <v>128</v>
      </c>
      <c r="B135" s="39"/>
      <c r="C135" s="40">
        <v>39.75</v>
      </c>
      <c r="D135" s="40"/>
      <c r="E135" s="40"/>
      <c r="F135" s="40">
        <f>C135</f>
        <v>39.75</v>
      </c>
      <c r="G135" s="40"/>
      <c r="H135" s="40"/>
      <c r="I135" s="40">
        <f>F135</f>
        <v>39.75</v>
      </c>
      <c r="J135" s="40"/>
      <c r="K135" s="218"/>
    </row>
    <row r="136" spans="1:11" ht="18.75" customHeight="1">
      <c r="A136" s="217" t="s">
        <v>107</v>
      </c>
      <c r="B136" s="39"/>
      <c r="C136" s="41"/>
      <c r="D136" s="41"/>
      <c r="E136" s="41"/>
      <c r="F136" s="41"/>
      <c r="G136" s="41"/>
      <c r="H136" s="41"/>
      <c r="I136" s="41"/>
      <c r="J136" s="41"/>
      <c r="K136" s="218"/>
    </row>
    <row r="137" spans="1:11" ht="15.75">
      <c r="A137" s="219" t="s">
        <v>153</v>
      </c>
      <c r="B137" s="39"/>
      <c r="C137" s="42">
        <v>99737</v>
      </c>
      <c r="D137" s="42"/>
      <c r="E137" s="42"/>
      <c r="F137" s="42">
        <f aca="true" t="shared" si="15" ref="F137:F142">C137</f>
        <v>99737</v>
      </c>
      <c r="G137" s="42"/>
      <c r="H137" s="42"/>
      <c r="I137" s="42">
        <f aca="true" t="shared" si="16" ref="I137:I142">F137</f>
        <v>99737</v>
      </c>
      <c r="J137" s="41"/>
      <c r="K137" s="218"/>
    </row>
    <row r="138" spans="1:11" ht="15.75">
      <c r="A138" s="219" t="s">
        <v>154</v>
      </c>
      <c r="B138" s="39"/>
      <c r="C138" s="42">
        <v>7360</v>
      </c>
      <c r="D138" s="42"/>
      <c r="E138" s="42"/>
      <c r="F138" s="42">
        <f t="shared" si="15"/>
        <v>7360</v>
      </c>
      <c r="G138" s="42"/>
      <c r="H138" s="42"/>
      <c r="I138" s="42">
        <f t="shared" si="16"/>
        <v>7360</v>
      </c>
      <c r="J138" s="41"/>
      <c r="K138" s="218"/>
    </row>
    <row r="139" spans="1:11" ht="15.75">
      <c r="A139" s="219" t="s">
        <v>155</v>
      </c>
      <c r="B139" s="39"/>
      <c r="C139" s="42">
        <v>2600</v>
      </c>
      <c r="D139" s="42"/>
      <c r="E139" s="42"/>
      <c r="F139" s="42">
        <f t="shared" si="15"/>
        <v>2600</v>
      </c>
      <c r="G139" s="42"/>
      <c r="H139" s="42"/>
      <c r="I139" s="42">
        <f t="shared" si="16"/>
        <v>2600</v>
      </c>
      <c r="J139" s="41"/>
      <c r="K139" s="218"/>
    </row>
    <row r="140" spans="1:11" ht="15.75">
      <c r="A140" s="219" t="s">
        <v>156</v>
      </c>
      <c r="B140" s="39"/>
      <c r="C140" s="42">
        <v>18000</v>
      </c>
      <c r="D140" s="42"/>
      <c r="E140" s="42"/>
      <c r="F140" s="42">
        <f t="shared" si="15"/>
        <v>18000</v>
      </c>
      <c r="G140" s="42"/>
      <c r="H140" s="42"/>
      <c r="I140" s="42">
        <f t="shared" si="16"/>
        <v>18000</v>
      </c>
      <c r="J140" s="41"/>
      <c r="K140" s="218"/>
    </row>
    <row r="141" spans="1:11" ht="15.75">
      <c r="A141" s="120" t="s">
        <v>129</v>
      </c>
      <c r="B141" s="39"/>
      <c r="C141" s="140">
        <v>1</v>
      </c>
      <c r="D141" s="41"/>
      <c r="E141" s="40"/>
      <c r="F141" s="41">
        <f t="shared" si="15"/>
        <v>1</v>
      </c>
      <c r="G141" s="41"/>
      <c r="H141" s="40"/>
      <c r="I141" s="41">
        <f t="shared" si="16"/>
        <v>1</v>
      </c>
      <c r="J141" s="41"/>
      <c r="K141" s="218"/>
    </row>
    <row r="142" spans="1:11" ht="18.75">
      <c r="A142" s="120" t="s">
        <v>130</v>
      </c>
      <c r="B142" s="39"/>
      <c r="C142" s="41">
        <v>1702.8</v>
      </c>
      <c r="D142" s="40"/>
      <c r="E142" s="40"/>
      <c r="F142" s="41">
        <f t="shared" si="15"/>
        <v>1702.8</v>
      </c>
      <c r="G142" s="40"/>
      <c r="H142" s="40"/>
      <c r="I142" s="41">
        <f t="shared" si="16"/>
        <v>1702.8</v>
      </c>
      <c r="J142" s="40"/>
      <c r="K142" s="218"/>
    </row>
    <row r="143" spans="1:11" ht="18" customHeight="1">
      <c r="A143" s="221" t="s">
        <v>109</v>
      </c>
      <c r="B143" s="39"/>
      <c r="C143" s="41"/>
      <c r="D143" s="40"/>
      <c r="E143" s="40"/>
      <c r="F143" s="41"/>
      <c r="G143" s="40"/>
      <c r="H143" s="40"/>
      <c r="I143" s="41"/>
      <c r="J143" s="40"/>
      <c r="K143" s="218"/>
    </row>
    <row r="144" spans="1:11" ht="15.75">
      <c r="A144" s="219" t="s">
        <v>158</v>
      </c>
      <c r="B144" s="39"/>
      <c r="C144" s="42">
        <v>395.6043956043956</v>
      </c>
      <c r="D144" s="40"/>
      <c r="E144" s="40"/>
      <c r="F144" s="42">
        <f>C144</f>
        <v>395.6043956043956</v>
      </c>
      <c r="G144" s="40"/>
      <c r="H144" s="40"/>
      <c r="I144" s="42">
        <f>F144</f>
        <v>395.6043956043956</v>
      </c>
      <c r="J144" s="40"/>
      <c r="K144" s="218"/>
    </row>
    <row r="145" spans="1:11" ht="15.75">
      <c r="A145" s="219" t="s">
        <v>159</v>
      </c>
      <c r="B145" s="39"/>
      <c r="C145" s="42">
        <v>266.6666666666667</v>
      </c>
      <c r="D145" s="40"/>
      <c r="E145" s="40"/>
      <c r="F145" s="42">
        <f>F138/F135</f>
        <v>185.1572327044025</v>
      </c>
      <c r="G145" s="40"/>
      <c r="H145" s="40"/>
      <c r="I145" s="42">
        <f>I138/I135</f>
        <v>185.1572327044025</v>
      </c>
      <c r="J145" s="40"/>
      <c r="K145" s="218"/>
    </row>
    <row r="146" spans="1:11" ht="15.75">
      <c r="A146" s="223" t="s">
        <v>231</v>
      </c>
      <c r="B146" s="39"/>
      <c r="C146" s="42">
        <f>C126/C134</f>
        <v>48.38709677419355</v>
      </c>
      <c r="D146" s="40"/>
      <c r="E146" s="40"/>
      <c r="F146" s="42">
        <f>F126/F134</f>
        <v>51.62903225806452</v>
      </c>
      <c r="G146" s="40"/>
      <c r="H146" s="40"/>
      <c r="I146" s="42">
        <f>I126/I134</f>
        <v>54.46862903225806</v>
      </c>
      <c r="J146" s="40"/>
      <c r="K146" s="218"/>
    </row>
    <row r="147" spans="1:11" ht="15.75">
      <c r="A147" s="223" t="s">
        <v>148</v>
      </c>
      <c r="B147" s="39"/>
      <c r="C147" s="40">
        <f>C130/1</f>
        <v>480000</v>
      </c>
      <c r="D147" s="40"/>
      <c r="E147" s="40"/>
      <c r="F147" s="40">
        <f>F130/F141</f>
        <v>512160</v>
      </c>
      <c r="G147" s="40"/>
      <c r="H147" s="40"/>
      <c r="I147" s="40">
        <f>I130/I141</f>
        <v>540328.7999999999</v>
      </c>
      <c r="J147" s="40"/>
      <c r="K147" s="218"/>
    </row>
    <row r="148" spans="1:11" ht="27.75" customHeight="1">
      <c r="A148" s="223" t="s">
        <v>131</v>
      </c>
      <c r="B148" s="39"/>
      <c r="C148" s="40">
        <f>C129/C142</f>
        <v>568.9971811134601</v>
      </c>
      <c r="D148" s="40"/>
      <c r="E148" s="40"/>
      <c r="F148" s="40">
        <f>F129/F142</f>
        <v>615.654949964764</v>
      </c>
      <c r="G148" s="40"/>
      <c r="H148" s="40"/>
      <c r="I148" s="40">
        <f>I129/I142</f>
        <v>651.9785920126851</v>
      </c>
      <c r="J148" s="40"/>
      <c r="K148" s="218"/>
    </row>
    <row r="149" spans="1:11" ht="22.5" customHeight="1">
      <c r="A149" s="224" t="s">
        <v>110</v>
      </c>
      <c r="B149" s="39"/>
      <c r="C149" s="41"/>
      <c r="D149" s="40"/>
      <c r="E149" s="40"/>
      <c r="F149" s="41"/>
      <c r="G149" s="40"/>
      <c r="H149" s="40"/>
      <c r="I149" s="41"/>
      <c r="J149" s="40"/>
      <c r="K149" s="218"/>
    </row>
    <row r="150" spans="1:11" ht="18" customHeight="1">
      <c r="A150" s="219" t="s">
        <v>157</v>
      </c>
      <c r="B150" s="39"/>
      <c r="C150" s="63">
        <v>1</v>
      </c>
      <c r="D150" s="40"/>
      <c r="E150" s="40"/>
      <c r="F150" s="63">
        <f>C150</f>
        <v>1</v>
      </c>
      <c r="G150" s="40"/>
      <c r="H150" s="40"/>
      <c r="I150" s="63">
        <f>F150</f>
        <v>1</v>
      </c>
      <c r="J150" s="40"/>
      <c r="K150" s="218"/>
    </row>
    <row r="151" spans="1:11" ht="24.75" customHeight="1">
      <c r="A151" s="219" t="s">
        <v>240</v>
      </c>
      <c r="B151" s="39"/>
      <c r="C151" s="63">
        <v>100</v>
      </c>
      <c r="D151" s="40"/>
      <c r="E151" s="40"/>
      <c r="F151" s="63">
        <f>C151</f>
        <v>100</v>
      </c>
      <c r="G151" s="40"/>
      <c r="H151" s="40"/>
      <c r="I151" s="63">
        <f>F151</f>
        <v>100</v>
      </c>
      <c r="J151" s="40"/>
      <c r="K151" s="218"/>
    </row>
    <row r="152" spans="1:11" ht="36" customHeight="1">
      <c r="A152" s="242" t="str">
        <f>'Додаток 2'!A67:K67</f>
        <v>Підпрограма 5. ПРОГРАМНІ ТА ЦЕНТРАЛІЗОВАНІ ЗАХОДИ У ГАЛУЗІ "ОХОРОНА ЗДОРОВ'Я"</v>
      </c>
      <c r="B152" s="242"/>
      <c r="C152" s="242"/>
      <c r="D152" s="242"/>
      <c r="E152" s="242"/>
      <c r="F152" s="242"/>
      <c r="G152" s="242"/>
      <c r="H152" s="242"/>
      <c r="I152" s="242"/>
      <c r="J152" s="242"/>
      <c r="K152" s="242"/>
    </row>
    <row r="153" spans="1:11" ht="28.5" customHeight="1">
      <c r="A153" s="231" t="s">
        <v>122</v>
      </c>
      <c r="B153" s="232" t="s">
        <v>160</v>
      </c>
      <c r="C153" s="234"/>
      <c r="D153" s="234"/>
      <c r="E153" s="234"/>
      <c r="F153" s="234"/>
      <c r="G153" s="234"/>
      <c r="H153" s="234"/>
      <c r="I153" s="234"/>
      <c r="J153" s="234"/>
      <c r="K153" s="234"/>
    </row>
    <row r="154" spans="1:11" ht="39.75" customHeight="1">
      <c r="A154" s="229" t="s">
        <v>216</v>
      </c>
      <c r="B154" s="169" t="s">
        <v>217</v>
      </c>
      <c r="C154" s="169"/>
      <c r="D154" s="169"/>
      <c r="E154" s="169"/>
      <c r="F154" s="169"/>
      <c r="G154" s="169"/>
      <c r="H154" s="169"/>
      <c r="I154" s="169"/>
      <c r="J154" s="169"/>
      <c r="K154" s="169"/>
    </row>
    <row r="155" spans="1:12" ht="36" customHeight="1">
      <c r="A155" s="214" t="s">
        <v>105</v>
      </c>
      <c r="B155" s="246">
        <f>C155+F155+I155</f>
        <v>75028097.5</v>
      </c>
      <c r="C155" s="129">
        <f>D155+E155</f>
        <v>23500000</v>
      </c>
      <c r="D155" s="129">
        <f>D156+D157</f>
        <v>23500000</v>
      </c>
      <c r="E155" s="129">
        <f>E156+E157</f>
        <v>0</v>
      </c>
      <c r="F155" s="129">
        <f>G155+H155</f>
        <v>25074500</v>
      </c>
      <c r="G155" s="129">
        <f>G156+G157</f>
        <v>25074500</v>
      </c>
      <c r="H155" s="129">
        <f>H156+H157</f>
        <v>0</v>
      </c>
      <c r="I155" s="129">
        <f>J155+K155</f>
        <v>26453597.5</v>
      </c>
      <c r="J155" s="129">
        <f>J156+J157</f>
        <v>26453597.5</v>
      </c>
      <c r="K155" s="129">
        <f>K156+K157</f>
        <v>0</v>
      </c>
      <c r="L155" s="122">
        <f>B155-'Додаток 2'!G70*1000</f>
        <v>0</v>
      </c>
    </row>
    <row r="156" spans="1:11" ht="45" customHeight="1">
      <c r="A156" s="235" t="str">
        <f>'Додаток 2'!B68</f>
        <v>Забезпечення відшкодування витрат, пов’язаних з відпуском препаратів інсуліну  </v>
      </c>
      <c r="B156" s="131"/>
      <c r="C156" s="62">
        <f>E156+D156</f>
        <v>14500000</v>
      </c>
      <c r="D156" s="62">
        <f>'Додаток 2'!H68*1000</f>
        <v>14500000</v>
      </c>
      <c r="E156" s="62"/>
      <c r="F156" s="62">
        <f>G156+H156</f>
        <v>15471500</v>
      </c>
      <c r="G156" s="62">
        <f>D156*1.067</f>
        <v>15471500</v>
      </c>
      <c r="H156" s="62">
        <f>E156*1.067</f>
        <v>0</v>
      </c>
      <c r="I156" s="62">
        <f>J156+K156</f>
        <v>16322432.499999998</v>
      </c>
      <c r="J156" s="62">
        <f>G156*1.055</f>
        <v>16322432.499999998</v>
      </c>
      <c r="K156" s="62">
        <f>H156*1.055</f>
        <v>0</v>
      </c>
    </row>
    <row r="157" spans="1:11" ht="45" customHeight="1">
      <c r="A157" s="215" t="str">
        <f>'Додаток 2'!B69</f>
        <v>Забезпечення відшкодування витрат, пов’язаних з відпуском медикаментів за Урядовою програмою "Доступні ліки"</v>
      </c>
      <c r="B157" s="131"/>
      <c r="C157" s="62">
        <f>E157+D157</f>
        <v>9000000</v>
      </c>
      <c r="D157" s="62">
        <f>'Додаток 2'!H69*1000</f>
        <v>9000000</v>
      </c>
      <c r="E157" s="62"/>
      <c r="F157" s="62">
        <f>G157+H157</f>
        <v>9603000</v>
      </c>
      <c r="G157" s="62">
        <f>D157*1.067</f>
        <v>9603000</v>
      </c>
      <c r="H157" s="62"/>
      <c r="I157" s="62">
        <f>J157+K157</f>
        <v>10131165</v>
      </c>
      <c r="J157" s="62">
        <f>G157*1.055</f>
        <v>10131165</v>
      </c>
      <c r="K157" s="62"/>
    </row>
    <row r="158" spans="1:11" ht="15.75">
      <c r="A158" s="216" t="s">
        <v>106</v>
      </c>
      <c r="B158" s="131"/>
      <c r="C158" s="131"/>
      <c r="D158" s="131"/>
      <c r="E158" s="131"/>
      <c r="F158" s="131"/>
      <c r="G158" s="131"/>
      <c r="H158" s="131"/>
      <c r="I158" s="131"/>
      <c r="J158" s="131"/>
      <c r="K158" s="131"/>
    </row>
    <row r="159" spans="1:11" ht="26.25" customHeight="1">
      <c r="A159" s="217" t="s">
        <v>126</v>
      </c>
      <c r="B159" s="39"/>
      <c r="C159" s="40"/>
      <c r="D159" s="40"/>
      <c r="E159" s="40"/>
      <c r="F159" s="40"/>
      <c r="G159" s="40"/>
      <c r="H159" s="40"/>
      <c r="I159" s="40"/>
      <c r="J159" s="40"/>
      <c r="K159" s="218"/>
    </row>
    <row r="160" spans="1:11" ht="33.75" customHeight="1">
      <c r="A160" s="236" t="s">
        <v>161</v>
      </c>
      <c r="B160" s="39"/>
      <c r="C160" s="41">
        <f>C156/1000</f>
        <v>14500</v>
      </c>
      <c r="D160" s="41"/>
      <c r="E160" s="41"/>
      <c r="F160" s="41">
        <f>F156/1000</f>
        <v>15471.5</v>
      </c>
      <c r="G160" s="41"/>
      <c r="H160" s="41"/>
      <c r="I160" s="41">
        <f>I156/1000</f>
        <v>16322.432499999999</v>
      </c>
      <c r="J160" s="40"/>
      <c r="K160" s="218"/>
    </row>
    <row r="161" spans="1:11" ht="33.75" customHeight="1">
      <c r="A161" s="236" t="s">
        <v>241</v>
      </c>
      <c r="B161" s="39"/>
      <c r="C161" s="41">
        <f>C157/1000</f>
        <v>9000</v>
      </c>
      <c r="D161" s="41"/>
      <c r="E161" s="41"/>
      <c r="F161" s="41">
        <f>F157/1000</f>
        <v>9603</v>
      </c>
      <c r="G161" s="41"/>
      <c r="H161" s="41"/>
      <c r="I161" s="41">
        <f>I157/1000</f>
        <v>10131.165</v>
      </c>
      <c r="J161" s="40"/>
      <c r="K161" s="218"/>
    </row>
    <row r="162" spans="1:11" ht="20.25" customHeight="1">
      <c r="A162" s="217" t="s">
        <v>107</v>
      </c>
      <c r="B162" s="39"/>
      <c r="C162" s="41"/>
      <c r="D162" s="41"/>
      <c r="E162" s="41"/>
      <c r="F162" s="41"/>
      <c r="G162" s="41"/>
      <c r="H162" s="41"/>
      <c r="I162" s="41"/>
      <c r="J162" s="41"/>
      <c r="K162" s="218"/>
    </row>
    <row r="163" spans="1:11" ht="31.5">
      <c r="A163" s="236" t="s">
        <v>162</v>
      </c>
      <c r="B163" s="39"/>
      <c r="C163" s="42">
        <v>1462</v>
      </c>
      <c r="D163" s="42"/>
      <c r="E163" s="42"/>
      <c r="F163" s="42">
        <f>C163</f>
        <v>1462</v>
      </c>
      <c r="G163" s="42"/>
      <c r="H163" s="42"/>
      <c r="I163" s="42">
        <f>F163</f>
        <v>1462</v>
      </c>
      <c r="J163" s="41"/>
      <c r="K163" s="218"/>
    </row>
    <row r="164" spans="1:11" ht="31.5">
      <c r="A164" s="236" t="s">
        <v>244</v>
      </c>
      <c r="B164" s="39"/>
      <c r="C164" s="42">
        <v>83271</v>
      </c>
      <c r="D164" s="42"/>
      <c r="E164" s="42"/>
      <c r="F164" s="42">
        <f>C164+10</f>
        <v>83281</v>
      </c>
      <c r="G164" s="42"/>
      <c r="H164" s="42"/>
      <c r="I164" s="42">
        <f>F164+10</f>
        <v>83291</v>
      </c>
      <c r="J164" s="41"/>
      <c r="K164" s="218"/>
    </row>
    <row r="165" spans="1:11" ht="22.5" customHeight="1">
      <c r="A165" s="221" t="s">
        <v>109</v>
      </c>
      <c r="B165" s="39"/>
      <c r="C165" s="41"/>
      <c r="D165" s="40"/>
      <c r="E165" s="40"/>
      <c r="F165" s="41"/>
      <c r="G165" s="40"/>
      <c r="H165" s="40"/>
      <c r="I165" s="41"/>
      <c r="J165" s="40"/>
      <c r="K165" s="218"/>
    </row>
    <row r="166" spans="1:11" ht="22.5" customHeight="1">
      <c r="A166" s="236" t="s">
        <v>242</v>
      </c>
      <c r="B166" s="39"/>
      <c r="C166" s="42">
        <v>66.8</v>
      </c>
      <c r="D166" s="42"/>
      <c r="E166" s="42"/>
      <c r="F166" s="42">
        <f>C166+0.5</f>
        <v>67.3</v>
      </c>
      <c r="G166" s="42"/>
      <c r="H166" s="42"/>
      <c r="I166" s="42">
        <f>F166+0.7</f>
        <v>68</v>
      </c>
      <c r="J166" s="40"/>
      <c r="K166" s="218"/>
    </row>
    <row r="167" spans="1:11" ht="24.75" customHeight="1">
      <c r="A167" s="236" t="s">
        <v>243</v>
      </c>
      <c r="B167" s="39"/>
      <c r="C167" s="42">
        <v>100</v>
      </c>
      <c r="D167" s="40"/>
      <c r="E167" s="40"/>
      <c r="F167" s="42">
        <f>C167</f>
        <v>100</v>
      </c>
      <c r="G167" s="40"/>
      <c r="H167" s="40"/>
      <c r="I167" s="42">
        <f>F167</f>
        <v>100</v>
      </c>
      <c r="J167" s="40"/>
      <c r="K167" s="218"/>
    </row>
    <row r="168" spans="1:11" ht="32.25" customHeight="1">
      <c r="A168" s="242" t="str">
        <f>'Додаток 2'!A72:K72</f>
        <v>Підпрограма 6. АНАЛІТИЧНА ЗВІТНІСТЬ, ЦЕНТРАЛІЗОВАНИЙ БУХГАЛТЕРСКИЙ ТА ФІНАНСОВИЙ ОБЛІК У  У ГАЛУЗІ "ОХОРОНА ЗДОРОВ'Я"</v>
      </c>
      <c r="B168" s="242"/>
      <c r="C168" s="242"/>
      <c r="D168" s="242"/>
      <c r="E168" s="242"/>
      <c r="F168" s="242"/>
      <c r="G168" s="242"/>
      <c r="H168" s="242"/>
      <c r="I168" s="242"/>
      <c r="J168" s="242"/>
      <c r="K168" s="242"/>
    </row>
    <row r="169" spans="1:11" ht="41.25" customHeight="1">
      <c r="A169" s="227" t="s">
        <v>122</v>
      </c>
      <c r="B169" s="237" t="s">
        <v>116</v>
      </c>
      <c r="C169" s="237"/>
      <c r="D169" s="237"/>
      <c r="E169" s="237"/>
      <c r="F169" s="237"/>
      <c r="G169" s="237"/>
      <c r="H169" s="237"/>
      <c r="I169" s="237"/>
      <c r="J169" s="237"/>
      <c r="K169" s="237"/>
    </row>
    <row r="170" spans="1:11" ht="34.5" customHeight="1">
      <c r="A170" s="212" t="s">
        <v>163</v>
      </c>
      <c r="B170" s="238" t="s">
        <v>215</v>
      </c>
      <c r="C170" s="238"/>
      <c r="D170" s="238"/>
      <c r="E170" s="238"/>
      <c r="F170" s="238"/>
      <c r="G170" s="238"/>
      <c r="H170" s="238"/>
      <c r="I170" s="238"/>
      <c r="J170" s="238"/>
      <c r="K170" s="238"/>
    </row>
    <row r="171" spans="1:12" ht="28.5" customHeight="1">
      <c r="A171" s="214" t="s">
        <v>105</v>
      </c>
      <c r="B171" s="246">
        <f>C171+F171+I171</f>
        <v>10195307.037547441</v>
      </c>
      <c r="C171" s="129">
        <f>D171+E171</f>
        <v>3122962.8</v>
      </c>
      <c r="D171" s="129">
        <f>D172</f>
        <v>3122962.8</v>
      </c>
      <c r="E171" s="129">
        <f>E172</f>
        <v>0</v>
      </c>
      <c r="F171" s="129">
        <f>G171+H171</f>
        <v>3409672.3896000003</v>
      </c>
      <c r="G171" s="129">
        <f>G172</f>
        <v>3409672.3896000003</v>
      </c>
      <c r="H171" s="129">
        <f>H172</f>
        <v>0</v>
      </c>
      <c r="I171" s="129">
        <f>J171+K171</f>
        <v>3662671.8479474406</v>
      </c>
      <c r="J171" s="129">
        <f>J172</f>
        <v>3662671.8479474406</v>
      </c>
      <c r="K171" s="129">
        <f>K172</f>
        <v>0</v>
      </c>
      <c r="L171" s="122">
        <f>B171-'Додаток 2'!G74*1000</f>
        <v>0</v>
      </c>
    </row>
    <row r="172" spans="1:11" ht="23.25" customHeight="1">
      <c r="A172" s="235" t="s">
        <v>88</v>
      </c>
      <c r="B172" s="131"/>
      <c r="C172" s="62">
        <f>E172+D172</f>
        <v>3122962.8</v>
      </c>
      <c r="D172" s="62">
        <f>'Додаток 2'!H73*1000</f>
        <v>3122962.8</v>
      </c>
      <c r="E172" s="62"/>
      <c r="F172" s="62">
        <f>G172+H172</f>
        <v>3409672.3896000003</v>
      </c>
      <c r="G172" s="62">
        <f>'Додаток 2'!I74*1000</f>
        <v>3409672.3896000003</v>
      </c>
      <c r="H172" s="62">
        <f>E172*1.067</f>
        <v>0</v>
      </c>
      <c r="I172" s="62">
        <f>J172+K172</f>
        <v>3662671.8479474406</v>
      </c>
      <c r="J172" s="62">
        <f>'Додаток 2'!J74*1000</f>
        <v>3662671.8479474406</v>
      </c>
      <c r="K172" s="62">
        <f>H172*1.055</f>
        <v>0</v>
      </c>
    </row>
    <row r="173" spans="1:11" ht="23.25" customHeight="1">
      <c r="A173" s="216" t="s">
        <v>106</v>
      </c>
      <c r="B173" s="131"/>
      <c r="C173" s="131"/>
      <c r="D173" s="131"/>
      <c r="E173" s="131"/>
      <c r="F173" s="131"/>
      <c r="G173" s="131"/>
      <c r="H173" s="131"/>
      <c r="I173" s="131"/>
      <c r="J173" s="131"/>
      <c r="K173" s="131"/>
    </row>
    <row r="174" spans="1:11" ht="23.25" customHeight="1">
      <c r="A174" s="217" t="s">
        <v>126</v>
      </c>
      <c r="B174" s="39"/>
      <c r="C174" s="40"/>
      <c r="D174" s="40"/>
      <c r="E174" s="40"/>
      <c r="F174" s="40"/>
      <c r="G174" s="40"/>
      <c r="H174" s="40"/>
      <c r="I174" s="40"/>
      <c r="J174" s="40"/>
      <c r="K174" s="218"/>
    </row>
    <row r="175" spans="1:11" ht="23.25" customHeight="1">
      <c r="A175" s="223" t="s">
        <v>164</v>
      </c>
      <c r="B175" s="39"/>
      <c r="C175" s="41">
        <v>1</v>
      </c>
      <c r="D175" s="41"/>
      <c r="E175" s="41"/>
      <c r="F175" s="41">
        <f>C175</f>
        <v>1</v>
      </c>
      <c r="G175" s="41"/>
      <c r="H175" s="41"/>
      <c r="I175" s="41">
        <f>F175</f>
        <v>1</v>
      </c>
      <c r="J175" s="40"/>
      <c r="K175" s="218"/>
    </row>
    <row r="176" spans="1:11" ht="23.25" customHeight="1">
      <c r="A176" s="223" t="s">
        <v>165</v>
      </c>
      <c r="B176" s="39"/>
      <c r="C176" s="41">
        <f>9+12</f>
        <v>21</v>
      </c>
      <c r="D176" s="41"/>
      <c r="E176" s="41"/>
      <c r="F176" s="41">
        <f>C176</f>
        <v>21</v>
      </c>
      <c r="G176" s="41"/>
      <c r="H176" s="41"/>
      <c r="I176" s="41">
        <f>F176</f>
        <v>21</v>
      </c>
      <c r="J176" s="40"/>
      <c r="K176" s="218"/>
    </row>
    <row r="177" spans="1:11" ht="23.25" customHeight="1">
      <c r="A177" s="217" t="s">
        <v>107</v>
      </c>
      <c r="B177" s="39"/>
      <c r="C177" s="41"/>
      <c r="D177" s="41"/>
      <c r="E177" s="41"/>
      <c r="F177" s="41"/>
      <c r="G177" s="41"/>
      <c r="H177" s="41"/>
      <c r="I177" s="41"/>
      <c r="J177" s="41"/>
      <c r="K177" s="218"/>
    </row>
    <row r="178" spans="1:11" ht="30" customHeight="1">
      <c r="A178" s="223" t="s">
        <v>166</v>
      </c>
      <c r="B178" s="39"/>
      <c r="C178" s="42">
        <v>8</v>
      </c>
      <c r="D178" s="42"/>
      <c r="E178" s="42"/>
      <c r="F178" s="42">
        <f>C178</f>
        <v>8</v>
      </c>
      <c r="G178" s="42"/>
      <c r="H178" s="42"/>
      <c r="I178" s="42">
        <f>F178</f>
        <v>8</v>
      </c>
      <c r="J178" s="41"/>
      <c r="K178" s="218"/>
    </row>
    <row r="179" spans="1:11" ht="15.75">
      <c r="A179" s="221" t="s">
        <v>109</v>
      </c>
      <c r="B179" s="39"/>
      <c r="C179" s="41"/>
      <c r="D179" s="40"/>
      <c r="E179" s="40"/>
      <c r="F179" s="41"/>
      <c r="G179" s="40"/>
      <c r="H179" s="40"/>
      <c r="I179" s="41"/>
      <c r="J179" s="40"/>
      <c r="K179" s="218"/>
    </row>
    <row r="180" spans="1:11" ht="25.5" customHeight="1">
      <c r="A180" s="223" t="s">
        <v>167</v>
      </c>
      <c r="B180" s="39"/>
      <c r="C180" s="54">
        <v>107</v>
      </c>
      <c r="D180" s="40"/>
      <c r="E180" s="40"/>
      <c r="F180" s="42">
        <f>C180</f>
        <v>107</v>
      </c>
      <c r="G180" s="40"/>
      <c r="H180" s="40"/>
      <c r="I180" s="42">
        <f>F180</f>
        <v>107</v>
      </c>
      <c r="J180" s="40"/>
      <c r="K180" s="218"/>
    </row>
    <row r="181" spans="1:11" ht="25.5" customHeight="1">
      <c r="A181" s="223" t="s">
        <v>205</v>
      </c>
      <c r="B181" s="39"/>
      <c r="C181" s="54">
        <v>20</v>
      </c>
      <c r="D181" s="40"/>
      <c r="E181" s="40"/>
      <c r="F181" s="42">
        <f>C181</f>
        <v>20</v>
      </c>
      <c r="G181" s="40"/>
      <c r="H181" s="40"/>
      <c r="I181" s="42">
        <f>F181</f>
        <v>20</v>
      </c>
      <c r="J181" s="40"/>
      <c r="K181" s="218"/>
    </row>
    <row r="182" spans="1:11" ht="25.5" customHeight="1">
      <c r="A182" s="223" t="s">
        <v>208</v>
      </c>
      <c r="B182" s="39"/>
      <c r="C182" s="54">
        <v>15</v>
      </c>
      <c r="D182" s="40"/>
      <c r="E182" s="40"/>
      <c r="F182" s="42">
        <f>C182</f>
        <v>15</v>
      </c>
      <c r="G182" s="40"/>
      <c r="H182" s="40"/>
      <c r="I182" s="42">
        <f>F182</f>
        <v>15</v>
      </c>
      <c r="J182" s="40"/>
      <c r="K182" s="218"/>
    </row>
    <row r="183" spans="1:11" ht="25.5" customHeight="1">
      <c r="A183" s="223" t="s">
        <v>168</v>
      </c>
      <c r="B183" s="131"/>
      <c r="C183" s="54">
        <v>48</v>
      </c>
      <c r="D183" s="133"/>
      <c r="E183" s="133"/>
      <c r="F183" s="42">
        <f>C183</f>
        <v>48</v>
      </c>
      <c r="G183" s="133"/>
      <c r="H183" s="133"/>
      <c r="I183" s="42">
        <f>F183</f>
        <v>48</v>
      </c>
      <c r="J183" s="133"/>
      <c r="K183" s="133"/>
    </row>
    <row r="184" spans="1:11" ht="15.75">
      <c r="A184" s="224" t="s">
        <v>110</v>
      </c>
      <c r="B184" s="131"/>
      <c r="C184" s="133"/>
      <c r="D184" s="133"/>
      <c r="E184" s="133"/>
      <c r="F184" s="133"/>
      <c r="G184" s="133"/>
      <c r="H184" s="133"/>
      <c r="I184" s="133"/>
      <c r="J184" s="133"/>
      <c r="K184" s="133"/>
    </row>
    <row r="185" spans="1:11" ht="27.75" customHeight="1">
      <c r="A185" s="223" t="s">
        <v>206</v>
      </c>
      <c r="B185" s="131"/>
      <c r="C185" s="134">
        <f>C180/9</f>
        <v>11.88888888888889</v>
      </c>
      <c r="D185" s="133"/>
      <c r="E185" s="133"/>
      <c r="F185" s="134">
        <f>C185</f>
        <v>11.88888888888889</v>
      </c>
      <c r="G185" s="133"/>
      <c r="H185" s="133"/>
      <c r="I185" s="134">
        <f>F185</f>
        <v>11.88888888888889</v>
      </c>
      <c r="J185" s="133"/>
      <c r="K185" s="133"/>
    </row>
    <row r="186" spans="1:11" ht="24.75" customHeight="1">
      <c r="A186" s="223" t="s">
        <v>207</v>
      </c>
      <c r="B186" s="131"/>
      <c r="C186" s="139">
        <v>2.4</v>
      </c>
      <c r="D186" s="133"/>
      <c r="E186" s="133"/>
      <c r="F186" s="139">
        <f>C186</f>
        <v>2.4</v>
      </c>
      <c r="G186" s="239"/>
      <c r="H186" s="239"/>
      <c r="I186" s="139">
        <f>F186</f>
        <v>2.4</v>
      </c>
      <c r="J186" s="133"/>
      <c r="K186" s="133"/>
    </row>
    <row r="187" spans="1:11" ht="35.25" customHeight="1">
      <c r="A187" s="223" t="s">
        <v>209</v>
      </c>
      <c r="B187" s="131"/>
      <c r="C187" s="139">
        <v>2.8</v>
      </c>
      <c r="D187" s="133"/>
      <c r="E187" s="133"/>
      <c r="F187" s="139">
        <f>C187</f>
        <v>2.8</v>
      </c>
      <c r="G187" s="239"/>
      <c r="H187" s="239"/>
      <c r="I187" s="139">
        <f>F187</f>
        <v>2.8</v>
      </c>
      <c r="J187" s="133"/>
      <c r="K187" s="133"/>
    </row>
    <row r="188" spans="1:11" ht="33" customHeight="1">
      <c r="A188" s="223" t="s">
        <v>169</v>
      </c>
      <c r="B188" s="131"/>
      <c r="C188" s="134">
        <f>C183/9</f>
        <v>5.333333333333333</v>
      </c>
      <c r="D188" s="133"/>
      <c r="E188" s="133"/>
      <c r="F188" s="134">
        <f>C188</f>
        <v>5.333333333333333</v>
      </c>
      <c r="G188" s="133"/>
      <c r="H188" s="133"/>
      <c r="I188" s="134">
        <f>F188</f>
        <v>5.333333333333333</v>
      </c>
      <c r="J188" s="133"/>
      <c r="K188" s="133"/>
    </row>
    <row r="189" spans="1:11" ht="42" customHeight="1">
      <c r="A189" s="242" t="str">
        <f>'Додаток 2'!A76:K76</f>
        <v>Підпрограма 7. ІНШІ ПРОГРАМИ ТА ЗАХОДИ У СФЕРІ ОХОРОНИ ЗДОРОВ'Я</v>
      </c>
      <c r="B189" s="242"/>
      <c r="C189" s="242"/>
      <c r="D189" s="242"/>
      <c r="E189" s="242"/>
      <c r="F189" s="242"/>
      <c r="G189" s="242"/>
      <c r="H189" s="242"/>
      <c r="I189" s="242"/>
      <c r="J189" s="242"/>
      <c r="K189" s="242"/>
    </row>
    <row r="190" spans="1:11" ht="24" customHeight="1">
      <c r="A190" s="227" t="s">
        <v>122</v>
      </c>
      <c r="B190" s="240" t="s">
        <v>259</v>
      </c>
      <c r="C190" s="240"/>
      <c r="D190" s="240"/>
      <c r="E190" s="240"/>
      <c r="F190" s="240"/>
      <c r="G190" s="240"/>
      <c r="H190" s="240"/>
      <c r="I190" s="240"/>
      <c r="J190" s="240"/>
      <c r="K190" s="240"/>
    </row>
    <row r="191" spans="1:11" ht="24" customHeight="1">
      <c r="A191" s="212" t="s">
        <v>257</v>
      </c>
      <c r="B191" s="238" t="s">
        <v>210</v>
      </c>
      <c r="C191" s="238"/>
      <c r="D191" s="238"/>
      <c r="E191" s="238"/>
      <c r="F191" s="238"/>
      <c r="G191" s="238"/>
      <c r="H191" s="238"/>
      <c r="I191" s="238"/>
      <c r="J191" s="238"/>
      <c r="K191" s="238"/>
    </row>
    <row r="192" spans="1:11" ht="33" customHeight="1">
      <c r="A192" s="214" t="s">
        <v>105</v>
      </c>
      <c r="B192" s="247">
        <f>C192+F192+I192</f>
        <v>8027431.7491999995</v>
      </c>
      <c r="C192" s="248">
        <f>D192+E192</f>
        <v>2514319.9999999995</v>
      </c>
      <c r="D192" s="247">
        <f>D193+D194</f>
        <v>2514319.9999999995</v>
      </c>
      <c r="E192" s="247">
        <f>E193+E194</f>
        <v>0</v>
      </c>
      <c r="F192" s="248">
        <f>G192+H192</f>
        <v>2682779.4399999995</v>
      </c>
      <c r="G192" s="247">
        <f>G193+G194</f>
        <v>2682779.4399999995</v>
      </c>
      <c r="H192" s="247">
        <f>H193+H194</f>
        <v>0</v>
      </c>
      <c r="I192" s="248">
        <f>J192+K192</f>
        <v>2830332.3091999996</v>
      </c>
      <c r="J192" s="247">
        <f>J193+J194</f>
        <v>2830332.3091999996</v>
      </c>
      <c r="K192" s="247">
        <f>K193+K194</f>
        <v>0</v>
      </c>
    </row>
    <row r="193" spans="1:11" ht="26.25" customHeight="1">
      <c r="A193" s="215" t="s">
        <v>77</v>
      </c>
      <c r="B193" s="62"/>
      <c r="C193" s="139">
        <f>D193+E193</f>
        <v>2314319.9999999995</v>
      </c>
      <c r="D193" s="62">
        <f>'Додаток 2'!H77*1000</f>
        <v>2314319.9999999995</v>
      </c>
      <c r="E193" s="62"/>
      <c r="F193" s="139">
        <f>G193+H193</f>
        <v>2469379.4399999995</v>
      </c>
      <c r="G193" s="62">
        <f>'Додаток 2'!I77*1000</f>
        <v>2469379.4399999995</v>
      </c>
      <c r="H193" s="62"/>
      <c r="I193" s="139">
        <f>J193+K193</f>
        <v>2605195.3091999996</v>
      </c>
      <c r="J193" s="62">
        <f>'Додаток 2'!J77*1000</f>
        <v>2605195.3091999996</v>
      </c>
      <c r="K193" s="62"/>
    </row>
    <row r="194" spans="1:11" ht="24" customHeight="1">
      <c r="A194" s="215" t="s">
        <v>222</v>
      </c>
      <c r="B194" s="62"/>
      <c r="C194" s="139">
        <f>D194+E194</f>
        <v>200000</v>
      </c>
      <c r="D194" s="62">
        <f>'Додаток 2'!H78*1000</f>
        <v>200000</v>
      </c>
      <c r="E194" s="62"/>
      <c r="F194" s="139">
        <f>G194+H194</f>
        <v>213399.99999999997</v>
      </c>
      <c r="G194" s="62">
        <f>'Додаток 2'!I78*1000</f>
        <v>213399.99999999997</v>
      </c>
      <c r="H194" s="62"/>
      <c r="I194" s="139">
        <f>J194+K194</f>
        <v>225136.99999999997</v>
      </c>
      <c r="J194" s="62">
        <f>'Додаток 2'!J78*1000</f>
        <v>225136.99999999997</v>
      </c>
      <c r="K194" s="62"/>
    </row>
    <row r="195" spans="1:11" ht="16.5" customHeight="1">
      <c r="A195" s="217" t="s">
        <v>126</v>
      </c>
      <c r="B195" s="131"/>
      <c r="C195" s="134"/>
      <c r="D195" s="133"/>
      <c r="E195" s="133"/>
      <c r="F195" s="134"/>
      <c r="G195" s="133"/>
      <c r="H195" s="133"/>
      <c r="I195" s="134"/>
      <c r="J195" s="133"/>
      <c r="K195" s="133"/>
    </row>
    <row r="196" spans="1:11" ht="33" customHeight="1">
      <c r="A196" s="215" t="s">
        <v>260</v>
      </c>
      <c r="B196" s="131"/>
      <c r="C196" s="134">
        <f>(C193+C194)/1000</f>
        <v>2514.3199999999997</v>
      </c>
      <c r="D196" s="133"/>
      <c r="E196" s="133"/>
      <c r="F196" s="134">
        <f>(F193+F194)/1000</f>
        <v>2682.7794399999993</v>
      </c>
      <c r="G196" s="133"/>
      <c r="H196" s="133"/>
      <c r="I196" s="134">
        <f>(I193+I194)/1000</f>
        <v>2830.3323091999996</v>
      </c>
      <c r="J196" s="133"/>
      <c r="K196" s="133"/>
    </row>
    <row r="197" spans="1:11" ht="18" customHeight="1">
      <c r="A197" s="215" t="s">
        <v>258</v>
      </c>
      <c r="B197" s="131"/>
      <c r="C197" s="134">
        <v>8356</v>
      </c>
      <c r="D197" s="133"/>
      <c r="E197" s="133"/>
      <c r="F197" s="134">
        <v>8488</v>
      </c>
      <c r="G197" s="133"/>
      <c r="H197" s="133"/>
      <c r="I197" s="134">
        <v>8603</v>
      </c>
      <c r="J197" s="133"/>
      <c r="K197" s="133"/>
    </row>
    <row r="198" spans="1:11" ht="18" customHeight="1">
      <c r="A198" s="217" t="s">
        <v>107</v>
      </c>
      <c r="B198" s="131"/>
      <c r="C198" s="134"/>
      <c r="D198" s="133"/>
      <c r="E198" s="133"/>
      <c r="F198" s="134"/>
      <c r="G198" s="133"/>
      <c r="H198" s="133"/>
      <c r="I198" s="134"/>
      <c r="J198" s="133"/>
      <c r="K198" s="133"/>
    </row>
    <row r="199" spans="1:11" ht="30" customHeight="1">
      <c r="A199" s="241" t="s">
        <v>261</v>
      </c>
      <c r="B199" s="131"/>
      <c r="C199" s="134">
        <f>610+557</f>
        <v>1167</v>
      </c>
      <c r="D199" s="133"/>
      <c r="E199" s="133"/>
      <c r="F199" s="134">
        <f>C199</f>
        <v>1167</v>
      </c>
      <c r="G199" s="133"/>
      <c r="H199" s="133"/>
      <c r="I199" s="134">
        <f>F199</f>
        <v>1167</v>
      </c>
      <c r="J199" s="133"/>
      <c r="K199" s="133"/>
    </row>
    <row r="200" spans="1:11" ht="19.5" customHeight="1">
      <c r="A200" s="221" t="s">
        <v>109</v>
      </c>
      <c r="B200" s="131"/>
      <c r="C200" s="134"/>
      <c r="D200" s="133"/>
      <c r="E200" s="133"/>
      <c r="F200" s="134"/>
      <c r="G200" s="133"/>
      <c r="H200" s="133"/>
      <c r="I200" s="134"/>
      <c r="J200" s="133"/>
      <c r="K200" s="133"/>
    </row>
    <row r="201" spans="1:11" ht="33.75" customHeight="1">
      <c r="A201" s="241" t="s">
        <v>262</v>
      </c>
      <c r="B201" s="131"/>
      <c r="C201" s="139">
        <f>C199/C197*100</f>
        <v>13.96601244614648</v>
      </c>
      <c r="D201" s="133"/>
      <c r="E201" s="133"/>
      <c r="F201" s="139">
        <f>F199/F197*100</f>
        <v>13.748821866163997</v>
      </c>
      <c r="G201" s="133"/>
      <c r="H201" s="133"/>
      <c r="I201" s="139">
        <f>I199/I197*100</f>
        <v>13.565035452749042</v>
      </c>
      <c r="J201" s="133"/>
      <c r="K201" s="133"/>
    </row>
    <row r="202" spans="1:11" ht="18" customHeight="1">
      <c r="A202" s="224" t="s">
        <v>110</v>
      </c>
      <c r="B202" s="131"/>
      <c r="C202" s="134"/>
      <c r="D202" s="133"/>
      <c r="E202" s="133"/>
      <c r="F202" s="134"/>
      <c r="G202" s="133"/>
      <c r="H202" s="133"/>
      <c r="I202" s="134"/>
      <c r="J202" s="133"/>
      <c r="K202" s="133"/>
    </row>
    <row r="203" spans="1:11" ht="44.25" customHeight="1">
      <c r="A203" s="241" t="s">
        <v>263</v>
      </c>
      <c r="B203" s="131"/>
      <c r="C203" s="134">
        <v>1</v>
      </c>
      <c r="D203" s="133"/>
      <c r="E203" s="133"/>
      <c r="F203" s="134">
        <v>1</v>
      </c>
      <c r="G203" s="133"/>
      <c r="H203" s="133"/>
      <c r="I203" s="134">
        <v>1</v>
      </c>
      <c r="J203" s="133"/>
      <c r="K203" s="133"/>
    </row>
    <row r="204" ht="22.5" customHeight="1"/>
    <row r="205" spans="1:16" s="98" customFormat="1" ht="25.5" customHeight="1">
      <c r="A205" s="98" t="s">
        <v>17</v>
      </c>
      <c r="B205" s="128"/>
      <c r="D205" s="108"/>
      <c r="F205" s="109"/>
      <c r="G205" s="109"/>
      <c r="H205" s="109"/>
      <c r="I205" s="110" t="s">
        <v>16</v>
      </c>
      <c r="J205" s="109"/>
      <c r="K205" s="111"/>
      <c r="M205" s="99"/>
      <c r="N205" s="99"/>
      <c r="O205" s="99"/>
      <c r="P205" s="96"/>
    </row>
    <row r="206" spans="1:15" s="98" customFormat="1" ht="36.75" customHeight="1">
      <c r="A206" s="112" t="s">
        <v>14</v>
      </c>
      <c r="B206" s="128"/>
      <c r="C206" s="113"/>
      <c r="D206" s="108"/>
      <c r="F206" s="109"/>
      <c r="G206" s="109"/>
      <c r="H206" s="109"/>
      <c r="I206" s="109"/>
      <c r="J206" s="109"/>
      <c r="K206" s="111"/>
      <c r="O206" s="99"/>
    </row>
    <row r="207" spans="1:11" s="98" customFormat="1" ht="31.5" customHeight="1">
      <c r="A207" s="98" t="s">
        <v>84</v>
      </c>
      <c r="B207" s="128"/>
      <c r="D207" s="108"/>
      <c r="F207" s="109"/>
      <c r="G207" s="109"/>
      <c r="H207" s="109"/>
      <c r="I207" s="109"/>
      <c r="J207" s="109"/>
      <c r="K207" s="111"/>
    </row>
  </sheetData>
  <sheetProtection/>
  <mergeCells count="37">
    <mergeCell ref="A189:K189"/>
    <mergeCell ref="B190:K190"/>
    <mergeCell ref="B191:K191"/>
    <mergeCell ref="B169:K169"/>
    <mergeCell ref="B122:K122"/>
    <mergeCell ref="H1:J1"/>
    <mergeCell ref="H2:K2"/>
    <mergeCell ref="H3:K3"/>
    <mergeCell ref="A5:K5"/>
    <mergeCell ref="A7:A10"/>
    <mergeCell ref="I7:K8"/>
    <mergeCell ref="C9:C10"/>
    <mergeCell ref="D9:E9"/>
    <mergeCell ref="F9:F10"/>
    <mergeCell ref="G9:H9"/>
    <mergeCell ref="I9:I10"/>
    <mergeCell ref="J9:K9"/>
    <mergeCell ref="A84:K84"/>
    <mergeCell ref="B7:B10"/>
    <mergeCell ref="C7:E8"/>
    <mergeCell ref="B85:K85"/>
    <mergeCell ref="A13:K13"/>
    <mergeCell ref="B15:K15"/>
    <mergeCell ref="A48:K48"/>
    <mergeCell ref="A14:K14"/>
    <mergeCell ref="B49:K49"/>
    <mergeCell ref="F7:H8"/>
    <mergeCell ref="B170:K170"/>
    <mergeCell ref="B154:K154"/>
    <mergeCell ref="B16:K16"/>
    <mergeCell ref="B50:K50"/>
    <mergeCell ref="B86:K86"/>
    <mergeCell ref="B123:K123"/>
    <mergeCell ref="A121:K121"/>
    <mergeCell ref="A152:K152"/>
    <mergeCell ref="B153:K153"/>
    <mergeCell ref="A168:K168"/>
  </mergeCells>
  <printOptions/>
  <pageMargins left="0.7086614173228347" right="0.7086614173228347" top="1.141732283464567" bottom="0.35433070866141736" header="0.31496062992125984" footer="0.31496062992125984"/>
  <pageSetup fitToHeight="6" horizontalDpi="600" verticalDpi="600" orientation="landscape" paperSize="9" scale="55" r:id="rId1"/>
  <rowBreaks count="1" manualBreakCount="1">
    <brk id="151" max="10"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26"/>
  <sheetViews>
    <sheetView view="pageBreakPreview" zoomScale="64" zoomScaleSheetLayoutView="64" zoomScalePageLayoutView="0" workbookViewId="0" topLeftCell="A1">
      <selection activeCell="G25" sqref="G25"/>
    </sheetView>
  </sheetViews>
  <sheetFormatPr defaultColWidth="9.140625" defaultRowHeight="12.75"/>
  <cols>
    <col min="1" max="1" width="23.57421875" style="0" customWidth="1"/>
    <col min="2" max="2" width="49.57421875" style="0" customWidth="1"/>
    <col min="3" max="5" width="18.00390625" style="0" customWidth="1"/>
    <col min="6" max="8" width="15.8515625" style="0" customWidth="1"/>
    <col min="9" max="11" width="15.00390625" style="0" customWidth="1"/>
  </cols>
  <sheetData>
    <row r="1" spans="8:11" ht="16.5">
      <c r="H1" s="192" t="s">
        <v>117</v>
      </c>
      <c r="I1" s="192"/>
      <c r="J1" s="192"/>
      <c r="K1" s="18"/>
    </row>
    <row r="2" spans="8:11" ht="37.5" customHeight="1">
      <c r="H2" s="193" t="s">
        <v>89</v>
      </c>
      <c r="I2" s="193"/>
      <c r="J2" s="193"/>
      <c r="K2" s="193"/>
    </row>
    <row r="5" spans="1:11" ht="47.25" customHeight="1">
      <c r="A5" s="181" t="s">
        <v>221</v>
      </c>
      <c r="B5" s="181"/>
      <c r="C5" s="181"/>
      <c r="D5" s="181"/>
      <c r="E5" s="181"/>
      <c r="F5" s="181"/>
      <c r="G5" s="181"/>
      <c r="H5" s="181"/>
      <c r="I5" s="181"/>
      <c r="J5" s="181"/>
      <c r="K5" s="181"/>
    </row>
    <row r="6" ht="28.5" customHeight="1" thickBot="1">
      <c r="K6" s="8"/>
    </row>
    <row r="7" spans="1:11" ht="36" customHeight="1">
      <c r="A7" s="186" t="s">
        <v>35</v>
      </c>
      <c r="B7" s="189" t="s">
        <v>38</v>
      </c>
      <c r="C7" s="194" t="s">
        <v>118</v>
      </c>
      <c r="D7" s="194"/>
      <c r="E7" s="194"/>
      <c r="F7" s="195" t="s">
        <v>119</v>
      </c>
      <c r="G7" s="195"/>
      <c r="H7" s="195"/>
      <c r="I7" s="195" t="s">
        <v>111</v>
      </c>
      <c r="J7" s="195"/>
      <c r="K7" s="196"/>
    </row>
    <row r="8" spans="1:11" ht="18" customHeight="1">
      <c r="A8" s="187"/>
      <c r="B8" s="190"/>
      <c r="C8" s="197" t="s">
        <v>1</v>
      </c>
      <c r="D8" s="197" t="s">
        <v>2</v>
      </c>
      <c r="E8" s="179" t="s">
        <v>3</v>
      </c>
      <c r="F8" s="197" t="s">
        <v>1</v>
      </c>
      <c r="G8" s="197" t="s">
        <v>2</v>
      </c>
      <c r="H8" s="179" t="s">
        <v>3</v>
      </c>
      <c r="I8" s="182" t="s">
        <v>1</v>
      </c>
      <c r="J8" s="182" t="s">
        <v>2</v>
      </c>
      <c r="K8" s="184" t="s">
        <v>3</v>
      </c>
    </row>
    <row r="9" spans="1:11" ht="24" customHeight="1" thickBot="1">
      <c r="A9" s="188"/>
      <c r="B9" s="191"/>
      <c r="C9" s="191"/>
      <c r="D9" s="191"/>
      <c r="E9" s="180"/>
      <c r="F9" s="191"/>
      <c r="G9" s="191"/>
      <c r="H9" s="180"/>
      <c r="I9" s="183"/>
      <c r="J9" s="183"/>
      <c r="K9" s="185"/>
    </row>
    <row r="10" spans="1:11" ht="16.5" customHeight="1" thickBot="1">
      <c r="A10" s="29">
        <v>1</v>
      </c>
      <c r="B10" s="49"/>
      <c r="C10" s="30">
        <v>2</v>
      </c>
      <c r="D10" s="30">
        <v>3</v>
      </c>
      <c r="E10" s="31">
        <v>4</v>
      </c>
      <c r="F10" s="30">
        <v>5</v>
      </c>
      <c r="G10" s="30">
        <v>6</v>
      </c>
      <c r="H10" s="31">
        <v>7</v>
      </c>
      <c r="I10" s="30">
        <v>8</v>
      </c>
      <c r="J10" s="30">
        <v>9</v>
      </c>
      <c r="K10" s="32">
        <v>10</v>
      </c>
    </row>
    <row r="11" spans="1:11" ht="48" customHeight="1">
      <c r="A11" s="26">
        <v>712010</v>
      </c>
      <c r="B11" s="51" t="s">
        <v>200</v>
      </c>
      <c r="C11" s="33">
        <f>235955936.13/1000</f>
        <v>235955.93613</v>
      </c>
      <c r="D11" s="33">
        <f>'[1]0712010'!$J$51/1000</f>
        <v>40649.944</v>
      </c>
      <c r="E11" s="33">
        <f>C11+D11</f>
        <v>276605.88013</v>
      </c>
      <c r="F11" s="33">
        <f>'Додаток 2'!H33+'Додаток 2'!H35</f>
        <v>326276.1576</v>
      </c>
      <c r="G11" s="33">
        <f>'Додаток 2'!H34</f>
        <v>30260.2416</v>
      </c>
      <c r="H11" s="33">
        <f>F11+G11</f>
        <v>356536.3992</v>
      </c>
      <c r="I11" s="27">
        <f>F11/C11*100-100</f>
        <v>38.278427299340336</v>
      </c>
      <c r="J11" s="27">
        <f>G11/D11*100-100</f>
        <v>-25.558958703608553</v>
      </c>
      <c r="K11" s="28">
        <f>H11/E11*100-100</f>
        <v>28.896898009700294</v>
      </c>
    </row>
    <row r="12" spans="1:11" ht="36" customHeight="1">
      <c r="A12" s="20">
        <v>712030</v>
      </c>
      <c r="B12" s="52" t="s">
        <v>204</v>
      </c>
      <c r="C12" s="34">
        <f>33901542/1000</f>
        <v>33901.542</v>
      </c>
      <c r="D12" s="34">
        <f>'[1]Пологовий'!$J$51/1000</f>
        <v>157.3</v>
      </c>
      <c r="E12" s="34">
        <f aca="true" t="shared" si="0" ref="E12:E20">C12+D12</f>
        <v>34058.842000000004</v>
      </c>
      <c r="F12" s="34">
        <f>'Додаток 2'!H48+'Додаток 2'!H50</f>
        <v>45288.6412</v>
      </c>
      <c r="G12" s="34">
        <f>'Додаток 2'!H49</f>
        <v>1244.88</v>
      </c>
      <c r="H12" s="34">
        <f aca="true" t="shared" si="1" ref="H12:H20">F12+G12</f>
        <v>46533.521199999996</v>
      </c>
      <c r="I12" s="19">
        <f aca="true" t="shared" si="2" ref="I12:I20">F12/C12*100-100</f>
        <v>33.58873528525635</v>
      </c>
      <c r="J12" s="19">
        <f aca="true" t="shared" si="3" ref="J12:J20">G12/D12*100-100</f>
        <v>691.404958677686</v>
      </c>
      <c r="K12" s="21">
        <f aca="true" t="shared" si="4" ref="K12:K20">H12/E12*100-100</f>
        <v>36.626844799949424</v>
      </c>
    </row>
    <row r="13" spans="1:11" ht="36" customHeight="1">
      <c r="A13" s="22">
        <v>712100</v>
      </c>
      <c r="B13" s="53" t="s">
        <v>201</v>
      </c>
      <c r="C13" s="34">
        <f>6400304/1000</f>
        <v>6400.304</v>
      </c>
      <c r="D13" s="34">
        <f>'[1]МСП'!$J$51/1000</f>
        <v>5058.989</v>
      </c>
      <c r="E13" s="34">
        <f t="shared" si="0"/>
        <v>11459.293</v>
      </c>
      <c r="F13" s="34">
        <f>'Додаток 2'!H64+'Додаток 2'!H66</f>
        <v>7469.9484</v>
      </c>
      <c r="G13" s="34">
        <f>'Додаток 2'!H65</f>
        <v>9641.292000000001</v>
      </c>
      <c r="H13" s="34">
        <f t="shared" si="1"/>
        <v>17111.240400000002</v>
      </c>
      <c r="I13" s="19">
        <f t="shared" si="2"/>
        <v>16.71239991100424</v>
      </c>
      <c r="J13" s="19">
        <f t="shared" si="3"/>
        <v>90.57744541448898</v>
      </c>
      <c r="K13" s="21">
        <f t="shared" si="4"/>
        <v>49.32195555170816</v>
      </c>
    </row>
    <row r="14" spans="1:11" ht="36" customHeight="1">
      <c r="A14" s="22">
        <v>712150</v>
      </c>
      <c r="B14" s="53" t="s">
        <v>202</v>
      </c>
      <c r="C14" s="34">
        <f>C15+C16</f>
        <v>5679.098</v>
      </c>
      <c r="D14" s="34">
        <f>D15+D16</f>
        <v>0</v>
      </c>
      <c r="E14" s="34">
        <f t="shared" si="0"/>
        <v>5679.098</v>
      </c>
      <c r="F14" s="34">
        <f>F15+F16</f>
        <v>5637.282799999999</v>
      </c>
      <c r="G14" s="34">
        <f>G15+G16</f>
        <v>0</v>
      </c>
      <c r="H14" s="34">
        <f t="shared" si="1"/>
        <v>5637.282799999999</v>
      </c>
      <c r="I14" s="19">
        <f t="shared" si="2"/>
        <v>-0.7363000251096423</v>
      </c>
      <c r="J14" s="38" t="e">
        <f t="shared" si="3"/>
        <v>#DIV/0!</v>
      </c>
      <c r="K14" s="21">
        <f t="shared" si="4"/>
        <v>-0.7363000251096423</v>
      </c>
    </row>
    <row r="15" spans="1:11" ht="36" customHeight="1">
      <c r="A15" s="22">
        <v>712151</v>
      </c>
      <c r="B15" s="53" t="s">
        <v>203</v>
      </c>
      <c r="C15" s="34">
        <f>1975455/1000</f>
        <v>1975.455</v>
      </c>
      <c r="D15" s="34">
        <f>'[1]0712151'!$J$51/1000</f>
        <v>0</v>
      </c>
      <c r="E15" s="34">
        <f t="shared" si="0"/>
        <v>1975.455</v>
      </c>
      <c r="F15" s="34">
        <f>'Додаток 2'!H75</f>
        <v>3122.9628</v>
      </c>
      <c r="G15" s="34">
        <v>0</v>
      </c>
      <c r="H15" s="34">
        <f t="shared" si="1"/>
        <v>3122.9628</v>
      </c>
      <c r="I15" s="19">
        <f t="shared" si="2"/>
        <v>58.08827839662254</v>
      </c>
      <c r="J15" s="38" t="e">
        <f t="shared" si="3"/>
        <v>#DIV/0!</v>
      </c>
      <c r="K15" s="21">
        <f t="shared" si="4"/>
        <v>58.08827839662254</v>
      </c>
    </row>
    <row r="16" spans="1:11" ht="36" customHeight="1">
      <c r="A16" s="22">
        <v>712152</v>
      </c>
      <c r="B16" s="53" t="s">
        <v>210</v>
      </c>
      <c r="C16" s="34">
        <f>3703643/1000</f>
        <v>3703.643</v>
      </c>
      <c r="D16" s="34">
        <v>0</v>
      </c>
      <c r="E16" s="34">
        <f t="shared" si="0"/>
        <v>3703.643</v>
      </c>
      <c r="F16" s="136">
        <f>'Додаток 2'!H80</f>
        <v>2514.3199999999997</v>
      </c>
      <c r="G16" s="34">
        <v>0</v>
      </c>
      <c r="H16" s="34">
        <f t="shared" si="1"/>
        <v>2514.3199999999997</v>
      </c>
      <c r="I16" s="19">
        <f t="shared" si="2"/>
        <v>-32.112247319733584</v>
      </c>
      <c r="J16" s="38" t="e">
        <f t="shared" si="3"/>
        <v>#DIV/0!</v>
      </c>
      <c r="K16" s="21">
        <f t="shared" si="4"/>
        <v>-32.112247319733584</v>
      </c>
    </row>
    <row r="17" spans="1:11" ht="36" customHeight="1">
      <c r="A17" s="22">
        <v>712140</v>
      </c>
      <c r="B17" s="53" t="s">
        <v>214</v>
      </c>
      <c r="C17" s="34">
        <f>C18+C19</f>
        <v>15733</v>
      </c>
      <c r="D17" s="34">
        <f>D18+D19</f>
        <v>0</v>
      </c>
      <c r="E17" s="34">
        <f t="shared" si="0"/>
        <v>15733</v>
      </c>
      <c r="F17" s="34">
        <f>F18+F19</f>
        <v>23500</v>
      </c>
      <c r="G17" s="34">
        <f>G18+G19</f>
        <v>0</v>
      </c>
      <c r="H17" s="34">
        <f t="shared" si="1"/>
        <v>23500</v>
      </c>
      <c r="I17" s="19">
        <f t="shared" si="2"/>
        <v>49.36757134685058</v>
      </c>
      <c r="J17" s="38" t="e">
        <f t="shared" si="3"/>
        <v>#DIV/0!</v>
      </c>
      <c r="K17" s="21">
        <f t="shared" si="4"/>
        <v>49.36757134685058</v>
      </c>
    </row>
    <row r="18" spans="1:11" ht="36" customHeight="1">
      <c r="A18" s="22">
        <v>712144</v>
      </c>
      <c r="B18" s="53" t="s">
        <v>211</v>
      </c>
      <c r="C18" s="34">
        <f>8830400/1000</f>
        <v>8830.4</v>
      </c>
      <c r="D18" s="34">
        <f>'[1]інсуліни'!$J$51/1000</f>
        <v>0</v>
      </c>
      <c r="E18" s="34">
        <f t="shared" si="0"/>
        <v>8830.4</v>
      </c>
      <c r="F18" s="34">
        <f>'Додаток 2'!H68</f>
        <v>14500</v>
      </c>
      <c r="G18" s="34">
        <v>0</v>
      </c>
      <c r="H18" s="34">
        <f t="shared" si="1"/>
        <v>14500</v>
      </c>
      <c r="I18" s="19">
        <f t="shared" si="2"/>
        <v>64.20547200579816</v>
      </c>
      <c r="J18" s="38" t="e">
        <f t="shared" si="3"/>
        <v>#DIV/0!</v>
      </c>
      <c r="K18" s="21">
        <f t="shared" si="4"/>
        <v>64.20547200579816</v>
      </c>
    </row>
    <row r="19" spans="1:11" ht="36" customHeight="1">
      <c r="A19" s="22">
        <v>712146</v>
      </c>
      <c r="B19" s="53" t="s">
        <v>212</v>
      </c>
      <c r="C19" s="34">
        <f>6902600/1000</f>
        <v>6902.6</v>
      </c>
      <c r="D19" s="34">
        <f>'[1]доступні ліки'!$J$51/1000</f>
        <v>0</v>
      </c>
      <c r="E19" s="34">
        <f t="shared" si="0"/>
        <v>6902.6</v>
      </c>
      <c r="F19" s="34">
        <f>'Додаток 2'!H69</f>
        <v>9000</v>
      </c>
      <c r="G19" s="34">
        <v>0</v>
      </c>
      <c r="H19" s="34">
        <f t="shared" si="1"/>
        <v>9000</v>
      </c>
      <c r="I19" s="19">
        <f t="shared" si="2"/>
        <v>30.38565178338598</v>
      </c>
      <c r="J19" s="38" t="e">
        <f t="shared" si="3"/>
        <v>#DIV/0!</v>
      </c>
      <c r="K19" s="21">
        <f t="shared" si="4"/>
        <v>30.38565178338598</v>
      </c>
    </row>
    <row r="20" spans="1:11" ht="73.5" customHeight="1" thickBot="1">
      <c r="A20" s="23">
        <v>712111</v>
      </c>
      <c r="B20" s="55" t="s">
        <v>213</v>
      </c>
      <c r="C20" s="35">
        <f>25296899.56/1000</f>
        <v>25296.899559999998</v>
      </c>
      <c r="D20" s="35">
        <f>'[1]0712111'!$J$51/1000+'[1]0712152'!$J$51/1000</f>
        <v>3573.496</v>
      </c>
      <c r="E20" s="35">
        <f t="shared" si="0"/>
        <v>28870.395559999997</v>
      </c>
      <c r="F20" s="35">
        <f>'Додаток 2'!H14+'Додаток 2'!H13+'Додаток 2'!H12</f>
        <v>18576</v>
      </c>
      <c r="G20" s="35">
        <f>'Додаток 2'!H15</f>
        <v>3600</v>
      </c>
      <c r="H20" s="35">
        <f t="shared" si="1"/>
        <v>22176</v>
      </c>
      <c r="I20" s="24">
        <f t="shared" si="2"/>
        <v>-26.568076234240294</v>
      </c>
      <c r="J20" s="24">
        <f t="shared" si="3"/>
        <v>0.7416826547448068</v>
      </c>
      <c r="K20" s="25">
        <f t="shared" si="4"/>
        <v>-23.187751432388055</v>
      </c>
    </row>
    <row r="21" spans="1:11" ht="39.75" customHeight="1" thickBot="1">
      <c r="A21" s="36" t="s">
        <v>120</v>
      </c>
      <c r="B21" s="50"/>
      <c r="C21" s="37">
        <f>C11++C12+C13+C14+C17+C20</f>
        <v>322966.77969</v>
      </c>
      <c r="D21" s="37">
        <f>D11++D12+D13+D14+D17+D20</f>
        <v>49439.72900000001</v>
      </c>
      <c r="E21" s="37">
        <f>E11++E12+E13+E14+E17+E20</f>
        <v>372406.50869</v>
      </c>
      <c r="F21" s="37">
        <f>F11+F12+F13+F14+F17+F20</f>
        <v>426748.02999999997</v>
      </c>
      <c r="G21" s="37">
        <f>G11+G12+G13+G14+G17+G20</f>
        <v>44746.4136</v>
      </c>
      <c r="H21" s="37">
        <f>H11+H12+H13+H14+H17+H20</f>
        <v>471494.4436</v>
      </c>
      <c r="I21" s="24">
        <f>F21/C21*100-100</f>
        <v>32.133722982163846</v>
      </c>
      <c r="J21" s="24">
        <f>G21/D21*100-100</f>
        <v>-9.493003895713116</v>
      </c>
      <c r="K21" s="25">
        <f>H21/E21*100-100</f>
        <v>26.6074659271015</v>
      </c>
    </row>
    <row r="22" ht="26.25" customHeight="1"/>
    <row r="23" ht="30" customHeight="1"/>
    <row r="24" spans="1:17" s="15" customFormat="1" ht="25.5" customHeight="1">
      <c r="A24" s="1" t="s">
        <v>17</v>
      </c>
      <c r="B24" s="1"/>
      <c r="C24" s="1"/>
      <c r="D24" s="1"/>
      <c r="E24" s="4"/>
      <c r="F24" s="1"/>
      <c r="G24" s="5"/>
      <c r="H24" s="5"/>
      <c r="I24" s="5"/>
      <c r="J24" s="2" t="s">
        <v>16</v>
      </c>
      <c r="K24" s="5"/>
      <c r="L24" s="16"/>
      <c r="N24" s="17"/>
      <c r="O24" s="17"/>
      <c r="P24" s="17"/>
      <c r="Q24" s="12"/>
    </row>
    <row r="25" spans="1:16" s="15" customFormat="1" ht="30" customHeight="1">
      <c r="A25" s="13" t="s">
        <v>14</v>
      </c>
      <c r="B25" s="13"/>
      <c r="C25" s="1"/>
      <c r="D25" s="6"/>
      <c r="E25" s="4"/>
      <c r="F25" s="1"/>
      <c r="G25" s="5"/>
      <c r="H25" s="5"/>
      <c r="I25" s="5"/>
      <c r="J25" s="5"/>
      <c r="K25" s="5"/>
      <c r="L25" s="16"/>
      <c r="P25" s="17"/>
    </row>
    <row r="26" spans="1:12" s="15" customFormat="1" ht="31.5" customHeight="1">
      <c r="A26" s="1" t="s">
        <v>84</v>
      </c>
      <c r="B26" s="1"/>
      <c r="C26" s="1"/>
      <c r="D26" s="1"/>
      <c r="E26" s="4"/>
      <c r="F26" s="1"/>
      <c r="G26" s="5"/>
      <c r="H26" s="5"/>
      <c r="I26" s="5"/>
      <c r="J26" s="5"/>
      <c r="K26" s="5"/>
      <c r="L26" s="16"/>
    </row>
  </sheetData>
  <sheetProtection/>
  <mergeCells count="17">
    <mergeCell ref="H1:J1"/>
    <mergeCell ref="H2:K2"/>
    <mergeCell ref="C7:E7"/>
    <mergeCell ref="F7:H7"/>
    <mergeCell ref="I7:K7"/>
    <mergeCell ref="C8:C9"/>
    <mergeCell ref="D8:D9"/>
    <mergeCell ref="E8:E9"/>
    <mergeCell ref="F8:F9"/>
    <mergeCell ref="G8:G9"/>
    <mergeCell ref="H8:H9"/>
    <mergeCell ref="A5:K5"/>
    <mergeCell ref="I8:I9"/>
    <mergeCell ref="J8:J9"/>
    <mergeCell ref="K8:K9"/>
    <mergeCell ref="A7:A9"/>
    <mergeCell ref="B7:B9"/>
  </mergeCells>
  <printOptions/>
  <pageMargins left="0.7086614173228347" right="0.7086614173228347" top="1.141732283464567" bottom="0.5511811023622047"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rgb="FFFFC000"/>
  </sheetPr>
  <dimension ref="A1:C15"/>
  <sheetViews>
    <sheetView zoomScalePageLayoutView="0" workbookViewId="0" topLeftCell="A7">
      <selection activeCell="C14" sqref="C14"/>
    </sheetView>
  </sheetViews>
  <sheetFormatPr defaultColWidth="9.140625" defaultRowHeight="12.75"/>
  <cols>
    <col min="1" max="1" width="4.8515625" style="0" customWidth="1"/>
    <col min="2" max="2" width="45.00390625" style="0" customWidth="1"/>
    <col min="3" max="3" width="50.421875" style="0" customWidth="1"/>
  </cols>
  <sheetData>
    <row r="1" spans="2:3" ht="60.75" customHeight="1">
      <c r="B1" s="205" t="s">
        <v>199</v>
      </c>
      <c r="C1" s="205"/>
    </row>
    <row r="2" spans="1:3" ht="19.5" thickBot="1">
      <c r="A2" s="204"/>
      <c r="B2" s="204"/>
      <c r="C2" s="204"/>
    </row>
    <row r="3" spans="1:3" ht="41.25" customHeight="1" thickBot="1">
      <c r="A3" s="46" t="s">
        <v>178</v>
      </c>
      <c r="B3" s="47" t="s">
        <v>179</v>
      </c>
      <c r="C3" s="47" t="s">
        <v>180</v>
      </c>
    </row>
    <row r="4" spans="1:3" ht="28.5" customHeight="1">
      <c r="A4" s="198" t="s">
        <v>181</v>
      </c>
      <c r="B4" s="200" t="s">
        <v>182</v>
      </c>
      <c r="C4" s="43" t="s">
        <v>183</v>
      </c>
    </row>
    <row r="5" spans="1:3" ht="139.5" customHeight="1" thickBot="1">
      <c r="A5" s="199"/>
      <c r="B5" s="201"/>
      <c r="C5" s="44" t="s">
        <v>184</v>
      </c>
    </row>
    <row r="6" spans="1:3" ht="33.75" customHeight="1" thickBot="1">
      <c r="A6" s="45" t="s">
        <v>171</v>
      </c>
      <c r="B6" s="44" t="s">
        <v>185</v>
      </c>
      <c r="C6" s="48" t="s">
        <v>186</v>
      </c>
    </row>
    <row r="7" spans="1:3" ht="40.5" customHeight="1" thickBot="1">
      <c r="A7" s="45" t="s">
        <v>172</v>
      </c>
      <c r="B7" s="44" t="s">
        <v>187</v>
      </c>
      <c r="C7" s="44" t="s">
        <v>170</v>
      </c>
    </row>
    <row r="8" spans="1:3" ht="18" customHeight="1" thickBot="1">
      <c r="A8" s="45" t="s">
        <v>173</v>
      </c>
      <c r="B8" s="44" t="s">
        <v>188</v>
      </c>
      <c r="C8" s="48" t="s">
        <v>186</v>
      </c>
    </row>
    <row r="9" spans="1:3" ht="45" customHeight="1" thickBot="1">
      <c r="A9" s="45" t="s">
        <v>174</v>
      </c>
      <c r="B9" s="44" t="s">
        <v>189</v>
      </c>
      <c r="C9" s="44" t="s">
        <v>170</v>
      </c>
    </row>
    <row r="10" spans="1:3" ht="36.75" customHeight="1" thickBot="1">
      <c r="A10" s="45" t="s">
        <v>176</v>
      </c>
      <c r="B10" s="44" t="s">
        <v>190</v>
      </c>
      <c r="C10" s="44" t="s">
        <v>191</v>
      </c>
    </row>
    <row r="11" spans="1:3" ht="43.5" customHeight="1" thickBot="1">
      <c r="A11" s="45" t="s">
        <v>177</v>
      </c>
      <c r="B11" s="44" t="s">
        <v>192</v>
      </c>
      <c r="C11" s="44" t="s">
        <v>175</v>
      </c>
    </row>
    <row r="12" spans="1:3" ht="48.75" customHeight="1">
      <c r="A12" s="198" t="s">
        <v>193</v>
      </c>
      <c r="B12" s="200" t="s">
        <v>194</v>
      </c>
      <c r="C12" s="43" t="s">
        <v>195</v>
      </c>
    </row>
    <row r="13" spans="1:3" ht="22.5" customHeight="1">
      <c r="A13" s="202"/>
      <c r="B13" s="203"/>
      <c r="C13" s="43" t="s">
        <v>196</v>
      </c>
    </row>
    <row r="14" spans="1:3" ht="22.5" customHeight="1">
      <c r="A14" s="202"/>
      <c r="B14" s="203"/>
      <c r="C14" s="43" t="s">
        <v>197</v>
      </c>
    </row>
    <row r="15" spans="1:3" ht="22.5" customHeight="1" thickBot="1">
      <c r="A15" s="199"/>
      <c r="B15" s="201"/>
      <c r="C15" s="44" t="s">
        <v>198</v>
      </c>
    </row>
  </sheetData>
  <sheetProtection/>
  <mergeCells count="6">
    <mergeCell ref="A4:A5"/>
    <mergeCell ref="B4:B5"/>
    <mergeCell ref="A12:A15"/>
    <mergeCell ref="B12:B15"/>
    <mergeCell ref="A2:C2"/>
    <mergeCell ref="B1:C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5:G9"/>
  <sheetViews>
    <sheetView zoomScalePageLayoutView="0" workbookViewId="0" topLeftCell="A1">
      <selection activeCell="D6" sqref="D6:G9"/>
    </sheetView>
  </sheetViews>
  <sheetFormatPr defaultColWidth="9.140625" defaultRowHeight="12.75"/>
  <cols>
    <col min="1" max="1" width="18.00390625" style="0" customWidth="1"/>
    <col min="2" max="2" width="9.140625" style="0" hidden="1" customWidth="1"/>
    <col min="3" max="3" width="26.00390625" style="0" customWidth="1"/>
    <col min="4" max="4" width="10.421875" style="0" customWidth="1"/>
    <col min="5" max="7" width="9.7109375" style="0" customWidth="1"/>
  </cols>
  <sheetData>
    <row r="5" ht="13.5" thickBot="1">
      <c r="G5" s="8" t="s">
        <v>237</v>
      </c>
    </row>
    <row r="6" spans="1:7" ht="47.25" customHeight="1" thickBot="1">
      <c r="A6" s="206" t="s">
        <v>115</v>
      </c>
      <c r="B6" s="207"/>
      <c r="C6" s="97"/>
      <c r="D6" s="115">
        <v>1531089.1804915196</v>
      </c>
      <c r="E6" s="115">
        <v>471494.44359999994</v>
      </c>
      <c r="F6" s="115">
        <v>512050.44976159994</v>
      </c>
      <c r="G6" s="115">
        <v>547544.2871299194</v>
      </c>
    </row>
    <row r="7" spans="1:7" ht="34.5" customHeight="1">
      <c r="A7" s="208" t="s">
        <v>67</v>
      </c>
      <c r="B7" s="208"/>
      <c r="C7" s="119" t="s">
        <v>59</v>
      </c>
      <c r="D7" s="116">
        <v>483960.4652528271</v>
      </c>
      <c r="E7" s="116">
        <v>149728.59000000003</v>
      </c>
      <c r="F7" s="116">
        <v>161899.87599</v>
      </c>
      <c r="G7" s="116">
        <v>172331.99926282704</v>
      </c>
    </row>
    <row r="8" spans="1:7" ht="36.75" customHeight="1">
      <c r="A8" s="208"/>
      <c r="B8" s="208"/>
      <c r="C8" s="120" t="s">
        <v>65</v>
      </c>
      <c r="D8" s="117">
        <v>144362.9958879324</v>
      </c>
      <c r="E8" s="117">
        <v>44746.4136</v>
      </c>
      <c r="F8" s="117">
        <v>48262.9822116</v>
      </c>
      <c r="G8" s="117">
        <v>51353.600076332405</v>
      </c>
    </row>
    <row r="9" spans="1:7" ht="61.5" customHeight="1" thickBot="1">
      <c r="A9" s="208"/>
      <c r="B9" s="208"/>
      <c r="C9" s="121" t="s">
        <v>73</v>
      </c>
      <c r="D9" s="118">
        <v>902765.71935076</v>
      </c>
      <c r="E9" s="118">
        <v>277019.43999999994</v>
      </c>
      <c r="F9" s="118">
        <v>301887.59156000003</v>
      </c>
      <c r="G9" s="118">
        <v>323858.68779075996</v>
      </c>
    </row>
  </sheetData>
  <sheetProtection/>
  <mergeCells count="2">
    <mergeCell ref="A6:B6"/>
    <mergeCell ref="A7:B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2018-12-20T09:13:05Z</cp:lastPrinted>
  <dcterms:created xsi:type="dcterms:W3CDTF">1996-10-08T23:32:33Z</dcterms:created>
  <dcterms:modified xsi:type="dcterms:W3CDTF">2018-12-20T09:16:52Z</dcterms:modified>
  <cp:category/>
  <cp:version/>
  <cp:contentType/>
  <cp:contentStatus/>
</cp:coreProperties>
</file>