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05" windowWidth="12390" windowHeight="8535" tabRatio="246" activeTab="0"/>
  </bookViews>
  <sheets>
    <sheet name="додоток (с)" sheetId="1" r:id="rId1"/>
  </sheets>
  <definedNames>
    <definedName name="_xlfn.AGGREGATE" hidden="1">#NAME?</definedName>
    <definedName name="_xlnm.Print_Titles" localSheetId="0">'додоток (с)'!$16:$16</definedName>
  </definedNames>
  <calcPr fullCalcOnLoad="1"/>
</workbook>
</file>

<file path=xl/sharedStrings.xml><?xml version="1.0" encoding="utf-8"?>
<sst xmlns="http://schemas.openxmlformats.org/spreadsheetml/2006/main" count="764" uniqueCount="489">
  <si>
    <t>1410160</t>
  </si>
  <si>
    <t>7640</t>
  </si>
  <si>
    <t>7420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</si>
  <si>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</si>
  <si>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</si>
  <si>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</si>
  <si>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</si>
  <si>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</si>
  <si>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Інші заходи у сфері електротранспорту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</si>
  <si>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</si>
  <si>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</si>
  <si>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</si>
  <si>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</si>
  <si>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</si>
  <si>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</si>
  <si>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</si>
  <si>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</si>
  <si>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</si>
  <si>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</si>
  <si>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</si>
  <si>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</si>
  <si>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</si>
  <si>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</si>
  <si>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</si>
  <si>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</si>
  <si>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</si>
  <si>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</si>
  <si>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</si>
  <si>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</si>
  <si>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</si>
  <si>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</si>
  <si>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</si>
  <si>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</si>
  <si>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</si>
  <si>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</si>
  <si>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</si>
  <si>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</si>
  <si>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</si>
  <si>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</si>
  <si>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</si>
  <si>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</si>
  <si>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</si>
  <si>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</si>
  <si>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</si>
  <si>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</si>
  <si>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</si>
  <si>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</si>
  <si>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</si>
  <si>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</si>
  <si>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</si>
  <si>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</si>
  <si>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</si>
  <si>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</si>
  <si>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</si>
  <si>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</si>
  <si>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</si>
  <si>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</si>
  <si>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</si>
  <si>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</si>
  <si>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</si>
  <si>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</si>
  <si>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</si>
  <si>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</si>
  <si>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</si>
  <si>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</si>
  <si>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</si>
  <si>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</si>
  <si>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</si>
  <si>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</si>
  <si>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</si>
  <si>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</si>
  <si>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</si>
  <si>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</si>
  <si>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</si>
  <si>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</si>
  <si>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</si>
  <si>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</si>
  <si>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</si>
  <si>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</si>
  <si>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</si>
  <si>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</si>
  <si>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</si>
  <si>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</si>
  <si>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</si>
  <si>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</si>
  <si>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</si>
  <si>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</si>
  <si>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</si>
  <si>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</si>
  <si>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</si>
  <si>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</si>
  <si>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</si>
  <si>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</si>
  <si>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</si>
  <si>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</si>
  <si>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</si>
  <si>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</si>
  <si>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</si>
  <si>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</si>
  <si>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</si>
  <si>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</si>
  <si>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</si>
  <si>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</si>
  <si>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</si>
  <si>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</si>
  <si>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</si>
  <si>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</si>
  <si>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</si>
  <si>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</si>
  <si>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</si>
  <si>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</si>
  <si>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</si>
  <si>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</si>
  <si>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</si>
  <si>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</si>
  <si>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</si>
  <si>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</si>
  <si>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</si>
  <si>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</si>
  <si>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</si>
  <si>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</si>
  <si>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</si>
  <si>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</si>
  <si>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</si>
  <si>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</si>
  <si>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</si>
  <si>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</si>
  <si>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</si>
  <si>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</si>
  <si>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</si>
  <si>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</si>
  <si>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</si>
  <si>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</si>
  <si>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</si>
  <si>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</si>
  <si>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</si>
  <si>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</si>
  <si>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</si>
  <si>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</si>
  <si>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</si>
  <si>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</si>
  <si>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</si>
  <si>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</si>
  <si>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</si>
  <si>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</si>
  <si>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</si>
  <si>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</si>
  <si>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</si>
  <si>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</si>
  <si>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</si>
  <si>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</si>
  <si>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</si>
  <si>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</si>
  <si>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</si>
  <si>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</si>
  <si>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</si>
  <si>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</si>
  <si>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</si>
  <si>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</si>
  <si>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</si>
  <si>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</si>
  <si>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</si>
  <si>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</si>
  <si>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</si>
  <si>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</si>
  <si>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</si>
  <si>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</si>
  <si>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</si>
  <si>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</si>
  <si>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</si>
  <si>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</si>
  <si>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</si>
  <si>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</si>
  <si>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</si>
  <si>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</si>
  <si>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</si>
  <si>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</si>
  <si>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</si>
  <si>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</si>
  <si>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</si>
  <si>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</si>
  <si>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</si>
  <si>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</si>
  <si>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</si>
  <si>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</si>
  <si>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</si>
  <si>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</si>
  <si>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</si>
  <si>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</si>
  <si>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10 по вул. СКД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</si>
  <si>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</si>
  <si>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</si>
  <si>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</si>
  <si>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</si>
  <si>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</si>
  <si>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</si>
  <si>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</si>
  <si>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</si>
  <si>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</si>
  <si>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</si>
  <si>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</si>
  <si>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</si>
  <si>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</si>
  <si>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</si>
  <si>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</si>
  <si>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</si>
  <si>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</si>
  <si>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</si>
  <si>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</si>
  <si>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</si>
  <si>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</si>
  <si>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0453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</si>
  <si>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</si>
  <si>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</si>
  <si>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</si>
  <si>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</si>
  <si>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</si>
  <si>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</si>
  <si>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</si>
  <si>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</si>
  <si>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</si>
  <si>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</si>
  <si>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</si>
  <si>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</si>
  <si>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</si>
  <si>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</si>
  <si>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</si>
  <si>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</si>
  <si>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</si>
  <si>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</si>
  <si>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</si>
  <si>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</si>
  <si>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</si>
  <si>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</si>
  <si>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</si>
  <si>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</si>
  <si>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</si>
  <si>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</si>
  <si>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</si>
  <si>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</si>
  <si>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</si>
  <si>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</si>
  <si>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</si>
  <si>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</si>
  <si>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</si>
  <si>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</si>
  <si>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</si>
  <si>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</si>
  <si>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</si>
  <si>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</si>
  <si>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</si>
  <si>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</si>
  <si>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</si>
  <si>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</si>
  <si>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</si>
  <si>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</si>
  <si>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</si>
  <si>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</si>
  <si>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</si>
  <si>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</si>
  <si>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</si>
  <si>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</si>
  <si>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</si>
  <si>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</si>
  <si>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</si>
  <si>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</si>
  <si>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</si>
  <si>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</si>
  <si>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</si>
  <si>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</si>
  <si>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</si>
  <si>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</si>
  <si>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</si>
  <si>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</si>
  <si>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</si>
  <si>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</si>
  <si>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</si>
  <si>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</si>
  <si>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</si>
  <si>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</si>
  <si>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</si>
  <si>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</si>
  <si>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</si>
  <si>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</si>
  <si>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</si>
  <si>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</si>
  <si>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</si>
  <si>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</si>
  <si>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</si>
  <si>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</si>
  <si>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</si>
  <si>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</si>
  <si>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</si>
  <si>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</si>
  <si>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</si>
  <si>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</si>
  <si>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</si>
  <si>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</si>
  <si>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</si>
  <si>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</si>
  <si>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</si>
  <si>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</si>
  <si>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</si>
  <si>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</si>
  <si>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</si>
  <si>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</si>
  <si>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</si>
  <si>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</si>
  <si>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</si>
  <si>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</si>
  <si>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</si>
  <si>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</si>
  <si>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</si>
  <si>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</si>
  <si>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</si>
  <si>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</si>
  <si>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</si>
  <si>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1-го поверху КУ «ССШ № 3» по вул. 20 років Перемоги,9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</si>
  <si>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</si>
  <si>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</si>
  <si>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</si>
  <si>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</si>
  <si>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</si>
  <si>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</si>
  <si>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Влаштування пандуса до житлового будинку      № 20 по вул. Пушкіна</t>
  </si>
  <si>
    <t>Влаштування пандуса до житлового будинку      № 29 по вул. М.Лушпи</t>
  </si>
  <si>
    <t>Влаштування пандуса до житлового будинку      № 31 по вул. Холодногірська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</si>
  <si>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</si>
  <si>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</si>
  <si>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</si>
  <si>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</si>
  <si>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</si>
  <si>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</si>
  <si>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</si>
  <si>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</si>
  <si>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</si>
  <si>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</si>
  <si>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</si>
  <si>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</si>
  <si>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</si>
  <si>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</si>
  <si>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</si>
  <si>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</si>
  <si>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</si>
  <si>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</si>
  <si>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</si>
  <si>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</si>
  <si>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</si>
  <si>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</si>
  <si>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</si>
  <si>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</si>
  <si>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</si>
  <si>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</si>
  <si>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</si>
  <si>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</si>
  <si>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</si>
  <si>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Реконструкція аварійного самотічного  колектора Д-400 по вул. Білопільський шлях від КНС-4 до району Тепличного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</si>
  <si>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</si>
  <si>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</si>
  <si>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</si>
  <si>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</si>
  <si>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</si>
  <si>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</si>
  <si>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</si>
  <si>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</si>
  <si>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</si>
  <si>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</si>
  <si>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</si>
  <si>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</si>
  <si>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</si>
  <si>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</si>
  <si>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</si>
  <si>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</si>
  <si>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</si>
  <si>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</si>
  <si>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</si>
  <si>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</si>
  <si>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</si>
  <si>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</si>
  <si>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</si>
  <si>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</si>
  <si>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</si>
  <si>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</si>
  <si>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</si>
  <si>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Влаштування пандусів до житлового будинку      № 15 по вул. Івана Сірка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</si>
  <si>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</si>
  <si>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</si>
  <si>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</si>
  <si>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</si>
  <si>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</si>
  <si>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</si>
  <si>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</si>
  <si>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</si>
  <si>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</si>
  <si>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</si>
  <si>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</si>
  <si>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</si>
  <si>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</si>
  <si>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</si>
  <si>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</si>
  <si>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</si>
  <si>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</si>
  <si>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</si>
  <si>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</si>
  <si>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</si>
  <si>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</si>
  <si>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</si>
  <si>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</si>
  <si>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</si>
  <si>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</si>
  <si>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Забезпечення надання послуг з перевезення пасажирів електротранспортом,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</si>
  <si>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</si>
  <si>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</si>
  <si>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</si>
  <si>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</si>
  <si>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</si>
  <si>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</si>
  <si>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</si>
  <si>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</si>
  <si>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 xml:space="preserve">Інші заклади та заходи,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</si>
  <si>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</si>
  <si>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</si>
  <si>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</si>
  <si>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</si>
  <si>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8 по вул. Інтернаціоналістів</t>
  </si>
  <si>
    <t>Влаштування пандусів до житлового будинку № 25 по вул. Інтернаціоналістів</t>
  </si>
  <si>
    <t>Влаштування пандусів до житлового будинку  № 65/Б по вул. Інтернаціоналістів</t>
  </si>
  <si>
    <t>Влаштування пандусів до житлового будинку № 15 по вул. Івана Сірка</t>
  </si>
  <si>
    <t>Влаштування пандусів до житлового будинку № 33 по вул. Івана Сірка</t>
  </si>
  <si>
    <t>Влаштування пандусів до житлового будинку № 10 по вул. СКД</t>
  </si>
  <si>
    <t>Влаштування пандусів до житлового будинку № 1/1 по вул. Харківська</t>
  </si>
  <si>
    <t>Влаштування пандусів до житлового будинку № 144/2 по вул. Герасима Кондратьєва</t>
  </si>
  <si>
    <t>Влаштування пандусів до житлового будинку № 2/6 по вул. Котляревського</t>
  </si>
  <si>
    <t>Влаштування пандуса до житлового будинку № 20 по вул. Пушкіна</t>
  </si>
  <si>
    <t>Влаштування пандуса до житлового будинку № 29 по вул. М.Лушпи</t>
  </si>
  <si>
    <t>Влаштування пандуса до житлового будинку № 31 по вул. Холодногірська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</si>
  <si>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</si>
  <si>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</si>
  <si>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</si>
  <si>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</si>
  <si>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 xml:space="preserve">Реалізація державних та місцевих житлових програм, в т.ч.: 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</si>
  <si>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</si>
  <si>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</si>
  <si>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</si>
  <si>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 xml:space="preserve">Будівництво споруд, установ та закладів фізичної культури і спорту, в т.ч.: 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</si>
  <si>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</si>
  <si>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</si>
  <si>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</si>
  <si>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</si>
  <si>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 Назва об’єктів відповідно  до проектно- кошторисної документації тощо</t>
  </si>
  <si>
    <t>тис. грн.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</si>
  <si>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</si>
  <si>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</si>
  <si>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</si>
  <si>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0813223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</si>
  <si>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</si>
  <si>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</si>
  <si>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</si>
  <si>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у т.ч. за рахунок субвенції з дербюджету</t>
  </si>
  <si>
    <t>Капітальні видатки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</si>
  <si>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</si>
  <si>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</si>
  <si>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</si>
  <si>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</si>
  <si>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</si>
  <si>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</si>
  <si>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</si>
  <si>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</si>
  <si>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Служба у справах дітей Сумської міської ради</t>
  </si>
  <si>
    <t>Реалізація державних та місцевих житлових програм, в т.ч.: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</si>
  <si>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</si>
  <si>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м.Суми, вул. І. Сірка, 2</t>
  </si>
  <si>
    <t>Будівництво дитячого майданчика за адресою: м.Суми, вул. Богуна, 16</t>
  </si>
  <si>
    <t>Будівництво дитячого майданчика за адресою: м.Суми, пров. Інститутський, 3</t>
  </si>
  <si>
    <t>Будівництво дитячого майданчика по просп. М. Лушпи, буд. 22</t>
  </si>
  <si>
    <t>Будівництво ліфта в Комунальній установі Сумський навчально-виховний комплекс № 16 імені Олексія Братушки «Загальноосвітня школа І-ІІІ ступенів - дошкільний навчальний заклад» Сумської міської ради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</si>
  <si>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</si>
  <si>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 Суми, вул. Інтернаціоналістів, 4</t>
  </si>
  <si>
    <t>Сумський міський голова</t>
  </si>
  <si>
    <t>О.М. Лисенко</t>
  </si>
  <si>
    <t>Виконавець: Липова С.А.</t>
  </si>
  <si>
    <t>________</t>
  </si>
  <si>
    <t xml:space="preserve">до рішення  Сумської міської ради «Про внесення змін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</si>
  <si>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</si>
  <si>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</si>
  <si>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</si>
  <si>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</si>
  <si>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від 25 липня 2018 року  № 3663 - МР</t>
  </si>
  <si>
    <t xml:space="preserve">                                  Додаток  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</si>
</sst>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3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 horizontal="left"/>
      <protection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16" xfId="0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200" fontId="28" fillId="0" borderId="16" xfId="0" applyNumberFormat="1" applyFont="1" applyFill="1" applyBorder="1" applyAlignment="1">
      <alignment vertical="center"/>
    </xf>
    <xf numFmtId="0" fontId="29" fillId="0" borderId="16" xfId="0" applyFont="1" applyFill="1" applyBorder="1" applyAlignment="1">
      <alignment/>
    </xf>
    <xf numFmtId="200" fontId="28" fillId="0" borderId="16" xfId="0" applyNumberFormat="1" applyFont="1" applyFill="1" applyBorder="1" applyAlignment="1">
      <alignment horizontal="right" vertical="center"/>
    </xf>
    <xf numFmtId="4" fontId="26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200" fontId="26" fillId="0" borderId="16" xfId="0" applyNumberFormat="1" applyFont="1" applyFill="1" applyBorder="1" applyAlignment="1">
      <alignment vertical="center"/>
    </xf>
    <xf numFmtId="200" fontId="26" fillId="0" borderId="16" xfId="0" applyNumberFormat="1" applyFont="1" applyFill="1" applyBorder="1" applyAlignment="1">
      <alignment horizontal="right" vertical="center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200" fontId="28" fillId="0" borderId="0" xfId="0" applyNumberFormat="1" applyFont="1" applyFill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6" fillId="0" borderId="16" xfId="0" applyFont="1" applyFill="1" applyBorder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49" fontId="26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justify" vertical="center"/>
    </xf>
    <xf numFmtId="4" fontId="26" fillId="0" borderId="16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wrapText="1"/>
    </xf>
    <xf numFmtId="0" fontId="26" fillId="0" borderId="16" xfId="0" applyFont="1" applyFill="1" applyBorder="1" applyAlignment="1">
      <alignment wrapText="1"/>
    </xf>
    <xf numFmtId="0" fontId="29" fillId="0" borderId="16" xfId="0" applyFont="1" applyFill="1" applyBorder="1" applyAlignment="1">
      <alignment wrapText="1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3" fontId="26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 horizontal="justify" vertical="center" wrapText="1"/>
    </xf>
    <xf numFmtId="200" fontId="26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3" fontId="30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left" vertical="center"/>
    </xf>
    <xf numFmtId="3" fontId="26" fillId="0" borderId="16" xfId="0" applyNumberFormat="1" applyFont="1" applyFill="1" applyBorder="1" applyAlignment="1">
      <alignment horizontal="center" vertical="center" wrapText="1"/>
    </xf>
    <xf numFmtId="200" fontId="26" fillId="0" borderId="16" xfId="0" applyNumberFormat="1" applyFont="1" applyFill="1" applyBorder="1" applyAlignment="1">
      <alignment horizontal="center" vertical="center"/>
    </xf>
    <xf numFmtId="3" fontId="29" fillId="0" borderId="16" xfId="0" applyNumberFormat="1" applyFont="1" applyFill="1" applyBorder="1" applyAlignment="1">
      <alignment horizontal="center" vertical="center"/>
    </xf>
    <xf numFmtId="200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3" fontId="26" fillId="0" borderId="16" xfId="95" applyNumberFormat="1" applyFont="1" applyFill="1" applyBorder="1" applyAlignment="1">
      <alignment horizontal="center" vertical="center"/>
      <protection/>
    </xf>
    <xf numFmtId="200" fontId="26" fillId="0" borderId="16" xfId="95" applyNumberFormat="1" applyFont="1" applyFill="1" applyBorder="1" applyAlignment="1">
      <alignment horizontal="center" vertical="center"/>
      <protection/>
    </xf>
    <xf numFmtId="4" fontId="26" fillId="0" borderId="16" xfId="95" applyNumberFormat="1" applyFont="1" applyFill="1" applyBorder="1" applyAlignment="1">
      <alignment horizontal="center" vertical="center"/>
      <protection/>
    </xf>
    <xf numFmtId="3" fontId="29" fillId="0" borderId="16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right" vertical="center"/>
    </xf>
    <xf numFmtId="203" fontId="26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200" fontId="28" fillId="0" borderId="16" xfId="0" applyNumberFormat="1" applyFont="1" applyFill="1" applyBorder="1" applyAlignment="1">
      <alignment horizontal="right" vertical="center" wrapText="1"/>
    </xf>
    <xf numFmtId="4" fontId="26" fillId="0" borderId="16" xfId="0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/>
    </xf>
    <xf numFmtId="200" fontId="28" fillId="0" borderId="16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6" fillId="0" borderId="16" xfId="0" applyNumberFormat="1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vertical="center"/>
    </xf>
    <xf numFmtId="3" fontId="29" fillId="0" borderId="16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vertical="center"/>
    </xf>
    <xf numFmtId="49" fontId="26" fillId="0" borderId="16" xfId="0" applyNumberFormat="1" applyFont="1" applyFill="1" applyBorder="1" applyAlignment="1" applyProtection="1">
      <alignment horizontal="center"/>
      <protection/>
    </xf>
    <xf numFmtId="0" fontId="26" fillId="0" borderId="16" xfId="0" applyNumberFormat="1" applyFont="1" applyFill="1" applyBorder="1" applyAlignment="1" applyProtection="1">
      <alignment horizontal="center"/>
      <protection/>
    </xf>
    <xf numFmtId="0" fontId="26" fillId="0" borderId="16" xfId="0" applyNumberFormat="1" applyFont="1" applyFill="1" applyBorder="1" applyAlignment="1" applyProtection="1">
      <alignment/>
      <protection/>
    </xf>
    <xf numFmtId="0" fontId="26" fillId="0" borderId="16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center" textRotation="180"/>
    </xf>
    <xf numFmtId="0" fontId="28" fillId="0" borderId="0" xfId="0" applyNumberFormat="1" applyFont="1" applyFill="1" applyBorder="1" applyAlignment="1" applyProtection="1">
      <alignment vertical="top" wrapText="1"/>
      <protection/>
    </xf>
    <xf numFmtId="0" fontId="29" fillId="0" borderId="16" xfId="0" applyFont="1" applyFill="1" applyBorder="1" applyAlignment="1">
      <alignment horizontal="justify" vertical="center"/>
    </xf>
    <xf numFmtId="0" fontId="30" fillId="0" borderId="16" xfId="0" applyFont="1" applyFill="1" applyBorder="1" applyAlignment="1">
      <alignment wrapText="1"/>
    </xf>
    <xf numFmtId="0" fontId="28" fillId="0" borderId="0" xfId="0" applyFont="1" applyFill="1" applyAlignment="1">
      <alignment horizontal="right"/>
    </xf>
    <xf numFmtId="49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200" fontId="26" fillId="0" borderId="0" xfId="0" applyNumberFormat="1" applyFont="1" applyFill="1" applyAlignment="1">
      <alignment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200" fontId="30" fillId="0" borderId="16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200" fontId="30" fillId="0" borderId="16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center"/>
      <protection/>
    </xf>
    <xf numFmtId="0" fontId="31" fillId="0" borderId="0" xfId="0" applyNumberFormat="1" applyFont="1" applyFill="1" applyAlignment="1" applyProtection="1">
      <alignment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8" fillId="0" borderId="16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left" wrapText="1"/>
      <protection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distributed" wrapText="1"/>
    </xf>
    <xf numFmtId="0" fontId="31" fillId="0" borderId="0" xfId="0" applyNumberFormat="1" applyFont="1" applyFill="1" applyAlignment="1" applyProtection="1">
      <alignment horizontal="center"/>
      <protection/>
    </xf>
    <xf numFmtId="0" fontId="31" fillId="0" borderId="0" xfId="0" applyNumberFormat="1" applyFont="1" applyFill="1" applyAlignment="1" applyProtection="1">
      <alignment horizontal="left"/>
      <protection/>
    </xf>
    <xf numFmtId="3" fontId="28" fillId="0" borderId="16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41"/>
  <sheetViews>
    <sheetView showGridLines="0" showZeros="0" tabSelected="1" view="pageBreakPreview" zoomScale="60" zoomScaleNormal="70" zoomScalePageLayoutView="0" workbookViewId="0" topLeftCell="D295">
      <selection activeCell="D305" sqref="A305:IV305"/>
    </sheetView>
  </sheetViews>
  <sheetFormatPr defaultColWidth="9.16015625" defaultRowHeight="12.75"/>
  <cols>
    <col min="1" max="1" width="19.33203125" style="1" hidden="1" customWidth="1"/>
    <col min="2" max="2" width="16.16015625" style="2" hidden="1" customWidth="1"/>
    <col min="3" max="3" width="15.5" style="2" hidden="1" customWidth="1"/>
    <col min="4" max="4" width="159.66015625" style="3" customWidth="1"/>
    <col min="5" max="5" width="56.83203125" style="3" hidden="1" customWidth="1"/>
    <col min="6" max="6" width="27.83203125" style="3" hidden="1" customWidth="1"/>
    <col min="7" max="7" width="35" style="3" customWidth="1"/>
    <col min="8" max="8" width="29.33203125" style="3" customWidth="1"/>
    <col min="9" max="9" width="27.5" style="3" hidden="1" customWidth="1"/>
    <col min="10" max="10" width="31.83203125" style="3" customWidth="1"/>
    <col min="11" max="11" width="29.33203125" style="105" hidden="1" customWidth="1"/>
    <col min="12" max="12" width="26" style="5" hidden="1" customWidth="1"/>
    <col min="13" max="13" width="29" style="5" hidden="1" customWidth="1"/>
    <col min="14" max="14" width="32.16015625" style="5" customWidth="1"/>
    <col min="15" max="16" width="40.16015625" style="5" customWidth="1"/>
    <col min="17" max="16384" width="9.16015625" style="5" customWidth="1"/>
  </cols>
  <sheetData>
    <row r="1" spans="7:14" ht="27.75">
      <c r="G1" s="145" t="s">
        <v>488</v>
      </c>
      <c r="H1" s="145"/>
      <c r="I1" s="145"/>
      <c r="J1" s="145"/>
      <c r="K1" s="145"/>
      <c r="L1" s="145"/>
      <c r="M1" s="145"/>
      <c r="N1" s="145"/>
    </row>
    <row r="2" spans="7:14" ht="27.75">
      <c r="G2" s="145" t="s">
        <v>482</v>
      </c>
      <c r="H2" s="145"/>
      <c r="I2" s="145"/>
      <c r="J2" s="145"/>
      <c r="K2" s="145"/>
      <c r="L2" s="145"/>
      <c r="M2" s="145"/>
      <c r="N2" s="145"/>
    </row>
    <row r="3" spans="7:14" ht="27.75">
      <c r="G3" s="145" t="s">
        <v>483</v>
      </c>
      <c r="H3" s="145"/>
      <c r="I3" s="145"/>
      <c r="J3" s="145"/>
      <c r="K3" s="145"/>
      <c r="L3" s="145"/>
      <c r="M3" s="145"/>
      <c r="N3" s="145"/>
    </row>
    <row r="4" spans="7:14" ht="27.75">
      <c r="G4" s="145" t="s">
        <v>484</v>
      </c>
      <c r="H4" s="145"/>
      <c r="I4" s="145"/>
      <c r="J4" s="145"/>
      <c r="K4" s="145"/>
      <c r="L4" s="145"/>
      <c r="M4" s="145"/>
      <c r="N4" s="145"/>
    </row>
    <row r="5" spans="7:14" ht="27.75">
      <c r="G5" s="145" t="s">
        <v>485</v>
      </c>
      <c r="H5" s="145"/>
      <c r="I5" s="145"/>
      <c r="J5" s="145"/>
      <c r="K5" s="145"/>
      <c r="L5" s="145"/>
      <c r="M5" s="145"/>
      <c r="N5" s="145"/>
    </row>
    <row r="6" spans="7:14" ht="27.75">
      <c r="G6" s="145" t="s">
        <v>486</v>
      </c>
      <c r="H6" s="145"/>
      <c r="I6" s="145"/>
      <c r="J6" s="145"/>
      <c r="K6" s="145"/>
      <c r="L6" s="145"/>
      <c r="M6" s="145"/>
      <c r="N6" s="145"/>
    </row>
    <row r="7" spans="7:14" ht="27.75">
      <c r="G7" s="145" t="s">
        <v>487</v>
      </c>
      <c r="H7" s="145"/>
      <c r="I7" s="145"/>
      <c r="J7" s="145"/>
      <c r="K7" s="145"/>
      <c r="L7" s="145"/>
      <c r="M7" s="145"/>
      <c r="N7" s="145"/>
    </row>
    <row r="8" spans="9:13" ht="20.25">
      <c r="I8" s="136"/>
      <c r="J8" s="136"/>
      <c r="K8" s="136"/>
      <c r="L8" s="136"/>
      <c r="M8" s="136"/>
    </row>
    <row r="9" spans="4:13" ht="20.25">
      <c r="D9" s="7"/>
      <c r="E9" s="7"/>
      <c r="F9" s="7"/>
      <c r="G9" s="7"/>
      <c r="H9" s="6"/>
      <c r="I9" s="4"/>
      <c r="J9" s="4"/>
      <c r="K9" s="4"/>
      <c r="L9" s="4"/>
      <c r="M9" s="4"/>
    </row>
    <row r="10" spans="1:14" ht="44.25" customHeight="1">
      <c r="A10" s="140" t="s">
        <v>456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45" customHeight="1">
      <c r="A11" s="114"/>
      <c r="B11" s="114"/>
      <c r="C11" s="114"/>
      <c r="D11" s="138" t="s">
        <v>457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</row>
    <row r="12" spans="4:14" ht="48.75" customHeight="1">
      <c r="D12" s="8"/>
      <c r="E12" s="8"/>
      <c r="F12" s="8"/>
      <c r="G12" s="8"/>
      <c r="H12" s="8"/>
      <c r="I12" s="8"/>
      <c r="J12" s="8"/>
      <c r="K12" s="8"/>
      <c r="M12" s="9"/>
      <c r="N12" s="117" t="s">
        <v>450</v>
      </c>
    </row>
    <row r="13" spans="1:14" s="96" customFormat="1" ht="42.75" customHeight="1">
      <c r="A13" s="142" t="s">
        <v>50</v>
      </c>
      <c r="B13" s="139" t="s">
        <v>51</v>
      </c>
      <c r="C13" s="139" t="s">
        <v>27</v>
      </c>
      <c r="D13" s="139" t="s">
        <v>449</v>
      </c>
      <c r="E13" s="137" t="s">
        <v>173</v>
      </c>
      <c r="F13" s="139" t="s">
        <v>174</v>
      </c>
      <c r="G13" s="139" t="s">
        <v>174</v>
      </c>
      <c r="H13" s="139" t="s">
        <v>175</v>
      </c>
      <c r="I13" s="139" t="s">
        <v>176</v>
      </c>
      <c r="J13" s="139" t="s">
        <v>176</v>
      </c>
      <c r="K13" s="139" t="s">
        <v>177</v>
      </c>
      <c r="L13" s="137" t="s">
        <v>222</v>
      </c>
      <c r="M13" s="137" t="s">
        <v>223</v>
      </c>
      <c r="N13" s="139" t="s">
        <v>177</v>
      </c>
    </row>
    <row r="14" spans="1:14" s="96" customFormat="1" ht="42" customHeight="1">
      <c r="A14" s="142"/>
      <c r="B14" s="139"/>
      <c r="C14" s="139"/>
      <c r="D14" s="139"/>
      <c r="E14" s="137"/>
      <c r="F14" s="139"/>
      <c r="G14" s="139"/>
      <c r="H14" s="139"/>
      <c r="I14" s="139"/>
      <c r="J14" s="139"/>
      <c r="K14" s="139"/>
      <c r="L14" s="137"/>
      <c r="M14" s="137"/>
      <c r="N14" s="139"/>
    </row>
    <row r="15" spans="1:14" s="96" customFormat="1" ht="53.25" customHeight="1">
      <c r="A15" s="142"/>
      <c r="B15" s="139"/>
      <c r="C15" s="139"/>
      <c r="D15" s="139"/>
      <c r="E15" s="137"/>
      <c r="F15" s="139"/>
      <c r="G15" s="139"/>
      <c r="H15" s="139"/>
      <c r="I15" s="139"/>
      <c r="J15" s="139"/>
      <c r="K15" s="139"/>
      <c r="L15" s="137"/>
      <c r="M15" s="137"/>
      <c r="N15" s="139"/>
    </row>
    <row r="16" spans="1:14" s="121" customFormat="1" ht="19.5" customHeight="1">
      <c r="A16" s="118"/>
      <c r="B16" s="119"/>
      <c r="C16" s="119"/>
      <c r="D16" s="119">
        <v>1</v>
      </c>
      <c r="E16" s="119">
        <v>5</v>
      </c>
      <c r="F16" s="119"/>
      <c r="G16" s="119">
        <v>2</v>
      </c>
      <c r="H16" s="119">
        <v>3</v>
      </c>
      <c r="I16" s="119"/>
      <c r="J16" s="119">
        <v>4</v>
      </c>
      <c r="K16" s="119"/>
      <c r="L16" s="120"/>
      <c r="M16" s="120"/>
      <c r="N16" s="120">
        <v>5</v>
      </c>
    </row>
    <row r="17" spans="1:16" s="25" customFormat="1" ht="33" customHeight="1">
      <c r="A17" s="23" t="s">
        <v>76</v>
      </c>
      <c r="B17" s="23"/>
      <c r="C17" s="23"/>
      <c r="D17" s="51" t="s">
        <v>20</v>
      </c>
      <c r="E17" s="51"/>
      <c r="F17" s="51"/>
      <c r="G17" s="63">
        <f>ROUND(F17/1000,1)</f>
        <v>0</v>
      </c>
      <c r="H17" s="51"/>
      <c r="I17" s="51"/>
      <c r="J17" s="63">
        <f>ROUND(I17/1000,1)</f>
        <v>0</v>
      </c>
      <c r="K17" s="24">
        <f>K18+K19+K22+K26+K29+K32+K36+K34+K24+K21+K35+K38+K41+K39+K40</f>
        <v>46918894</v>
      </c>
      <c r="L17" s="24">
        <f>L18+L19+L22+L26+L29+L32+L36+L34+L24+L21+L35+L38+L41+L39+L40</f>
        <v>51200</v>
      </c>
      <c r="M17" s="24">
        <f>M18+M19+M22+M26+M29+M32+M36+M34+M24+M21+M35+M38+M41+M39+M40</f>
        <v>46970094</v>
      </c>
      <c r="N17" s="16">
        <f>N18+N19+N22+N26+N29+N32+N36+N34+N24+N21+N35+N38+N41+N39+N40</f>
        <v>50246.100000000006</v>
      </c>
      <c r="O17" s="29"/>
      <c r="P17" s="26"/>
    </row>
    <row r="18" spans="1:16" s="29" customFormat="1" ht="47.25" customHeight="1">
      <c r="A18" s="27" t="s">
        <v>77</v>
      </c>
      <c r="B18" s="27" t="s">
        <v>58</v>
      </c>
      <c r="C18" s="27" t="s">
        <v>26</v>
      </c>
      <c r="D18" s="28" t="s">
        <v>59</v>
      </c>
      <c r="E18" s="28"/>
      <c r="F18" s="28"/>
      <c r="G18" s="63">
        <f aca="true" t="shared" si="0" ref="G18:G100">ROUND(F18/1000,1)</f>
        <v>0</v>
      </c>
      <c r="H18" s="28"/>
      <c r="I18" s="28"/>
      <c r="J18" s="63">
        <f aca="true" t="shared" si="1" ref="J18:J100">ROUND(I18/1000,1)</f>
        <v>0</v>
      </c>
      <c r="K18" s="17">
        <f>4000000-1295000+302014</f>
        <v>3007014</v>
      </c>
      <c r="L18" s="17">
        <v>31200</v>
      </c>
      <c r="M18" s="17">
        <f>L18+K18</f>
        <v>3038214</v>
      </c>
      <c r="N18" s="19">
        <f>ROUND(M18/1000,1)</f>
        <v>3038.2</v>
      </c>
      <c r="O18" s="35"/>
      <c r="P18" s="26"/>
    </row>
    <row r="19" spans="1:16" s="29" customFormat="1" ht="28.5" customHeight="1">
      <c r="A19" s="27" t="s">
        <v>78</v>
      </c>
      <c r="B19" s="27" t="s">
        <v>62</v>
      </c>
      <c r="C19" s="27"/>
      <c r="D19" s="28" t="s">
        <v>405</v>
      </c>
      <c r="E19" s="28"/>
      <c r="F19" s="28"/>
      <c r="G19" s="63">
        <f t="shared" si="0"/>
        <v>0</v>
      </c>
      <c r="H19" s="28"/>
      <c r="I19" s="28"/>
      <c r="J19" s="63">
        <f t="shared" si="1"/>
        <v>0</v>
      </c>
      <c r="K19" s="17">
        <f>K20</f>
        <v>405500</v>
      </c>
      <c r="L19" s="17">
        <f>L20</f>
        <v>0</v>
      </c>
      <c r="M19" s="17">
        <f>M20</f>
        <v>405500</v>
      </c>
      <c r="N19" s="20">
        <f>N20</f>
        <v>705.5</v>
      </c>
      <c r="O19" s="37"/>
      <c r="P19" s="26"/>
    </row>
    <row r="20" spans="1:16" s="35" customFormat="1" ht="32.25" customHeight="1">
      <c r="A20" s="30" t="s">
        <v>79</v>
      </c>
      <c r="B20" s="30" t="s">
        <v>63</v>
      </c>
      <c r="C20" s="30" t="s">
        <v>49</v>
      </c>
      <c r="D20" s="31" t="s">
        <v>64</v>
      </c>
      <c r="E20" s="32"/>
      <c r="F20" s="32"/>
      <c r="G20" s="63">
        <f t="shared" si="0"/>
        <v>0</v>
      </c>
      <c r="H20" s="32"/>
      <c r="I20" s="32"/>
      <c r="J20" s="63">
        <f t="shared" si="1"/>
        <v>0</v>
      </c>
      <c r="K20" s="33">
        <f>20500+385000</f>
        <v>405500</v>
      </c>
      <c r="L20" s="33"/>
      <c r="M20" s="33">
        <f>L20+K20</f>
        <v>405500</v>
      </c>
      <c r="N20" s="34">
        <f>ROUND(M20/1000,1)+300</f>
        <v>705.5</v>
      </c>
      <c r="O20" s="29"/>
      <c r="P20" s="26"/>
    </row>
    <row r="21" spans="1:16" s="37" customFormat="1" ht="50.25" customHeight="1">
      <c r="A21" s="27" t="s">
        <v>244</v>
      </c>
      <c r="B21" s="27" t="s">
        <v>245</v>
      </c>
      <c r="C21" s="27" t="s">
        <v>243</v>
      </c>
      <c r="D21" s="28" t="s">
        <v>242</v>
      </c>
      <c r="E21" s="36"/>
      <c r="F21" s="36"/>
      <c r="G21" s="63">
        <f t="shared" si="0"/>
        <v>0</v>
      </c>
      <c r="H21" s="36"/>
      <c r="I21" s="36"/>
      <c r="J21" s="63">
        <f t="shared" si="1"/>
        <v>0</v>
      </c>
      <c r="K21" s="17">
        <v>28500</v>
      </c>
      <c r="L21" s="17"/>
      <c r="M21" s="17">
        <f>L21+K21</f>
        <v>28500</v>
      </c>
      <c r="N21" s="19">
        <f>ROUND(M21/1000,1)</f>
        <v>28.5</v>
      </c>
      <c r="O21" s="38"/>
      <c r="P21" s="26"/>
    </row>
    <row r="22" spans="1:16" s="29" customFormat="1" ht="24.75" customHeight="1">
      <c r="A22" s="27" t="s">
        <v>80</v>
      </c>
      <c r="B22" s="27" t="s">
        <v>7</v>
      </c>
      <c r="C22" s="27"/>
      <c r="D22" s="28" t="s">
        <v>406</v>
      </c>
      <c r="E22" s="28"/>
      <c r="F22" s="28"/>
      <c r="G22" s="63">
        <f t="shared" si="0"/>
        <v>0</v>
      </c>
      <c r="H22" s="28"/>
      <c r="I22" s="28"/>
      <c r="J22" s="63">
        <f t="shared" si="1"/>
        <v>0</v>
      </c>
      <c r="K22" s="17">
        <f>K23</f>
        <v>20500</v>
      </c>
      <c r="L22" s="17">
        <f>L23</f>
        <v>0</v>
      </c>
      <c r="M22" s="17">
        <f>M23</f>
        <v>20500</v>
      </c>
      <c r="N22" s="20">
        <f>N23</f>
        <v>20.5</v>
      </c>
      <c r="P22" s="26"/>
    </row>
    <row r="23" spans="1:16" s="38" customFormat="1" ht="27.75" customHeight="1">
      <c r="A23" s="30" t="s">
        <v>196</v>
      </c>
      <c r="B23" s="30" t="s">
        <v>197</v>
      </c>
      <c r="C23" s="30" t="s">
        <v>44</v>
      </c>
      <c r="D23" s="31" t="s">
        <v>198</v>
      </c>
      <c r="E23" s="31"/>
      <c r="F23" s="31"/>
      <c r="G23" s="63">
        <f t="shared" si="0"/>
        <v>0</v>
      </c>
      <c r="H23" s="31"/>
      <c r="I23" s="31"/>
      <c r="J23" s="63">
        <f t="shared" si="1"/>
        <v>0</v>
      </c>
      <c r="K23" s="33">
        <f>49000-28500</f>
        <v>20500</v>
      </c>
      <c r="L23" s="33"/>
      <c r="M23" s="33">
        <f>L23+K23</f>
        <v>20500</v>
      </c>
      <c r="N23" s="34">
        <f>ROUND(M23/1000,1)</f>
        <v>20.5</v>
      </c>
      <c r="P23" s="26"/>
    </row>
    <row r="24" spans="1:16" s="29" customFormat="1" ht="28.5" customHeight="1">
      <c r="A24" s="27" t="s">
        <v>224</v>
      </c>
      <c r="B24" s="27" t="s">
        <v>226</v>
      </c>
      <c r="C24" s="27"/>
      <c r="D24" s="28" t="s">
        <v>407</v>
      </c>
      <c r="E24" s="28"/>
      <c r="F24" s="28"/>
      <c r="G24" s="63">
        <f t="shared" si="0"/>
        <v>0</v>
      </c>
      <c r="H24" s="28"/>
      <c r="I24" s="28"/>
      <c r="J24" s="63">
        <f t="shared" si="1"/>
        <v>0</v>
      </c>
      <c r="K24" s="17">
        <f>K25</f>
        <v>177000</v>
      </c>
      <c r="L24" s="17">
        <f>L25</f>
        <v>0</v>
      </c>
      <c r="M24" s="17">
        <f>M25</f>
        <v>177000</v>
      </c>
      <c r="N24" s="20">
        <f>N25</f>
        <v>177</v>
      </c>
      <c r="P24" s="26"/>
    </row>
    <row r="25" spans="1:16" s="38" customFormat="1" ht="24.75" customHeight="1">
      <c r="A25" s="30" t="s">
        <v>225</v>
      </c>
      <c r="B25" s="30" t="s">
        <v>227</v>
      </c>
      <c r="C25" s="30" t="s">
        <v>45</v>
      </c>
      <c r="D25" s="31" t="s">
        <v>228</v>
      </c>
      <c r="E25" s="31"/>
      <c r="F25" s="31"/>
      <c r="G25" s="63">
        <f t="shared" si="0"/>
        <v>0</v>
      </c>
      <c r="H25" s="31"/>
      <c r="I25" s="31"/>
      <c r="J25" s="63">
        <f t="shared" si="1"/>
        <v>0</v>
      </c>
      <c r="K25" s="33">
        <v>177000</v>
      </c>
      <c r="L25" s="33"/>
      <c r="M25" s="33">
        <f>L25+K25</f>
        <v>177000</v>
      </c>
      <c r="N25" s="34">
        <f>ROUND(M25/1000,1)</f>
        <v>177</v>
      </c>
      <c r="O25" s="35"/>
      <c r="P25" s="26"/>
    </row>
    <row r="26" spans="1:16" s="29" customFormat="1" ht="29.25" customHeight="1">
      <c r="A26" s="39" t="s">
        <v>81</v>
      </c>
      <c r="B26" s="39" t="s">
        <v>55</v>
      </c>
      <c r="C26" s="39"/>
      <c r="D26" s="28" t="s">
        <v>408</v>
      </c>
      <c r="E26" s="28"/>
      <c r="F26" s="28"/>
      <c r="G26" s="63">
        <f t="shared" si="0"/>
        <v>0</v>
      </c>
      <c r="H26" s="28"/>
      <c r="I26" s="28"/>
      <c r="J26" s="63">
        <f t="shared" si="1"/>
        <v>0</v>
      </c>
      <c r="K26" s="17">
        <f>K27+K28</f>
        <v>210000</v>
      </c>
      <c r="L26" s="17">
        <f>L27+L28</f>
        <v>0</v>
      </c>
      <c r="M26" s="17">
        <f>M27+M28</f>
        <v>210000</v>
      </c>
      <c r="N26" s="20">
        <f>N27+N28</f>
        <v>235</v>
      </c>
      <c r="O26" s="35"/>
      <c r="P26" s="26"/>
    </row>
    <row r="27" spans="1:16" s="35" customFormat="1" ht="34.5" customHeight="1">
      <c r="A27" s="40" t="s">
        <v>82</v>
      </c>
      <c r="B27" s="40" t="s">
        <v>56</v>
      </c>
      <c r="C27" s="40" t="s">
        <v>45</v>
      </c>
      <c r="D27" s="31" t="s">
        <v>9</v>
      </c>
      <c r="E27" s="32"/>
      <c r="F27" s="32"/>
      <c r="G27" s="63">
        <f t="shared" si="0"/>
        <v>0</v>
      </c>
      <c r="H27" s="32"/>
      <c r="I27" s="32"/>
      <c r="J27" s="63">
        <f t="shared" si="1"/>
        <v>0</v>
      </c>
      <c r="K27" s="33">
        <v>200000</v>
      </c>
      <c r="L27" s="33"/>
      <c r="M27" s="33">
        <f>L27+K27</f>
        <v>200000</v>
      </c>
      <c r="N27" s="34">
        <f>ROUND(M27/1000,1)+25</f>
        <v>225</v>
      </c>
      <c r="O27" s="38"/>
      <c r="P27" s="26"/>
    </row>
    <row r="28" spans="1:16" s="35" customFormat="1" ht="39.75" customHeight="1">
      <c r="A28" s="40" t="s">
        <v>379</v>
      </c>
      <c r="B28" s="40" t="s">
        <v>380</v>
      </c>
      <c r="C28" s="40" t="s">
        <v>45</v>
      </c>
      <c r="D28" s="31" t="s">
        <v>381</v>
      </c>
      <c r="E28" s="32"/>
      <c r="F28" s="32"/>
      <c r="G28" s="63">
        <f t="shared" si="0"/>
        <v>0</v>
      </c>
      <c r="H28" s="32"/>
      <c r="I28" s="32"/>
      <c r="J28" s="63">
        <f t="shared" si="1"/>
        <v>0</v>
      </c>
      <c r="K28" s="33">
        <v>10000</v>
      </c>
      <c r="L28" s="33"/>
      <c r="M28" s="33">
        <f>L28+K28</f>
        <v>10000</v>
      </c>
      <c r="N28" s="34">
        <f>ROUND(M28/1000,1)</f>
        <v>10</v>
      </c>
      <c r="O28" s="38"/>
      <c r="P28" s="26"/>
    </row>
    <row r="29" spans="1:16" s="38" customFormat="1" ht="31.5" customHeight="1">
      <c r="A29" s="39" t="s">
        <v>83</v>
      </c>
      <c r="B29" s="39" t="s">
        <v>46</v>
      </c>
      <c r="C29" s="39"/>
      <c r="D29" s="28" t="s">
        <v>409</v>
      </c>
      <c r="E29" s="28"/>
      <c r="F29" s="28"/>
      <c r="G29" s="63">
        <f t="shared" si="0"/>
        <v>0</v>
      </c>
      <c r="H29" s="28"/>
      <c r="I29" s="28"/>
      <c r="J29" s="63">
        <f t="shared" si="1"/>
        <v>0</v>
      </c>
      <c r="K29" s="17">
        <f>K30+K31</f>
        <v>20000</v>
      </c>
      <c r="L29" s="17">
        <f>L30+L31</f>
        <v>20000</v>
      </c>
      <c r="M29" s="17">
        <f>M30+M31</f>
        <v>40000</v>
      </c>
      <c r="N29" s="20">
        <f>N30+N31</f>
        <v>2940</v>
      </c>
      <c r="P29" s="26"/>
    </row>
    <row r="30" spans="1:16" s="38" customFormat="1" ht="59.25" customHeight="1">
      <c r="A30" s="40" t="s">
        <v>84</v>
      </c>
      <c r="B30" s="40" t="s">
        <v>53</v>
      </c>
      <c r="C30" s="40" t="s">
        <v>45</v>
      </c>
      <c r="D30" s="31" t="s">
        <v>54</v>
      </c>
      <c r="E30" s="31"/>
      <c r="F30" s="31"/>
      <c r="G30" s="63">
        <f t="shared" si="0"/>
        <v>0</v>
      </c>
      <c r="H30" s="31"/>
      <c r="I30" s="31"/>
      <c r="J30" s="63">
        <f t="shared" si="1"/>
        <v>0</v>
      </c>
      <c r="K30" s="33">
        <v>20000</v>
      </c>
      <c r="L30" s="33"/>
      <c r="M30" s="33">
        <f>L30+K30</f>
        <v>20000</v>
      </c>
      <c r="N30" s="34">
        <f>ROUND(M30/1000,1)+2900</f>
        <v>2920</v>
      </c>
      <c r="P30" s="26"/>
    </row>
    <row r="31" spans="1:16" s="38" customFormat="1" ht="46.5" customHeight="1">
      <c r="A31" s="40" t="s">
        <v>402</v>
      </c>
      <c r="B31" s="40" t="s">
        <v>403</v>
      </c>
      <c r="C31" s="40" t="s">
        <v>45</v>
      </c>
      <c r="D31" s="31" t="s">
        <v>404</v>
      </c>
      <c r="E31" s="31"/>
      <c r="F31" s="31"/>
      <c r="G31" s="63">
        <f t="shared" si="0"/>
        <v>0</v>
      </c>
      <c r="H31" s="31"/>
      <c r="I31" s="31"/>
      <c r="J31" s="63">
        <f t="shared" si="1"/>
        <v>0</v>
      </c>
      <c r="K31" s="33"/>
      <c r="L31" s="33">
        <v>20000</v>
      </c>
      <c r="M31" s="33">
        <f>L31+K31</f>
        <v>20000</v>
      </c>
      <c r="N31" s="34">
        <f>ROUND(M31/1000,1)</f>
        <v>20</v>
      </c>
      <c r="O31" s="29"/>
      <c r="P31" s="26"/>
    </row>
    <row r="32" spans="1:16" s="29" customFormat="1" ht="31.5" customHeight="1">
      <c r="A32" s="39" t="s">
        <v>85</v>
      </c>
      <c r="B32" s="39" t="s">
        <v>2</v>
      </c>
      <c r="C32" s="39"/>
      <c r="D32" s="28" t="s">
        <v>410</v>
      </c>
      <c r="E32" s="28"/>
      <c r="F32" s="28"/>
      <c r="G32" s="63">
        <f t="shared" si="0"/>
        <v>0</v>
      </c>
      <c r="H32" s="28"/>
      <c r="I32" s="28"/>
      <c r="J32" s="63">
        <f t="shared" si="1"/>
        <v>0</v>
      </c>
      <c r="K32" s="17">
        <f>K33</f>
        <v>1490000</v>
      </c>
      <c r="L32" s="17">
        <f>L33</f>
        <v>0</v>
      </c>
      <c r="M32" s="17">
        <f>M33</f>
        <v>1490000</v>
      </c>
      <c r="N32" s="20">
        <f>N33</f>
        <v>1490</v>
      </c>
      <c r="O32" s="38"/>
      <c r="P32" s="26"/>
    </row>
    <row r="33" spans="1:16" s="38" customFormat="1" ht="30" customHeight="1">
      <c r="A33" s="40" t="s">
        <v>125</v>
      </c>
      <c r="B33" s="40" t="s">
        <v>3</v>
      </c>
      <c r="C33" s="40" t="s">
        <v>211</v>
      </c>
      <c r="D33" s="31" t="s">
        <v>8</v>
      </c>
      <c r="E33" s="31"/>
      <c r="F33" s="31"/>
      <c r="G33" s="63">
        <f t="shared" si="0"/>
        <v>0</v>
      </c>
      <c r="H33" s="31"/>
      <c r="I33" s="31"/>
      <c r="J33" s="63">
        <f t="shared" si="1"/>
        <v>0</v>
      </c>
      <c r="K33" s="33">
        <f>810000+680000</f>
        <v>1490000</v>
      </c>
      <c r="L33" s="33"/>
      <c r="M33" s="33">
        <f aca="true" t="shared" si="2" ref="M33:M41">L33+K33</f>
        <v>1490000</v>
      </c>
      <c r="N33" s="34">
        <f>ROUND(M33/1000,1)</f>
        <v>1490</v>
      </c>
      <c r="O33" s="29"/>
      <c r="P33" s="26"/>
    </row>
    <row r="34" spans="1:16" s="29" customFormat="1" ht="35.25" customHeight="1">
      <c r="A34" s="39" t="s">
        <v>207</v>
      </c>
      <c r="B34" s="39" t="s">
        <v>208</v>
      </c>
      <c r="C34" s="39" t="s">
        <v>210</v>
      </c>
      <c r="D34" s="28" t="s">
        <v>209</v>
      </c>
      <c r="E34" s="28"/>
      <c r="F34" s="28"/>
      <c r="G34" s="63">
        <f t="shared" si="0"/>
        <v>0</v>
      </c>
      <c r="H34" s="28"/>
      <c r="I34" s="28"/>
      <c r="J34" s="63">
        <f t="shared" si="1"/>
        <v>0</v>
      </c>
      <c r="K34" s="17">
        <f>4897000+3385000</f>
        <v>8282000</v>
      </c>
      <c r="L34" s="17"/>
      <c r="M34" s="17">
        <f t="shared" si="2"/>
        <v>8282000</v>
      </c>
      <c r="N34" s="19">
        <f>ROUND(M34/1000,1)</f>
        <v>8282</v>
      </c>
      <c r="P34" s="26"/>
    </row>
    <row r="35" spans="1:16" s="29" customFormat="1" ht="30" customHeight="1">
      <c r="A35" s="39" t="s">
        <v>249</v>
      </c>
      <c r="B35" s="39" t="s">
        <v>250</v>
      </c>
      <c r="C35" s="39" t="s">
        <v>252</v>
      </c>
      <c r="D35" s="41" t="s">
        <v>251</v>
      </c>
      <c r="E35" s="28"/>
      <c r="F35" s="28"/>
      <c r="G35" s="63">
        <f t="shared" si="0"/>
        <v>0</v>
      </c>
      <c r="H35" s="28"/>
      <c r="I35" s="28"/>
      <c r="J35" s="63">
        <f t="shared" si="1"/>
        <v>0</v>
      </c>
      <c r="K35" s="17">
        <v>16800</v>
      </c>
      <c r="L35" s="17"/>
      <c r="M35" s="17">
        <f t="shared" si="2"/>
        <v>16800</v>
      </c>
      <c r="N35" s="19">
        <f aca="true" t="shared" si="3" ref="N35:N40">ROUND(M35/1000,1)</f>
        <v>16.8</v>
      </c>
      <c r="O35" s="38"/>
      <c r="P35" s="26"/>
    </row>
    <row r="36" spans="1:16" s="38" customFormat="1" ht="34.5" customHeight="1">
      <c r="A36" s="39" t="s">
        <v>86</v>
      </c>
      <c r="B36" s="39" t="s">
        <v>4</v>
      </c>
      <c r="C36" s="39" t="s">
        <v>47</v>
      </c>
      <c r="D36" s="28" t="s">
        <v>411</v>
      </c>
      <c r="E36" s="28" t="s">
        <v>185</v>
      </c>
      <c r="F36" s="28"/>
      <c r="G36" s="63">
        <f t="shared" si="0"/>
        <v>0</v>
      </c>
      <c r="H36" s="28"/>
      <c r="I36" s="28"/>
      <c r="J36" s="63">
        <f t="shared" si="1"/>
        <v>0</v>
      </c>
      <c r="K36" s="17">
        <f>4220000+24220000+800000</f>
        <v>29240000</v>
      </c>
      <c r="L36" s="17"/>
      <c r="M36" s="17">
        <f t="shared" si="2"/>
        <v>29240000</v>
      </c>
      <c r="N36" s="19">
        <f t="shared" si="3"/>
        <v>29240</v>
      </c>
      <c r="P36" s="26"/>
    </row>
    <row r="37" spans="1:16" s="38" customFormat="1" ht="28.5" customHeight="1">
      <c r="A37" s="40"/>
      <c r="B37" s="40"/>
      <c r="C37" s="40"/>
      <c r="D37" s="31" t="s">
        <v>185</v>
      </c>
      <c r="E37" s="31"/>
      <c r="F37" s="31"/>
      <c r="G37" s="77">
        <f t="shared" si="0"/>
        <v>0</v>
      </c>
      <c r="H37" s="31"/>
      <c r="I37" s="31"/>
      <c r="J37" s="77">
        <f t="shared" si="1"/>
        <v>0</v>
      </c>
      <c r="K37" s="33">
        <v>29240000</v>
      </c>
      <c r="L37" s="33"/>
      <c r="M37" s="33">
        <f t="shared" si="2"/>
        <v>29240000</v>
      </c>
      <c r="N37" s="34">
        <f t="shared" si="3"/>
        <v>29240</v>
      </c>
      <c r="P37" s="26"/>
    </row>
    <row r="38" spans="1:16" s="38" customFormat="1" ht="41.25" customHeight="1">
      <c r="A38" s="39" t="s">
        <v>253</v>
      </c>
      <c r="B38" s="39" t="s">
        <v>254</v>
      </c>
      <c r="C38" s="39" t="s">
        <v>255</v>
      </c>
      <c r="D38" s="41" t="s">
        <v>256</v>
      </c>
      <c r="E38" s="28"/>
      <c r="F38" s="28"/>
      <c r="G38" s="63">
        <f t="shared" si="0"/>
        <v>0</v>
      </c>
      <c r="H38" s="28"/>
      <c r="I38" s="28"/>
      <c r="J38" s="63">
        <f t="shared" si="1"/>
        <v>0</v>
      </c>
      <c r="K38" s="17">
        <v>55900</v>
      </c>
      <c r="L38" s="17"/>
      <c r="M38" s="17">
        <f t="shared" si="2"/>
        <v>55900</v>
      </c>
      <c r="N38" s="19">
        <f t="shared" si="3"/>
        <v>55.9</v>
      </c>
      <c r="P38" s="26"/>
    </row>
    <row r="39" spans="1:16" s="38" customFormat="1" ht="24.75" customHeight="1">
      <c r="A39" s="39" t="s">
        <v>306</v>
      </c>
      <c r="B39" s="39" t="s">
        <v>309</v>
      </c>
      <c r="C39" s="39" t="s">
        <v>255</v>
      </c>
      <c r="D39" s="28" t="s">
        <v>308</v>
      </c>
      <c r="E39" s="28"/>
      <c r="F39" s="28"/>
      <c r="G39" s="63">
        <f t="shared" si="0"/>
        <v>0</v>
      </c>
      <c r="H39" s="28"/>
      <c r="I39" s="28"/>
      <c r="J39" s="63">
        <f t="shared" si="1"/>
        <v>0</v>
      </c>
      <c r="K39" s="17">
        <v>57900</v>
      </c>
      <c r="L39" s="17"/>
      <c r="M39" s="17">
        <f t="shared" si="2"/>
        <v>57900</v>
      </c>
      <c r="N39" s="19">
        <f t="shared" si="3"/>
        <v>57.9</v>
      </c>
      <c r="P39" s="26"/>
    </row>
    <row r="40" spans="1:16" s="38" customFormat="1" ht="27" customHeight="1">
      <c r="A40" s="39" t="s">
        <v>327</v>
      </c>
      <c r="B40" s="39" t="s">
        <v>215</v>
      </c>
      <c r="C40" s="39" t="s">
        <v>25</v>
      </c>
      <c r="D40" s="28" t="s">
        <v>213</v>
      </c>
      <c r="E40" s="28"/>
      <c r="F40" s="28"/>
      <c r="G40" s="63">
        <f t="shared" si="0"/>
        <v>0</v>
      </c>
      <c r="H40" s="28"/>
      <c r="I40" s="28"/>
      <c r="J40" s="63">
        <f t="shared" si="1"/>
        <v>0</v>
      </c>
      <c r="K40" s="17">
        <v>344000</v>
      </c>
      <c r="L40" s="17"/>
      <c r="M40" s="17">
        <f t="shared" si="2"/>
        <v>344000</v>
      </c>
      <c r="N40" s="19">
        <f t="shared" si="3"/>
        <v>344</v>
      </c>
      <c r="P40" s="26"/>
    </row>
    <row r="41" spans="1:16" s="38" customFormat="1" ht="45" customHeight="1">
      <c r="A41" s="39" t="s">
        <v>275</v>
      </c>
      <c r="B41" s="39" t="s">
        <v>264</v>
      </c>
      <c r="C41" s="39" t="s">
        <v>25</v>
      </c>
      <c r="D41" s="41" t="s">
        <v>274</v>
      </c>
      <c r="E41" s="28"/>
      <c r="F41" s="28"/>
      <c r="G41" s="63">
        <f t="shared" si="0"/>
        <v>0</v>
      </c>
      <c r="H41" s="28"/>
      <c r="I41" s="28"/>
      <c r="J41" s="63">
        <f t="shared" si="1"/>
        <v>0</v>
      </c>
      <c r="K41" s="17">
        <f>2563780+1000000</f>
        <v>3563780</v>
      </c>
      <c r="L41" s="17"/>
      <c r="M41" s="17">
        <f t="shared" si="2"/>
        <v>3563780</v>
      </c>
      <c r="N41" s="19">
        <f>ROUND(M41/1000,1)+51</f>
        <v>3614.8</v>
      </c>
      <c r="P41" s="26"/>
    </row>
    <row r="42" spans="1:16" s="25" customFormat="1" ht="42" customHeight="1">
      <c r="A42" s="42" t="s">
        <v>87</v>
      </c>
      <c r="B42" s="42"/>
      <c r="C42" s="42"/>
      <c r="D42" s="10" t="s">
        <v>10</v>
      </c>
      <c r="E42" s="10"/>
      <c r="F42" s="10"/>
      <c r="G42" s="63">
        <f t="shared" si="0"/>
        <v>0</v>
      </c>
      <c r="H42" s="10"/>
      <c r="I42" s="10"/>
      <c r="J42" s="63">
        <f t="shared" si="1"/>
        <v>0</v>
      </c>
      <c r="K42" s="24">
        <f>K44+K45+K46+K48+K49+K53+K56+K61+K58+K62+K50+K52</f>
        <v>44747231.42</v>
      </c>
      <c r="L42" s="24">
        <f>L44+L45+L46+L48+L49+L53+L56+L61+L58+L62+L50+L52</f>
        <v>10405310</v>
      </c>
      <c r="M42" s="24">
        <f>M44+M45+M46+M48+M49+M53+M56+M61+M58+M62+M50+M52</f>
        <v>55152541.42</v>
      </c>
      <c r="N42" s="16">
        <f>N44+N45+N46+N48+N49+N53+N56+N61+N58+N62+N50+N52</f>
        <v>55357.2</v>
      </c>
      <c r="P42" s="26"/>
    </row>
    <row r="43" spans="1:16" s="125" customFormat="1" ht="24.75" customHeight="1">
      <c r="A43" s="123"/>
      <c r="B43" s="123"/>
      <c r="C43" s="123"/>
      <c r="D43" s="124" t="s">
        <v>458</v>
      </c>
      <c r="E43" s="124"/>
      <c r="F43" s="124"/>
      <c r="G43" s="77"/>
      <c r="H43" s="124"/>
      <c r="I43" s="124"/>
      <c r="J43" s="77"/>
      <c r="K43" s="70"/>
      <c r="L43" s="70"/>
      <c r="M43" s="70"/>
      <c r="N43" s="18">
        <f>N47+N51+N55++N60</f>
        <v>18165.1</v>
      </c>
      <c r="O43" s="29"/>
      <c r="P43" s="26"/>
    </row>
    <row r="44" spans="1:16" s="29" customFormat="1" ht="48" customHeight="1">
      <c r="A44" s="27" t="s">
        <v>88</v>
      </c>
      <c r="B44" s="27" t="s">
        <v>58</v>
      </c>
      <c r="C44" s="27" t="s">
        <v>26</v>
      </c>
      <c r="D44" s="28" t="s">
        <v>59</v>
      </c>
      <c r="E44" s="28"/>
      <c r="F44" s="28"/>
      <c r="G44" s="63">
        <f t="shared" si="0"/>
        <v>0</v>
      </c>
      <c r="H44" s="28"/>
      <c r="I44" s="28"/>
      <c r="J44" s="63">
        <f t="shared" si="1"/>
        <v>0</v>
      </c>
      <c r="K44" s="17">
        <v>16000</v>
      </c>
      <c r="L44" s="17"/>
      <c r="M44" s="17">
        <f aca="true" t="shared" si="4" ref="M44:M52">L44+K44</f>
        <v>16000</v>
      </c>
      <c r="N44" s="19">
        <f>ROUND(M44/1000,1)</f>
        <v>16</v>
      </c>
      <c r="P44" s="26"/>
    </row>
    <row r="45" spans="1:16" s="29" customFormat="1" ht="28.5" customHeight="1">
      <c r="A45" s="27" t="s">
        <v>89</v>
      </c>
      <c r="B45" s="27" t="s">
        <v>28</v>
      </c>
      <c r="C45" s="27" t="s">
        <v>29</v>
      </c>
      <c r="D45" s="28" t="s">
        <v>71</v>
      </c>
      <c r="E45" s="28"/>
      <c r="F45" s="28"/>
      <c r="G45" s="63">
        <f t="shared" si="0"/>
        <v>0</v>
      </c>
      <c r="H45" s="28"/>
      <c r="I45" s="28"/>
      <c r="J45" s="63">
        <f t="shared" si="1"/>
        <v>0</v>
      </c>
      <c r="K45" s="17">
        <f>3500000+40000+300269+455116.65+15000+8000</f>
        <v>4318385.65</v>
      </c>
      <c r="L45" s="17"/>
      <c r="M45" s="17">
        <f t="shared" si="4"/>
        <v>4318385.65</v>
      </c>
      <c r="N45" s="19">
        <f>ROUND(M45/1000,1)+60</f>
        <v>4378.4</v>
      </c>
      <c r="P45" s="26"/>
    </row>
    <row r="46" spans="1:16" s="29" customFormat="1" ht="78" customHeight="1">
      <c r="A46" s="27" t="s">
        <v>90</v>
      </c>
      <c r="B46" s="27" t="s">
        <v>30</v>
      </c>
      <c r="C46" s="27" t="s">
        <v>31</v>
      </c>
      <c r="D46" s="28" t="s">
        <v>72</v>
      </c>
      <c r="E46" s="28"/>
      <c r="F46" s="28"/>
      <c r="G46" s="63">
        <f t="shared" si="0"/>
        <v>0</v>
      </c>
      <c r="H46" s="28"/>
      <c r="I46" s="28"/>
      <c r="J46" s="63">
        <f t="shared" si="1"/>
        <v>0</v>
      </c>
      <c r="K46" s="17">
        <f>7400000+469705+50000+9851742-39059+70689+9975</f>
        <v>17813052</v>
      </c>
      <c r="L46" s="17">
        <v>26000</v>
      </c>
      <c r="M46" s="17">
        <f t="shared" si="4"/>
        <v>17839052</v>
      </c>
      <c r="N46" s="19">
        <f>ROUND(M46/1000,1)-0.1+94.7-7.3</f>
        <v>17926.4</v>
      </c>
      <c r="P46" s="26"/>
    </row>
    <row r="47" spans="1:16" s="29" customFormat="1" ht="25.5" customHeight="1">
      <c r="A47" s="27"/>
      <c r="B47" s="27"/>
      <c r="C47" s="27"/>
      <c r="D47" s="31" t="s">
        <v>458</v>
      </c>
      <c r="E47" s="28"/>
      <c r="F47" s="28"/>
      <c r="G47" s="63"/>
      <c r="H47" s="28"/>
      <c r="I47" s="28"/>
      <c r="J47" s="63"/>
      <c r="K47" s="17"/>
      <c r="L47" s="17"/>
      <c r="M47" s="17"/>
      <c r="N47" s="34">
        <v>1416.5</v>
      </c>
      <c r="P47" s="26"/>
    </row>
    <row r="48" spans="1:16" s="29" customFormat="1" ht="78" customHeight="1">
      <c r="A48" s="27" t="s">
        <v>121</v>
      </c>
      <c r="B48" s="27" t="s">
        <v>32</v>
      </c>
      <c r="C48" s="27" t="s">
        <v>33</v>
      </c>
      <c r="D48" s="28" t="s">
        <v>60</v>
      </c>
      <c r="E48" s="28"/>
      <c r="F48" s="28"/>
      <c r="G48" s="63">
        <f t="shared" si="0"/>
        <v>0</v>
      </c>
      <c r="H48" s="28"/>
      <c r="I48" s="28"/>
      <c r="J48" s="63">
        <f t="shared" si="1"/>
        <v>0</v>
      </c>
      <c r="K48" s="17">
        <v>100000</v>
      </c>
      <c r="L48" s="17"/>
      <c r="M48" s="17">
        <f t="shared" si="4"/>
        <v>100000</v>
      </c>
      <c r="N48" s="19">
        <f>ROUND(M48/1000,1)+3.6</f>
        <v>103.6</v>
      </c>
      <c r="P48" s="26"/>
    </row>
    <row r="49" spans="1:16" s="29" customFormat="1" ht="49.5" customHeight="1">
      <c r="A49" s="27" t="s">
        <v>122</v>
      </c>
      <c r="B49" s="27" t="s">
        <v>34</v>
      </c>
      <c r="C49" s="27" t="s">
        <v>35</v>
      </c>
      <c r="D49" s="28" t="s">
        <v>73</v>
      </c>
      <c r="E49" s="28"/>
      <c r="F49" s="28"/>
      <c r="G49" s="63">
        <f t="shared" si="0"/>
        <v>0</v>
      </c>
      <c r="H49" s="28"/>
      <c r="I49" s="28"/>
      <c r="J49" s="63">
        <f t="shared" si="1"/>
        <v>0</v>
      </c>
      <c r="K49" s="17">
        <f>400000+30000</f>
        <v>430000</v>
      </c>
      <c r="L49" s="17"/>
      <c r="M49" s="17">
        <f t="shared" si="4"/>
        <v>430000</v>
      </c>
      <c r="N49" s="19">
        <f>ROUND(M49/1000,1)+3.7</f>
        <v>433.7</v>
      </c>
      <c r="P49" s="26"/>
    </row>
    <row r="50" spans="1:16" s="29" customFormat="1" ht="36.75" customHeight="1">
      <c r="A50" s="27" t="s">
        <v>347</v>
      </c>
      <c r="B50" s="27" t="s">
        <v>348</v>
      </c>
      <c r="C50" s="27" t="s">
        <v>350</v>
      </c>
      <c r="D50" s="28" t="s">
        <v>349</v>
      </c>
      <c r="E50" s="28"/>
      <c r="F50" s="28"/>
      <c r="G50" s="63">
        <f t="shared" si="0"/>
        <v>0</v>
      </c>
      <c r="H50" s="28"/>
      <c r="I50" s="28"/>
      <c r="J50" s="63">
        <f t="shared" si="1"/>
        <v>0</v>
      </c>
      <c r="K50" s="17">
        <f>2300000+2700000-370000</f>
        <v>4630000</v>
      </c>
      <c r="L50" s="17"/>
      <c r="M50" s="17">
        <f t="shared" si="4"/>
        <v>4630000</v>
      </c>
      <c r="N50" s="19">
        <f>ROUND(M50/1000,1)</f>
        <v>4630</v>
      </c>
      <c r="P50" s="26"/>
    </row>
    <row r="51" spans="1:16" s="29" customFormat="1" ht="25.5" customHeight="1">
      <c r="A51" s="27"/>
      <c r="B51" s="27"/>
      <c r="C51" s="27"/>
      <c r="D51" s="31" t="s">
        <v>458</v>
      </c>
      <c r="E51" s="28"/>
      <c r="F51" s="28"/>
      <c r="G51" s="63"/>
      <c r="H51" s="28"/>
      <c r="I51" s="28"/>
      <c r="J51" s="63"/>
      <c r="K51" s="17"/>
      <c r="L51" s="17"/>
      <c r="M51" s="17"/>
      <c r="N51" s="34">
        <v>4630</v>
      </c>
      <c r="P51" s="26"/>
    </row>
    <row r="52" spans="1:16" s="29" customFormat="1" ht="33.75" customHeight="1">
      <c r="A52" s="27" t="s">
        <v>374</v>
      </c>
      <c r="B52" s="27" t="s">
        <v>375</v>
      </c>
      <c r="C52" s="27" t="s">
        <v>37</v>
      </c>
      <c r="D52" s="41" t="s">
        <v>373</v>
      </c>
      <c r="E52" s="28"/>
      <c r="F52" s="28"/>
      <c r="G52" s="63">
        <f t="shared" si="0"/>
        <v>0</v>
      </c>
      <c r="H52" s="28"/>
      <c r="I52" s="28"/>
      <c r="J52" s="63">
        <f t="shared" si="1"/>
        <v>0</v>
      </c>
      <c r="K52" s="17">
        <v>13000</v>
      </c>
      <c r="L52" s="17"/>
      <c r="M52" s="17">
        <f t="shared" si="4"/>
        <v>13000</v>
      </c>
      <c r="N52" s="19">
        <f>ROUND(M52/1000,1)</f>
        <v>13</v>
      </c>
      <c r="P52" s="26"/>
    </row>
    <row r="53" spans="1:16" s="29" customFormat="1" ht="44.25" customHeight="1">
      <c r="A53" s="27" t="s">
        <v>123</v>
      </c>
      <c r="B53" s="27" t="s">
        <v>124</v>
      </c>
      <c r="C53" s="27"/>
      <c r="D53" s="28" t="s">
        <v>412</v>
      </c>
      <c r="E53" s="28"/>
      <c r="F53" s="28"/>
      <c r="G53" s="63">
        <f t="shared" si="0"/>
        <v>0</v>
      </c>
      <c r="H53" s="28"/>
      <c r="I53" s="28"/>
      <c r="J53" s="63">
        <f t="shared" si="1"/>
        <v>0</v>
      </c>
      <c r="K53" s="17">
        <f>K54</f>
        <v>287950</v>
      </c>
      <c r="L53" s="17">
        <f>L54</f>
        <v>0</v>
      </c>
      <c r="M53" s="17">
        <f>M54</f>
        <v>287950</v>
      </c>
      <c r="N53" s="20">
        <f>N54</f>
        <v>338</v>
      </c>
      <c r="P53" s="26"/>
    </row>
    <row r="54" spans="1:16" s="38" customFormat="1" ht="40.5" customHeight="1">
      <c r="A54" s="30" t="s">
        <v>199</v>
      </c>
      <c r="B54" s="30" t="s">
        <v>200</v>
      </c>
      <c r="C54" s="30" t="s">
        <v>37</v>
      </c>
      <c r="D54" s="43" t="s">
        <v>201</v>
      </c>
      <c r="E54" s="31"/>
      <c r="F54" s="31"/>
      <c r="G54" s="63">
        <f t="shared" si="0"/>
        <v>0</v>
      </c>
      <c r="H54" s="31"/>
      <c r="I54" s="31"/>
      <c r="J54" s="63">
        <f t="shared" si="1"/>
        <v>0</v>
      </c>
      <c r="K54" s="33">
        <f>180000+107950</f>
        <v>287950</v>
      </c>
      <c r="L54" s="33"/>
      <c r="M54" s="33">
        <f>L54+K54</f>
        <v>287950</v>
      </c>
      <c r="N54" s="34">
        <f>ROUND(M54/1000,1)+50</f>
        <v>338</v>
      </c>
      <c r="P54" s="26"/>
    </row>
    <row r="55" spans="1:16" s="29" customFormat="1" ht="25.5" customHeight="1">
      <c r="A55" s="27"/>
      <c r="B55" s="27"/>
      <c r="C55" s="27"/>
      <c r="D55" s="31" t="s">
        <v>458</v>
      </c>
      <c r="E55" s="28"/>
      <c r="F55" s="28"/>
      <c r="G55" s="63"/>
      <c r="H55" s="28"/>
      <c r="I55" s="28"/>
      <c r="J55" s="63"/>
      <c r="K55" s="17"/>
      <c r="L55" s="17"/>
      <c r="M55" s="17"/>
      <c r="N55" s="34">
        <v>108</v>
      </c>
      <c r="P55" s="26"/>
    </row>
    <row r="56" spans="1:16" s="29" customFormat="1" ht="42" customHeight="1">
      <c r="A56" s="27" t="s">
        <v>91</v>
      </c>
      <c r="B56" s="27" t="s">
        <v>55</v>
      </c>
      <c r="C56" s="27"/>
      <c r="D56" s="41" t="s">
        <v>408</v>
      </c>
      <c r="E56" s="41"/>
      <c r="F56" s="41"/>
      <c r="G56" s="63">
        <f t="shared" si="0"/>
        <v>0</v>
      </c>
      <c r="H56" s="41"/>
      <c r="I56" s="41"/>
      <c r="J56" s="63">
        <f t="shared" si="1"/>
        <v>0</v>
      </c>
      <c r="K56" s="17">
        <f>K57</f>
        <v>100000</v>
      </c>
      <c r="L56" s="17">
        <f>L57</f>
        <v>0</v>
      </c>
      <c r="M56" s="17">
        <f>M57</f>
        <v>100000</v>
      </c>
      <c r="N56" s="20">
        <f>N57</f>
        <v>100</v>
      </c>
      <c r="O56" s="38"/>
      <c r="P56" s="26"/>
    </row>
    <row r="57" spans="1:16" s="38" customFormat="1" ht="43.5" customHeight="1">
      <c r="A57" s="30" t="s">
        <v>92</v>
      </c>
      <c r="B57" s="30" t="s">
        <v>56</v>
      </c>
      <c r="C57" s="30" t="s">
        <v>45</v>
      </c>
      <c r="D57" s="43" t="s">
        <v>9</v>
      </c>
      <c r="E57" s="43"/>
      <c r="F57" s="43"/>
      <c r="G57" s="63">
        <f t="shared" si="0"/>
        <v>0</v>
      </c>
      <c r="H57" s="43"/>
      <c r="I57" s="43"/>
      <c r="J57" s="63">
        <f t="shared" si="1"/>
        <v>0</v>
      </c>
      <c r="K57" s="33">
        <v>100000</v>
      </c>
      <c r="L57" s="33"/>
      <c r="M57" s="33">
        <f>L57+K57</f>
        <v>100000</v>
      </c>
      <c r="N57" s="34">
        <f>ROUND(M57/1000,1)</f>
        <v>100</v>
      </c>
      <c r="P57" s="26"/>
    </row>
    <row r="58" spans="1:16" s="38" customFormat="1" ht="30" customHeight="1">
      <c r="A58" s="27" t="s">
        <v>268</v>
      </c>
      <c r="B58" s="27" t="s">
        <v>269</v>
      </c>
      <c r="C58" s="27"/>
      <c r="D58" s="44" t="s">
        <v>413</v>
      </c>
      <c r="E58" s="28"/>
      <c r="F58" s="28"/>
      <c r="G58" s="63">
        <f t="shared" si="0"/>
        <v>0</v>
      </c>
      <c r="H58" s="28"/>
      <c r="I58" s="28"/>
      <c r="J58" s="63">
        <f t="shared" si="1"/>
        <v>0</v>
      </c>
      <c r="K58" s="45">
        <f>SUM(K59)</f>
        <v>2087424.77</v>
      </c>
      <c r="L58" s="45">
        <f>SUM(L59)</f>
        <v>10379310</v>
      </c>
      <c r="M58" s="45">
        <f>SUM(M59)</f>
        <v>12466734.77</v>
      </c>
      <c r="N58" s="19">
        <f>N59</f>
        <v>12466.7</v>
      </c>
      <c r="O58" s="29"/>
      <c r="P58" s="26"/>
    </row>
    <row r="59" spans="1:16" s="38" customFormat="1" ht="55.5" customHeight="1">
      <c r="A59" s="30" t="s">
        <v>266</v>
      </c>
      <c r="B59" s="30" t="s">
        <v>276</v>
      </c>
      <c r="C59" s="30" t="s">
        <v>47</v>
      </c>
      <c r="D59" s="115" t="s">
        <v>267</v>
      </c>
      <c r="E59" s="31"/>
      <c r="F59" s="31"/>
      <c r="G59" s="63">
        <f t="shared" si="0"/>
        <v>0</v>
      </c>
      <c r="H59" s="31"/>
      <c r="I59" s="31"/>
      <c r="J59" s="63">
        <f t="shared" si="1"/>
        <v>0</v>
      </c>
      <c r="K59" s="46">
        <v>2087424.77</v>
      </c>
      <c r="L59" s="46">
        <f>302310+10077000</f>
        <v>10379310</v>
      </c>
      <c r="M59" s="46">
        <f>L59+K59</f>
        <v>12466734.77</v>
      </c>
      <c r="N59" s="34">
        <f>ROUND(M59/1000,1)</f>
        <v>12466.7</v>
      </c>
      <c r="P59" s="26"/>
    </row>
    <row r="60" spans="1:16" s="29" customFormat="1" ht="25.5" customHeight="1">
      <c r="A60" s="27"/>
      <c r="B60" s="27"/>
      <c r="C60" s="27"/>
      <c r="D60" s="31" t="s">
        <v>458</v>
      </c>
      <c r="E60" s="28"/>
      <c r="F60" s="28"/>
      <c r="G60" s="63"/>
      <c r="H60" s="28"/>
      <c r="I60" s="28"/>
      <c r="J60" s="63"/>
      <c r="K60" s="17"/>
      <c r="L60" s="17"/>
      <c r="M60" s="17"/>
      <c r="N60" s="34">
        <v>12010.6</v>
      </c>
      <c r="O60" s="38"/>
      <c r="P60" s="26"/>
    </row>
    <row r="61" spans="1:16" s="38" customFormat="1" ht="35.25" customHeight="1">
      <c r="A61" s="27" t="s">
        <v>93</v>
      </c>
      <c r="B61" s="27" t="s">
        <v>1</v>
      </c>
      <c r="C61" s="27" t="s">
        <v>48</v>
      </c>
      <c r="D61" s="28" t="s">
        <v>17</v>
      </c>
      <c r="E61" s="28"/>
      <c r="F61" s="28"/>
      <c r="G61" s="63">
        <f t="shared" si="0"/>
        <v>0</v>
      </c>
      <c r="H61" s="28"/>
      <c r="I61" s="28"/>
      <c r="J61" s="63">
        <f t="shared" si="1"/>
        <v>0</v>
      </c>
      <c r="K61" s="17">
        <f>11768000+900000+283419</f>
        <v>12951419</v>
      </c>
      <c r="L61" s="17"/>
      <c r="M61" s="17">
        <f>L61+K61</f>
        <v>12951419</v>
      </c>
      <c r="N61" s="19">
        <f>ROUND(M61/1000,1)</f>
        <v>12951.4</v>
      </c>
      <c r="P61" s="26"/>
    </row>
    <row r="62" spans="1:16" s="38" customFormat="1" ht="50.25" customHeight="1">
      <c r="A62" s="27" t="s">
        <v>302</v>
      </c>
      <c r="B62" s="27" t="s">
        <v>264</v>
      </c>
      <c r="C62" s="27" t="s">
        <v>25</v>
      </c>
      <c r="D62" s="28" t="s">
        <v>274</v>
      </c>
      <c r="E62" s="28"/>
      <c r="F62" s="28"/>
      <c r="G62" s="63">
        <f t="shared" si="0"/>
        <v>0</v>
      </c>
      <c r="H62" s="28"/>
      <c r="I62" s="28"/>
      <c r="J62" s="63">
        <f t="shared" si="1"/>
        <v>0</v>
      </c>
      <c r="K62" s="17">
        <v>2000000</v>
      </c>
      <c r="L62" s="17"/>
      <c r="M62" s="17">
        <f>L62+K62</f>
        <v>2000000</v>
      </c>
      <c r="N62" s="19">
        <f>ROUND(M62/1000,1)</f>
        <v>2000</v>
      </c>
      <c r="O62" s="25"/>
      <c r="P62" s="26"/>
    </row>
    <row r="63" spans="1:16" s="25" customFormat="1" ht="46.5" customHeight="1">
      <c r="A63" s="23" t="s">
        <v>94</v>
      </c>
      <c r="B63" s="23"/>
      <c r="C63" s="23"/>
      <c r="D63" s="10" t="s">
        <v>11</v>
      </c>
      <c r="E63" s="10"/>
      <c r="F63" s="10"/>
      <c r="G63" s="63">
        <f t="shared" si="0"/>
        <v>0</v>
      </c>
      <c r="H63" s="10"/>
      <c r="I63" s="10"/>
      <c r="J63" s="63">
        <f t="shared" si="1"/>
        <v>0</v>
      </c>
      <c r="K63" s="24">
        <f>K65+K75+K72+K66+K67+K71</f>
        <v>43451368.6</v>
      </c>
      <c r="L63" s="24">
        <f>L65+L75+L72+L66+L67+L71</f>
        <v>3159000</v>
      </c>
      <c r="M63" s="24">
        <f>M65+M75+M72+M66+M67+M71</f>
        <v>46610368.6</v>
      </c>
      <c r="N63" s="16">
        <f>N65+N75+N72+N66+N67+N71</f>
        <v>46610.4</v>
      </c>
      <c r="O63" s="29"/>
      <c r="P63" s="26"/>
    </row>
    <row r="64" spans="1:16" s="25" customFormat="1" ht="25.5" customHeight="1">
      <c r="A64" s="23"/>
      <c r="B64" s="23"/>
      <c r="C64" s="23"/>
      <c r="D64" s="124" t="s">
        <v>458</v>
      </c>
      <c r="E64" s="10"/>
      <c r="F64" s="10"/>
      <c r="G64" s="93"/>
      <c r="H64" s="10"/>
      <c r="I64" s="10"/>
      <c r="J64" s="93"/>
      <c r="K64" s="24"/>
      <c r="L64" s="24"/>
      <c r="M64" s="24"/>
      <c r="N64" s="126">
        <f>N74</f>
        <v>4530</v>
      </c>
      <c r="O64" s="29"/>
      <c r="P64" s="26"/>
    </row>
    <row r="65" spans="1:16" s="29" customFormat="1" ht="36" customHeight="1">
      <c r="A65" s="27" t="s">
        <v>95</v>
      </c>
      <c r="B65" s="27" t="s">
        <v>38</v>
      </c>
      <c r="C65" s="27" t="s">
        <v>39</v>
      </c>
      <c r="D65" s="28" t="s">
        <v>12</v>
      </c>
      <c r="E65" s="28"/>
      <c r="F65" s="28"/>
      <c r="G65" s="63">
        <f t="shared" si="0"/>
        <v>0</v>
      </c>
      <c r="H65" s="28"/>
      <c r="I65" s="28"/>
      <c r="J65" s="63">
        <f t="shared" si="1"/>
        <v>0</v>
      </c>
      <c r="K65" s="17">
        <f>20000000+350000+182000+7028800+181429+1109000-249000</f>
        <v>28602229</v>
      </c>
      <c r="L65" s="17">
        <f>-95820-15000</f>
        <v>-110820</v>
      </c>
      <c r="M65" s="17">
        <f>L65+K65</f>
        <v>28491409</v>
      </c>
      <c r="N65" s="19">
        <f>ROUND(M65/1000,1)</f>
        <v>28491.4</v>
      </c>
      <c r="O65" s="38"/>
      <c r="P65" s="26"/>
    </row>
    <row r="66" spans="1:16" s="29" customFormat="1" ht="30" customHeight="1">
      <c r="A66" s="27" t="s">
        <v>333</v>
      </c>
      <c r="B66" s="27" t="s">
        <v>334</v>
      </c>
      <c r="C66" s="27" t="s">
        <v>336</v>
      </c>
      <c r="D66" s="28" t="s">
        <v>335</v>
      </c>
      <c r="E66" s="28"/>
      <c r="F66" s="28"/>
      <c r="G66" s="63">
        <f t="shared" si="0"/>
        <v>0</v>
      </c>
      <c r="H66" s="28"/>
      <c r="I66" s="28"/>
      <c r="J66" s="63">
        <f t="shared" si="1"/>
        <v>0</v>
      </c>
      <c r="K66" s="17">
        <f>15000+115000</f>
        <v>130000</v>
      </c>
      <c r="L66" s="17"/>
      <c r="M66" s="17">
        <f>L66+K66</f>
        <v>130000</v>
      </c>
      <c r="N66" s="19">
        <f>ROUND(M66/1000,1)</f>
        <v>130</v>
      </c>
      <c r="O66" s="38"/>
      <c r="P66" s="26"/>
    </row>
    <row r="67" spans="1:16" s="29" customFormat="1" ht="30" customHeight="1">
      <c r="A67" s="27" t="s">
        <v>337</v>
      </c>
      <c r="B67" s="27" t="s">
        <v>338</v>
      </c>
      <c r="C67" s="27"/>
      <c r="D67" s="28" t="s">
        <v>414</v>
      </c>
      <c r="E67" s="28"/>
      <c r="F67" s="28"/>
      <c r="G67" s="63">
        <f t="shared" si="0"/>
        <v>0</v>
      </c>
      <c r="H67" s="28"/>
      <c r="I67" s="28"/>
      <c r="J67" s="63">
        <f t="shared" si="1"/>
        <v>0</v>
      </c>
      <c r="K67" s="17">
        <f>K68+K69</f>
        <v>89600</v>
      </c>
      <c r="L67" s="17">
        <f>L68+L69</f>
        <v>-20000</v>
      </c>
      <c r="M67" s="17">
        <f>M68+M69</f>
        <v>69600</v>
      </c>
      <c r="N67" s="20">
        <f>N68+N69</f>
        <v>69.6</v>
      </c>
      <c r="P67" s="26"/>
    </row>
    <row r="68" spans="1:16" s="38" customFormat="1" ht="47.25" customHeight="1">
      <c r="A68" s="30" t="s">
        <v>339</v>
      </c>
      <c r="B68" s="30" t="s">
        <v>340</v>
      </c>
      <c r="C68" s="30" t="s">
        <v>342</v>
      </c>
      <c r="D68" s="31" t="s">
        <v>341</v>
      </c>
      <c r="E68" s="31"/>
      <c r="F68" s="31"/>
      <c r="G68" s="63">
        <f t="shared" si="0"/>
        <v>0</v>
      </c>
      <c r="H68" s="31"/>
      <c r="I68" s="31"/>
      <c r="J68" s="63">
        <f t="shared" si="1"/>
        <v>0</v>
      </c>
      <c r="K68" s="33">
        <v>35000</v>
      </c>
      <c r="L68" s="33"/>
      <c r="M68" s="17">
        <f>L68+K68</f>
        <v>35000</v>
      </c>
      <c r="N68" s="34">
        <f>ROUND(M68/1000,1)</f>
        <v>35</v>
      </c>
      <c r="P68" s="26"/>
    </row>
    <row r="69" spans="1:16" s="38" customFormat="1" ht="56.25" customHeight="1">
      <c r="A69" s="30" t="s">
        <v>343</v>
      </c>
      <c r="B69" s="30" t="s">
        <v>344</v>
      </c>
      <c r="C69" s="30" t="s">
        <v>345</v>
      </c>
      <c r="D69" s="31" t="s">
        <v>346</v>
      </c>
      <c r="E69" s="31"/>
      <c r="F69" s="31"/>
      <c r="G69" s="63">
        <f t="shared" si="0"/>
        <v>0</v>
      </c>
      <c r="H69" s="31"/>
      <c r="I69" s="31"/>
      <c r="J69" s="63">
        <f t="shared" si="1"/>
        <v>0</v>
      </c>
      <c r="K69" s="33">
        <f>22600+12000+20000</f>
        <v>54600</v>
      </c>
      <c r="L69" s="33">
        <v>-20000</v>
      </c>
      <c r="M69" s="17">
        <f>L69+K69</f>
        <v>34600</v>
      </c>
      <c r="N69" s="34">
        <f>ROUND(M69/1000,1)</f>
        <v>34.6</v>
      </c>
      <c r="P69" s="26"/>
    </row>
    <row r="70" spans="1:16" s="29" customFormat="1" ht="29.25" customHeight="1">
      <c r="A70" s="27" t="s">
        <v>361</v>
      </c>
      <c r="B70" s="27" t="s">
        <v>362</v>
      </c>
      <c r="C70" s="27"/>
      <c r="D70" s="28" t="s">
        <v>415</v>
      </c>
      <c r="E70" s="28"/>
      <c r="F70" s="28"/>
      <c r="G70" s="63">
        <f t="shared" si="0"/>
        <v>0</v>
      </c>
      <c r="H70" s="28"/>
      <c r="I70" s="28"/>
      <c r="J70" s="63">
        <f t="shared" si="1"/>
        <v>0</v>
      </c>
      <c r="K70" s="17">
        <f>K71</f>
        <v>3406496</v>
      </c>
      <c r="L70" s="17">
        <f>L71</f>
        <v>0</v>
      </c>
      <c r="M70" s="17">
        <f>M71</f>
        <v>3406496</v>
      </c>
      <c r="N70" s="20">
        <f>N71</f>
        <v>3406.5</v>
      </c>
      <c r="P70" s="26"/>
    </row>
    <row r="71" spans="1:16" s="38" customFormat="1" ht="29.25" customHeight="1">
      <c r="A71" s="30" t="s">
        <v>364</v>
      </c>
      <c r="B71" s="30" t="s">
        <v>363</v>
      </c>
      <c r="C71" s="30" t="s">
        <v>366</v>
      </c>
      <c r="D71" s="31" t="s">
        <v>365</v>
      </c>
      <c r="E71" s="31"/>
      <c r="F71" s="31"/>
      <c r="G71" s="63">
        <f t="shared" si="0"/>
        <v>0</v>
      </c>
      <c r="H71" s="31"/>
      <c r="I71" s="31"/>
      <c r="J71" s="63">
        <f t="shared" si="1"/>
        <v>0</v>
      </c>
      <c r="K71" s="33">
        <v>3406496</v>
      </c>
      <c r="L71" s="33"/>
      <c r="M71" s="33">
        <f>L71+K71</f>
        <v>3406496</v>
      </c>
      <c r="N71" s="34">
        <f>ROUND(M71/1000,1)</f>
        <v>3406.5</v>
      </c>
      <c r="P71" s="26"/>
    </row>
    <row r="72" spans="1:16" s="29" customFormat="1" ht="32.25" customHeight="1">
      <c r="A72" s="27" t="s">
        <v>294</v>
      </c>
      <c r="B72" s="27" t="s">
        <v>269</v>
      </c>
      <c r="C72" s="27"/>
      <c r="D72" s="28" t="s">
        <v>413</v>
      </c>
      <c r="E72" s="28"/>
      <c r="F72" s="28"/>
      <c r="G72" s="63">
        <f t="shared" si="0"/>
        <v>0</v>
      </c>
      <c r="H72" s="28"/>
      <c r="I72" s="28"/>
      <c r="J72" s="63">
        <f t="shared" si="1"/>
        <v>0</v>
      </c>
      <c r="K72" s="17">
        <f>SUM(K73)</f>
        <v>1376043.6</v>
      </c>
      <c r="L72" s="17">
        <f>SUM(L73)</f>
        <v>3289820</v>
      </c>
      <c r="M72" s="17">
        <f>SUM(M73)</f>
        <v>4665863.6</v>
      </c>
      <c r="N72" s="19">
        <f>N73</f>
        <v>4665.9</v>
      </c>
      <c r="P72" s="26"/>
    </row>
    <row r="73" spans="1:16" s="38" customFormat="1" ht="51" customHeight="1">
      <c r="A73" s="30" t="s">
        <v>295</v>
      </c>
      <c r="B73" s="30" t="s">
        <v>276</v>
      </c>
      <c r="C73" s="30" t="s">
        <v>47</v>
      </c>
      <c r="D73" s="31" t="s">
        <v>267</v>
      </c>
      <c r="E73" s="31"/>
      <c r="F73" s="31"/>
      <c r="G73" s="77">
        <f t="shared" si="0"/>
        <v>0</v>
      </c>
      <c r="H73" s="31"/>
      <c r="I73" s="31"/>
      <c r="J73" s="77">
        <f t="shared" si="1"/>
        <v>0</v>
      </c>
      <c r="K73" s="33">
        <v>1376043.6</v>
      </c>
      <c r="L73" s="33">
        <f>95820+3194000</f>
        <v>3289820</v>
      </c>
      <c r="M73" s="33">
        <f>L73+K73</f>
        <v>4665863.6</v>
      </c>
      <c r="N73" s="34">
        <f>ROUND(M73/1000,1)</f>
        <v>4665.9</v>
      </c>
      <c r="P73" s="26"/>
    </row>
    <row r="74" spans="1:16" s="29" customFormat="1" ht="25.5" customHeight="1">
      <c r="A74" s="27"/>
      <c r="B74" s="27"/>
      <c r="C74" s="27"/>
      <c r="D74" s="31" t="s">
        <v>458</v>
      </c>
      <c r="E74" s="28"/>
      <c r="F74" s="28"/>
      <c r="G74" s="63"/>
      <c r="H74" s="28"/>
      <c r="I74" s="28"/>
      <c r="J74" s="63"/>
      <c r="K74" s="17"/>
      <c r="L74" s="17"/>
      <c r="M74" s="17"/>
      <c r="N74" s="34">
        <v>4530</v>
      </c>
      <c r="O74" s="25"/>
      <c r="P74" s="26"/>
    </row>
    <row r="75" spans="1:16" s="29" customFormat="1" ht="26.25" customHeight="1">
      <c r="A75" s="27" t="s">
        <v>96</v>
      </c>
      <c r="B75" s="27" t="s">
        <v>1</v>
      </c>
      <c r="C75" s="27" t="s">
        <v>48</v>
      </c>
      <c r="D75" s="28" t="s">
        <v>17</v>
      </c>
      <c r="E75" s="28"/>
      <c r="F75" s="28"/>
      <c r="G75" s="63">
        <f t="shared" si="0"/>
        <v>0</v>
      </c>
      <c r="H75" s="28"/>
      <c r="I75" s="28"/>
      <c r="J75" s="63">
        <f t="shared" si="1"/>
        <v>0</v>
      </c>
      <c r="K75" s="17">
        <f>6847000+3000000</f>
        <v>9847000</v>
      </c>
      <c r="L75" s="17"/>
      <c r="M75" s="17">
        <f>L75+K75</f>
        <v>9847000</v>
      </c>
      <c r="N75" s="19">
        <f>ROUND(M75/1000,1)</f>
        <v>9847</v>
      </c>
      <c r="P75" s="26"/>
    </row>
    <row r="76" spans="1:16" s="25" customFormat="1" ht="47.25" customHeight="1">
      <c r="A76" s="23" t="s">
        <v>97</v>
      </c>
      <c r="B76" s="23"/>
      <c r="C76" s="23"/>
      <c r="D76" s="10" t="s">
        <v>21</v>
      </c>
      <c r="E76" s="10"/>
      <c r="F76" s="10"/>
      <c r="G76" s="63">
        <f t="shared" si="0"/>
        <v>0</v>
      </c>
      <c r="H76" s="10"/>
      <c r="I76" s="10"/>
      <c r="J76" s="63">
        <f t="shared" si="1"/>
        <v>0</v>
      </c>
      <c r="K76" s="24">
        <f>K78+K79+K90+K81+K83</f>
        <v>6019081.21</v>
      </c>
      <c r="L76" s="24">
        <f>L78+L79+L90+L81+L83</f>
        <v>3073823.38</v>
      </c>
      <c r="M76" s="24">
        <f>M78+M79+M90+M81+M83</f>
        <v>9092904.59</v>
      </c>
      <c r="N76" s="16">
        <f>N78+N79+N90+N81+N83</f>
        <v>13793</v>
      </c>
      <c r="O76" s="49"/>
      <c r="P76" s="26"/>
    </row>
    <row r="77" spans="1:16" s="125" customFormat="1" ht="26.25" customHeight="1">
      <c r="A77" s="127"/>
      <c r="B77" s="127"/>
      <c r="C77" s="127"/>
      <c r="D77" s="124" t="s">
        <v>458</v>
      </c>
      <c r="E77" s="124"/>
      <c r="F77" s="124"/>
      <c r="G77" s="77"/>
      <c r="H77" s="124"/>
      <c r="I77" s="124"/>
      <c r="J77" s="77"/>
      <c r="K77" s="70"/>
      <c r="L77" s="70"/>
      <c r="M77" s="70"/>
      <c r="N77" s="18">
        <f>N85+N89+N87</f>
        <v>12613.5</v>
      </c>
      <c r="O77" s="49"/>
      <c r="P77" s="26"/>
    </row>
    <row r="78" spans="1:16" s="29" customFormat="1" ht="51.75" customHeight="1">
      <c r="A78" s="27" t="s">
        <v>98</v>
      </c>
      <c r="B78" s="27" t="s">
        <v>58</v>
      </c>
      <c r="C78" s="27" t="s">
        <v>26</v>
      </c>
      <c r="D78" s="28" t="s">
        <v>59</v>
      </c>
      <c r="E78" s="28"/>
      <c r="F78" s="28"/>
      <c r="G78" s="63">
        <f t="shared" si="0"/>
        <v>0</v>
      </c>
      <c r="H78" s="28"/>
      <c r="I78" s="28"/>
      <c r="J78" s="63">
        <f t="shared" si="1"/>
        <v>0</v>
      </c>
      <c r="K78" s="17">
        <f>700000-128000</f>
        <v>572000</v>
      </c>
      <c r="L78" s="17"/>
      <c r="M78" s="17">
        <f>L78+K78</f>
        <v>572000</v>
      </c>
      <c r="N78" s="19">
        <f>ROUND(M78/1000,1)</f>
        <v>572</v>
      </c>
      <c r="O78" s="49"/>
      <c r="P78" s="26"/>
    </row>
    <row r="79" spans="1:16" s="48" customFormat="1" ht="54" customHeight="1">
      <c r="A79" s="27" t="s">
        <v>99</v>
      </c>
      <c r="B79" s="47">
        <v>3030</v>
      </c>
      <c r="C79" s="47"/>
      <c r="D79" s="28" t="s">
        <v>416</v>
      </c>
      <c r="E79" s="28"/>
      <c r="F79" s="28"/>
      <c r="G79" s="63">
        <f t="shared" si="0"/>
        <v>0</v>
      </c>
      <c r="H79" s="28"/>
      <c r="I79" s="28"/>
      <c r="J79" s="63">
        <f t="shared" si="1"/>
        <v>0</v>
      </c>
      <c r="K79" s="17">
        <f>K80</f>
        <v>214000</v>
      </c>
      <c r="L79" s="17">
        <f>L80</f>
        <v>0</v>
      </c>
      <c r="M79" s="17">
        <f>M80</f>
        <v>214000</v>
      </c>
      <c r="N79" s="20">
        <f>N80</f>
        <v>214</v>
      </c>
      <c r="P79" s="26"/>
    </row>
    <row r="80" spans="1:16" s="49" customFormat="1" ht="34.5" customHeight="1">
      <c r="A80" s="30" t="s">
        <v>100</v>
      </c>
      <c r="B80" s="50">
        <v>3031</v>
      </c>
      <c r="C80" s="50">
        <v>1030</v>
      </c>
      <c r="D80" s="31" t="s">
        <v>61</v>
      </c>
      <c r="E80" s="31"/>
      <c r="F80" s="31"/>
      <c r="G80" s="63">
        <f t="shared" si="0"/>
        <v>0</v>
      </c>
      <c r="H80" s="31"/>
      <c r="I80" s="31"/>
      <c r="J80" s="63">
        <f t="shared" si="1"/>
        <v>0</v>
      </c>
      <c r="K80" s="33">
        <v>214000</v>
      </c>
      <c r="L80" s="33"/>
      <c r="M80" s="33">
        <f>L80+K80</f>
        <v>214000</v>
      </c>
      <c r="N80" s="34">
        <f>ROUND(M80/1000,1)</f>
        <v>214</v>
      </c>
      <c r="O80" s="48"/>
      <c r="P80" s="26"/>
    </row>
    <row r="81" spans="1:16" s="49" customFormat="1" ht="58.5" customHeight="1">
      <c r="A81" s="27" t="s">
        <v>101</v>
      </c>
      <c r="B81" s="47">
        <v>3100</v>
      </c>
      <c r="C81" s="47"/>
      <c r="D81" s="28" t="s">
        <v>417</v>
      </c>
      <c r="E81" s="31"/>
      <c r="F81" s="31"/>
      <c r="G81" s="63">
        <f t="shared" si="0"/>
        <v>0</v>
      </c>
      <c r="H81" s="31"/>
      <c r="I81" s="31"/>
      <c r="J81" s="63">
        <f t="shared" si="1"/>
        <v>0</v>
      </c>
      <c r="K81" s="17">
        <f>K82</f>
        <v>18500</v>
      </c>
      <c r="L81" s="17">
        <f>L82</f>
        <v>0</v>
      </c>
      <c r="M81" s="17">
        <f>M82</f>
        <v>18500</v>
      </c>
      <c r="N81" s="20">
        <f>N82</f>
        <v>18.5</v>
      </c>
      <c r="O81" s="48"/>
      <c r="P81" s="26"/>
    </row>
    <row r="82" spans="1:16" s="49" customFormat="1" ht="54.75" customHeight="1">
      <c r="A82" s="30" t="s">
        <v>102</v>
      </c>
      <c r="B82" s="50">
        <v>3104</v>
      </c>
      <c r="C82" s="50">
        <v>1020</v>
      </c>
      <c r="D82" s="31" t="s">
        <v>14</v>
      </c>
      <c r="E82" s="31"/>
      <c r="F82" s="31"/>
      <c r="G82" s="63">
        <f t="shared" si="0"/>
        <v>0</v>
      </c>
      <c r="H82" s="31"/>
      <c r="I82" s="31"/>
      <c r="J82" s="63">
        <f t="shared" si="1"/>
        <v>0</v>
      </c>
      <c r="K82" s="33">
        <v>18500</v>
      </c>
      <c r="L82" s="33"/>
      <c r="M82" s="33">
        <f>L82+K82</f>
        <v>18500</v>
      </c>
      <c r="N82" s="34">
        <f>ROUND(M82/1000,1)</f>
        <v>18.5</v>
      </c>
      <c r="O82" s="48"/>
      <c r="P82" s="26"/>
    </row>
    <row r="83" spans="1:16" s="48" customFormat="1" ht="64.5" customHeight="1">
      <c r="A83" s="27" t="s">
        <v>389</v>
      </c>
      <c r="B83" s="47">
        <v>3220</v>
      </c>
      <c r="C83" s="47"/>
      <c r="D83" s="28" t="s">
        <v>418</v>
      </c>
      <c r="E83" s="28"/>
      <c r="F83" s="28"/>
      <c r="G83" s="63">
        <f t="shared" si="0"/>
        <v>0</v>
      </c>
      <c r="H83" s="28"/>
      <c r="I83" s="28"/>
      <c r="J83" s="63">
        <f t="shared" si="1"/>
        <v>0</v>
      </c>
      <c r="K83" s="17">
        <f>K84+K88</f>
        <v>4839581.21</v>
      </c>
      <c r="L83" s="17">
        <f>L84+L88</f>
        <v>3073823.38</v>
      </c>
      <c r="M83" s="17">
        <f>M84+M88</f>
        <v>7913404.59</v>
      </c>
      <c r="N83" s="20">
        <f>N84+N88+N86</f>
        <v>12613.5</v>
      </c>
      <c r="P83" s="26"/>
    </row>
    <row r="84" spans="1:16" s="49" customFormat="1" ht="158.25" customHeight="1">
      <c r="A84" s="30" t="s">
        <v>390</v>
      </c>
      <c r="B84" s="50">
        <v>3221</v>
      </c>
      <c r="C84" s="50">
        <v>1060</v>
      </c>
      <c r="D84" s="31" t="s">
        <v>391</v>
      </c>
      <c r="E84" s="31"/>
      <c r="F84" s="31"/>
      <c r="G84" s="63">
        <f t="shared" si="0"/>
        <v>0</v>
      </c>
      <c r="H84" s="31"/>
      <c r="I84" s="31"/>
      <c r="J84" s="63">
        <f t="shared" si="1"/>
        <v>0</v>
      </c>
      <c r="K84" s="33">
        <v>4839581.21</v>
      </c>
      <c r="L84" s="33"/>
      <c r="M84" s="33">
        <f>L84+K84</f>
        <v>4839581.21</v>
      </c>
      <c r="N84" s="34">
        <f>ROUND(M84/1000,1)+1707.9</f>
        <v>6547.5</v>
      </c>
      <c r="O84" s="48"/>
      <c r="P84" s="26"/>
    </row>
    <row r="85" spans="1:16" s="49" customFormat="1" ht="27" customHeight="1">
      <c r="A85" s="30"/>
      <c r="B85" s="50"/>
      <c r="C85" s="50"/>
      <c r="D85" s="31" t="s">
        <v>458</v>
      </c>
      <c r="E85" s="31"/>
      <c r="F85" s="31"/>
      <c r="G85" s="63"/>
      <c r="H85" s="31"/>
      <c r="I85" s="31"/>
      <c r="J85" s="63"/>
      <c r="K85" s="33"/>
      <c r="L85" s="33"/>
      <c r="M85" s="33"/>
      <c r="N85" s="34">
        <f>4839.6+1707.9</f>
        <v>6547.5</v>
      </c>
      <c r="P85" s="26"/>
    </row>
    <row r="86" spans="1:16" s="49" customFormat="1" ht="182.25" customHeight="1">
      <c r="A86" s="30"/>
      <c r="B86" s="50">
        <v>3222</v>
      </c>
      <c r="C86" s="50"/>
      <c r="D86" s="31" t="s">
        <v>476</v>
      </c>
      <c r="E86" s="31"/>
      <c r="F86" s="31"/>
      <c r="G86" s="63"/>
      <c r="H86" s="31"/>
      <c r="I86" s="31"/>
      <c r="J86" s="63"/>
      <c r="K86" s="33"/>
      <c r="L86" s="33"/>
      <c r="M86" s="33"/>
      <c r="N86" s="34">
        <v>2544.5</v>
      </c>
      <c r="P86" s="26"/>
    </row>
    <row r="87" spans="1:16" s="49" customFormat="1" ht="27" customHeight="1">
      <c r="A87" s="30"/>
      <c r="B87" s="50"/>
      <c r="C87" s="50"/>
      <c r="D87" s="31" t="s">
        <v>458</v>
      </c>
      <c r="E87" s="31"/>
      <c r="F87" s="31"/>
      <c r="G87" s="63"/>
      <c r="H87" s="31"/>
      <c r="I87" s="31"/>
      <c r="J87" s="63"/>
      <c r="K87" s="33"/>
      <c r="L87" s="33"/>
      <c r="M87" s="33"/>
      <c r="N87" s="34">
        <v>2544.5</v>
      </c>
      <c r="O87" s="29"/>
      <c r="P87" s="26"/>
    </row>
    <row r="88" spans="1:16" s="49" customFormat="1" ht="188.25" customHeight="1">
      <c r="A88" s="30" t="s">
        <v>454</v>
      </c>
      <c r="B88" s="50">
        <v>3223</v>
      </c>
      <c r="C88" s="50">
        <v>1060</v>
      </c>
      <c r="D88" s="31" t="s">
        <v>455</v>
      </c>
      <c r="E88" s="31"/>
      <c r="F88" s="31"/>
      <c r="G88" s="63"/>
      <c r="H88" s="31"/>
      <c r="I88" s="31"/>
      <c r="J88" s="63"/>
      <c r="K88" s="33"/>
      <c r="L88" s="33">
        <v>3073823.38</v>
      </c>
      <c r="M88" s="33">
        <f>L88+K88</f>
        <v>3073823.38</v>
      </c>
      <c r="N88" s="34">
        <f>ROUND(M88/1000,1)+447.7</f>
        <v>3521.5</v>
      </c>
      <c r="O88" s="25"/>
      <c r="P88" s="26"/>
    </row>
    <row r="89" spans="1:16" s="49" customFormat="1" ht="27" customHeight="1">
      <c r="A89" s="30"/>
      <c r="B89" s="50"/>
      <c r="C89" s="50"/>
      <c r="D89" s="31" t="s">
        <v>458</v>
      </c>
      <c r="E89" s="31"/>
      <c r="F89" s="31"/>
      <c r="G89" s="63"/>
      <c r="H89" s="31"/>
      <c r="I89" s="31"/>
      <c r="J89" s="63"/>
      <c r="K89" s="33"/>
      <c r="L89" s="33"/>
      <c r="M89" s="33"/>
      <c r="N89" s="34">
        <f>3073.8+447.7</f>
        <v>3521.5</v>
      </c>
      <c r="O89" s="125"/>
      <c r="P89" s="26"/>
    </row>
    <row r="90" spans="1:16" s="29" customFormat="1" ht="26.25" customHeight="1">
      <c r="A90" s="27" t="s">
        <v>212</v>
      </c>
      <c r="B90" s="47">
        <v>3240</v>
      </c>
      <c r="C90" s="47"/>
      <c r="D90" s="28" t="s">
        <v>419</v>
      </c>
      <c r="E90" s="28"/>
      <c r="F90" s="28"/>
      <c r="G90" s="63">
        <f t="shared" si="0"/>
        <v>0</v>
      </c>
      <c r="H90" s="28"/>
      <c r="I90" s="28"/>
      <c r="J90" s="63">
        <f t="shared" si="1"/>
        <v>0</v>
      </c>
      <c r="K90" s="17">
        <f>K91+K92</f>
        <v>375000</v>
      </c>
      <c r="L90" s="17">
        <f>L91+L92</f>
        <v>0</v>
      </c>
      <c r="M90" s="17">
        <f>M91+M92</f>
        <v>375000</v>
      </c>
      <c r="N90" s="20">
        <f>N91+N92</f>
        <v>375</v>
      </c>
      <c r="P90" s="26"/>
    </row>
    <row r="91" spans="1:16" s="38" customFormat="1" ht="35.25" customHeight="1">
      <c r="A91" s="30" t="s">
        <v>202</v>
      </c>
      <c r="B91" s="50">
        <v>3241</v>
      </c>
      <c r="C91" s="50">
        <v>1090</v>
      </c>
      <c r="D91" s="31" t="s">
        <v>203</v>
      </c>
      <c r="E91" s="31"/>
      <c r="F91" s="31"/>
      <c r="G91" s="63">
        <f t="shared" si="0"/>
        <v>0</v>
      </c>
      <c r="H91" s="31"/>
      <c r="I91" s="31"/>
      <c r="J91" s="63">
        <f t="shared" si="1"/>
        <v>0</v>
      </c>
      <c r="K91" s="33">
        <v>300000</v>
      </c>
      <c r="L91" s="33"/>
      <c r="M91" s="33">
        <f>L91+K91</f>
        <v>300000</v>
      </c>
      <c r="N91" s="34">
        <f>ROUND(M91/1000,1)</f>
        <v>300</v>
      </c>
      <c r="P91" s="26"/>
    </row>
    <row r="92" spans="1:16" s="38" customFormat="1" ht="30.75" customHeight="1">
      <c r="A92" s="30" t="s">
        <v>204</v>
      </c>
      <c r="B92" s="50">
        <v>3242</v>
      </c>
      <c r="C92" s="50">
        <v>1090</v>
      </c>
      <c r="D92" s="31" t="s">
        <v>205</v>
      </c>
      <c r="E92" s="31"/>
      <c r="F92" s="31"/>
      <c r="G92" s="63">
        <f t="shared" si="0"/>
        <v>0</v>
      </c>
      <c r="H92" s="31"/>
      <c r="I92" s="31"/>
      <c r="J92" s="63">
        <f t="shared" si="1"/>
        <v>0</v>
      </c>
      <c r="K92" s="33">
        <v>75000</v>
      </c>
      <c r="L92" s="33"/>
      <c r="M92" s="33">
        <f>L92+K92</f>
        <v>75000</v>
      </c>
      <c r="N92" s="34">
        <f>ROUND(M92/1000,1)</f>
        <v>75</v>
      </c>
      <c r="P92" s="26"/>
    </row>
    <row r="93" spans="1:16" s="25" customFormat="1" ht="30.75" customHeight="1">
      <c r="A93" s="23"/>
      <c r="B93" s="55"/>
      <c r="C93" s="55"/>
      <c r="D93" s="10" t="s">
        <v>468</v>
      </c>
      <c r="E93" s="10"/>
      <c r="F93" s="10"/>
      <c r="G93" s="93"/>
      <c r="H93" s="10"/>
      <c r="I93" s="10"/>
      <c r="J93" s="93"/>
      <c r="K93" s="24"/>
      <c r="L93" s="24"/>
      <c r="M93" s="24"/>
      <c r="N93" s="14">
        <f>N95</f>
        <v>809.8</v>
      </c>
      <c r="O93" s="38"/>
      <c r="P93" s="26"/>
    </row>
    <row r="94" spans="1:16" s="125" customFormat="1" ht="30.75" customHeight="1">
      <c r="A94" s="127"/>
      <c r="B94" s="128"/>
      <c r="C94" s="128"/>
      <c r="D94" s="124" t="s">
        <v>458</v>
      </c>
      <c r="E94" s="124"/>
      <c r="F94" s="124"/>
      <c r="G94" s="129"/>
      <c r="H94" s="124"/>
      <c r="I94" s="124"/>
      <c r="J94" s="129"/>
      <c r="K94" s="70"/>
      <c r="L94" s="70"/>
      <c r="M94" s="70"/>
      <c r="N94" s="126">
        <f>N97</f>
        <v>809.8</v>
      </c>
      <c r="O94" s="38"/>
      <c r="P94" s="26"/>
    </row>
    <row r="95" spans="1:16" s="29" customFormat="1" ht="30.75" customHeight="1">
      <c r="A95" s="27"/>
      <c r="B95" s="47">
        <v>6080</v>
      </c>
      <c r="C95" s="47"/>
      <c r="D95" s="28" t="s">
        <v>469</v>
      </c>
      <c r="E95" s="28"/>
      <c r="F95" s="28"/>
      <c r="G95" s="63"/>
      <c r="H95" s="28"/>
      <c r="I95" s="28"/>
      <c r="J95" s="63"/>
      <c r="K95" s="17"/>
      <c r="L95" s="17"/>
      <c r="M95" s="17"/>
      <c r="N95" s="19">
        <f>N96</f>
        <v>809.8</v>
      </c>
      <c r="O95" s="25"/>
      <c r="P95" s="26"/>
    </row>
    <row r="96" spans="1:16" s="38" customFormat="1" ht="66" customHeight="1">
      <c r="A96" s="30"/>
      <c r="B96" s="50">
        <v>6083</v>
      </c>
      <c r="C96" s="50"/>
      <c r="D96" s="31" t="s">
        <v>470</v>
      </c>
      <c r="E96" s="31"/>
      <c r="F96" s="31"/>
      <c r="G96" s="77"/>
      <c r="H96" s="31"/>
      <c r="I96" s="31"/>
      <c r="J96" s="77"/>
      <c r="K96" s="33"/>
      <c r="L96" s="33"/>
      <c r="M96" s="33"/>
      <c r="N96" s="34">
        <v>809.8</v>
      </c>
      <c r="O96" s="29"/>
      <c r="P96" s="26"/>
    </row>
    <row r="97" spans="1:16" s="38" customFormat="1" ht="34.5" customHeight="1">
      <c r="A97" s="30"/>
      <c r="B97" s="50"/>
      <c r="C97" s="50"/>
      <c r="D97" s="31" t="s">
        <v>458</v>
      </c>
      <c r="E97" s="31"/>
      <c r="F97" s="31"/>
      <c r="G97" s="77"/>
      <c r="H97" s="31"/>
      <c r="I97" s="31"/>
      <c r="J97" s="77"/>
      <c r="K97" s="33"/>
      <c r="L97" s="33"/>
      <c r="M97" s="33"/>
      <c r="N97" s="34">
        <v>809.8</v>
      </c>
      <c r="O97" s="29"/>
      <c r="P97" s="26"/>
    </row>
    <row r="98" spans="1:16" s="25" customFormat="1" ht="42.75" customHeight="1">
      <c r="A98" s="23" t="s">
        <v>103</v>
      </c>
      <c r="B98" s="23"/>
      <c r="C98" s="23"/>
      <c r="D98" s="10" t="s">
        <v>15</v>
      </c>
      <c r="E98" s="10"/>
      <c r="F98" s="10"/>
      <c r="G98" s="63">
        <f t="shared" si="0"/>
        <v>0</v>
      </c>
      <c r="H98" s="10"/>
      <c r="I98" s="10"/>
      <c r="J98" s="63">
        <f t="shared" si="1"/>
        <v>0</v>
      </c>
      <c r="K98" s="24">
        <f>K100+K101+K102+K103+K108+K105</f>
        <v>3150450</v>
      </c>
      <c r="L98" s="24">
        <f>L100+L101+L102+L103+L108+L105</f>
        <v>500000</v>
      </c>
      <c r="M98" s="24">
        <f>M100+M101+M102+M103+M108+M105</f>
        <v>3650450</v>
      </c>
      <c r="N98" s="16">
        <f>N100+N101+N102+N103+N108+N105</f>
        <v>3650.5</v>
      </c>
      <c r="O98" s="29"/>
      <c r="P98" s="26"/>
    </row>
    <row r="99" spans="1:16" s="25" customFormat="1" ht="26.25" customHeight="1">
      <c r="A99" s="23"/>
      <c r="B99" s="23"/>
      <c r="C99" s="23"/>
      <c r="D99" s="124" t="s">
        <v>458</v>
      </c>
      <c r="E99" s="10"/>
      <c r="F99" s="10"/>
      <c r="G99" s="63"/>
      <c r="H99" s="10"/>
      <c r="I99" s="10"/>
      <c r="J99" s="63"/>
      <c r="K99" s="24"/>
      <c r="L99" s="24"/>
      <c r="M99" s="24"/>
      <c r="N99" s="18">
        <f>N107</f>
        <v>500</v>
      </c>
      <c r="O99" s="29"/>
      <c r="P99" s="26"/>
    </row>
    <row r="100" spans="1:16" s="29" customFormat="1" ht="48" customHeight="1">
      <c r="A100" s="27" t="s">
        <v>70</v>
      </c>
      <c r="B100" s="27" t="s">
        <v>58</v>
      </c>
      <c r="C100" s="27" t="s">
        <v>26</v>
      </c>
      <c r="D100" s="28" t="s">
        <v>59</v>
      </c>
      <c r="E100" s="28"/>
      <c r="F100" s="28"/>
      <c r="G100" s="63">
        <f t="shared" si="0"/>
        <v>0</v>
      </c>
      <c r="H100" s="28"/>
      <c r="I100" s="28"/>
      <c r="J100" s="63">
        <f t="shared" si="1"/>
        <v>0</v>
      </c>
      <c r="K100" s="17">
        <v>10000</v>
      </c>
      <c r="L100" s="17"/>
      <c r="M100" s="17">
        <f>L100+K100</f>
        <v>10000</v>
      </c>
      <c r="N100" s="19">
        <f>ROUND(M100/1000,1)</f>
        <v>10</v>
      </c>
      <c r="P100" s="26"/>
    </row>
    <row r="101" spans="1:16" s="29" customFormat="1" ht="50.25" customHeight="1">
      <c r="A101" s="27" t="s">
        <v>120</v>
      </c>
      <c r="B101" s="27" t="s">
        <v>36</v>
      </c>
      <c r="C101" s="27" t="s">
        <v>35</v>
      </c>
      <c r="D101" s="28" t="s">
        <v>6</v>
      </c>
      <c r="E101" s="28"/>
      <c r="F101" s="28"/>
      <c r="G101" s="63">
        <f aca="true" t="shared" si="5" ref="G101:G165">ROUND(F101/1000,1)</f>
        <v>0</v>
      </c>
      <c r="H101" s="28"/>
      <c r="I101" s="28"/>
      <c r="J101" s="63">
        <f aca="true" t="shared" si="6" ref="J101:J165">ROUND(I101/1000,1)</f>
        <v>0</v>
      </c>
      <c r="K101" s="17">
        <f>200000+12300</f>
        <v>212300</v>
      </c>
      <c r="L101" s="17">
        <f>-15000</f>
        <v>-15000</v>
      </c>
      <c r="M101" s="17">
        <f>L101+K101</f>
        <v>197300</v>
      </c>
      <c r="N101" s="19">
        <f aca="true" t="shared" si="7" ref="N101:N165">ROUND(M101/1000,1)</f>
        <v>197.3</v>
      </c>
      <c r="P101" s="26"/>
    </row>
    <row r="102" spans="1:16" s="29" customFormat="1" ht="27" customHeight="1">
      <c r="A102" s="27" t="s">
        <v>104</v>
      </c>
      <c r="B102" s="27" t="s">
        <v>42</v>
      </c>
      <c r="C102" s="27" t="s">
        <v>43</v>
      </c>
      <c r="D102" s="28" t="s">
        <v>5</v>
      </c>
      <c r="E102" s="28"/>
      <c r="F102" s="28"/>
      <c r="G102" s="63">
        <f t="shared" si="5"/>
        <v>0</v>
      </c>
      <c r="H102" s="28"/>
      <c r="I102" s="28"/>
      <c r="J102" s="63">
        <f t="shared" si="6"/>
        <v>0</v>
      </c>
      <c r="K102" s="17">
        <f>300000+850050+70100+10000</f>
        <v>1230150</v>
      </c>
      <c r="L102" s="17"/>
      <c r="M102" s="17">
        <f>L102+K102</f>
        <v>1230150</v>
      </c>
      <c r="N102" s="19">
        <f t="shared" si="7"/>
        <v>1230.2</v>
      </c>
      <c r="O102" s="38"/>
      <c r="P102" s="26"/>
    </row>
    <row r="103" spans="1:16" s="29" customFormat="1" ht="29.25" customHeight="1">
      <c r="A103" s="27" t="s">
        <v>105</v>
      </c>
      <c r="B103" s="27" t="s">
        <v>7</v>
      </c>
      <c r="C103" s="27"/>
      <c r="D103" s="28" t="s">
        <v>406</v>
      </c>
      <c r="E103" s="28"/>
      <c r="F103" s="28"/>
      <c r="G103" s="63">
        <f t="shared" si="5"/>
        <v>0</v>
      </c>
      <c r="H103" s="28"/>
      <c r="I103" s="28"/>
      <c r="J103" s="63">
        <f t="shared" si="6"/>
        <v>0</v>
      </c>
      <c r="K103" s="17">
        <f>K104</f>
        <v>50000</v>
      </c>
      <c r="L103" s="17">
        <f>L104</f>
        <v>0</v>
      </c>
      <c r="M103" s="17">
        <f>M104</f>
        <v>50000</v>
      </c>
      <c r="N103" s="20">
        <f>N104</f>
        <v>50</v>
      </c>
      <c r="O103" s="38"/>
      <c r="P103" s="26"/>
    </row>
    <row r="104" spans="1:16" s="38" customFormat="1" ht="27.75" customHeight="1">
      <c r="A104" s="30" t="s">
        <v>206</v>
      </c>
      <c r="B104" s="30" t="s">
        <v>197</v>
      </c>
      <c r="C104" s="30" t="s">
        <v>44</v>
      </c>
      <c r="D104" s="31" t="s">
        <v>198</v>
      </c>
      <c r="E104" s="31"/>
      <c r="F104" s="31"/>
      <c r="G104" s="63">
        <f t="shared" si="5"/>
        <v>0</v>
      </c>
      <c r="H104" s="31"/>
      <c r="I104" s="31"/>
      <c r="J104" s="63">
        <f t="shared" si="6"/>
        <v>0</v>
      </c>
      <c r="K104" s="33">
        <v>50000</v>
      </c>
      <c r="L104" s="33"/>
      <c r="M104" s="33">
        <f>L104+K104</f>
        <v>50000</v>
      </c>
      <c r="N104" s="34">
        <f t="shared" si="7"/>
        <v>50</v>
      </c>
      <c r="P104" s="26"/>
    </row>
    <row r="105" spans="1:16" s="38" customFormat="1" ht="27.75" customHeight="1">
      <c r="A105" s="27" t="s">
        <v>400</v>
      </c>
      <c r="B105" s="27" t="s">
        <v>269</v>
      </c>
      <c r="C105" s="27"/>
      <c r="D105" s="28" t="s">
        <v>413</v>
      </c>
      <c r="E105" s="31"/>
      <c r="F105" s="31"/>
      <c r="G105" s="63">
        <f t="shared" si="5"/>
        <v>0</v>
      </c>
      <c r="H105" s="31"/>
      <c r="I105" s="31"/>
      <c r="J105" s="63">
        <f t="shared" si="6"/>
        <v>0</v>
      </c>
      <c r="K105" s="17">
        <f>K106</f>
        <v>0</v>
      </c>
      <c r="L105" s="17">
        <f>L106</f>
        <v>515000</v>
      </c>
      <c r="M105" s="17">
        <f>M106</f>
        <v>515000</v>
      </c>
      <c r="N105" s="20">
        <f>N106</f>
        <v>515</v>
      </c>
      <c r="P105" s="26"/>
    </row>
    <row r="106" spans="1:16" s="38" customFormat="1" ht="53.25" customHeight="1">
      <c r="A106" s="30" t="s">
        <v>401</v>
      </c>
      <c r="B106" s="30" t="s">
        <v>276</v>
      </c>
      <c r="C106" s="30" t="s">
        <v>47</v>
      </c>
      <c r="D106" s="31" t="s">
        <v>267</v>
      </c>
      <c r="E106" s="31"/>
      <c r="F106" s="31"/>
      <c r="G106" s="63">
        <f t="shared" si="5"/>
        <v>0</v>
      </c>
      <c r="H106" s="31"/>
      <c r="I106" s="31"/>
      <c r="J106" s="63">
        <f t="shared" si="6"/>
        <v>0</v>
      </c>
      <c r="K106" s="33"/>
      <c r="L106" s="33">
        <f>15000+500000</f>
        <v>515000</v>
      </c>
      <c r="M106" s="33">
        <f>L106+K106</f>
        <v>515000</v>
      </c>
      <c r="N106" s="34">
        <f t="shared" si="7"/>
        <v>515</v>
      </c>
      <c r="O106" s="29"/>
      <c r="P106" s="26"/>
    </row>
    <row r="107" spans="1:16" s="38" customFormat="1" ht="25.5" customHeight="1">
      <c r="A107" s="30"/>
      <c r="B107" s="30"/>
      <c r="C107" s="30"/>
      <c r="D107" s="31" t="s">
        <v>458</v>
      </c>
      <c r="E107" s="31"/>
      <c r="F107" s="31"/>
      <c r="G107" s="63"/>
      <c r="H107" s="31"/>
      <c r="I107" s="31"/>
      <c r="J107" s="63"/>
      <c r="K107" s="33"/>
      <c r="L107" s="33"/>
      <c r="M107" s="33"/>
      <c r="N107" s="34">
        <v>500</v>
      </c>
      <c r="O107" s="25"/>
      <c r="P107" s="26"/>
    </row>
    <row r="108" spans="1:16" s="29" customFormat="1" ht="32.25" customHeight="1">
      <c r="A108" s="27" t="s">
        <v>74</v>
      </c>
      <c r="B108" s="27" t="s">
        <v>1</v>
      </c>
      <c r="C108" s="27" t="s">
        <v>48</v>
      </c>
      <c r="D108" s="28" t="s">
        <v>17</v>
      </c>
      <c r="E108" s="28"/>
      <c r="F108" s="28"/>
      <c r="G108" s="63">
        <f t="shared" si="5"/>
        <v>0</v>
      </c>
      <c r="H108" s="28"/>
      <c r="I108" s="28"/>
      <c r="J108" s="63">
        <f t="shared" si="6"/>
        <v>0</v>
      </c>
      <c r="K108" s="17">
        <v>1648000</v>
      </c>
      <c r="L108" s="17"/>
      <c r="M108" s="17">
        <f>L108+K108</f>
        <v>1648000</v>
      </c>
      <c r="N108" s="19">
        <f t="shared" si="7"/>
        <v>1648</v>
      </c>
      <c r="P108" s="26"/>
    </row>
    <row r="109" spans="1:16" s="25" customFormat="1" ht="48.75" customHeight="1">
      <c r="A109" s="23" t="s">
        <v>106</v>
      </c>
      <c r="B109" s="23"/>
      <c r="C109" s="23"/>
      <c r="D109" s="10" t="s">
        <v>16</v>
      </c>
      <c r="E109" s="10"/>
      <c r="F109" s="10"/>
      <c r="G109" s="63">
        <f t="shared" si="5"/>
        <v>0</v>
      </c>
      <c r="H109" s="10"/>
      <c r="I109" s="10"/>
      <c r="J109" s="63">
        <f t="shared" si="6"/>
        <v>0</v>
      </c>
      <c r="K109" s="24">
        <f>K111+K112+K117+K161+K179+K118+K151+K164</f>
        <v>145279901.94</v>
      </c>
      <c r="L109" s="24">
        <f>L111+L112+L117+L161+L179+L118+L151+L164</f>
        <v>5233700</v>
      </c>
      <c r="M109" s="24">
        <f>M111+M112+M117+M161+M179+M118+M151+M164</f>
        <v>150513601.94</v>
      </c>
      <c r="N109" s="16">
        <f>N111+N112+N117+N161+N179+N118+N151+N164</f>
        <v>149037.9</v>
      </c>
      <c r="O109" s="38"/>
      <c r="P109" s="26"/>
    </row>
    <row r="110" spans="1:16" s="25" customFormat="1" ht="24.75" customHeight="1">
      <c r="A110" s="23"/>
      <c r="B110" s="23"/>
      <c r="C110" s="23"/>
      <c r="D110" s="124" t="s">
        <v>458</v>
      </c>
      <c r="E110" s="10"/>
      <c r="F110" s="10"/>
      <c r="G110" s="63"/>
      <c r="H110" s="10"/>
      <c r="I110" s="10"/>
      <c r="J110" s="63"/>
      <c r="K110" s="24"/>
      <c r="L110" s="24"/>
      <c r="M110" s="24"/>
      <c r="N110" s="18">
        <f>N168</f>
        <v>4242.9</v>
      </c>
      <c r="O110" s="38"/>
      <c r="P110" s="26"/>
    </row>
    <row r="111" spans="1:16" s="29" customFormat="1" ht="50.25" customHeight="1">
      <c r="A111" s="27" t="s">
        <v>107</v>
      </c>
      <c r="B111" s="27" t="s">
        <v>58</v>
      </c>
      <c r="C111" s="27" t="s">
        <v>26</v>
      </c>
      <c r="D111" s="28" t="s">
        <v>59</v>
      </c>
      <c r="E111" s="28"/>
      <c r="F111" s="28"/>
      <c r="G111" s="63">
        <f t="shared" si="5"/>
        <v>0</v>
      </c>
      <c r="H111" s="28"/>
      <c r="I111" s="28"/>
      <c r="J111" s="63">
        <f t="shared" si="6"/>
        <v>0</v>
      </c>
      <c r="K111" s="17">
        <f>200000-137500</f>
        <v>62500</v>
      </c>
      <c r="L111" s="17"/>
      <c r="M111" s="17">
        <f>L111+K111</f>
        <v>62500</v>
      </c>
      <c r="N111" s="19">
        <f t="shared" si="7"/>
        <v>62.5</v>
      </c>
      <c r="O111" s="38"/>
      <c r="P111" s="26"/>
    </row>
    <row r="112" spans="1:16" s="29" customFormat="1" ht="42.75" customHeight="1">
      <c r="A112" s="27" t="s">
        <v>108</v>
      </c>
      <c r="B112" s="27" t="s">
        <v>40</v>
      </c>
      <c r="C112" s="27"/>
      <c r="D112" s="28" t="s">
        <v>420</v>
      </c>
      <c r="E112" s="28"/>
      <c r="F112" s="28"/>
      <c r="G112" s="63">
        <f t="shared" si="5"/>
        <v>0</v>
      </c>
      <c r="H112" s="28"/>
      <c r="I112" s="28"/>
      <c r="J112" s="63">
        <f t="shared" si="6"/>
        <v>0</v>
      </c>
      <c r="K112" s="17">
        <f>K113+K115+K114+K116</f>
        <v>65654890</v>
      </c>
      <c r="L112" s="17">
        <f>L113+L115+L114+L116</f>
        <v>27340</v>
      </c>
      <c r="M112" s="17">
        <f>M113+M115+M114+M116</f>
        <v>65682230</v>
      </c>
      <c r="N112" s="20">
        <f>N113+N115+N114+N116</f>
        <v>65678.79999999999</v>
      </c>
      <c r="O112" s="38"/>
      <c r="P112" s="26"/>
    </row>
    <row r="113" spans="1:16" s="38" customFormat="1" ht="31.5" customHeight="1">
      <c r="A113" s="30" t="s">
        <v>109</v>
      </c>
      <c r="B113" s="30" t="s">
        <v>65</v>
      </c>
      <c r="C113" s="30" t="s">
        <v>41</v>
      </c>
      <c r="D113" s="31" t="s">
        <v>66</v>
      </c>
      <c r="E113" s="31"/>
      <c r="F113" s="31"/>
      <c r="G113" s="63">
        <f t="shared" si="5"/>
        <v>0</v>
      </c>
      <c r="H113" s="31"/>
      <c r="I113" s="31"/>
      <c r="J113" s="63">
        <f t="shared" si="6"/>
        <v>0</v>
      </c>
      <c r="K113" s="33">
        <f>20000000+15000000-150000-4100000+20000+350000+96000+118268+1635000</f>
        <v>32969268</v>
      </c>
      <c r="L113" s="33">
        <f>-38060+73000</f>
        <v>34940</v>
      </c>
      <c r="M113" s="33">
        <f>L113+K113</f>
        <v>33004208</v>
      </c>
      <c r="N113" s="34">
        <f>ROUND(M113/1000,1)-8.4+5</f>
        <v>33000.799999999996</v>
      </c>
      <c r="O113" s="29"/>
      <c r="P113" s="26"/>
    </row>
    <row r="114" spans="1:16" s="38" customFormat="1" ht="30.75" customHeight="1">
      <c r="A114" s="30" t="s">
        <v>257</v>
      </c>
      <c r="B114" s="30" t="s">
        <v>258</v>
      </c>
      <c r="C114" s="30" t="s">
        <v>41</v>
      </c>
      <c r="D114" s="43" t="s">
        <v>259</v>
      </c>
      <c r="E114" s="31"/>
      <c r="F114" s="31"/>
      <c r="G114" s="63">
        <f t="shared" si="5"/>
        <v>0</v>
      </c>
      <c r="H114" s="31"/>
      <c r="I114" s="31"/>
      <c r="J114" s="63">
        <f t="shared" si="6"/>
        <v>0</v>
      </c>
      <c r="K114" s="33">
        <f>222622+320000</f>
        <v>542622</v>
      </c>
      <c r="L114" s="33"/>
      <c r="M114" s="33">
        <f>L114+K114</f>
        <v>542622</v>
      </c>
      <c r="N114" s="34">
        <f t="shared" si="7"/>
        <v>542.6</v>
      </c>
      <c r="O114" s="29"/>
      <c r="P114" s="26"/>
    </row>
    <row r="115" spans="1:16" s="38" customFormat="1" ht="35.25" customHeight="1">
      <c r="A115" s="30" t="s">
        <v>126</v>
      </c>
      <c r="B115" s="30" t="s">
        <v>127</v>
      </c>
      <c r="C115" s="30" t="s">
        <v>41</v>
      </c>
      <c r="D115" s="31" t="s">
        <v>128</v>
      </c>
      <c r="E115" s="31"/>
      <c r="F115" s="31"/>
      <c r="G115" s="63">
        <f t="shared" si="5"/>
        <v>0</v>
      </c>
      <c r="H115" s="31"/>
      <c r="I115" s="31"/>
      <c r="J115" s="63">
        <f t="shared" si="6"/>
        <v>0</v>
      </c>
      <c r="K115" s="33">
        <f>20000000+10000000-35000</f>
        <v>29965000</v>
      </c>
      <c r="L115" s="33">
        <f>-7600</f>
        <v>-7600</v>
      </c>
      <c r="M115" s="33">
        <f>L115+K115</f>
        <v>29957400</v>
      </c>
      <c r="N115" s="34">
        <f t="shared" si="7"/>
        <v>29957.4</v>
      </c>
      <c r="O115" s="29"/>
      <c r="P115" s="26"/>
    </row>
    <row r="116" spans="1:16" s="38" customFormat="1" ht="38.25" customHeight="1">
      <c r="A116" s="30" t="s">
        <v>260</v>
      </c>
      <c r="B116" s="30" t="s">
        <v>261</v>
      </c>
      <c r="C116" s="30" t="s">
        <v>41</v>
      </c>
      <c r="D116" s="31" t="s">
        <v>262</v>
      </c>
      <c r="E116" s="31"/>
      <c r="F116" s="31"/>
      <c r="G116" s="63">
        <f t="shared" si="5"/>
        <v>0</v>
      </c>
      <c r="H116" s="31"/>
      <c r="I116" s="31"/>
      <c r="J116" s="63">
        <f t="shared" si="6"/>
        <v>0</v>
      </c>
      <c r="K116" s="33">
        <v>2178000</v>
      </c>
      <c r="L116" s="33"/>
      <c r="M116" s="33">
        <f>L116+K116</f>
        <v>2178000</v>
      </c>
      <c r="N116" s="34">
        <f t="shared" si="7"/>
        <v>2178</v>
      </c>
      <c r="O116" s="29"/>
      <c r="P116" s="26"/>
    </row>
    <row r="117" spans="1:16" s="29" customFormat="1" ht="37.5" customHeight="1">
      <c r="A117" s="27" t="s">
        <v>110</v>
      </c>
      <c r="B117" s="27" t="s">
        <v>67</v>
      </c>
      <c r="C117" s="27" t="s">
        <v>41</v>
      </c>
      <c r="D117" s="28" t="s">
        <v>68</v>
      </c>
      <c r="E117" s="28"/>
      <c r="F117" s="28"/>
      <c r="G117" s="63">
        <f t="shared" si="5"/>
        <v>0</v>
      </c>
      <c r="H117" s="28"/>
      <c r="I117" s="28"/>
      <c r="J117" s="63">
        <f t="shared" si="6"/>
        <v>0</v>
      </c>
      <c r="K117" s="17">
        <f>37188104+9000000+2000000+7000000-1000000+3150000-7524305-825875-865089-265716.65-1167674-3455475</f>
        <v>43233969.35</v>
      </c>
      <c r="L117" s="17">
        <f>494000-37410-283300-59000</f>
        <v>114290</v>
      </c>
      <c r="M117" s="17">
        <f>L117+K117</f>
        <v>43348259.35</v>
      </c>
      <c r="N117" s="19">
        <f>ROUND(M117/1000,1)-8.5-627.6-55-48</f>
        <v>42609.200000000004</v>
      </c>
      <c r="P117" s="26"/>
    </row>
    <row r="118" spans="1:16" s="29" customFormat="1" ht="42" customHeight="1">
      <c r="A118" s="27" t="s">
        <v>135</v>
      </c>
      <c r="B118" s="27" t="s">
        <v>136</v>
      </c>
      <c r="C118" s="27" t="s">
        <v>52</v>
      </c>
      <c r="D118" s="10" t="s">
        <v>421</v>
      </c>
      <c r="E118" s="28"/>
      <c r="F118" s="28"/>
      <c r="G118" s="63">
        <f t="shared" si="5"/>
        <v>0</v>
      </c>
      <c r="H118" s="28"/>
      <c r="I118" s="28"/>
      <c r="J118" s="63">
        <f t="shared" si="6"/>
        <v>0</v>
      </c>
      <c r="K118" s="24">
        <f>K119+K126+K141</f>
        <v>25031850.13</v>
      </c>
      <c r="L118" s="24">
        <f>L119+L126+L141</f>
        <v>0</v>
      </c>
      <c r="M118" s="24">
        <f>M119+M126+M141</f>
        <v>25031850.13</v>
      </c>
      <c r="N118" s="16">
        <f>N119+N126+N141</f>
        <v>25023.4</v>
      </c>
      <c r="P118" s="26"/>
    </row>
    <row r="119" spans="1:16" s="29" customFormat="1" ht="27.75" customHeight="1">
      <c r="A119" s="27"/>
      <c r="B119" s="27"/>
      <c r="C119" s="27"/>
      <c r="D119" s="73" t="s">
        <v>143</v>
      </c>
      <c r="E119" s="73" t="s">
        <v>143</v>
      </c>
      <c r="F119" s="28"/>
      <c r="G119" s="63">
        <f t="shared" si="5"/>
        <v>0</v>
      </c>
      <c r="H119" s="28"/>
      <c r="I119" s="28"/>
      <c r="J119" s="63">
        <f t="shared" si="6"/>
        <v>0</v>
      </c>
      <c r="K119" s="24">
        <f>SUM(K120:K125)</f>
        <v>4880000</v>
      </c>
      <c r="L119" s="24">
        <f>SUM(L120:L125)</f>
        <v>0</v>
      </c>
      <c r="M119" s="24">
        <f>SUM(M120:M125)</f>
        <v>4880000</v>
      </c>
      <c r="N119" s="16">
        <f>SUM(N120:N125)</f>
        <v>4880</v>
      </c>
      <c r="P119" s="26"/>
    </row>
    <row r="120" spans="1:16" s="29" customFormat="1" ht="54.75" customHeight="1">
      <c r="A120" s="27"/>
      <c r="B120" s="27"/>
      <c r="C120" s="27"/>
      <c r="D120" s="28" t="s">
        <v>422</v>
      </c>
      <c r="E120" s="28" t="s">
        <v>305</v>
      </c>
      <c r="F120" s="28"/>
      <c r="G120" s="63">
        <f t="shared" si="5"/>
        <v>0</v>
      </c>
      <c r="H120" s="28"/>
      <c r="I120" s="28"/>
      <c r="J120" s="63">
        <f t="shared" si="6"/>
        <v>0</v>
      </c>
      <c r="K120" s="17">
        <v>650000</v>
      </c>
      <c r="L120" s="17"/>
      <c r="M120" s="17">
        <f aca="true" t="shared" si="8" ref="M120:M125">L120+K120</f>
        <v>650000</v>
      </c>
      <c r="N120" s="19">
        <f t="shared" si="7"/>
        <v>650</v>
      </c>
      <c r="P120" s="26"/>
    </row>
    <row r="121" spans="1:16" s="29" customFormat="1" ht="73.5" customHeight="1">
      <c r="A121" s="27"/>
      <c r="B121" s="27"/>
      <c r="C121" s="27"/>
      <c r="D121" s="28" t="s">
        <v>423</v>
      </c>
      <c r="E121" s="28" t="s">
        <v>387</v>
      </c>
      <c r="F121" s="28"/>
      <c r="G121" s="63">
        <f t="shared" si="5"/>
        <v>0</v>
      </c>
      <c r="H121" s="28"/>
      <c r="I121" s="28"/>
      <c r="J121" s="63">
        <f t="shared" si="6"/>
        <v>0</v>
      </c>
      <c r="K121" s="17">
        <v>350000</v>
      </c>
      <c r="L121" s="17"/>
      <c r="M121" s="17">
        <f t="shared" si="8"/>
        <v>350000</v>
      </c>
      <c r="N121" s="19">
        <f t="shared" si="7"/>
        <v>350</v>
      </c>
      <c r="P121" s="26"/>
    </row>
    <row r="122" spans="1:16" s="29" customFormat="1" ht="49.5" customHeight="1">
      <c r="A122" s="27"/>
      <c r="B122" s="27"/>
      <c r="C122" s="27"/>
      <c r="D122" s="28" t="s">
        <v>368</v>
      </c>
      <c r="E122" s="28" t="s">
        <v>368</v>
      </c>
      <c r="F122" s="28"/>
      <c r="G122" s="63">
        <f t="shared" si="5"/>
        <v>0</v>
      </c>
      <c r="H122" s="28"/>
      <c r="I122" s="28"/>
      <c r="J122" s="63">
        <f t="shared" si="6"/>
        <v>0</v>
      </c>
      <c r="K122" s="17">
        <v>350000</v>
      </c>
      <c r="L122" s="17"/>
      <c r="M122" s="17">
        <f t="shared" si="8"/>
        <v>350000</v>
      </c>
      <c r="N122" s="19">
        <f t="shared" si="7"/>
        <v>350</v>
      </c>
      <c r="P122" s="26"/>
    </row>
    <row r="123" spans="1:16" s="29" customFormat="1" ht="53.25" customHeight="1">
      <c r="A123" s="27"/>
      <c r="B123" s="27"/>
      <c r="C123" s="27"/>
      <c r="D123" s="28" t="s">
        <v>369</v>
      </c>
      <c r="E123" s="28" t="s">
        <v>369</v>
      </c>
      <c r="F123" s="28"/>
      <c r="G123" s="63">
        <f t="shared" si="5"/>
        <v>0</v>
      </c>
      <c r="H123" s="28"/>
      <c r="I123" s="28"/>
      <c r="J123" s="63">
        <f t="shared" si="6"/>
        <v>0</v>
      </c>
      <c r="K123" s="17">
        <f>250000</f>
        <v>250000</v>
      </c>
      <c r="L123" s="17"/>
      <c r="M123" s="17">
        <f t="shared" si="8"/>
        <v>250000</v>
      </c>
      <c r="N123" s="19">
        <f t="shared" si="7"/>
        <v>250</v>
      </c>
      <c r="P123" s="26"/>
    </row>
    <row r="124" spans="1:16" s="29" customFormat="1" ht="51.75" customHeight="1">
      <c r="A124" s="27"/>
      <c r="B124" s="27"/>
      <c r="C124" s="27"/>
      <c r="D124" s="28" t="s">
        <v>303</v>
      </c>
      <c r="E124" s="28" t="s">
        <v>303</v>
      </c>
      <c r="F124" s="28"/>
      <c r="G124" s="63">
        <f t="shared" si="5"/>
        <v>0</v>
      </c>
      <c r="H124" s="28"/>
      <c r="I124" s="28"/>
      <c r="J124" s="63">
        <f t="shared" si="6"/>
        <v>0</v>
      </c>
      <c r="K124" s="17">
        <v>1300000</v>
      </c>
      <c r="L124" s="17"/>
      <c r="M124" s="17">
        <f t="shared" si="8"/>
        <v>1300000</v>
      </c>
      <c r="N124" s="19">
        <f t="shared" si="7"/>
        <v>1300</v>
      </c>
      <c r="P124" s="26"/>
    </row>
    <row r="125" spans="1:16" s="29" customFormat="1" ht="45.75" customHeight="1">
      <c r="A125" s="27"/>
      <c r="B125" s="27"/>
      <c r="C125" s="27"/>
      <c r="D125" s="44" t="s">
        <v>329</v>
      </c>
      <c r="E125" s="44" t="s">
        <v>329</v>
      </c>
      <c r="F125" s="28"/>
      <c r="G125" s="63">
        <f t="shared" si="5"/>
        <v>0</v>
      </c>
      <c r="H125" s="28"/>
      <c r="I125" s="28"/>
      <c r="J125" s="63">
        <f t="shared" si="6"/>
        <v>0</v>
      </c>
      <c r="K125" s="17">
        <v>1980000</v>
      </c>
      <c r="L125" s="17"/>
      <c r="M125" s="17">
        <f t="shared" si="8"/>
        <v>1980000</v>
      </c>
      <c r="N125" s="19">
        <f t="shared" si="7"/>
        <v>1980</v>
      </c>
      <c r="P125" s="26"/>
    </row>
    <row r="126" spans="1:16" s="29" customFormat="1" ht="37.5" customHeight="1">
      <c r="A126" s="27"/>
      <c r="B126" s="27"/>
      <c r="C126" s="27"/>
      <c r="D126" s="73" t="s">
        <v>186</v>
      </c>
      <c r="E126" s="73" t="s">
        <v>186</v>
      </c>
      <c r="F126" s="28"/>
      <c r="G126" s="63">
        <f t="shared" si="5"/>
        <v>0</v>
      </c>
      <c r="H126" s="28"/>
      <c r="I126" s="28"/>
      <c r="J126" s="63">
        <f t="shared" si="6"/>
        <v>0</v>
      </c>
      <c r="K126" s="24">
        <f>SUM(K127:K140)</f>
        <v>795000</v>
      </c>
      <c r="L126" s="24">
        <f>SUM(L127:L140)</f>
        <v>0</v>
      </c>
      <c r="M126" s="24">
        <f>SUM(M127:M140)</f>
        <v>795000</v>
      </c>
      <c r="N126" s="16">
        <f>SUM(N127:N140)</f>
        <v>795</v>
      </c>
      <c r="P126" s="26"/>
    </row>
    <row r="127" spans="1:16" s="29" customFormat="1" ht="36.75" customHeight="1">
      <c r="A127" s="27"/>
      <c r="B127" s="27"/>
      <c r="C127" s="27"/>
      <c r="D127" s="28" t="s">
        <v>424</v>
      </c>
      <c r="E127" s="28" t="s">
        <v>193</v>
      </c>
      <c r="F127" s="28"/>
      <c r="G127" s="63">
        <f t="shared" si="5"/>
        <v>0</v>
      </c>
      <c r="H127" s="28"/>
      <c r="I127" s="28"/>
      <c r="J127" s="63">
        <f t="shared" si="6"/>
        <v>0</v>
      </c>
      <c r="K127" s="17">
        <f>50000-15000-34000</f>
        <v>1000</v>
      </c>
      <c r="L127" s="17"/>
      <c r="M127" s="17">
        <f aca="true" t="shared" si="9" ref="M127:M139">L127+K127</f>
        <v>1000</v>
      </c>
      <c r="N127" s="19">
        <f t="shared" si="7"/>
        <v>1</v>
      </c>
      <c r="P127" s="26"/>
    </row>
    <row r="128" spans="1:16" s="29" customFormat="1" ht="28.5" customHeight="1">
      <c r="A128" s="27"/>
      <c r="B128" s="27"/>
      <c r="C128" s="27"/>
      <c r="D128" s="28" t="s">
        <v>425</v>
      </c>
      <c r="E128" s="28" t="s">
        <v>190</v>
      </c>
      <c r="F128" s="28"/>
      <c r="G128" s="63">
        <f t="shared" si="5"/>
        <v>0</v>
      </c>
      <c r="H128" s="28"/>
      <c r="I128" s="28"/>
      <c r="J128" s="63">
        <f t="shared" si="6"/>
        <v>0</v>
      </c>
      <c r="K128" s="17">
        <f>50000-15000+129000</f>
        <v>164000</v>
      </c>
      <c r="L128" s="17"/>
      <c r="M128" s="17">
        <f t="shared" si="9"/>
        <v>164000</v>
      </c>
      <c r="N128" s="19">
        <f t="shared" si="7"/>
        <v>164</v>
      </c>
      <c r="P128" s="26"/>
    </row>
    <row r="129" spans="1:16" s="29" customFormat="1" ht="36.75" customHeight="1">
      <c r="A129" s="27"/>
      <c r="B129" s="27"/>
      <c r="C129" s="27"/>
      <c r="D129" s="28" t="s">
        <v>426</v>
      </c>
      <c r="E129" s="28" t="s">
        <v>187</v>
      </c>
      <c r="F129" s="28"/>
      <c r="G129" s="63">
        <f t="shared" si="5"/>
        <v>0</v>
      </c>
      <c r="H129" s="28"/>
      <c r="I129" s="28"/>
      <c r="J129" s="63">
        <f t="shared" si="6"/>
        <v>0</v>
      </c>
      <c r="K129" s="17">
        <f>50000-15000-34000</f>
        <v>1000</v>
      </c>
      <c r="L129" s="17"/>
      <c r="M129" s="17">
        <f t="shared" si="9"/>
        <v>1000</v>
      </c>
      <c r="N129" s="19">
        <f t="shared" si="7"/>
        <v>1</v>
      </c>
      <c r="P129" s="26"/>
    </row>
    <row r="130" spans="1:16" s="29" customFormat="1" ht="29.25" customHeight="1">
      <c r="A130" s="27"/>
      <c r="B130" s="27"/>
      <c r="C130" s="27"/>
      <c r="D130" s="28" t="s">
        <v>427</v>
      </c>
      <c r="E130" s="28" t="s">
        <v>384</v>
      </c>
      <c r="F130" s="28"/>
      <c r="G130" s="63">
        <f t="shared" si="5"/>
        <v>0</v>
      </c>
      <c r="H130" s="28"/>
      <c r="I130" s="28"/>
      <c r="J130" s="63">
        <f t="shared" si="6"/>
        <v>0</v>
      </c>
      <c r="K130" s="17">
        <v>10000</v>
      </c>
      <c r="L130" s="17"/>
      <c r="M130" s="17">
        <f t="shared" si="9"/>
        <v>10000</v>
      </c>
      <c r="N130" s="19">
        <f t="shared" si="7"/>
        <v>10</v>
      </c>
      <c r="P130" s="26"/>
    </row>
    <row r="131" spans="1:16" s="29" customFormat="1" ht="34.5" customHeight="1">
      <c r="A131" s="27"/>
      <c r="B131" s="27"/>
      <c r="C131" s="27"/>
      <c r="D131" s="28" t="s">
        <v>428</v>
      </c>
      <c r="E131" s="28" t="s">
        <v>194</v>
      </c>
      <c r="F131" s="28"/>
      <c r="G131" s="63">
        <f t="shared" si="5"/>
        <v>0</v>
      </c>
      <c r="H131" s="28"/>
      <c r="I131" s="28"/>
      <c r="J131" s="63">
        <f t="shared" si="6"/>
        <v>0</v>
      </c>
      <c r="K131" s="17">
        <f>50000-15000-25000</f>
        <v>10000</v>
      </c>
      <c r="L131" s="17"/>
      <c r="M131" s="17">
        <f t="shared" si="9"/>
        <v>10000</v>
      </c>
      <c r="N131" s="19">
        <f t="shared" si="7"/>
        <v>10</v>
      </c>
      <c r="P131" s="26"/>
    </row>
    <row r="132" spans="1:16" s="29" customFormat="1" ht="36" customHeight="1">
      <c r="A132" s="27"/>
      <c r="B132" s="27"/>
      <c r="C132" s="27"/>
      <c r="D132" s="28" t="s">
        <v>429</v>
      </c>
      <c r="E132" s="28" t="s">
        <v>189</v>
      </c>
      <c r="F132" s="28"/>
      <c r="G132" s="63">
        <f t="shared" si="5"/>
        <v>0</v>
      </c>
      <c r="H132" s="28"/>
      <c r="I132" s="28"/>
      <c r="J132" s="63">
        <f t="shared" si="6"/>
        <v>0</v>
      </c>
      <c r="K132" s="17">
        <f>50000-15000-34000</f>
        <v>1000</v>
      </c>
      <c r="L132" s="17"/>
      <c r="M132" s="17">
        <f t="shared" si="9"/>
        <v>1000</v>
      </c>
      <c r="N132" s="19">
        <f t="shared" si="7"/>
        <v>1</v>
      </c>
      <c r="P132" s="26"/>
    </row>
    <row r="133" spans="1:16" s="29" customFormat="1" ht="35.25" customHeight="1">
      <c r="A133" s="27"/>
      <c r="B133" s="27"/>
      <c r="C133" s="27"/>
      <c r="D133" s="28" t="s">
        <v>430</v>
      </c>
      <c r="E133" s="28" t="s">
        <v>191</v>
      </c>
      <c r="F133" s="28"/>
      <c r="G133" s="63">
        <f t="shared" si="5"/>
        <v>0</v>
      </c>
      <c r="H133" s="28"/>
      <c r="I133" s="28"/>
      <c r="J133" s="63">
        <f t="shared" si="6"/>
        <v>0</v>
      </c>
      <c r="K133" s="17">
        <f>50000-15000-25980</f>
        <v>9020</v>
      </c>
      <c r="L133" s="17">
        <v>530</v>
      </c>
      <c r="M133" s="17">
        <f t="shared" si="9"/>
        <v>9550</v>
      </c>
      <c r="N133" s="19">
        <f>ROUND(M133/1000,1)-0.1</f>
        <v>9.5</v>
      </c>
      <c r="P133" s="26"/>
    </row>
    <row r="134" spans="1:16" s="29" customFormat="1" ht="30" customHeight="1">
      <c r="A134" s="27"/>
      <c r="B134" s="27"/>
      <c r="C134" s="27"/>
      <c r="D134" s="28" t="s">
        <v>370</v>
      </c>
      <c r="E134" s="28" t="s">
        <v>370</v>
      </c>
      <c r="F134" s="28"/>
      <c r="G134" s="63">
        <f t="shared" si="5"/>
        <v>0</v>
      </c>
      <c r="H134" s="28"/>
      <c r="I134" s="28"/>
      <c r="J134" s="63">
        <f t="shared" si="6"/>
        <v>0</v>
      </c>
      <c r="K134" s="17">
        <v>130000</v>
      </c>
      <c r="L134" s="17">
        <v>-19000</v>
      </c>
      <c r="M134" s="17">
        <f t="shared" si="9"/>
        <v>111000</v>
      </c>
      <c r="N134" s="19">
        <f t="shared" si="7"/>
        <v>111</v>
      </c>
      <c r="P134" s="26"/>
    </row>
    <row r="135" spans="1:16" s="29" customFormat="1" ht="34.5" customHeight="1">
      <c r="A135" s="27"/>
      <c r="B135" s="27"/>
      <c r="C135" s="27"/>
      <c r="D135" s="28" t="s">
        <v>431</v>
      </c>
      <c r="E135" s="28" t="s">
        <v>192</v>
      </c>
      <c r="F135" s="28"/>
      <c r="G135" s="63">
        <f t="shared" si="5"/>
        <v>0</v>
      </c>
      <c r="H135" s="28"/>
      <c r="I135" s="28"/>
      <c r="J135" s="63">
        <f t="shared" si="6"/>
        <v>0</v>
      </c>
      <c r="K135" s="17">
        <f>50000-15000-25450</f>
        <v>9550</v>
      </c>
      <c r="L135" s="17"/>
      <c r="M135" s="17">
        <f t="shared" si="9"/>
        <v>9550</v>
      </c>
      <c r="N135" s="19">
        <f t="shared" si="7"/>
        <v>9.6</v>
      </c>
      <c r="P135" s="26"/>
    </row>
    <row r="136" spans="1:16" s="29" customFormat="1" ht="33" customHeight="1">
      <c r="A136" s="27"/>
      <c r="B136" s="27"/>
      <c r="C136" s="27"/>
      <c r="D136" s="28" t="s">
        <v>432</v>
      </c>
      <c r="E136" s="28" t="s">
        <v>188</v>
      </c>
      <c r="F136" s="28"/>
      <c r="G136" s="63">
        <f t="shared" si="5"/>
        <v>0</v>
      </c>
      <c r="H136" s="28"/>
      <c r="I136" s="28"/>
      <c r="J136" s="63">
        <f t="shared" si="6"/>
        <v>0</v>
      </c>
      <c r="K136" s="17">
        <f>50000-15000+68430</f>
        <v>103430</v>
      </c>
      <c r="L136" s="17">
        <v>20470</v>
      </c>
      <c r="M136" s="17">
        <f t="shared" si="9"/>
        <v>123900</v>
      </c>
      <c r="N136" s="19">
        <f t="shared" si="7"/>
        <v>123.9</v>
      </c>
      <c r="P136" s="26"/>
    </row>
    <row r="137" spans="1:16" s="29" customFormat="1" ht="42" customHeight="1">
      <c r="A137" s="27"/>
      <c r="B137" s="27"/>
      <c r="C137" s="27"/>
      <c r="D137" s="28" t="s">
        <v>433</v>
      </c>
      <c r="E137" s="28" t="s">
        <v>324</v>
      </c>
      <c r="F137" s="28"/>
      <c r="G137" s="63">
        <f t="shared" si="5"/>
        <v>0</v>
      </c>
      <c r="H137" s="28"/>
      <c r="I137" s="28"/>
      <c r="J137" s="63">
        <f t="shared" si="6"/>
        <v>0</v>
      </c>
      <c r="K137" s="17">
        <f>33000-3000-29000</f>
        <v>1000</v>
      </c>
      <c r="L137" s="17"/>
      <c r="M137" s="17">
        <f t="shared" si="9"/>
        <v>1000</v>
      </c>
      <c r="N137" s="19">
        <f t="shared" si="7"/>
        <v>1</v>
      </c>
      <c r="P137" s="26"/>
    </row>
    <row r="138" spans="1:16" s="29" customFormat="1" ht="26.25" customHeight="1">
      <c r="A138" s="27"/>
      <c r="B138" s="27"/>
      <c r="C138" s="27"/>
      <c r="D138" s="28" t="s">
        <v>434</v>
      </c>
      <c r="E138" s="28" t="s">
        <v>325</v>
      </c>
      <c r="F138" s="28"/>
      <c r="G138" s="63">
        <f t="shared" si="5"/>
        <v>0</v>
      </c>
      <c r="H138" s="28"/>
      <c r="I138" s="28"/>
      <c r="J138" s="63">
        <f t="shared" si="6"/>
        <v>0</v>
      </c>
      <c r="K138" s="17">
        <f>33000-3000-20000</f>
        <v>10000</v>
      </c>
      <c r="L138" s="17"/>
      <c r="M138" s="17">
        <f t="shared" si="9"/>
        <v>10000</v>
      </c>
      <c r="N138" s="19">
        <f t="shared" si="7"/>
        <v>10</v>
      </c>
      <c r="P138" s="26"/>
    </row>
    <row r="139" spans="1:16" s="29" customFormat="1" ht="33" customHeight="1">
      <c r="A139" s="27"/>
      <c r="B139" s="27"/>
      <c r="C139" s="27"/>
      <c r="D139" s="28" t="s">
        <v>435</v>
      </c>
      <c r="E139" s="28" t="s">
        <v>326</v>
      </c>
      <c r="F139" s="28"/>
      <c r="G139" s="63">
        <f t="shared" si="5"/>
        <v>0</v>
      </c>
      <c r="H139" s="28"/>
      <c r="I139" s="28"/>
      <c r="J139" s="63">
        <f t="shared" si="6"/>
        <v>0</v>
      </c>
      <c r="K139" s="17">
        <f>34000-4000+20000</f>
        <v>50000</v>
      </c>
      <c r="L139" s="17">
        <v>-2000</v>
      </c>
      <c r="M139" s="17">
        <f t="shared" si="9"/>
        <v>48000</v>
      </c>
      <c r="N139" s="19">
        <f t="shared" si="7"/>
        <v>48</v>
      </c>
      <c r="P139" s="26"/>
    </row>
    <row r="140" spans="1:16" s="29" customFormat="1" ht="45" customHeight="1">
      <c r="A140" s="27"/>
      <c r="B140" s="27"/>
      <c r="C140" s="27"/>
      <c r="D140" s="28" t="s">
        <v>304</v>
      </c>
      <c r="E140" s="28" t="s">
        <v>304</v>
      </c>
      <c r="F140" s="28"/>
      <c r="G140" s="63">
        <f t="shared" si="5"/>
        <v>0</v>
      </c>
      <c r="H140" s="28"/>
      <c r="I140" s="28"/>
      <c r="J140" s="63">
        <f t="shared" si="6"/>
        <v>0</v>
      </c>
      <c r="K140" s="17">
        <v>295000</v>
      </c>
      <c r="L140" s="17"/>
      <c r="M140" s="17">
        <f>L140+K140</f>
        <v>295000</v>
      </c>
      <c r="N140" s="19">
        <f t="shared" si="7"/>
        <v>295</v>
      </c>
      <c r="P140" s="26"/>
    </row>
    <row r="141" spans="1:16" s="29" customFormat="1" ht="34.5" customHeight="1">
      <c r="A141" s="27"/>
      <c r="B141" s="27"/>
      <c r="C141" s="27"/>
      <c r="D141" s="10" t="s">
        <v>221</v>
      </c>
      <c r="E141" s="10" t="s">
        <v>221</v>
      </c>
      <c r="F141" s="28"/>
      <c r="G141" s="63">
        <f t="shared" si="5"/>
        <v>0</v>
      </c>
      <c r="H141" s="28"/>
      <c r="I141" s="28"/>
      <c r="J141" s="63">
        <f t="shared" si="6"/>
        <v>0</v>
      </c>
      <c r="K141" s="24">
        <f>SUM(K142:K150)</f>
        <v>19356850.13</v>
      </c>
      <c r="L141" s="24">
        <f>SUM(L142:L150)</f>
        <v>0</v>
      </c>
      <c r="M141" s="24">
        <f>SUM(M142:M150)</f>
        <v>19356850.13</v>
      </c>
      <c r="N141" s="16">
        <f>SUM(N142:N150)</f>
        <v>19348.4</v>
      </c>
      <c r="P141" s="26"/>
    </row>
    <row r="142" spans="1:16" s="29" customFormat="1" ht="54" customHeight="1">
      <c r="A142" s="27"/>
      <c r="B142" s="27"/>
      <c r="C142" s="27"/>
      <c r="D142" s="28" t="s">
        <v>184</v>
      </c>
      <c r="E142" s="28" t="s">
        <v>184</v>
      </c>
      <c r="F142" s="28"/>
      <c r="G142" s="63">
        <f t="shared" si="5"/>
        <v>0</v>
      </c>
      <c r="H142" s="28"/>
      <c r="I142" s="28"/>
      <c r="J142" s="63">
        <f t="shared" si="6"/>
        <v>0</v>
      </c>
      <c r="K142" s="17">
        <v>250000</v>
      </c>
      <c r="L142" s="17"/>
      <c r="M142" s="17">
        <f aca="true" t="shared" si="10" ref="M142:M150">L142+K142</f>
        <v>250000</v>
      </c>
      <c r="N142" s="19">
        <f t="shared" si="7"/>
        <v>250</v>
      </c>
      <c r="P142" s="26"/>
    </row>
    <row r="143" spans="1:16" s="29" customFormat="1" ht="68.25" customHeight="1">
      <c r="A143" s="27"/>
      <c r="B143" s="27"/>
      <c r="C143" s="27"/>
      <c r="D143" s="28" t="s">
        <v>313</v>
      </c>
      <c r="E143" s="28" t="s">
        <v>313</v>
      </c>
      <c r="F143" s="28"/>
      <c r="G143" s="63">
        <f t="shared" si="5"/>
        <v>0</v>
      </c>
      <c r="H143" s="28"/>
      <c r="I143" s="28"/>
      <c r="J143" s="63">
        <f t="shared" si="6"/>
        <v>0</v>
      </c>
      <c r="K143" s="17">
        <v>250000</v>
      </c>
      <c r="L143" s="17"/>
      <c r="M143" s="17">
        <f t="shared" si="10"/>
        <v>250000</v>
      </c>
      <c r="N143" s="19">
        <f t="shared" si="7"/>
        <v>250</v>
      </c>
      <c r="P143" s="26"/>
    </row>
    <row r="144" spans="1:16" s="29" customFormat="1" ht="45" customHeight="1">
      <c r="A144" s="27"/>
      <c r="B144" s="27"/>
      <c r="C144" s="27"/>
      <c r="D144" s="28" t="s">
        <v>314</v>
      </c>
      <c r="E144" s="28" t="s">
        <v>314</v>
      </c>
      <c r="F144" s="28"/>
      <c r="G144" s="63">
        <f t="shared" si="5"/>
        <v>0</v>
      </c>
      <c r="H144" s="28"/>
      <c r="I144" s="28"/>
      <c r="J144" s="63">
        <f t="shared" si="6"/>
        <v>0</v>
      </c>
      <c r="K144" s="17">
        <v>240000</v>
      </c>
      <c r="L144" s="17"/>
      <c r="M144" s="17">
        <f t="shared" si="10"/>
        <v>240000</v>
      </c>
      <c r="N144" s="19">
        <f t="shared" si="7"/>
        <v>240</v>
      </c>
      <c r="P144" s="26"/>
    </row>
    <row r="145" spans="1:16" s="29" customFormat="1" ht="59.25" customHeight="1">
      <c r="A145" s="27"/>
      <c r="B145" s="27"/>
      <c r="C145" s="27"/>
      <c r="D145" s="28" t="s">
        <v>315</v>
      </c>
      <c r="E145" s="28" t="s">
        <v>315</v>
      </c>
      <c r="F145" s="28"/>
      <c r="G145" s="63">
        <f t="shared" si="5"/>
        <v>0</v>
      </c>
      <c r="H145" s="28"/>
      <c r="I145" s="28"/>
      <c r="J145" s="63">
        <f t="shared" si="6"/>
        <v>0</v>
      </c>
      <c r="K145" s="17">
        <v>240000</v>
      </c>
      <c r="L145" s="17"/>
      <c r="M145" s="17">
        <f t="shared" si="10"/>
        <v>240000</v>
      </c>
      <c r="N145" s="19">
        <f t="shared" si="7"/>
        <v>240</v>
      </c>
      <c r="P145" s="26"/>
    </row>
    <row r="146" spans="1:16" s="29" customFormat="1" ht="45.75" customHeight="1">
      <c r="A146" s="27"/>
      <c r="B146" s="27"/>
      <c r="C146" s="27"/>
      <c r="D146" s="28" t="s">
        <v>356</v>
      </c>
      <c r="E146" s="28" t="s">
        <v>356</v>
      </c>
      <c r="F146" s="28"/>
      <c r="G146" s="63">
        <f t="shared" si="5"/>
        <v>0</v>
      </c>
      <c r="H146" s="28"/>
      <c r="I146" s="28"/>
      <c r="J146" s="63">
        <f t="shared" si="6"/>
        <v>0</v>
      </c>
      <c r="K146" s="17">
        <v>20000</v>
      </c>
      <c r="L146" s="17"/>
      <c r="M146" s="17">
        <f t="shared" si="10"/>
        <v>20000</v>
      </c>
      <c r="N146" s="19">
        <f t="shared" si="7"/>
        <v>20</v>
      </c>
      <c r="P146" s="26"/>
    </row>
    <row r="147" spans="1:16" s="29" customFormat="1" ht="61.5" customHeight="1">
      <c r="A147" s="27"/>
      <c r="B147" s="27"/>
      <c r="C147" s="27"/>
      <c r="D147" s="28" t="s">
        <v>388</v>
      </c>
      <c r="E147" s="28" t="s">
        <v>388</v>
      </c>
      <c r="F147" s="28"/>
      <c r="G147" s="63">
        <f t="shared" si="5"/>
        <v>0</v>
      </c>
      <c r="H147" s="28"/>
      <c r="I147" s="28"/>
      <c r="J147" s="63">
        <f t="shared" si="6"/>
        <v>0</v>
      </c>
      <c r="K147" s="17">
        <f>2000000+13000000</f>
        <v>15000000</v>
      </c>
      <c r="L147" s="17"/>
      <c r="M147" s="17">
        <f t="shared" si="10"/>
        <v>15000000</v>
      </c>
      <c r="N147" s="19">
        <f>ROUND(M147/1000,1)-8.5</f>
        <v>14991.5</v>
      </c>
      <c r="P147" s="26"/>
    </row>
    <row r="148" spans="1:16" s="29" customFormat="1" ht="44.25" customHeight="1">
      <c r="A148" s="27"/>
      <c r="B148" s="27"/>
      <c r="C148" s="27"/>
      <c r="D148" s="28" t="s">
        <v>386</v>
      </c>
      <c r="E148" s="28" t="s">
        <v>386</v>
      </c>
      <c r="F148" s="28"/>
      <c r="G148" s="63">
        <f t="shared" si="5"/>
        <v>0</v>
      </c>
      <c r="H148" s="28"/>
      <c r="I148" s="28"/>
      <c r="J148" s="63">
        <f t="shared" si="6"/>
        <v>0</v>
      </c>
      <c r="K148" s="17">
        <v>200000</v>
      </c>
      <c r="L148" s="17"/>
      <c r="M148" s="17">
        <f t="shared" si="10"/>
        <v>200000</v>
      </c>
      <c r="N148" s="19">
        <f t="shared" si="7"/>
        <v>200</v>
      </c>
      <c r="P148" s="26"/>
    </row>
    <row r="149" spans="1:16" s="29" customFormat="1" ht="56.25" customHeight="1">
      <c r="A149" s="27"/>
      <c r="B149" s="27"/>
      <c r="C149" s="27"/>
      <c r="D149" s="28" t="s">
        <v>277</v>
      </c>
      <c r="E149" s="28" t="s">
        <v>277</v>
      </c>
      <c r="F149" s="28"/>
      <c r="G149" s="63">
        <f t="shared" si="5"/>
        <v>0</v>
      </c>
      <c r="H149" s="28"/>
      <c r="I149" s="28"/>
      <c r="J149" s="63">
        <f t="shared" si="6"/>
        <v>0</v>
      </c>
      <c r="K149" s="17">
        <v>2887850.13</v>
      </c>
      <c r="L149" s="17"/>
      <c r="M149" s="17">
        <f t="shared" si="10"/>
        <v>2887850.13</v>
      </c>
      <c r="N149" s="19">
        <f t="shared" si="7"/>
        <v>2887.9</v>
      </c>
      <c r="P149" s="26"/>
    </row>
    <row r="150" spans="1:16" s="29" customFormat="1" ht="48" customHeight="1">
      <c r="A150" s="27"/>
      <c r="B150" s="27"/>
      <c r="C150" s="27"/>
      <c r="D150" s="28" t="s">
        <v>323</v>
      </c>
      <c r="E150" s="28" t="s">
        <v>323</v>
      </c>
      <c r="F150" s="28"/>
      <c r="G150" s="63">
        <f t="shared" si="5"/>
        <v>0</v>
      </c>
      <c r="H150" s="28"/>
      <c r="I150" s="28"/>
      <c r="J150" s="63">
        <f t="shared" si="6"/>
        <v>0</v>
      </c>
      <c r="K150" s="17">
        <v>269000</v>
      </c>
      <c r="L150" s="17"/>
      <c r="M150" s="17">
        <f t="shared" si="10"/>
        <v>269000</v>
      </c>
      <c r="N150" s="19">
        <f t="shared" si="7"/>
        <v>269</v>
      </c>
      <c r="P150" s="26"/>
    </row>
    <row r="151" spans="1:16" s="29" customFormat="1" ht="46.5" customHeight="1">
      <c r="A151" s="27" t="s">
        <v>137</v>
      </c>
      <c r="B151" s="27" t="s">
        <v>138</v>
      </c>
      <c r="C151" s="27" t="s">
        <v>52</v>
      </c>
      <c r="D151" s="10" t="s">
        <v>436</v>
      </c>
      <c r="E151" s="28"/>
      <c r="F151" s="28"/>
      <c r="G151" s="63">
        <f t="shared" si="5"/>
        <v>0</v>
      </c>
      <c r="H151" s="28"/>
      <c r="I151" s="28"/>
      <c r="J151" s="63">
        <f t="shared" si="6"/>
        <v>0</v>
      </c>
      <c r="K151" s="24">
        <f>K152+K158</f>
        <v>5655800</v>
      </c>
      <c r="L151" s="24">
        <f>L152+L158</f>
        <v>0</v>
      </c>
      <c r="M151" s="24">
        <f>M152+M158</f>
        <v>5655800</v>
      </c>
      <c r="N151" s="16">
        <f>N152+N158</f>
        <v>5877.3</v>
      </c>
      <c r="P151" s="26"/>
    </row>
    <row r="152" spans="1:16" s="29" customFormat="1" ht="27" customHeight="1">
      <c r="A152" s="27"/>
      <c r="B152" s="27"/>
      <c r="C152" s="27"/>
      <c r="D152" s="73" t="s">
        <v>143</v>
      </c>
      <c r="E152" s="73" t="s">
        <v>143</v>
      </c>
      <c r="F152" s="28"/>
      <c r="G152" s="63">
        <f t="shared" si="5"/>
        <v>0</v>
      </c>
      <c r="H152" s="28"/>
      <c r="I152" s="28"/>
      <c r="J152" s="63">
        <f t="shared" si="6"/>
        <v>0</v>
      </c>
      <c r="K152" s="24">
        <f>K153+K154+K155+K157</f>
        <v>4211800</v>
      </c>
      <c r="L152" s="24">
        <f>L153+L154+L155+L157</f>
        <v>0</v>
      </c>
      <c r="M152" s="24">
        <f>M153+M154+M155+M157</f>
        <v>4211800</v>
      </c>
      <c r="N152" s="16">
        <f>SUM(N153:N157)</f>
        <v>4441.8</v>
      </c>
      <c r="O152" s="38"/>
      <c r="P152" s="26"/>
    </row>
    <row r="153" spans="1:16" s="29" customFormat="1" ht="29.25" customHeight="1">
      <c r="A153" s="27"/>
      <c r="B153" s="27"/>
      <c r="C153" s="27"/>
      <c r="D153" s="28" t="s">
        <v>437</v>
      </c>
      <c r="E153" s="28" t="s">
        <v>217</v>
      </c>
      <c r="F153" s="28"/>
      <c r="G153" s="63">
        <f t="shared" si="5"/>
        <v>0</v>
      </c>
      <c r="H153" s="28"/>
      <c r="I153" s="28"/>
      <c r="J153" s="63">
        <f t="shared" si="6"/>
        <v>0</v>
      </c>
      <c r="K153" s="17">
        <f>1000000-865000</f>
        <v>135000</v>
      </c>
      <c r="L153" s="17"/>
      <c r="M153" s="17">
        <f>L153+K153</f>
        <v>135000</v>
      </c>
      <c r="N153" s="19">
        <f>ROUND(M153/1000,1)+200</f>
        <v>335</v>
      </c>
      <c r="O153" s="38"/>
      <c r="P153" s="26"/>
    </row>
    <row r="154" spans="1:16" s="29" customFormat="1" ht="29.25" customHeight="1">
      <c r="A154" s="27"/>
      <c r="B154" s="27"/>
      <c r="C154" s="27"/>
      <c r="D154" s="28" t="s">
        <v>438</v>
      </c>
      <c r="E154" s="28" t="s">
        <v>220</v>
      </c>
      <c r="F154" s="28"/>
      <c r="G154" s="63">
        <f t="shared" si="5"/>
        <v>0</v>
      </c>
      <c r="H154" s="28"/>
      <c r="I154" s="28"/>
      <c r="J154" s="63">
        <f t="shared" si="6"/>
        <v>0</v>
      </c>
      <c r="K154" s="17">
        <v>3000000</v>
      </c>
      <c r="L154" s="17"/>
      <c r="M154" s="17">
        <f>L154+K154</f>
        <v>3000000</v>
      </c>
      <c r="N154" s="19">
        <f t="shared" si="7"/>
        <v>3000</v>
      </c>
      <c r="O154" s="122"/>
      <c r="P154" s="26"/>
    </row>
    <row r="155" spans="1:16" s="29" customFormat="1" ht="33" customHeight="1">
      <c r="A155" s="27"/>
      <c r="B155" s="27"/>
      <c r="C155" s="27"/>
      <c r="D155" s="28" t="s">
        <v>229</v>
      </c>
      <c r="E155" s="28" t="s">
        <v>229</v>
      </c>
      <c r="F155" s="28"/>
      <c r="G155" s="63">
        <f t="shared" si="5"/>
        <v>0</v>
      </c>
      <c r="H155" s="28"/>
      <c r="I155" s="28"/>
      <c r="J155" s="63">
        <f t="shared" si="6"/>
        <v>0</v>
      </c>
      <c r="K155" s="17">
        <v>376800</v>
      </c>
      <c r="L155" s="17"/>
      <c r="M155" s="17">
        <f>L155+K155</f>
        <v>376800</v>
      </c>
      <c r="N155" s="19">
        <f t="shared" si="7"/>
        <v>376.8</v>
      </c>
      <c r="O155" s="25"/>
      <c r="P155" s="26"/>
    </row>
    <row r="156" spans="1:16" s="29" customFormat="1" ht="33" customHeight="1">
      <c r="A156" s="27"/>
      <c r="B156" s="27"/>
      <c r="C156" s="27"/>
      <c r="D156" s="28" t="s">
        <v>474</v>
      </c>
      <c r="E156" s="28"/>
      <c r="F156" s="28"/>
      <c r="G156" s="63"/>
      <c r="H156" s="28"/>
      <c r="I156" s="28"/>
      <c r="J156" s="63"/>
      <c r="K156" s="17"/>
      <c r="L156" s="17"/>
      <c r="M156" s="17"/>
      <c r="N156" s="19">
        <v>30</v>
      </c>
      <c r="P156" s="26"/>
    </row>
    <row r="157" spans="1:16" s="29" customFormat="1" ht="72.75" customHeight="1">
      <c r="A157" s="27"/>
      <c r="B157" s="27"/>
      <c r="C157" s="27"/>
      <c r="D157" s="28" t="s">
        <v>330</v>
      </c>
      <c r="E157" s="28" t="s">
        <v>330</v>
      </c>
      <c r="F157" s="28"/>
      <c r="G157" s="63">
        <f t="shared" si="5"/>
        <v>0</v>
      </c>
      <c r="H157" s="28"/>
      <c r="I157" s="28"/>
      <c r="J157" s="63">
        <f t="shared" si="6"/>
        <v>0</v>
      </c>
      <c r="K157" s="17">
        <v>700000</v>
      </c>
      <c r="L157" s="17"/>
      <c r="M157" s="17">
        <f>L157+K157</f>
        <v>700000</v>
      </c>
      <c r="N157" s="19">
        <f t="shared" si="7"/>
        <v>700</v>
      </c>
      <c r="P157" s="26"/>
    </row>
    <row r="158" spans="1:16" s="29" customFormat="1" ht="28.5" customHeight="1">
      <c r="A158" s="27"/>
      <c r="B158" s="27"/>
      <c r="C158" s="27"/>
      <c r="D158" s="10" t="s">
        <v>147</v>
      </c>
      <c r="E158" s="10" t="s">
        <v>147</v>
      </c>
      <c r="F158" s="28"/>
      <c r="G158" s="63">
        <f t="shared" si="5"/>
        <v>0</v>
      </c>
      <c r="H158" s="28"/>
      <c r="I158" s="28"/>
      <c r="J158" s="63">
        <f t="shared" si="6"/>
        <v>0</v>
      </c>
      <c r="K158" s="24">
        <f>K159+K160</f>
        <v>1444000</v>
      </c>
      <c r="L158" s="24">
        <f>L159+L160</f>
        <v>0</v>
      </c>
      <c r="M158" s="24">
        <f>M159+M160</f>
        <v>1444000</v>
      </c>
      <c r="N158" s="14">
        <f>N159+N160</f>
        <v>1435.5</v>
      </c>
      <c r="P158" s="26"/>
    </row>
    <row r="159" spans="1:16" s="29" customFormat="1" ht="60" customHeight="1">
      <c r="A159" s="27"/>
      <c r="B159" s="27"/>
      <c r="C159" s="27"/>
      <c r="D159" s="28" t="s">
        <v>218</v>
      </c>
      <c r="E159" s="28" t="s">
        <v>218</v>
      </c>
      <c r="F159" s="28"/>
      <c r="G159" s="63">
        <f t="shared" si="5"/>
        <v>0</v>
      </c>
      <c r="H159" s="28"/>
      <c r="I159" s="28"/>
      <c r="J159" s="63">
        <f t="shared" si="6"/>
        <v>0</v>
      </c>
      <c r="K159" s="17">
        <f>1100000+94000</f>
        <v>1194000</v>
      </c>
      <c r="L159" s="17"/>
      <c r="M159" s="17">
        <f>L159+K159</f>
        <v>1194000</v>
      </c>
      <c r="N159" s="19">
        <f>ROUND(M159/1000,1)-8.5</f>
        <v>1185.5</v>
      </c>
      <c r="P159" s="26"/>
    </row>
    <row r="160" spans="1:16" s="29" customFormat="1" ht="29.25" customHeight="1">
      <c r="A160" s="27"/>
      <c r="B160" s="27"/>
      <c r="C160" s="27"/>
      <c r="D160" s="28" t="s">
        <v>219</v>
      </c>
      <c r="E160" s="28" t="s">
        <v>219</v>
      </c>
      <c r="F160" s="28"/>
      <c r="G160" s="63">
        <f t="shared" si="5"/>
        <v>0</v>
      </c>
      <c r="H160" s="28"/>
      <c r="I160" s="28"/>
      <c r="J160" s="63">
        <f t="shared" si="6"/>
        <v>0</v>
      </c>
      <c r="K160" s="17">
        <v>250000</v>
      </c>
      <c r="L160" s="17"/>
      <c r="M160" s="17">
        <f>L160+K160</f>
        <v>250000</v>
      </c>
      <c r="N160" s="19">
        <f t="shared" si="7"/>
        <v>250</v>
      </c>
      <c r="P160" s="26"/>
    </row>
    <row r="161" spans="1:16" s="25" customFormat="1" ht="34.5" customHeight="1">
      <c r="A161" s="23" t="s">
        <v>111</v>
      </c>
      <c r="B161" s="23" t="s">
        <v>69</v>
      </c>
      <c r="C161" s="23" t="s">
        <v>52</v>
      </c>
      <c r="D161" s="51" t="s">
        <v>439</v>
      </c>
      <c r="E161" s="51"/>
      <c r="F161" s="52"/>
      <c r="G161" s="63">
        <f t="shared" si="5"/>
        <v>0</v>
      </c>
      <c r="H161" s="52"/>
      <c r="I161" s="52"/>
      <c r="J161" s="63">
        <f t="shared" si="6"/>
        <v>0</v>
      </c>
      <c r="K161" s="24">
        <f>K162+K163</f>
        <v>3200000</v>
      </c>
      <c r="L161" s="24">
        <f>L162+L163</f>
        <v>0</v>
      </c>
      <c r="M161" s="24">
        <f>M162+M163</f>
        <v>3200000</v>
      </c>
      <c r="N161" s="16">
        <f>N162+N163</f>
        <v>2253.8</v>
      </c>
      <c r="O161" s="29"/>
      <c r="P161" s="26"/>
    </row>
    <row r="162" spans="1:16" s="38" customFormat="1" ht="31.5" customHeight="1">
      <c r="A162" s="30"/>
      <c r="B162" s="30"/>
      <c r="C162" s="30"/>
      <c r="D162" s="43" t="s">
        <v>178</v>
      </c>
      <c r="E162" s="43" t="s">
        <v>178</v>
      </c>
      <c r="F162" s="54"/>
      <c r="G162" s="77">
        <f t="shared" si="5"/>
        <v>0</v>
      </c>
      <c r="H162" s="54"/>
      <c r="I162" s="54"/>
      <c r="J162" s="77">
        <f t="shared" si="6"/>
        <v>0</v>
      </c>
      <c r="K162" s="33">
        <v>1200000</v>
      </c>
      <c r="L162" s="33"/>
      <c r="M162" s="33">
        <f>L162+K162</f>
        <v>1200000</v>
      </c>
      <c r="N162" s="34">
        <f>ROUND(M162/1000,1)-946.2</f>
        <v>253.79999999999995</v>
      </c>
      <c r="O162" s="29"/>
      <c r="P162" s="26"/>
    </row>
    <row r="163" spans="1:16" s="38" customFormat="1" ht="33" customHeight="1">
      <c r="A163" s="30"/>
      <c r="B163" s="30"/>
      <c r="C163" s="30"/>
      <c r="D163" s="43" t="s">
        <v>195</v>
      </c>
      <c r="E163" s="43" t="s">
        <v>195</v>
      </c>
      <c r="F163" s="54"/>
      <c r="G163" s="77">
        <f t="shared" si="5"/>
        <v>0</v>
      </c>
      <c r="H163" s="54"/>
      <c r="I163" s="54"/>
      <c r="J163" s="77">
        <f t="shared" si="6"/>
        <v>0</v>
      </c>
      <c r="K163" s="33">
        <f>2000000</f>
        <v>2000000</v>
      </c>
      <c r="L163" s="33">
        <f>1000000-1000000</f>
        <v>0</v>
      </c>
      <c r="M163" s="33">
        <f>L163+K163</f>
        <v>2000000</v>
      </c>
      <c r="N163" s="34">
        <f t="shared" si="7"/>
        <v>2000</v>
      </c>
      <c r="O163" s="29"/>
      <c r="P163" s="26"/>
    </row>
    <row r="164" spans="1:16" s="25" customFormat="1" ht="31.5" customHeight="1">
      <c r="A164" s="23" t="s">
        <v>271</v>
      </c>
      <c r="B164" s="23" t="s">
        <v>269</v>
      </c>
      <c r="C164" s="23"/>
      <c r="D164" s="51" t="s">
        <v>413</v>
      </c>
      <c r="E164" s="51"/>
      <c r="F164" s="52"/>
      <c r="G164" s="93">
        <f t="shared" si="5"/>
        <v>0</v>
      </c>
      <c r="H164" s="52"/>
      <c r="I164" s="52"/>
      <c r="J164" s="93">
        <f t="shared" si="6"/>
        <v>0</v>
      </c>
      <c r="K164" s="56">
        <f>SUM(K167)+K165</f>
        <v>1220892.46</v>
      </c>
      <c r="L164" s="56">
        <f>SUM(L167)+L165</f>
        <v>5092070</v>
      </c>
      <c r="M164" s="56">
        <f>SUM(M167)+M165</f>
        <v>6312962.46</v>
      </c>
      <c r="N164" s="16">
        <f>SUM(N167)+N165</f>
        <v>6312.9</v>
      </c>
      <c r="P164" s="26"/>
    </row>
    <row r="165" spans="1:16" s="29" customFormat="1" ht="48.75" customHeight="1">
      <c r="A165" s="40" t="s">
        <v>278</v>
      </c>
      <c r="B165" s="40" t="s">
        <v>279</v>
      </c>
      <c r="C165" s="30" t="s">
        <v>47</v>
      </c>
      <c r="D165" s="31" t="s">
        <v>280</v>
      </c>
      <c r="E165" s="43"/>
      <c r="F165" s="53"/>
      <c r="G165" s="63">
        <f t="shared" si="5"/>
        <v>0</v>
      </c>
      <c r="H165" s="53"/>
      <c r="I165" s="53"/>
      <c r="J165" s="63">
        <f t="shared" si="6"/>
        <v>0</v>
      </c>
      <c r="K165" s="46">
        <f>K166</f>
        <v>426739</v>
      </c>
      <c r="L165" s="46"/>
      <c r="M165" s="46">
        <f>L165+K165</f>
        <v>426739</v>
      </c>
      <c r="N165" s="34">
        <f t="shared" si="7"/>
        <v>426.7</v>
      </c>
      <c r="P165" s="26"/>
    </row>
    <row r="166" spans="1:16" s="29" customFormat="1" ht="68.25" customHeight="1">
      <c r="A166" s="40"/>
      <c r="B166" s="40"/>
      <c r="C166" s="27"/>
      <c r="D166" s="41" t="s">
        <v>376</v>
      </c>
      <c r="E166" s="41" t="s">
        <v>376</v>
      </c>
      <c r="F166" s="53"/>
      <c r="G166" s="63">
        <f aca="true" t="shared" si="11" ref="G166:G241">ROUND(F166/1000,1)</f>
        <v>0</v>
      </c>
      <c r="H166" s="53"/>
      <c r="I166" s="53"/>
      <c r="J166" s="63">
        <f aca="true" t="shared" si="12" ref="J166:J241">ROUND(I166/1000,1)</f>
        <v>0</v>
      </c>
      <c r="K166" s="45">
        <v>426739</v>
      </c>
      <c r="L166" s="45"/>
      <c r="M166" s="45">
        <f>L166+K166</f>
        <v>426739</v>
      </c>
      <c r="N166" s="19">
        <f aca="true" t="shared" si="13" ref="N166:N239">ROUND(M166/1000,1)</f>
        <v>426.7</v>
      </c>
      <c r="P166" s="26"/>
    </row>
    <row r="167" spans="1:16" s="38" customFormat="1" ht="60" customHeight="1">
      <c r="A167" s="30" t="s">
        <v>270</v>
      </c>
      <c r="B167" s="30" t="s">
        <v>276</v>
      </c>
      <c r="C167" s="30" t="s">
        <v>47</v>
      </c>
      <c r="D167" s="43" t="s">
        <v>267</v>
      </c>
      <c r="E167" s="43"/>
      <c r="F167" s="54"/>
      <c r="G167" s="63">
        <f t="shared" si="11"/>
        <v>0</v>
      </c>
      <c r="H167" s="54"/>
      <c r="I167" s="54"/>
      <c r="J167" s="63">
        <f t="shared" si="12"/>
        <v>0</v>
      </c>
      <c r="K167" s="46">
        <v>794153.46</v>
      </c>
      <c r="L167" s="46">
        <f>104070+1519000+3469000</f>
        <v>5092070</v>
      </c>
      <c r="M167" s="46">
        <f>L167+K167</f>
        <v>5886223.46</v>
      </c>
      <c r="N167" s="34">
        <f t="shared" si="13"/>
        <v>5886.2</v>
      </c>
      <c r="O167" s="29"/>
      <c r="P167" s="26"/>
    </row>
    <row r="168" spans="1:16" s="38" customFormat="1" ht="31.5" customHeight="1">
      <c r="A168" s="30"/>
      <c r="B168" s="30"/>
      <c r="C168" s="30"/>
      <c r="D168" s="43" t="s">
        <v>458</v>
      </c>
      <c r="E168" s="43"/>
      <c r="F168" s="54"/>
      <c r="G168" s="63"/>
      <c r="H168" s="54"/>
      <c r="I168" s="54"/>
      <c r="J168" s="63"/>
      <c r="K168" s="46"/>
      <c r="L168" s="46"/>
      <c r="M168" s="46"/>
      <c r="N168" s="34">
        <f>N170+N172+N174+N176+N178</f>
        <v>4242.9</v>
      </c>
      <c r="O168" s="29"/>
      <c r="P168" s="26"/>
    </row>
    <row r="169" spans="1:16" s="29" customFormat="1" ht="31.5" customHeight="1">
      <c r="A169" s="27"/>
      <c r="B169" s="27"/>
      <c r="C169" s="27"/>
      <c r="D169" s="41" t="s">
        <v>459</v>
      </c>
      <c r="E169" s="41"/>
      <c r="F169" s="53"/>
      <c r="G169" s="63"/>
      <c r="H169" s="53"/>
      <c r="I169" s="53"/>
      <c r="J169" s="63"/>
      <c r="K169" s="45"/>
      <c r="L169" s="45"/>
      <c r="M169" s="45"/>
      <c r="N169" s="19">
        <v>1721.2</v>
      </c>
      <c r="P169" s="26"/>
    </row>
    <row r="170" spans="1:16" s="38" customFormat="1" ht="31.5" customHeight="1">
      <c r="A170" s="30"/>
      <c r="B170" s="30"/>
      <c r="C170" s="30"/>
      <c r="D170" s="43" t="s">
        <v>458</v>
      </c>
      <c r="E170" s="43"/>
      <c r="F170" s="54"/>
      <c r="G170" s="63"/>
      <c r="H170" s="54"/>
      <c r="I170" s="54"/>
      <c r="J170" s="63"/>
      <c r="K170" s="46"/>
      <c r="L170" s="46"/>
      <c r="M170" s="46"/>
      <c r="N170" s="34">
        <v>1674.3</v>
      </c>
      <c r="O170" s="29"/>
      <c r="P170" s="26"/>
    </row>
    <row r="171" spans="1:16" s="29" customFormat="1" ht="61.5" customHeight="1">
      <c r="A171" s="27"/>
      <c r="B171" s="27"/>
      <c r="C171" s="27"/>
      <c r="D171" s="41" t="s">
        <v>460</v>
      </c>
      <c r="E171" s="41"/>
      <c r="F171" s="53"/>
      <c r="G171" s="63"/>
      <c r="H171" s="53"/>
      <c r="I171" s="53"/>
      <c r="J171" s="63"/>
      <c r="K171" s="45"/>
      <c r="L171" s="45"/>
      <c r="M171" s="45"/>
      <c r="N171" s="19">
        <v>978.5</v>
      </c>
      <c r="P171" s="26"/>
    </row>
    <row r="172" spans="1:16" s="38" customFormat="1" ht="25.5" customHeight="1">
      <c r="A172" s="30"/>
      <c r="B172" s="30"/>
      <c r="C172" s="30"/>
      <c r="D172" s="43" t="s">
        <v>458</v>
      </c>
      <c r="E172" s="43"/>
      <c r="F172" s="54"/>
      <c r="G172" s="63"/>
      <c r="H172" s="54"/>
      <c r="I172" s="54"/>
      <c r="J172" s="63"/>
      <c r="K172" s="46"/>
      <c r="L172" s="46"/>
      <c r="M172" s="46"/>
      <c r="N172" s="34">
        <v>950</v>
      </c>
      <c r="P172" s="26"/>
    </row>
    <row r="173" spans="1:16" s="29" customFormat="1" ht="33" customHeight="1">
      <c r="A173" s="27"/>
      <c r="B173" s="27"/>
      <c r="C173" s="27"/>
      <c r="D173" s="41" t="s">
        <v>461</v>
      </c>
      <c r="E173" s="41"/>
      <c r="F173" s="53"/>
      <c r="G173" s="63"/>
      <c r="H173" s="53"/>
      <c r="I173" s="53"/>
      <c r="J173" s="63"/>
      <c r="K173" s="45"/>
      <c r="L173" s="45"/>
      <c r="M173" s="45"/>
      <c r="N173" s="19">
        <v>640.6</v>
      </c>
      <c r="O173" s="125"/>
      <c r="P173" s="26"/>
    </row>
    <row r="174" spans="1:16" s="38" customFormat="1" ht="25.5" customHeight="1">
      <c r="A174" s="30"/>
      <c r="B174" s="30"/>
      <c r="C174" s="30"/>
      <c r="D174" s="43" t="s">
        <v>458</v>
      </c>
      <c r="E174" s="43"/>
      <c r="F174" s="54"/>
      <c r="G174" s="63"/>
      <c r="H174" s="54"/>
      <c r="I174" s="54"/>
      <c r="J174" s="63"/>
      <c r="K174" s="46"/>
      <c r="L174" s="46"/>
      <c r="M174" s="46"/>
      <c r="N174" s="34">
        <v>621.6</v>
      </c>
      <c r="O174" s="29"/>
      <c r="P174" s="26"/>
    </row>
    <row r="175" spans="1:16" s="29" customFormat="1" ht="35.25" customHeight="1">
      <c r="A175" s="27"/>
      <c r="B175" s="27"/>
      <c r="C175" s="27"/>
      <c r="D175" s="41" t="s">
        <v>462</v>
      </c>
      <c r="E175" s="41"/>
      <c r="F175" s="53"/>
      <c r="G175" s="63"/>
      <c r="H175" s="53"/>
      <c r="I175" s="53"/>
      <c r="J175" s="63"/>
      <c r="K175" s="45"/>
      <c r="L175" s="45"/>
      <c r="M175" s="45"/>
      <c r="N175" s="19">
        <v>305.9</v>
      </c>
      <c r="O175" s="25"/>
      <c r="P175" s="26"/>
    </row>
    <row r="176" spans="1:16" s="38" customFormat="1" ht="24" customHeight="1">
      <c r="A176" s="30"/>
      <c r="B176" s="30"/>
      <c r="C176" s="30"/>
      <c r="D176" s="43" t="s">
        <v>458</v>
      </c>
      <c r="E176" s="43"/>
      <c r="F176" s="54"/>
      <c r="G176" s="63"/>
      <c r="H176" s="54"/>
      <c r="I176" s="54"/>
      <c r="J176" s="63"/>
      <c r="K176" s="46"/>
      <c r="L176" s="46"/>
      <c r="M176" s="46"/>
      <c r="N176" s="34">
        <v>297</v>
      </c>
      <c r="O176" s="29"/>
      <c r="P176" s="26"/>
    </row>
    <row r="177" spans="1:16" s="29" customFormat="1" ht="69" customHeight="1">
      <c r="A177" s="27"/>
      <c r="B177" s="27"/>
      <c r="C177" s="27"/>
      <c r="D177" s="41" t="s">
        <v>463</v>
      </c>
      <c r="E177" s="41"/>
      <c r="F177" s="53"/>
      <c r="G177" s="63"/>
      <c r="H177" s="53"/>
      <c r="I177" s="53"/>
      <c r="J177" s="63"/>
      <c r="K177" s="45"/>
      <c r="L177" s="45"/>
      <c r="M177" s="45"/>
      <c r="N177" s="19">
        <v>2240</v>
      </c>
      <c r="O177" s="25"/>
      <c r="P177" s="26"/>
    </row>
    <row r="178" spans="1:16" s="38" customFormat="1" ht="24.75" customHeight="1">
      <c r="A178" s="30"/>
      <c r="B178" s="30"/>
      <c r="C178" s="30"/>
      <c r="D178" s="43" t="s">
        <v>458</v>
      </c>
      <c r="E178" s="43"/>
      <c r="F178" s="54"/>
      <c r="G178" s="63"/>
      <c r="H178" s="54"/>
      <c r="I178" s="54"/>
      <c r="J178" s="63"/>
      <c r="K178" s="46"/>
      <c r="L178" s="46"/>
      <c r="M178" s="46"/>
      <c r="N178" s="34">
        <v>700</v>
      </c>
      <c r="O178" s="29"/>
      <c r="P178" s="26"/>
    </row>
    <row r="179" spans="1:16" s="29" customFormat="1" ht="27.75" customHeight="1">
      <c r="A179" s="27" t="s">
        <v>112</v>
      </c>
      <c r="B179" s="47">
        <v>9770</v>
      </c>
      <c r="C179" s="27" t="s">
        <v>25</v>
      </c>
      <c r="D179" s="41" t="s">
        <v>213</v>
      </c>
      <c r="E179" s="41"/>
      <c r="F179" s="41"/>
      <c r="G179" s="63">
        <f t="shared" si="11"/>
        <v>0</v>
      </c>
      <c r="H179" s="41"/>
      <c r="I179" s="41"/>
      <c r="J179" s="63">
        <f t="shared" si="12"/>
        <v>0</v>
      </c>
      <c r="K179" s="17">
        <v>1220000</v>
      </c>
      <c r="L179" s="17"/>
      <c r="M179" s="17">
        <f>L179+K179</f>
        <v>1220000</v>
      </c>
      <c r="N179" s="19">
        <f t="shared" si="13"/>
        <v>1220</v>
      </c>
      <c r="P179" s="26"/>
    </row>
    <row r="180" spans="1:16" s="25" customFormat="1" ht="42" customHeight="1">
      <c r="A180" s="23" t="s">
        <v>57</v>
      </c>
      <c r="B180" s="55"/>
      <c r="C180" s="55"/>
      <c r="D180" s="10" t="s">
        <v>19</v>
      </c>
      <c r="E180" s="10"/>
      <c r="F180" s="10"/>
      <c r="G180" s="63">
        <f t="shared" si="11"/>
        <v>0</v>
      </c>
      <c r="H180" s="10"/>
      <c r="I180" s="10"/>
      <c r="J180" s="63">
        <f t="shared" si="12"/>
        <v>0</v>
      </c>
      <c r="K180" s="24">
        <f>K181</f>
        <v>10000</v>
      </c>
      <c r="L180" s="24">
        <f>L181</f>
        <v>30000</v>
      </c>
      <c r="M180" s="24">
        <f>M181</f>
        <v>40000</v>
      </c>
      <c r="N180" s="16">
        <f>N181</f>
        <v>40</v>
      </c>
      <c r="O180" s="57"/>
      <c r="P180" s="26"/>
    </row>
    <row r="181" spans="1:16" s="29" customFormat="1" ht="54.75" customHeight="1">
      <c r="A181" s="27" t="s">
        <v>0</v>
      </c>
      <c r="B181" s="27" t="s">
        <v>58</v>
      </c>
      <c r="C181" s="27" t="s">
        <v>26</v>
      </c>
      <c r="D181" s="28" t="s">
        <v>59</v>
      </c>
      <c r="E181" s="28"/>
      <c r="F181" s="28"/>
      <c r="G181" s="63">
        <f t="shared" si="11"/>
        <v>0</v>
      </c>
      <c r="H181" s="28"/>
      <c r="I181" s="28"/>
      <c r="J181" s="63">
        <f t="shared" si="12"/>
        <v>0</v>
      </c>
      <c r="K181" s="17">
        <f>20000-10000</f>
        <v>10000</v>
      </c>
      <c r="L181" s="17">
        <v>30000</v>
      </c>
      <c r="M181" s="17">
        <f>L181+K181</f>
        <v>40000</v>
      </c>
      <c r="N181" s="19">
        <f t="shared" si="13"/>
        <v>40</v>
      </c>
      <c r="O181" s="48"/>
      <c r="P181" s="26"/>
    </row>
    <row r="182" spans="1:16" s="25" customFormat="1" ht="45.75" customHeight="1">
      <c r="A182" s="23" t="s">
        <v>13</v>
      </c>
      <c r="B182" s="23"/>
      <c r="C182" s="23"/>
      <c r="D182" s="10" t="s">
        <v>18</v>
      </c>
      <c r="E182" s="10"/>
      <c r="F182" s="10"/>
      <c r="G182" s="63">
        <f t="shared" si="11"/>
        <v>0</v>
      </c>
      <c r="H182" s="10"/>
      <c r="I182" s="10"/>
      <c r="J182" s="63">
        <f t="shared" si="12"/>
        <v>0</v>
      </c>
      <c r="K182" s="24">
        <f>K184+K312+K187+K205+K240+K302+K305+K185</f>
        <v>177809434</v>
      </c>
      <c r="L182" s="24">
        <f>L184+L312+L187+L205+L240+L302+L305+L185</f>
        <v>1727000</v>
      </c>
      <c r="M182" s="24">
        <f>M184+M312+M187+M205+M240+M302+M305+M185</f>
        <v>179536434</v>
      </c>
      <c r="N182" s="16">
        <f>N184+N312+N187+N205+N240+N302+N305+N185</f>
        <v>178702.9</v>
      </c>
      <c r="O182" s="61"/>
      <c r="P182" s="26"/>
    </row>
    <row r="183" spans="1:16" s="25" customFormat="1" ht="32.25" customHeight="1">
      <c r="A183" s="23"/>
      <c r="B183" s="23"/>
      <c r="C183" s="23"/>
      <c r="D183" s="67" t="s">
        <v>458</v>
      </c>
      <c r="E183" s="10"/>
      <c r="F183" s="10"/>
      <c r="G183" s="93"/>
      <c r="H183" s="10"/>
      <c r="I183" s="10"/>
      <c r="J183" s="93"/>
      <c r="K183" s="24"/>
      <c r="L183" s="24"/>
      <c r="M183" s="24"/>
      <c r="N183" s="18">
        <f>N307</f>
        <v>300.1</v>
      </c>
      <c r="O183" s="61"/>
      <c r="P183" s="26"/>
    </row>
    <row r="184" spans="1:16" s="29" customFormat="1" ht="40.5" customHeight="1">
      <c r="A184" s="27" t="s">
        <v>113</v>
      </c>
      <c r="B184" s="27" t="s">
        <v>67</v>
      </c>
      <c r="C184" s="27" t="s">
        <v>41</v>
      </c>
      <c r="D184" s="28" t="s">
        <v>68</v>
      </c>
      <c r="E184" s="28"/>
      <c r="F184" s="28"/>
      <c r="G184" s="63">
        <f t="shared" si="11"/>
        <v>0</v>
      </c>
      <c r="H184" s="28"/>
      <c r="I184" s="28"/>
      <c r="J184" s="63">
        <f t="shared" si="12"/>
        <v>0</v>
      </c>
      <c r="K184" s="17">
        <f>60000000+30000000-3248000+263500</f>
        <v>87015500</v>
      </c>
      <c r="L184" s="17"/>
      <c r="M184" s="17">
        <f>L184+K184</f>
        <v>87015500</v>
      </c>
      <c r="N184" s="19">
        <f>ROUND(M184/1000,1)+1000</f>
        <v>88015.5</v>
      </c>
      <c r="O184" s="61"/>
      <c r="P184" s="26"/>
    </row>
    <row r="185" spans="1:16" s="29" customFormat="1" ht="35.25" customHeight="1">
      <c r="A185" s="27" t="s">
        <v>296</v>
      </c>
      <c r="B185" s="27" t="s">
        <v>301</v>
      </c>
      <c r="C185" s="27"/>
      <c r="D185" s="28" t="s">
        <v>440</v>
      </c>
      <c r="E185" s="28"/>
      <c r="F185" s="28"/>
      <c r="G185" s="63">
        <f t="shared" si="11"/>
        <v>0</v>
      </c>
      <c r="H185" s="28"/>
      <c r="I185" s="28"/>
      <c r="J185" s="63">
        <f t="shared" si="12"/>
        <v>0</v>
      </c>
      <c r="K185" s="17">
        <f>K186</f>
        <v>500000</v>
      </c>
      <c r="L185" s="17">
        <f>L186</f>
        <v>0</v>
      </c>
      <c r="M185" s="17">
        <f>M186</f>
        <v>500000</v>
      </c>
      <c r="N185" s="20">
        <f>N186</f>
        <v>500</v>
      </c>
      <c r="O185" s="61"/>
      <c r="P185" s="26"/>
    </row>
    <row r="186" spans="1:16" s="38" customFormat="1" ht="39" customHeight="1">
      <c r="A186" s="30" t="s">
        <v>297</v>
      </c>
      <c r="B186" s="30" t="s">
        <v>300</v>
      </c>
      <c r="C186" s="30" t="s">
        <v>299</v>
      </c>
      <c r="D186" s="31" t="s">
        <v>298</v>
      </c>
      <c r="E186" s="31"/>
      <c r="F186" s="31"/>
      <c r="G186" s="63">
        <f t="shared" si="11"/>
        <v>0</v>
      </c>
      <c r="H186" s="31"/>
      <c r="I186" s="31"/>
      <c r="J186" s="63">
        <f t="shared" si="12"/>
        <v>0</v>
      </c>
      <c r="K186" s="33">
        <v>500000</v>
      </c>
      <c r="L186" s="33"/>
      <c r="M186" s="33">
        <f>L186+K186</f>
        <v>500000</v>
      </c>
      <c r="N186" s="34">
        <f t="shared" si="13"/>
        <v>500</v>
      </c>
      <c r="O186" s="48"/>
      <c r="P186" s="26"/>
    </row>
    <row r="187" spans="1:152" s="25" customFormat="1" ht="36" customHeight="1">
      <c r="A187" s="21">
        <v>1517310</v>
      </c>
      <c r="B187" s="27" t="s">
        <v>136</v>
      </c>
      <c r="C187" s="27" t="s">
        <v>52</v>
      </c>
      <c r="D187" s="10" t="s">
        <v>421</v>
      </c>
      <c r="E187" s="10"/>
      <c r="F187" s="56"/>
      <c r="G187" s="63">
        <f t="shared" si="11"/>
        <v>0</v>
      </c>
      <c r="H187" s="56"/>
      <c r="I187" s="56"/>
      <c r="J187" s="63">
        <f t="shared" si="12"/>
        <v>0</v>
      </c>
      <c r="K187" s="24">
        <f>K188+K194</f>
        <v>9501000</v>
      </c>
      <c r="L187" s="24">
        <f>L188+L194</f>
        <v>0</v>
      </c>
      <c r="M187" s="24">
        <f>M188+M194</f>
        <v>9501000</v>
      </c>
      <c r="N187" s="16">
        <f>N188+N194</f>
        <v>9501</v>
      </c>
      <c r="O187" s="61"/>
      <c r="P187" s="26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</row>
    <row r="188" spans="1:152" s="29" customFormat="1" ht="27.75" customHeight="1">
      <c r="A188" s="58"/>
      <c r="B188" s="59"/>
      <c r="C188" s="59"/>
      <c r="D188" s="73" t="s">
        <v>143</v>
      </c>
      <c r="E188" s="73" t="s">
        <v>143</v>
      </c>
      <c r="F188" s="56"/>
      <c r="G188" s="63">
        <f t="shared" si="11"/>
        <v>0</v>
      </c>
      <c r="H188" s="56"/>
      <c r="I188" s="56"/>
      <c r="J188" s="63">
        <f t="shared" si="12"/>
        <v>0</v>
      </c>
      <c r="K188" s="24">
        <f>SUM(K189:K193)</f>
        <v>5458500</v>
      </c>
      <c r="L188" s="24">
        <f>SUM(L189:L193)</f>
        <v>0</v>
      </c>
      <c r="M188" s="24">
        <f>SUM(M189:M193)</f>
        <v>5458500</v>
      </c>
      <c r="N188" s="16">
        <f>SUM(N189:N193)</f>
        <v>5458.5</v>
      </c>
      <c r="O188" s="61"/>
      <c r="P188" s="26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</row>
    <row r="189" spans="1:152" ht="27.75" customHeight="1">
      <c r="A189" s="58"/>
      <c r="B189" s="58"/>
      <c r="C189" s="58"/>
      <c r="D189" s="53" t="s">
        <v>144</v>
      </c>
      <c r="E189" s="53" t="s">
        <v>144</v>
      </c>
      <c r="F189" s="60">
        <v>9888427</v>
      </c>
      <c r="G189" s="63">
        <f t="shared" si="11"/>
        <v>9888.4</v>
      </c>
      <c r="H189" s="58">
        <v>97.9</v>
      </c>
      <c r="I189" s="60">
        <v>9684425</v>
      </c>
      <c r="J189" s="63">
        <f t="shared" si="12"/>
        <v>9684.4</v>
      </c>
      <c r="K189" s="17">
        <v>3000000</v>
      </c>
      <c r="L189" s="17"/>
      <c r="M189" s="17">
        <f>L189+K189</f>
        <v>3000000</v>
      </c>
      <c r="N189" s="19">
        <f t="shared" si="13"/>
        <v>3000</v>
      </c>
      <c r="O189" s="61"/>
      <c r="P189" s="26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</row>
    <row r="190" spans="1:152" ht="30.75" customHeight="1">
      <c r="A190" s="59"/>
      <c r="B190" s="59"/>
      <c r="C190" s="59"/>
      <c r="D190" s="62" t="s">
        <v>145</v>
      </c>
      <c r="E190" s="62" t="s">
        <v>145</v>
      </c>
      <c r="F190" s="60">
        <v>2186292</v>
      </c>
      <c r="G190" s="63">
        <f t="shared" si="11"/>
        <v>2186.3</v>
      </c>
      <c r="H190" s="63">
        <v>20.23</v>
      </c>
      <c r="I190" s="60">
        <v>442271</v>
      </c>
      <c r="J190" s="63">
        <f t="shared" si="12"/>
        <v>442.3</v>
      </c>
      <c r="K190" s="17">
        <v>400000</v>
      </c>
      <c r="L190" s="17"/>
      <c r="M190" s="17">
        <f>L190+K190</f>
        <v>400000</v>
      </c>
      <c r="N190" s="19">
        <f t="shared" si="13"/>
        <v>400</v>
      </c>
      <c r="O190" s="61"/>
      <c r="P190" s="26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</row>
    <row r="191" spans="1:152" ht="42.75" customHeight="1">
      <c r="A191" s="59"/>
      <c r="B191" s="59"/>
      <c r="C191" s="59"/>
      <c r="D191" s="62" t="s">
        <v>352</v>
      </c>
      <c r="E191" s="62" t="s">
        <v>352</v>
      </c>
      <c r="F191" s="60"/>
      <c r="G191" s="63">
        <f t="shared" si="11"/>
        <v>0</v>
      </c>
      <c r="H191" s="63"/>
      <c r="I191" s="60"/>
      <c r="J191" s="63">
        <f t="shared" si="12"/>
        <v>0</v>
      </c>
      <c r="K191" s="17">
        <v>50000</v>
      </c>
      <c r="L191" s="17"/>
      <c r="M191" s="17">
        <f>L191+K191</f>
        <v>50000</v>
      </c>
      <c r="N191" s="19">
        <f t="shared" si="13"/>
        <v>50</v>
      </c>
      <c r="O191" s="61"/>
      <c r="P191" s="26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  <c r="DH191" s="61"/>
      <c r="DI191" s="61"/>
      <c r="DJ191" s="61"/>
      <c r="DK191" s="61"/>
      <c r="DL191" s="61"/>
      <c r="DM191" s="61"/>
      <c r="DN191" s="61"/>
      <c r="DO191" s="61"/>
      <c r="DP191" s="61"/>
      <c r="DQ191" s="61"/>
      <c r="DR191" s="61"/>
      <c r="DS191" s="61"/>
      <c r="DT191" s="61"/>
      <c r="DU191" s="61"/>
      <c r="DV191" s="61"/>
      <c r="DW191" s="61"/>
      <c r="DX191" s="61"/>
      <c r="DY191" s="61"/>
      <c r="DZ191" s="61"/>
      <c r="EA191" s="61"/>
      <c r="EB191" s="61"/>
      <c r="EC191" s="61"/>
      <c r="ED191" s="61"/>
      <c r="EE191" s="61"/>
      <c r="EF191" s="61"/>
      <c r="EG191" s="61"/>
      <c r="EH191" s="61"/>
      <c r="EI191" s="61"/>
      <c r="EJ191" s="61"/>
      <c r="EK191" s="61"/>
      <c r="EL191" s="61"/>
      <c r="EM191" s="61"/>
      <c r="EN191" s="61"/>
      <c r="EO191" s="61"/>
      <c r="EP191" s="61"/>
      <c r="EQ191" s="61"/>
      <c r="ER191" s="61"/>
      <c r="ES191" s="61"/>
      <c r="ET191" s="61"/>
      <c r="EU191" s="61"/>
      <c r="EV191" s="61"/>
    </row>
    <row r="192" spans="1:16" s="61" customFormat="1" ht="36.75" customHeight="1">
      <c r="A192" s="59"/>
      <c r="B192" s="59"/>
      <c r="C192" s="59"/>
      <c r="D192" s="62" t="s">
        <v>146</v>
      </c>
      <c r="E192" s="62" t="s">
        <v>146</v>
      </c>
      <c r="F192" s="60">
        <v>41125371</v>
      </c>
      <c r="G192" s="63">
        <f t="shared" si="11"/>
        <v>41125.4</v>
      </c>
      <c r="H192" s="63">
        <v>52.38</v>
      </c>
      <c r="I192" s="60">
        <v>21542607</v>
      </c>
      <c r="J192" s="63">
        <f t="shared" si="12"/>
        <v>21542.6</v>
      </c>
      <c r="K192" s="17">
        <v>2000000</v>
      </c>
      <c r="L192" s="17"/>
      <c r="M192" s="17">
        <f>L192+K192</f>
        <v>2000000</v>
      </c>
      <c r="N192" s="19">
        <f t="shared" si="13"/>
        <v>2000</v>
      </c>
      <c r="P192" s="26"/>
    </row>
    <row r="193" spans="1:16" s="61" customFormat="1" ht="30.75" customHeight="1">
      <c r="A193" s="59"/>
      <c r="B193" s="59"/>
      <c r="C193" s="59"/>
      <c r="D193" s="62" t="s">
        <v>281</v>
      </c>
      <c r="E193" s="62" t="s">
        <v>281</v>
      </c>
      <c r="F193" s="60">
        <v>1681565</v>
      </c>
      <c r="G193" s="63">
        <f t="shared" si="11"/>
        <v>1681.6</v>
      </c>
      <c r="H193" s="63">
        <v>11.6</v>
      </c>
      <c r="I193" s="60">
        <v>194907</v>
      </c>
      <c r="J193" s="63">
        <f t="shared" si="12"/>
        <v>194.9</v>
      </c>
      <c r="K193" s="17">
        <v>8500</v>
      </c>
      <c r="L193" s="17"/>
      <c r="M193" s="17">
        <f>L193+K193</f>
        <v>8500</v>
      </c>
      <c r="N193" s="19">
        <f t="shared" si="13"/>
        <v>8.5</v>
      </c>
      <c r="P193" s="26"/>
    </row>
    <row r="194" spans="1:152" s="29" customFormat="1" ht="29.25" customHeight="1">
      <c r="A194" s="58"/>
      <c r="B194" s="59"/>
      <c r="C194" s="59"/>
      <c r="D194" s="10" t="s">
        <v>147</v>
      </c>
      <c r="E194" s="10" t="s">
        <v>147</v>
      </c>
      <c r="F194" s="64"/>
      <c r="G194" s="63">
        <f t="shared" si="11"/>
        <v>0</v>
      </c>
      <c r="H194" s="56"/>
      <c r="I194" s="60"/>
      <c r="J194" s="63">
        <f>ROUND(I194/1000,1)</f>
        <v>0</v>
      </c>
      <c r="K194" s="24">
        <f>SUM(K195:K204)</f>
        <v>4042500</v>
      </c>
      <c r="L194" s="24">
        <f>SUM(L195:L204)</f>
        <v>0</v>
      </c>
      <c r="M194" s="24">
        <f>SUM(M195:M204)</f>
        <v>4042500</v>
      </c>
      <c r="N194" s="16">
        <f>SUM(N195:N204)</f>
        <v>4042.5</v>
      </c>
      <c r="O194" s="61"/>
      <c r="P194" s="26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</row>
    <row r="195" spans="1:16" s="61" customFormat="1" ht="30" customHeight="1">
      <c r="A195" s="59"/>
      <c r="B195" s="59"/>
      <c r="C195" s="59"/>
      <c r="D195" s="62" t="s">
        <v>148</v>
      </c>
      <c r="E195" s="62" t="s">
        <v>148</v>
      </c>
      <c r="F195" s="60">
        <v>16481572</v>
      </c>
      <c r="G195" s="63">
        <f t="shared" si="11"/>
        <v>16481.6</v>
      </c>
      <c r="H195" s="63">
        <v>81.3</v>
      </c>
      <c r="I195" s="60">
        <v>13394899</v>
      </c>
      <c r="J195" s="63">
        <f t="shared" si="12"/>
        <v>13394.9</v>
      </c>
      <c r="K195" s="17">
        <v>2000000</v>
      </c>
      <c r="L195" s="17"/>
      <c r="M195" s="17">
        <f aca="true" t="shared" si="14" ref="M195:M204">L195+K195</f>
        <v>2000000</v>
      </c>
      <c r="N195" s="19">
        <f t="shared" si="13"/>
        <v>2000</v>
      </c>
      <c r="P195" s="26"/>
    </row>
    <row r="196" spans="1:16" s="61" customFormat="1" ht="37.5" customHeight="1">
      <c r="A196" s="59"/>
      <c r="B196" s="59"/>
      <c r="C196" s="59"/>
      <c r="D196" s="41" t="s">
        <v>149</v>
      </c>
      <c r="E196" s="41" t="s">
        <v>149</v>
      </c>
      <c r="F196" s="65"/>
      <c r="G196" s="63">
        <f t="shared" si="11"/>
        <v>0</v>
      </c>
      <c r="H196" s="63"/>
      <c r="I196" s="60"/>
      <c r="J196" s="63">
        <f t="shared" si="12"/>
        <v>0</v>
      </c>
      <c r="K196" s="17">
        <v>500000</v>
      </c>
      <c r="L196" s="17">
        <v>-8000</v>
      </c>
      <c r="M196" s="17">
        <f t="shared" si="14"/>
        <v>492000</v>
      </c>
      <c r="N196" s="19">
        <f t="shared" si="13"/>
        <v>492</v>
      </c>
      <c r="P196" s="26"/>
    </row>
    <row r="197" spans="1:16" s="61" customFormat="1" ht="30" customHeight="1">
      <c r="A197" s="59"/>
      <c r="B197" s="59"/>
      <c r="C197" s="59"/>
      <c r="D197" s="41" t="s">
        <v>150</v>
      </c>
      <c r="E197" s="41" t="s">
        <v>150</v>
      </c>
      <c r="F197" s="65"/>
      <c r="G197" s="63">
        <f t="shared" si="11"/>
        <v>0</v>
      </c>
      <c r="H197" s="63"/>
      <c r="I197" s="60"/>
      <c r="J197" s="63">
        <f t="shared" si="12"/>
        <v>0</v>
      </c>
      <c r="K197" s="17">
        <v>500000</v>
      </c>
      <c r="L197" s="17">
        <v>495000</v>
      </c>
      <c r="M197" s="17">
        <f t="shared" si="14"/>
        <v>995000</v>
      </c>
      <c r="N197" s="19">
        <f t="shared" si="13"/>
        <v>995</v>
      </c>
      <c r="P197" s="26"/>
    </row>
    <row r="198" spans="1:16" s="61" customFormat="1" ht="33" customHeight="1">
      <c r="A198" s="59"/>
      <c r="B198" s="59"/>
      <c r="C198" s="59"/>
      <c r="D198" s="41" t="s">
        <v>151</v>
      </c>
      <c r="E198" s="41" t="s">
        <v>151</v>
      </c>
      <c r="F198" s="65"/>
      <c r="G198" s="63">
        <f t="shared" si="11"/>
        <v>0</v>
      </c>
      <c r="H198" s="63"/>
      <c r="I198" s="60"/>
      <c r="J198" s="63">
        <f t="shared" si="12"/>
        <v>0</v>
      </c>
      <c r="K198" s="17">
        <v>500000</v>
      </c>
      <c r="L198" s="17">
        <v>-267000</v>
      </c>
      <c r="M198" s="17">
        <f t="shared" si="14"/>
        <v>233000</v>
      </c>
      <c r="N198" s="19">
        <f t="shared" si="13"/>
        <v>233</v>
      </c>
      <c r="O198" s="57"/>
      <c r="P198" s="26"/>
    </row>
    <row r="199" spans="1:16" s="61" customFormat="1" ht="36.75" customHeight="1">
      <c r="A199" s="59"/>
      <c r="B199" s="59"/>
      <c r="C199" s="59"/>
      <c r="D199" s="41" t="s">
        <v>152</v>
      </c>
      <c r="E199" s="41" t="s">
        <v>152</v>
      </c>
      <c r="F199" s="65"/>
      <c r="G199" s="63">
        <f t="shared" si="11"/>
        <v>0</v>
      </c>
      <c r="H199" s="63"/>
      <c r="I199" s="60"/>
      <c r="J199" s="63">
        <f t="shared" si="12"/>
        <v>0</v>
      </c>
      <c r="K199" s="17">
        <v>500000</v>
      </c>
      <c r="L199" s="17">
        <v>-220000</v>
      </c>
      <c r="M199" s="17">
        <f t="shared" si="14"/>
        <v>280000</v>
      </c>
      <c r="N199" s="19">
        <f t="shared" si="13"/>
        <v>280</v>
      </c>
      <c r="O199" s="71"/>
      <c r="P199" s="26"/>
    </row>
    <row r="200" spans="1:16" s="61" customFormat="1" ht="27" customHeight="1">
      <c r="A200" s="59"/>
      <c r="B200" s="59"/>
      <c r="C200" s="59"/>
      <c r="D200" s="41" t="s">
        <v>282</v>
      </c>
      <c r="E200" s="41" t="s">
        <v>282</v>
      </c>
      <c r="F200" s="65"/>
      <c r="G200" s="63">
        <f t="shared" si="11"/>
        <v>0</v>
      </c>
      <c r="H200" s="63"/>
      <c r="I200" s="60"/>
      <c r="J200" s="63">
        <f t="shared" si="12"/>
        <v>0</v>
      </c>
      <c r="K200" s="17">
        <v>8500</v>
      </c>
      <c r="L200" s="17"/>
      <c r="M200" s="17">
        <f t="shared" si="14"/>
        <v>8500</v>
      </c>
      <c r="N200" s="19">
        <f t="shared" si="13"/>
        <v>8.5</v>
      </c>
      <c r="O200" s="48"/>
      <c r="P200" s="26"/>
    </row>
    <row r="201" spans="1:16" s="61" customFormat="1" ht="36.75" customHeight="1">
      <c r="A201" s="59"/>
      <c r="B201" s="59"/>
      <c r="C201" s="59"/>
      <c r="D201" s="41" t="s">
        <v>283</v>
      </c>
      <c r="E201" s="41" t="s">
        <v>283</v>
      </c>
      <c r="F201" s="65"/>
      <c r="G201" s="63">
        <f t="shared" si="11"/>
        <v>0</v>
      </c>
      <c r="H201" s="63"/>
      <c r="I201" s="60"/>
      <c r="J201" s="63">
        <f t="shared" si="12"/>
        <v>0</v>
      </c>
      <c r="K201" s="17">
        <v>8500</v>
      </c>
      <c r="L201" s="17"/>
      <c r="M201" s="17">
        <f t="shared" si="14"/>
        <v>8500</v>
      </c>
      <c r="N201" s="19">
        <f t="shared" si="13"/>
        <v>8.5</v>
      </c>
      <c r="P201" s="26"/>
    </row>
    <row r="202" spans="1:16" s="61" customFormat="1" ht="36.75" customHeight="1">
      <c r="A202" s="59"/>
      <c r="B202" s="59"/>
      <c r="C202" s="59"/>
      <c r="D202" s="41" t="s">
        <v>284</v>
      </c>
      <c r="E202" s="41" t="s">
        <v>284</v>
      </c>
      <c r="F202" s="65"/>
      <c r="G202" s="63">
        <f t="shared" si="11"/>
        <v>0</v>
      </c>
      <c r="H202" s="63"/>
      <c r="I202" s="60"/>
      <c r="J202" s="63">
        <f t="shared" si="12"/>
        <v>0</v>
      </c>
      <c r="K202" s="17">
        <v>8500</v>
      </c>
      <c r="L202" s="17"/>
      <c r="M202" s="17">
        <f t="shared" si="14"/>
        <v>8500</v>
      </c>
      <c r="N202" s="19">
        <f t="shared" si="13"/>
        <v>8.5</v>
      </c>
      <c r="P202" s="26"/>
    </row>
    <row r="203" spans="1:16" s="61" customFormat="1" ht="35.25" customHeight="1">
      <c r="A203" s="59"/>
      <c r="B203" s="59"/>
      <c r="C203" s="59"/>
      <c r="D203" s="41" t="s">
        <v>285</v>
      </c>
      <c r="E203" s="41" t="s">
        <v>285</v>
      </c>
      <c r="F203" s="65"/>
      <c r="G203" s="63">
        <f t="shared" si="11"/>
        <v>0</v>
      </c>
      <c r="H203" s="63"/>
      <c r="I203" s="60"/>
      <c r="J203" s="63">
        <f t="shared" si="12"/>
        <v>0</v>
      </c>
      <c r="K203" s="17">
        <v>8500</v>
      </c>
      <c r="L203" s="17"/>
      <c r="M203" s="17">
        <f t="shared" si="14"/>
        <v>8500</v>
      </c>
      <c r="N203" s="19">
        <f t="shared" si="13"/>
        <v>8.5</v>
      </c>
      <c r="P203" s="26"/>
    </row>
    <row r="204" spans="1:16" s="61" customFormat="1" ht="31.5" customHeight="1">
      <c r="A204" s="59"/>
      <c r="B204" s="59"/>
      <c r="C204" s="59"/>
      <c r="D204" s="41" t="s">
        <v>286</v>
      </c>
      <c r="E204" s="41" t="s">
        <v>286</v>
      </c>
      <c r="F204" s="65"/>
      <c r="G204" s="63">
        <f t="shared" si="11"/>
        <v>0</v>
      </c>
      <c r="H204" s="63"/>
      <c r="I204" s="60"/>
      <c r="J204" s="63">
        <f t="shared" si="12"/>
        <v>0</v>
      </c>
      <c r="K204" s="17">
        <v>8500</v>
      </c>
      <c r="L204" s="17"/>
      <c r="M204" s="17">
        <f t="shared" si="14"/>
        <v>8500</v>
      </c>
      <c r="N204" s="19">
        <f t="shared" si="13"/>
        <v>8.5</v>
      </c>
      <c r="P204" s="26"/>
    </row>
    <row r="205" spans="1:152" s="25" customFormat="1" ht="39" customHeight="1">
      <c r="A205" s="21">
        <v>1517320</v>
      </c>
      <c r="B205" s="27" t="s">
        <v>139</v>
      </c>
      <c r="C205" s="27"/>
      <c r="D205" s="10" t="s">
        <v>441</v>
      </c>
      <c r="E205" s="10"/>
      <c r="F205" s="64"/>
      <c r="G205" s="63">
        <f t="shared" si="11"/>
        <v>0</v>
      </c>
      <c r="H205" s="56"/>
      <c r="I205" s="60"/>
      <c r="J205" s="63">
        <f t="shared" si="12"/>
        <v>0</v>
      </c>
      <c r="K205" s="24">
        <f>K206+K225+K233</f>
        <v>19131755</v>
      </c>
      <c r="L205" s="24">
        <f>L206+L225+L233</f>
        <v>110000</v>
      </c>
      <c r="M205" s="24">
        <f>M206+M225+M233</f>
        <v>19241755</v>
      </c>
      <c r="N205" s="16">
        <f>N206+N225+N233</f>
        <v>16424.7</v>
      </c>
      <c r="O205" s="48"/>
      <c r="P205" s="26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  <c r="CE205" s="57"/>
      <c r="CF205" s="57"/>
      <c r="CG205" s="57"/>
      <c r="CH205" s="57"/>
      <c r="CI205" s="57"/>
      <c r="CJ205" s="57"/>
      <c r="CK205" s="57"/>
      <c r="CL205" s="57"/>
      <c r="CM205" s="57"/>
      <c r="CN205" s="57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A205" s="57"/>
      <c r="DB205" s="57"/>
      <c r="DC205" s="57"/>
      <c r="DD205" s="57"/>
      <c r="DE205" s="57"/>
      <c r="DF205" s="57"/>
      <c r="DG205" s="57"/>
      <c r="DH205" s="57"/>
      <c r="DI205" s="57"/>
      <c r="DJ205" s="57"/>
      <c r="DK205" s="57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</row>
    <row r="206" spans="1:152" s="72" customFormat="1" ht="34.5" customHeight="1">
      <c r="A206" s="66">
        <v>1517321</v>
      </c>
      <c r="B206" s="30" t="s">
        <v>140</v>
      </c>
      <c r="C206" s="30" t="s">
        <v>52</v>
      </c>
      <c r="D206" s="67" t="s">
        <v>442</v>
      </c>
      <c r="E206" s="68"/>
      <c r="F206" s="69"/>
      <c r="G206" s="63">
        <f t="shared" si="11"/>
        <v>0</v>
      </c>
      <c r="H206" s="70"/>
      <c r="I206" s="60"/>
      <c r="J206" s="63">
        <f t="shared" si="12"/>
        <v>0</v>
      </c>
      <c r="K206" s="70">
        <f>K207+K212</f>
        <v>6010755</v>
      </c>
      <c r="L206" s="70">
        <f>L207+L212</f>
        <v>490000</v>
      </c>
      <c r="M206" s="70">
        <f>M207+M212</f>
        <v>6500755</v>
      </c>
      <c r="N206" s="18">
        <f>N207+N212</f>
        <v>6683.700000000001</v>
      </c>
      <c r="O206" s="48"/>
      <c r="P206" s="26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  <c r="BY206" s="71"/>
      <c r="BZ206" s="71"/>
      <c r="CA206" s="71"/>
      <c r="CB206" s="71"/>
      <c r="CC206" s="71"/>
      <c r="CD206" s="71"/>
      <c r="CE206" s="71"/>
      <c r="CF206" s="71"/>
      <c r="CG206" s="71"/>
      <c r="CH206" s="71"/>
      <c r="CI206" s="71"/>
      <c r="CJ206" s="71"/>
      <c r="CK206" s="71"/>
      <c r="CL206" s="71"/>
      <c r="CM206" s="71"/>
      <c r="CN206" s="71"/>
      <c r="CO206" s="71"/>
      <c r="CP206" s="71"/>
      <c r="CQ206" s="71"/>
      <c r="CR206" s="71"/>
      <c r="CS206" s="71"/>
      <c r="CT206" s="71"/>
      <c r="CU206" s="71"/>
      <c r="CV206" s="71"/>
      <c r="CW206" s="71"/>
      <c r="CX206" s="71"/>
      <c r="CY206" s="71"/>
      <c r="CZ206" s="71"/>
      <c r="DA206" s="71"/>
      <c r="DB206" s="71"/>
      <c r="DC206" s="71"/>
      <c r="DD206" s="71"/>
      <c r="DE206" s="71"/>
      <c r="DF206" s="71"/>
      <c r="DG206" s="71"/>
      <c r="DH206" s="71"/>
      <c r="DI206" s="71"/>
      <c r="DJ206" s="71"/>
      <c r="DK206" s="71"/>
      <c r="DL206" s="71"/>
      <c r="DM206" s="71"/>
      <c r="DN206" s="71"/>
      <c r="DO206" s="71"/>
      <c r="DP206" s="71"/>
      <c r="DQ206" s="71"/>
      <c r="DR206" s="71"/>
      <c r="DS206" s="71"/>
      <c r="DT206" s="71"/>
      <c r="DU206" s="71"/>
      <c r="DV206" s="71"/>
      <c r="DW206" s="71"/>
      <c r="DX206" s="71"/>
      <c r="DY206" s="71"/>
      <c r="DZ206" s="71"/>
      <c r="EA206" s="71"/>
      <c r="EB206" s="71"/>
      <c r="EC206" s="71"/>
      <c r="ED206" s="71"/>
      <c r="EE206" s="71"/>
      <c r="EF206" s="71"/>
      <c r="EG206" s="71"/>
      <c r="EH206" s="71"/>
      <c r="EI206" s="71"/>
      <c r="EJ206" s="71"/>
      <c r="EK206" s="71"/>
      <c r="EL206" s="71"/>
      <c r="EM206" s="71"/>
      <c r="EN206" s="71"/>
      <c r="EO206" s="71"/>
      <c r="EP206" s="71"/>
      <c r="EQ206" s="71"/>
      <c r="ER206" s="71"/>
      <c r="ES206" s="71"/>
      <c r="ET206" s="71"/>
      <c r="EU206" s="71"/>
      <c r="EV206" s="71"/>
    </row>
    <row r="207" spans="1:152" s="29" customFormat="1" ht="27" customHeight="1">
      <c r="A207" s="58"/>
      <c r="B207" s="59"/>
      <c r="C207" s="59"/>
      <c r="D207" s="73" t="s">
        <v>143</v>
      </c>
      <c r="E207" s="73" t="s">
        <v>143</v>
      </c>
      <c r="F207" s="64"/>
      <c r="G207" s="63">
        <f t="shared" si="11"/>
        <v>0</v>
      </c>
      <c r="H207" s="56"/>
      <c r="I207" s="60"/>
      <c r="J207" s="63">
        <f t="shared" si="12"/>
        <v>0</v>
      </c>
      <c r="K207" s="24">
        <f>SUM(K208:K211)</f>
        <v>1296400</v>
      </c>
      <c r="L207" s="24">
        <f>SUM(L208:L211)</f>
        <v>0</v>
      </c>
      <c r="M207" s="24">
        <f>SUM(M208:M211)</f>
        <v>1296400</v>
      </c>
      <c r="N207" s="16">
        <f>SUM(N208:N211)</f>
        <v>1709.4</v>
      </c>
      <c r="O207" s="48"/>
      <c r="P207" s="26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</row>
    <row r="208" spans="1:152" ht="30" customHeight="1">
      <c r="A208" s="58"/>
      <c r="B208" s="58"/>
      <c r="C208" s="58"/>
      <c r="D208" s="62" t="s">
        <v>153</v>
      </c>
      <c r="E208" s="62" t="s">
        <v>153</v>
      </c>
      <c r="F208" s="74"/>
      <c r="G208" s="63">
        <f t="shared" si="11"/>
        <v>0</v>
      </c>
      <c r="H208" s="58"/>
      <c r="I208" s="60"/>
      <c r="J208" s="63">
        <f t="shared" si="12"/>
        <v>0</v>
      </c>
      <c r="K208" s="17">
        <f>500000+7000000-3050000-3500000</f>
        <v>950000</v>
      </c>
      <c r="L208" s="17"/>
      <c r="M208" s="17">
        <f>L208+K208</f>
        <v>950000</v>
      </c>
      <c r="N208" s="19">
        <f>ROUND(M208/1000,1)-87</f>
        <v>863</v>
      </c>
      <c r="O208" s="48"/>
      <c r="P208" s="26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</row>
    <row r="209" spans="1:152" ht="60" customHeight="1">
      <c r="A209" s="58"/>
      <c r="B209" s="58"/>
      <c r="C209" s="58"/>
      <c r="D209" s="62" t="s">
        <v>475</v>
      </c>
      <c r="E209" s="62"/>
      <c r="F209" s="74"/>
      <c r="G209" s="63"/>
      <c r="H209" s="58"/>
      <c r="I209" s="60"/>
      <c r="J209" s="63"/>
      <c r="K209" s="17"/>
      <c r="L209" s="17"/>
      <c r="M209" s="17"/>
      <c r="N209" s="19">
        <v>500</v>
      </c>
      <c r="O209" s="48"/>
      <c r="P209" s="26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</row>
    <row r="210" spans="1:16" s="61" customFormat="1" ht="30" customHeight="1">
      <c r="A210" s="59"/>
      <c r="B210" s="59"/>
      <c r="C210" s="59"/>
      <c r="D210" s="62" t="s">
        <v>154</v>
      </c>
      <c r="E210" s="62" t="s">
        <v>154</v>
      </c>
      <c r="F210" s="60"/>
      <c r="G210" s="63">
        <f t="shared" si="11"/>
        <v>0</v>
      </c>
      <c r="H210" s="63"/>
      <c r="I210" s="60"/>
      <c r="J210" s="63">
        <f t="shared" si="12"/>
        <v>0</v>
      </c>
      <c r="K210" s="17">
        <f>250000-3600</f>
        <v>246400</v>
      </c>
      <c r="L210" s="17"/>
      <c r="M210" s="17">
        <f aca="true" t="shared" si="15" ref="M210:M323">L210+K210</f>
        <v>246400</v>
      </c>
      <c r="N210" s="19">
        <f t="shared" si="13"/>
        <v>246.4</v>
      </c>
      <c r="P210" s="26"/>
    </row>
    <row r="211" spans="1:16" s="61" customFormat="1" ht="39.75" customHeight="1">
      <c r="A211" s="59"/>
      <c r="B211" s="59"/>
      <c r="C211" s="59"/>
      <c r="D211" s="62" t="s">
        <v>328</v>
      </c>
      <c r="E211" s="62" t="s">
        <v>328</v>
      </c>
      <c r="F211" s="60"/>
      <c r="G211" s="63">
        <f t="shared" si="11"/>
        <v>0</v>
      </c>
      <c r="H211" s="63"/>
      <c r="I211" s="60"/>
      <c r="J211" s="63">
        <f t="shared" si="12"/>
        <v>0</v>
      </c>
      <c r="K211" s="17">
        <v>100000</v>
      </c>
      <c r="L211" s="17"/>
      <c r="M211" s="17">
        <f>L211+K211</f>
        <v>100000</v>
      </c>
      <c r="N211" s="19">
        <f>ROUND(M211/1000,1)</f>
        <v>100</v>
      </c>
      <c r="P211" s="26"/>
    </row>
    <row r="212" spans="1:152" s="29" customFormat="1" ht="25.5" customHeight="1">
      <c r="A212" s="58"/>
      <c r="B212" s="59"/>
      <c r="C212" s="59"/>
      <c r="D212" s="10" t="s">
        <v>147</v>
      </c>
      <c r="E212" s="10" t="s">
        <v>147</v>
      </c>
      <c r="F212" s="64"/>
      <c r="G212" s="63">
        <f t="shared" si="11"/>
        <v>0</v>
      </c>
      <c r="H212" s="56"/>
      <c r="I212" s="60"/>
      <c r="J212" s="63">
        <f t="shared" si="12"/>
        <v>0</v>
      </c>
      <c r="K212" s="24">
        <f>SUM(K213:K224)</f>
        <v>4714355</v>
      </c>
      <c r="L212" s="24">
        <f>SUM(L213:L224)</f>
        <v>490000</v>
      </c>
      <c r="M212" s="24">
        <f>SUM(M213:M224)</f>
        <v>5204355</v>
      </c>
      <c r="N212" s="16">
        <f>SUM(N213:N224)</f>
        <v>4974.3</v>
      </c>
      <c r="O212" s="61"/>
      <c r="P212" s="26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</row>
    <row r="213" spans="1:152" s="29" customFormat="1" ht="54.75" customHeight="1">
      <c r="A213" s="58"/>
      <c r="B213" s="59"/>
      <c r="C213" s="59"/>
      <c r="D213" s="41" t="s">
        <v>240</v>
      </c>
      <c r="E213" s="41" t="s">
        <v>240</v>
      </c>
      <c r="F213" s="60">
        <v>237104</v>
      </c>
      <c r="G213" s="63">
        <f t="shared" si="11"/>
        <v>237.1</v>
      </c>
      <c r="H213" s="75">
        <v>100</v>
      </c>
      <c r="I213" s="60">
        <v>237104</v>
      </c>
      <c r="J213" s="63">
        <f t="shared" si="12"/>
        <v>237.1</v>
      </c>
      <c r="K213" s="17">
        <v>221500</v>
      </c>
      <c r="L213" s="17"/>
      <c r="M213" s="17">
        <f t="shared" si="15"/>
        <v>221500</v>
      </c>
      <c r="N213" s="19">
        <f t="shared" si="13"/>
        <v>221.5</v>
      </c>
      <c r="O213" s="61"/>
      <c r="P213" s="26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</row>
    <row r="214" spans="1:152" s="29" customFormat="1" ht="24" customHeight="1">
      <c r="A214" s="58"/>
      <c r="B214" s="59"/>
      <c r="C214" s="59"/>
      <c r="D214" s="41" t="s">
        <v>287</v>
      </c>
      <c r="E214" s="41" t="s">
        <v>287</v>
      </c>
      <c r="F214" s="64"/>
      <c r="G214" s="63">
        <f t="shared" si="11"/>
        <v>0</v>
      </c>
      <c r="H214" s="56"/>
      <c r="I214" s="60"/>
      <c r="J214" s="63">
        <f t="shared" si="12"/>
        <v>0</v>
      </c>
      <c r="K214" s="17">
        <v>8500</v>
      </c>
      <c r="L214" s="17"/>
      <c r="M214" s="17">
        <f t="shared" si="15"/>
        <v>8500</v>
      </c>
      <c r="N214" s="19">
        <f t="shared" si="13"/>
        <v>8.5</v>
      </c>
      <c r="O214" s="61"/>
      <c r="P214" s="26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</row>
    <row r="215" spans="1:152" s="29" customFormat="1" ht="30.75" customHeight="1">
      <c r="A215" s="58"/>
      <c r="B215" s="59"/>
      <c r="C215" s="59"/>
      <c r="D215" s="62" t="s">
        <v>288</v>
      </c>
      <c r="E215" s="62" t="s">
        <v>288</v>
      </c>
      <c r="F215" s="64"/>
      <c r="G215" s="63">
        <f t="shared" si="11"/>
        <v>0</v>
      </c>
      <c r="H215" s="56"/>
      <c r="I215" s="60"/>
      <c r="J215" s="63">
        <f t="shared" si="12"/>
        <v>0</v>
      </c>
      <c r="K215" s="17">
        <v>8500</v>
      </c>
      <c r="L215" s="17"/>
      <c r="M215" s="17">
        <f t="shared" si="15"/>
        <v>8500</v>
      </c>
      <c r="N215" s="19">
        <f t="shared" si="13"/>
        <v>8.5</v>
      </c>
      <c r="O215" s="61"/>
      <c r="P215" s="26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</row>
    <row r="216" spans="1:152" s="29" customFormat="1" ht="34.5" customHeight="1">
      <c r="A216" s="58"/>
      <c r="B216" s="59"/>
      <c r="C216" s="59"/>
      <c r="D216" s="62" t="s">
        <v>393</v>
      </c>
      <c r="E216" s="62" t="s">
        <v>393</v>
      </c>
      <c r="F216" s="64"/>
      <c r="G216" s="63">
        <f t="shared" si="11"/>
        <v>0</v>
      </c>
      <c r="H216" s="56"/>
      <c r="I216" s="60"/>
      <c r="J216" s="63">
        <f t="shared" si="12"/>
        <v>0</v>
      </c>
      <c r="K216" s="17"/>
      <c r="L216" s="17">
        <f>10000+480000</f>
        <v>490000</v>
      </c>
      <c r="M216" s="17">
        <f t="shared" si="15"/>
        <v>490000</v>
      </c>
      <c r="N216" s="19">
        <f t="shared" si="13"/>
        <v>490</v>
      </c>
      <c r="O216" s="61"/>
      <c r="P216" s="26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</row>
    <row r="217" spans="1:16" s="61" customFormat="1" ht="30" customHeight="1">
      <c r="A217" s="59"/>
      <c r="B217" s="59"/>
      <c r="C217" s="59"/>
      <c r="D217" s="41" t="s">
        <v>155</v>
      </c>
      <c r="E217" s="41" t="s">
        <v>155</v>
      </c>
      <c r="F217" s="60">
        <v>5382485</v>
      </c>
      <c r="G217" s="63">
        <f t="shared" si="11"/>
        <v>5382.5</v>
      </c>
      <c r="H217" s="63">
        <v>59</v>
      </c>
      <c r="I217" s="60">
        <v>3175713</v>
      </c>
      <c r="J217" s="63">
        <f t="shared" si="12"/>
        <v>3175.7</v>
      </c>
      <c r="K217" s="17">
        <f>50000+603355</f>
        <v>653355</v>
      </c>
      <c r="L217" s="17"/>
      <c r="M217" s="17">
        <f t="shared" si="15"/>
        <v>653355</v>
      </c>
      <c r="N217" s="19">
        <f>ROUND(M217/1000,1)-0.1</f>
        <v>653.3</v>
      </c>
      <c r="P217" s="26"/>
    </row>
    <row r="218" spans="1:16" s="61" customFormat="1" ht="33.75" customHeight="1">
      <c r="A218" s="59"/>
      <c r="B218" s="59"/>
      <c r="C218" s="59"/>
      <c r="D218" s="41" t="s">
        <v>317</v>
      </c>
      <c r="E218" s="41" t="s">
        <v>317</v>
      </c>
      <c r="F218" s="60"/>
      <c r="G218" s="63">
        <f t="shared" si="11"/>
        <v>0</v>
      </c>
      <c r="H218" s="63"/>
      <c r="I218" s="60"/>
      <c r="J218" s="63">
        <f t="shared" si="12"/>
        <v>0</v>
      </c>
      <c r="K218" s="17">
        <v>500000</v>
      </c>
      <c r="L218" s="17"/>
      <c r="M218" s="17">
        <f t="shared" si="15"/>
        <v>500000</v>
      </c>
      <c r="N218" s="19">
        <f>ROUND(M218/1000,1)-300</f>
        <v>200</v>
      </c>
      <c r="P218" s="26"/>
    </row>
    <row r="219" spans="1:16" s="61" customFormat="1" ht="32.25" customHeight="1">
      <c r="A219" s="59"/>
      <c r="B219" s="59"/>
      <c r="C219" s="59"/>
      <c r="D219" s="41" t="s">
        <v>382</v>
      </c>
      <c r="E219" s="41" t="s">
        <v>382</v>
      </c>
      <c r="F219" s="60"/>
      <c r="G219" s="63">
        <f t="shared" si="11"/>
        <v>0</v>
      </c>
      <c r="H219" s="63"/>
      <c r="I219" s="60"/>
      <c r="J219" s="63">
        <f t="shared" si="12"/>
        <v>0</v>
      </c>
      <c r="K219" s="17">
        <v>30000</v>
      </c>
      <c r="L219" s="17"/>
      <c r="M219" s="17">
        <f t="shared" si="15"/>
        <v>30000</v>
      </c>
      <c r="N219" s="19">
        <f t="shared" si="13"/>
        <v>30</v>
      </c>
      <c r="O219" s="78"/>
      <c r="P219" s="26"/>
    </row>
    <row r="220" spans="1:16" s="61" customFormat="1" ht="36" customHeight="1">
      <c r="A220" s="59"/>
      <c r="B220" s="59"/>
      <c r="C220" s="59"/>
      <c r="D220" s="62" t="s">
        <v>289</v>
      </c>
      <c r="E220" s="62" t="s">
        <v>289</v>
      </c>
      <c r="F220" s="60"/>
      <c r="G220" s="63">
        <f t="shared" si="11"/>
        <v>0</v>
      </c>
      <c r="H220" s="63"/>
      <c r="I220" s="60"/>
      <c r="J220" s="63">
        <f t="shared" si="12"/>
        <v>0</v>
      </c>
      <c r="K220" s="17">
        <v>8500</v>
      </c>
      <c r="L220" s="17"/>
      <c r="M220" s="17">
        <f t="shared" si="15"/>
        <v>8500</v>
      </c>
      <c r="N220" s="19">
        <f t="shared" si="13"/>
        <v>8.5</v>
      </c>
      <c r="P220" s="26"/>
    </row>
    <row r="221" spans="1:16" s="61" customFormat="1" ht="40.5" customHeight="1">
      <c r="A221" s="59"/>
      <c r="B221" s="59"/>
      <c r="C221" s="59"/>
      <c r="D221" s="41" t="s">
        <v>156</v>
      </c>
      <c r="E221" s="41" t="s">
        <v>156</v>
      </c>
      <c r="F221" s="74"/>
      <c r="G221" s="63">
        <f t="shared" si="11"/>
        <v>0</v>
      </c>
      <c r="H221" s="63"/>
      <c r="I221" s="60"/>
      <c r="J221" s="63">
        <f t="shared" si="12"/>
        <v>0</v>
      </c>
      <c r="K221" s="17">
        <v>500000</v>
      </c>
      <c r="L221" s="17"/>
      <c r="M221" s="17">
        <f t="shared" si="15"/>
        <v>500000</v>
      </c>
      <c r="N221" s="19">
        <f t="shared" si="13"/>
        <v>500</v>
      </c>
      <c r="O221" s="48"/>
      <c r="P221" s="26"/>
    </row>
    <row r="222" spans="1:16" s="61" customFormat="1" ht="49.5" customHeight="1">
      <c r="A222" s="59"/>
      <c r="B222" s="59"/>
      <c r="C222" s="59"/>
      <c r="D222" s="41" t="s">
        <v>157</v>
      </c>
      <c r="E222" s="41" t="s">
        <v>157</v>
      </c>
      <c r="F222" s="60">
        <v>1388402</v>
      </c>
      <c r="G222" s="63">
        <f t="shared" si="11"/>
        <v>1388.4</v>
      </c>
      <c r="H222" s="63">
        <v>97.1</v>
      </c>
      <c r="I222" s="60">
        <v>1348369</v>
      </c>
      <c r="J222" s="63">
        <f t="shared" si="12"/>
        <v>1348.4</v>
      </c>
      <c r="K222" s="17">
        <f>986000+400000-57000</f>
        <v>1329000</v>
      </c>
      <c r="L222" s="17"/>
      <c r="M222" s="17">
        <f t="shared" si="15"/>
        <v>1329000</v>
      </c>
      <c r="N222" s="19">
        <f t="shared" si="13"/>
        <v>1329</v>
      </c>
      <c r="P222" s="26"/>
    </row>
    <row r="223" spans="1:16" s="61" customFormat="1" ht="49.5" customHeight="1">
      <c r="A223" s="59"/>
      <c r="B223" s="59"/>
      <c r="C223" s="59"/>
      <c r="D223" s="41" t="s">
        <v>467</v>
      </c>
      <c r="E223" s="41"/>
      <c r="F223" s="60"/>
      <c r="G223" s="63"/>
      <c r="H223" s="63"/>
      <c r="I223" s="60"/>
      <c r="J223" s="63"/>
      <c r="K223" s="17"/>
      <c r="L223" s="17"/>
      <c r="M223" s="17"/>
      <c r="N223" s="19">
        <v>70</v>
      </c>
      <c r="P223" s="26"/>
    </row>
    <row r="224" spans="1:16" s="61" customFormat="1" ht="54.75" customHeight="1">
      <c r="A224" s="59"/>
      <c r="B224" s="59"/>
      <c r="C224" s="59"/>
      <c r="D224" s="41" t="s">
        <v>158</v>
      </c>
      <c r="E224" s="41" t="s">
        <v>158</v>
      </c>
      <c r="F224" s="60">
        <v>1479061</v>
      </c>
      <c r="G224" s="63">
        <f t="shared" si="11"/>
        <v>1479.1</v>
      </c>
      <c r="H224" s="63">
        <v>98.39</v>
      </c>
      <c r="I224" s="60">
        <v>1455282</v>
      </c>
      <c r="J224" s="63">
        <f t="shared" si="12"/>
        <v>1455.3</v>
      </c>
      <c r="K224" s="17">
        <v>1455000</v>
      </c>
      <c r="L224" s="17"/>
      <c r="M224" s="17">
        <f t="shared" si="15"/>
        <v>1455000</v>
      </c>
      <c r="N224" s="19">
        <f t="shared" si="13"/>
        <v>1455</v>
      </c>
      <c r="P224" s="26"/>
    </row>
    <row r="225" spans="1:16" s="78" customFormat="1" ht="39" customHeight="1">
      <c r="A225" s="66">
        <v>1517322</v>
      </c>
      <c r="B225" s="30" t="s">
        <v>141</v>
      </c>
      <c r="C225" s="30" t="s">
        <v>52</v>
      </c>
      <c r="D225" s="67" t="s">
        <v>443</v>
      </c>
      <c r="E225" s="68"/>
      <c r="F225" s="76"/>
      <c r="G225" s="63">
        <f t="shared" si="11"/>
        <v>0</v>
      </c>
      <c r="H225" s="77"/>
      <c r="I225" s="60"/>
      <c r="J225" s="63">
        <f t="shared" si="12"/>
        <v>0</v>
      </c>
      <c r="K225" s="70">
        <f>K226+K228</f>
        <v>5560000</v>
      </c>
      <c r="L225" s="70">
        <f>L226+L228</f>
        <v>-480000</v>
      </c>
      <c r="M225" s="70">
        <f>M226+M228</f>
        <v>5080000</v>
      </c>
      <c r="N225" s="18">
        <f>N226+N228</f>
        <v>4980</v>
      </c>
      <c r="O225" s="61"/>
      <c r="P225" s="26"/>
    </row>
    <row r="226" spans="1:152" s="29" customFormat="1" ht="24" customHeight="1">
      <c r="A226" s="58"/>
      <c r="B226" s="59"/>
      <c r="C226" s="59"/>
      <c r="D226" s="73" t="s">
        <v>143</v>
      </c>
      <c r="E226" s="73" t="s">
        <v>143</v>
      </c>
      <c r="F226" s="64"/>
      <c r="G226" s="63">
        <f t="shared" si="11"/>
        <v>0</v>
      </c>
      <c r="H226" s="56"/>
      <c r="I226" s="60"/>
      <c r="J226" s="63">
        <f t="shared" si="12"/>
        <v>0</v>
      </c>
      <c r="K226" s="24">
        <f>K227</f>
        <v>500000</v>
      </c>
      <c r="L226" s="24">
        <f>L227</f>
        <v>-480000</v>
      </c>
      <c r="M226" s="24">
        <f>M227</f>
        <v>20000</v>
      </c>
      <c r="N226" s="16">
        <f>N227</f>
        <v>20</v>
      </c>
      <c r="O226" s="61"/>
      <c r="P226" s="26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</row>
    <row r="227" spans="1:16" s="61" customFormat="1" ht="30" customHeight="1">
      <c r="A227" s="21"/>
      <c r="B227" s="59"/>
      <c r="C227" s="59"/>
      <c r="D227" s="62" t="s">
        <v>247</v>
      </c>
      <c r="E227" s="62" t="s">
        <v>247</v>
      </c>
      <c r="F227" s="60"/>
      <c r="G227" s="63">
        <f t="shared" si="11"/>
        <v>0</v>
      </c>
      <c r="H227" s="63"/>
      <c r="I227" s="60"/>
      <c r="J227" s="63">
        <f t="shared" si="12"/>
        <v>0</v>
      </c>
      <c r="K227" s="17">
        <v>500000</v>
      </c>
      <c r="L227" s="17">
        <v>-480000</v>
      </c>
      <c r="M227" s="17">
        <f t="shared" si="15"/>
        <v>20000</v>
      </c>
      <c r="N227" s="19">
        <f t="shared" si="13"/>
        <v>20</v>
      </c>
      <c r="P227" s="26"/>
    </row>
    <row r="228" spans="1:152" s="29" customFormat="1" ht="28.5" customHeight="1">
      <c r="A228" s="58"/>
      <c r="B228" s="59"/>
      <c r="C228" s="59"/>
      <c r="D228" s="10" t="s">
        <v>147</v>
      </c>
      <c r="E228" s="10" t="s">
        <v>147</v>
      </c>
      <c r="F228" s="64"/>
      <c r="G228" s="63">
        <f t="shared" si="11"/>
        <v>0</v>
      </c>
      <c r="H228" s="56"/>
      <c r="I228" s="60"/>
      <c r="J228" s="63">
        <f t="shared" si="12"/>
        <v>0</v>
      </c>
      <c r="K228" s="24">
        <f>SUM(K229:K232)</f>
        <v>5060000</v>
      </c>
      <c r="L228" s="24">
        <f>SUM(L229:L232)</f>
        <v>0</v>
      </c>
      <c r="M228" s="24">
        <f>SUM(M229:M232)</f>
        <v>5060000</v>
      </c>
      <c r="N228" s="16">
        <f>SUM(N229:N232)</f>
        <v>4960</v>
      </c>
      <c r="O228" s="78"/>
      <c r="P228" s="26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</row>
    <row r="229" spans="1:16" s="61" customFormat="1" ht="33" customHeight="1">
      <c r="A229" s="21"/>
      <c r="B229" s="59"/>
      <c r="C229" s="59"/>
      <c r="D229" s="62" t="s">
        <v>179</v>
      </c>
      <c r="E229" s="62" t="s">
        <v>179</v>
      </c>
      <c r="F229" s="79">
        <v>16272770</v>
      </c>
      <c r="G229" s="63">
        <f t="shared" si="11"/>
        <v>16272.8</v>
      </c>
      <c r="H229" s="80">
        <v>98.66</v>
      </c>
      <c r="I229" s="60">
        <v>16054529</v>
      </c>
      <c r="J229" s="63">
        <f t="shared" si="12"/>
        <v>16054.5</v>
      </c>
      <c r="K229" s="17">
        <f>2000000+300000</f>
        <v>2300000</v>
      </c>
      <c r="L229" s="17"/>
      <c r="M229" s="17">
        <f t="shared" si="15"/>
        <v>2300000</v>
      </c>
      <c r="N229" s="19">
        <f t="shared" si="13"/>
        <v>2300</v>
      </c>
      <c r="O229" s="48"/>
      <c r="P229" s="26"/>
    </row>
    <row r="230" spans="1:16" s="61" customFormat="1" ht="30.75" customHeight="1">
      <c r="A230" s="21"/>
      <c r="B230" s="59"/>
      <c r="C230" s="59"/>
      <c r="D230" s="28" t="s">
        <v>159</v>
      </c>
      <c r="E230" s="28" t="s">
        <v>159</v>
      </c>
      <c r="F230" s="79"/>
      <c r="G230" s="63">
        <f t="shared" si="11"/>
        <v>0</v>
      </c>
      <c r="H230" s="81"/>
      <c r="I230" s="60"/>
      <c r="J230" s="63">
        <f t="shared" si="12"/>
        <v>0</v>
      </c>
      <c r="K230" s="17">
        <f>1000000-741000-150000</f>
        <v>109000</v>
      </c>
      <c r="L230" s="17"/>
      <c r="M230" s="17">
        <f t="shared" si="15"/>
        <v>109000</v>
      </c>
      <c r="N230" s="19">
        <f>ROUND(M230/1000,1)-100</f>
        <v>9</v>
      </c>
      <c r="P230" s="26"/>
    </row>
    <row r="231" spans="1:16" s="61" customFormat="1" ht="38.25" customHeight="1">
      <c r="A231" s="21"/>
      <c r="B231" s="59"/>
      <c r="C231" s="59"/>
      <c r="D231" s="28" t="s">
        <v>160</v>
      </c>
      <c r="E231" s="28" t="s">
        <v>160</v>
      </c>
      <c r="F231" s="79">
        <v>1591924</v>
      </c>
      <c r="G231" s="63">
        <f t="shared" si="11"/>
        <v>1591.9</v>
      </c>
      <c r="H231" s="80">
        <v>100</v>
      </c>
      <c r="I231" s="60">
        <v>1591924</v>
      </c>
      <c r="J231" s="63">
        <f t="shared" si="12"/>
        <v>1591.9</v>
      </c>
      <c r="K231" s="17">
        <f>1000000+350000-12000</f>
        <v>1338000</v>
      </c>
      <c r="L231" s="17"/>
      <c r="M231" s="17">
        <f t="shared" si="15"/>
        <v>1338000</v>
      </c>
      <c r="N231" s="19">
        <f t="shared" si="13"/>
        <v>1338</v>
      </c>
      <c r="P231" s="26"/>
    </row>
    <row r="232" spans="1:152" ht="52.5" customHeight="1">
      <c r="A232" s="21"/>
      <c r="B232" s="59"/>
      <c r="C232" s="59"/>
      <c r="D232" s="41" t="s">
        <v>180</v>
      </c>
      <c r="E232" s="41" t="s">
        <v>180</v>
      </c>
      <c r="F232" s="65"/>
      <c r="G232" s="63">
        <f t="shared" si="11"/>
        <v>0</v>
      </c>
      <c r="H232" s="63"/>
      <c r="I232" s="60"/>
      <c r="J232" s="63">
        <f t="shared" si="12"/>
        <v>0</v>
      </c>
      <c r="K232" s="17">
        <f>1000000+350000-37000</f>
        <v>1313000</v>
      </c>
      <c r="L232" s="17"/>
      <c r="M232" s="17">
        <f t="shared" si="15"/>
        <v>1313000</v>
      </c>
      <c r="N232" s="19">
        <f>ROUND(M232/1000,1)</f>
        <v>1313</v>
      </c>
      <c r="O232" s="61"/>
      <c r="P232" s="26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</row>
    <row r="233" spans="1:152" s="83" customFormat="1" ht="35.25" customHeight="1">
      <c r="A233" s="66">
        <v>1517325</v>
      </c>
      <c r="B233" s="30" t="s">
        <v>142</v>
      </c>
      <c r="C233" s="30" t="s">
        <v>52</v>
      </c>
      <c r="D233" s="67" t="s">
        <v>444</v>
      </c>
      <c r="E233" s="116"/>
      <c r="F233" s="82"/>
      <c r="G233" s="63">
        <f t="shared" si="11"/>
        <v>0</v>
      </c>
      <c r="H233" s="77"/>
      <c r="I233" s="60"/>
      <c r="J233" s="63">
        <f t="shared" si="12"/>
        <v>0</v>
      </c>
      <c r="K233" s="70">
        <f>K234</f>
        <v>7561000</v>
      </c>
      <c r="L233" s="70">
        <f>L234</f>
        <v>100000</v>
      </c>
      <c r="M233" s="70">
        <f>M234</f>
        <v>7661000</v>
      </c>
      <c r="N233" s="18">
        <f>N234</f>
        <v>4761</v>
      </c>
      <c r="O233" s="61"/>
      <c r="P233" s="26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/>
      <c r="BO233" s="78"/>
      <c r="BP233" s="78"/>
      <c r="BQ233" s="78"/>
      <c r="BR233" s="78"/>
      <c r="BS233" s="78"/>
      <c r="BT233" s="78"/>
      <c r="BU233" s="78"/>
      <c r="BV233" s="78"/>
      <c r="BW233" s="78"/>
      <c r="BX233" s="78"/>
      <c r="BY233" s="78"/>
      <c r="BZ233" s="78"/>
      <c r="CA233" s="78"/>
      <c r="CB233" s="78"/>
      <c r="CC233" s="78"/>
      <c r="CD233" s="7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</row>
    <row r="234" spans="1:152" s="29" customFormat="1" ht="22.5" customHeight="1">
      <c r="A234" s="58"/>
      <c r="B234" s="59"/>
      <c r="C234" s="59"/>
      <c r="D234" s="10" t="s">
        <v>147</v>
      </c>
      <c r="E234" s="10" t="s">
        <v>147</v>
      </c>
      <c r="F234" s="64"/>
      <c r="G234" s="63">
        <f t="shared" si="11"/>
        <v>0</v>
      </c>
      <c r="H234" s="56"/>
      <c r="I234" s="60"/>
      <c r="J234" s="63">
        <f t="shared" si="12"/>
        <v>0</v>
      </c>
      <c r="K234" s="24">
        <f>SUM(K235:K239)</f>
        <v>7561000</v>
      </c>
      <c r="L234" s="24">
        <f>SUM(L235:L239)</f>
        <v>100000</v>
      </c>
      <c r="M234" s="24">
        <f>SUM(M235:M239)</f>
        <v>7661000</v>
      </c>
      <c r="N234" s="16">
        <f>SUM(N235:N239)</f>
        <v>4761</v>
      </c>
      <c r="O234" s="61"/>
      <c r="P234" s="26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</row>
    <row r="235" spans="1:16" s="61" customFormat="1" ht="32.25" customHeight="1">
      <c r="A235" s="59"/>
      <c r="B235" s="59"/>
      <c r="C235" s="59"/>
      <c r="D235" s="62" t="s">
        <v>161</v>
      </c>
      <c r="E235" s="62" t="s">
        <v>161</v>
      </c>
      <c r="F235" s="60">
        <v>8134171</v>
      </c>
      <c r="G235" s="63">
        <f t="shared" si="11"/>
        <v>8134.2</v>
      </c>
      <c r="H235" s="63">
        <v>36</v>
      </c>
      <c r="I235" s="60">
        <v>2927689</v>
      </c>
      <c r="J235" s="63">
        <f t="shared" si="12"/>
        <v>2927.7</v>
      </c>
      <c r="K235" s="17">
        <f>2000000-125000-234000</f>
        <v>1641000</v>
      </c>
      <c r="L235" s="17"/>
      <c r="M235" s="17">
        <f t="shared" si="15"/>
        <v>1641000</v>
      </c>
      <c r="N235" s="19">
        <f t="shared" si="13"/>
        <v>1641</v>
      </c>
      <c r="P235" s="26"/>
    </row>
    <row r="236" spans="1:16" s="61" customFormat="1" ht="31.5" customHeight="1">
      <c r="A236" s="59"/>
      <c r="B236" s="59"/>
      <c r="C236" s="59"/>
      <c r="D236" s="62" t="s">
        <v>162</v>
      </c>
      <c r="E236" s="62" t="s">
        <v>162</v>
      </c>
      <c r="F236" s="74">
        <v>33898627</v>
      </c>
      <c r="G236" s="63">
        <f t="shared" si="11"/>
        <v>33898.6</v>
      </c>
      <c r="H236" s="63">
        <v>64.8</v>
      </c>
      <c r="I236" s="60">
        <v>21964382</v>
      </c>
      <c r="J236" s="63">
        <f t="shared" si="12"/>
        <v>21964.4</v>
      </c>
      <c r="K236" s="17">
        <f>4000000-1065000</f>
        <v>2935000</v>
      </c>
      <c r="L236" s="17"/>
      <c r="M236" s="17">
        <f t="shared" si="15"/>
        <v>2935000</v>
      </c>
      <c r="N236" s="19">
        <f>ROUND(M236/1000,1)-2900</f>
        <v>35</v>
      </c>
      <c r="P236" s="26"/>
    </row>
    <row r="237" spans="1:16" s="61" customFormat="1" ht="28.5" customHeight="1">
      <c r="A237" s="59"/>
      <c r="B237" s="59"/>
      <c r="C237" s="59"/>
      <c r="D237" s="62" t="s">
        <v>394</v>
      </c>
      <c r="E237" s="62" t="s">
        <v>394</v>
      </c>
      <c r="F237" s="74"/>
      <c r="G237" s="63">
        <f t="shared" si="11"/>
        <v>0</v>
      </c>
      <c r="H237" s="63"/>
      <c r="I237" s="60"/>
      <c r="J237" s="63">
        <f t="shared" si="12"/>
        <v>0</v>
      </c>
      <c r="K237" s="17"/>
      <c r="L237" s="17">
        <v>50000</v>
      </c>
      <c r="M237" s="17">
        <f t="shared" si="15"/>
        <v>50000</v>
      </c>
      <c r="N237" s="19">
        <f t="shared" si="13"/>
        <v>50</v>
      </c>
      <c r="P237" s="26"/>
    </row>
    <row r="238" spans="1:16" s="61" customFormat="1" ht="39.75" customHeight="1">
      <c r="A238" s="59"/>
      <c r="B238" s="59"/>
      <c r="C238" s="59"/>
      <c r="D238" s="62" t="s">
        <v>395</v>
      </c>
      <c r="E238" s="62" t="s">
        <v>395</v>
      </c>
      <c r="F238" s="74"/>
      <c r="G238" s="63">
        <f t="shared" si="11"/>
        <v>0</v>
      </c>
      <c r="H238" s="63"/>
      <c r="I238" s="60"/>
      <c r="J238" s="63">
        <f t="shared" si="12"/>
        <v>0</v>
      </c>
      <c r="K238" s="17"/>
      <c r="L238" s="17">
        <v>50000</v>
      </c>
      <c r="M238" s="17">
        <f t="shared" si="15"/>
        <v>50000</v>
      </c>
      <c r="N238" s="19">
        <f t="shared" si="13"/>
        <v>50</v>
      </c>
      <c r="P238" s="26"/>
    </row>
    <row r="239" spans="1:16" s="61" customFormat="1" ht="41.25" customHeight="1">
      <c r="A239" s="59"/>
      <c r="B239" s="59"/>
      <c r="C239" s="59"/>
      <c r="D239" s="62" t="s">
        <v>181</v>
      </c>
      <c r="E239" s="62" t="s">
        <v>181</v>
      </c>
      <c r="F239" s="60">
        <v>3821803</v>
      </c>
      <c r="G239" s="63">
        <f t="shared" si="11"/>
        <v>3821.8</v>
      </c>
      <c r="H239" s="63">
        <v>97.6</v>
      </c>
      <c r="I239" s="60">
        <v>3729106</v>
      </c>
      <c r="J239" s="63">
        <f t="shared" si="12"/>
        <v>3729.1</v>
      </c>
      <c r="K239" s="17">
        <f>2500000+485000</f>
        <v>2985000</v>
      </c>
      <c r="L239" s="17"/>
      <c r="M239" s="17">
        <f t="shared" si="15"/>
        <v>2985000</v>
      </c>
      <c r="N239" s="19">
        <f t="shared" si="13"/>
        <v>2985</v>
      </c>
      <c r="P239" s="26"/>
    </row>
    <row r="240" spans="1:152" ht="41.25" customHeight="1">
      <c r="A240" s="21">
        <v>1517330</v>
      </c>
      <c r="B240" s="27" t="s">
        <v>138</v>
      </c>
      <c r="C240" s="27" t="s">
        <v>52</v>
      </c>
      <c r="D240" s="51" t="s">
        <v>436</v>
      </c>
      <c r="E240" s="52"/>
      <c r="F240" s="65"/>
      <c r="G240" s="63">
        <f t="shared" si="11"/>
        <v>0</v>
      </c>
      <c r="H240" s="63"/>
      <c r="I240" s="60"/>
      <c r="J240" s="63">
        <f t="shared" si="12"/>
        <v>0</v>
      </c>
      <c r="K240" s="24">
        <f>K241+K280</f>
        <v>41285486</v>
      </c>
      <c r="L240" s="24">
        <f>L241+L280</f>
        <v>1308000</v>
      </c>
      <c r="M240" s="24">
        <f>M241+M280</f>
        <v>42593486</v>
      </c>
      <c r="N240" s="16">
        <f>N241+N280</f>
        <v>42377</v>
      </c>
      <c r="O240" s="61"/>
      <c r="P240" s="26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</row>
    <row r="241" spans="1:152" ht="24.75" customHeight="1">
      <c r="A241" s="84"/>
      <c r="B241" s="59"/>
      <c r="C241" s="59"/>
      <c r="D241" s="73" t="s">
        <v>143</v>
      </c>
      <c r="E241" s="73" t="s">
        <v>143</v>
      </c>
      <c r="F241" s="64"/>
      <c r="G241" s="63">
        <f t="shared" si="11"/>
        <v>0</v>
      </c>
      <c r="H241" s="85"/>
      <c r="I241" s="60"/>
      <c r="J241" s="63">
        <f t="shared" si="12"/>
        <v>0</v>
      </c>
      <c r="K241" s="24">
        <f>SUM(K242:K279)</f>
        <v>19212386</v>
      </c>
      <c r="L241" s="24">
        <f>SUM(L242:L279)</f>
        <v>2334000</v>
      </c>
      <c r="M241" s="24">
        <f>SUM(M242:M279)</f>
        <v>21546386</v>
      </c>
      <c r="N241" s="16">
        <f>SUM(N242:N279)</f>
        <v>21579.900000000005</v>
      </c>
      <c r="O241" s="61"/>
      <c r="P241" s="26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61"/>
      <c r="DG241" s="61"/>
      <c r="DH241" s="61"/>
      <c r="DI241" s="61"/>
      <c r="DJ241" s="61"/>
      <c r="DK241" s="61"/>
      <c r="DL241" s="61"/>
      <c r="DM241" s="61"/>
      <c r="DN241" s="61"/>
      <c r="DO241" s="61"/>
      <c r="DP241" s="61"/>
      <c r="DQ241" s="61"/>
      <c r="DR241" s="61"/>
      <c r="DS241" s="61"/>
      <c r="DT241" s="61"/>
      <c r="DU241" s="61"/>
      <c r="DV241" s="61"/>
      <c r="DW241" s="61"/>
      <c r="DX241" s="61"/>
      <c r="DY241" s="61"/>
      <c r="DZ241" s="61"/>
      <c r="EA241" s="61"/>
      <c r="EB241" s="61"/>
      <c r="EC241" s="61"/>
      <c r="ED241" s="61"/>
      <c r="EE241" s="61"/>
      <c r="EF241" s="61"/>
      <c r="EG241" s="61"/>
      <c r="EH241" s="61"/>
      <c r="EI241" s="61"/>
      <c r="EJ241" s="61"/>
      <c r="EK241" s="61"/>
      <c r="EL241" s="61"/>
      <c r="EM241" s="61"/>
      <c r="EN241" s="61"/>
      <c r="EO241" s="61"/>
      <c r="EP241" s="61"/>
      <c r="EQ241" s="61"/>
      <c r="ER241" s="61"/>
      <c r="ES241" s="61"/>
      <c r="ET241" s="61"/>
      <c r="EU241" s="61"/>
      <c r="EV241" s="61"/>
    </row>
    <row r="242" spans="1:152" ht="29.25" customHeight="1">
      <c r="A242" s="84"/>
      <c r="B242" s="59"/>
      <c r="C242" s="59"/>
      <c r="D242" s="28" t="s">
        <v>351</v>
      </c>
      <c r="E242" s="28" t="s">
        <v>351</v>
      </c>
      <c r="F242" s="64"/>
      <c r="G242" s="63">
        <f aca="true" t="shared" si="16" ref="G242:G312">ROUND(F242/1000,1)</f>
        <v>0</v>
      </c>
      <c r="H242" s="85"/>
      <c r="I242" s="60"/>
      <c r="J242" s="63">
        <f aca="true" t="shared" si="17" ref="J242:J312">ROUND(I242/1000,1)</f>
        <v>0</v>
      </c>
      <c r="K242" s="17">
        <v>500000</v>
      </c>
      <c r="L242" s="17"/>
      <c r="M242" s="17">
        <f t="shared" si="15"/>
        <v>500000</v>
      </c>
      <c r="N242" s="19">
        <f>ROUND(M242/1000,1)-250</f>
        <v>250</v>
      </c>
      <c r="O242" s="61"/>
      <c r="P242" s="26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  <c r="DH242" s="61"/>
      <c r="DI242" s="61"/>
      <c r="DJ242" s="61"/>
      <c r="DK242" s="61"/>
      <c r="DL242" s="61"/>
      <c r="DM242" s="61"/>
      <c r="DN242" s="61"/>
      <c r="DO242" s="61"/>
      <c r="DP242" s="61"/>
      <c r="DQ242" s="61"/>
      <c r="DR242" s="61"/>
      <c r="DS242" s="61"/>
      <c r="DT242" s="61"/>
      <c r="DU242" s="61"/>
      <c r="DV242" s="61"/>
      <c r="DW242" s="61"/>
      <c r="DX242" s="61"/>
      <c r="DY242" s="61"/>
      <c r="DZ242" s="61"/>
      <c r="EA242" s="61"/>
      <c r="EB242" s="61"/>
      <c r="EC242" s="61"/>
      <c r="ED242" s="61"/>
      <c r="EE242" s="61"/>
      <c r="EF242" s="61"/>
      <c r="EG242" s="61"/>
      <c r="EH242" s="61"/>
      <c r="EI242" s="61"/>
      <c r="EJ242" s="61"/>
      <c r="EK242" s="61"/>
      <c r="EL242" s="61"/>
      <c r="EM242" s="61"/>
      <c r="EN242" s="61"/>
      <c r="EO242" s="61"/>
      <c r="EP242" s="61"/>
      <c r="EQ242" s="61"/>
      <c r="ER242" s="61"/>
      <c r="ES242" s="61"/>
      <c r="ET242" s="61"/>
      <c r="EU242" s="61"/>
      <c r="EV242" s="61"/>
    </row>
    <row r="243" spans="1:152" ht="34.5" customHeight="1">
      <c r="A243" s="58"/>
      <c r="B243" s="58"/>
      <c r="C243" s="58"/>
      <c r="D243" s="62" t="s">
        <v>163</v>
      </c>
      <c r="E243" s="62" t="s">
        <v>163</v>
      </c>
      <c r="F243" s="74">
        <v>28556946</v>
      </c>
      <c r="G243" s="63">
        <f t="shared" si="16"/>
        <v>28556.9</v>
      </c>
      <c r="H243" s="86">
        <v>89.5</v>
      </c>
      <c r="I243" s="60">
        <v>25554164</v>
      </c>
      <c r="J243" s="63">
        <f t="shared" si="17"/>
        <v>25554.2</v>
      </c>
      <c r="K243" s="17">
        <v>3000000</v>
      </c>
      <c r="L243" s="17"/>
      <c r="M243" s="17">
        <f t="shared" si="15"/>
        <v>3000000</v>
      </c>
      <c r="N243" s="19">
        <f aca="true" t="shared" si="18" ref="N243:N312">ROUND(M243/1000,1)</f>
        <v>3000</v>
      </c>
      <c r="O243" s="61"/>
      <c r="P243" s="26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</row>
    <row r="244" spans="1:16" s="61" customFormat="1" ht="27" customHeight="1">
      <c r="A244" s="59"/>
      <c r="B244" s="59"/>
      <c r="C244" s="59"/>
      <c r="D244" s="41" t="s">
        <v>164</v>
      </c>
      <c r="E244" s="41" t="s">
        <v>164</v>
      </c>
      <c r="F244" s="60"/>
      <c r="G244" s="63">
        <f t="shared" si="16"/>
        <v>0</v>
      </c>
      <c r="H244" s="63"/>
      <c r="I244" s="60"/>
      <c r="J244" s="63">
        <f t="shared" si="17"/>
        <v>0</v>
      </c>
      <c r="K244" s="17">
        <f>5000000+4000000</f>
        <v>9000000</v>
      </c>
      <c r="L244" s="17">
        <v>2136000</v>
      </c>
      <c r="M244" s="17">
        <f>L244+K244</f>
        <v>11136000</v>
      </c>
      <c r="N244" s="19">
        <f t="shared" si="18"/>
        <v>11136</v>
      </c>
      <c r="P244" s="26"/>
    </row>
    <row r="245" spans="1:16" s="61" customFormat="1" ht="33.75" customHeight="1">
      <c r="A245" s="59"/>
      <c r="B245" s="59"/>
      <c r="C245" s="59"/>
      <c r="D245" s="62" t="s">
        <v>367</v>
      </c>
      <c r="E245" s="62" t="s">
        <v>367</v>
      </c>
      <c r="F245" s="60"/>
      <c r="G245" s="63">
        <f t="shared" si="16"/>
        <v>0</v>
      </c>
      <c r="H245" s="63"/>
      <c r="I245" s="60"/>
      <c r="J245" s="63">
        <f t="shared" si="17"/>
        <v>0</v>
      </c>
      <c r="K245" s="17">
        <v>155800</v>
      </c>
      <c r="L245" s="17">
        <f>-2400-2000</f>
        <v>-4400</v>
      </c>
      <c r="M245" s="17">
        <f t="shared" si="15"/>
        <v>151400</v>
      </c>
      <c r="N245" s="19">
        <f t="shared" si="18"/>
        <v>151.4</v>
      </c>
      <c r="P245" s="26"/>
    </row>
    <row r="246" spans="1:16" s="61" customFormat="1" ht="28.5" customHeight="1">
      <c r="A246" s="59"/>
      <c r="B246" s="59"/>
      <c r="C246" s="59"/>
      <c r="D246" s="62" t="s">
        <v>371</v>
      </c>
      <c r="E246" s="62" t="s">
        <v>371</v>
      </c>
      <c r="F246" s="60"/>
      <c r="G246" s="63">
        <f t="shared" si="16"/>
        <v>0</v>
      </c>
      <c r="H246" s="63"/>
      <c r="I246" s="60"/>
      <c r="J246" s="63">
        <f t="shared" si="17"/>
        <v>0</v>
      </c>
      <c r="K246" s="17">
        <v>100000</v>
      </c>
      <c r="L246" s="17">
        <v>57000</v>
      </c>
      <c r="M246" s="17">
        <f t="shared" si="15"/>
        <v>157000</v>
      </c>
      <c r="N246" s="19">
        <f t="shared" si="18"/>
        <v>157</v>
      </c>
      <c r="P246" s="26"/>
    </row>
    <row r="247" spans="1:16" s="61" customFormat="1" ht="46.5" customHeight="1">
      <c r="A247" s="59"/>
      <c r="B247" s="59"/>
      <c r="C247" s="59"/>
      <c r="D247" s="62" t="s">
        <v>377</v>
      </c>
      <c r="E247" s="62" t="s">
        <v>377</v>
      </c>
      <c r="F247" s="60"/>
      <c r="G247" s="63">
        <f t="shared" si="16"/>
        <v>0</v>
      </c>
      <c r="H247" s="63"/>
      <c r="I247" s="60"/>
      <c r="J247" s="63">
        <f t="shared" si="17"/>
        <v>0</v>
      </c>
      <c r="K247" s="17">
        <v>100000</v>
      </c>
      <c r="L247" s="17"/>
      <c r="M247" s="17">
        <f t="shared" si="15"/>
        <v>100000</v>
      </c>
      <c r="N247" s="19">
        <f t="shared" si="18"/>
        <v>100</v>
      </c>
      <c r="P247" s="26"/>
    </row>
    <row r="248" spans="1:16" s="61" customFormat="1" ht="36" customHeight="1">
      <c r="A248" s="59"/>
      <c r="B248" s="59"/>
      <c r="C248" s="59"/>
      <c r="D248" s="62" t="s">
        <v>396</v>
      </c>
      <c r="E248" s="62" t="s">
        <v>396</v>
      </c>
      <c r="F248" s="60"/>
      <c r="G248" s="63">
        <f t="shared" si="16"/>
        <v>0</v>
      </c>
      <c r="H248" s="63"/>
      <c r="I248" s="60"/>
      <c r="J248" s="63">
        <f t="shared" si="17"/>
        <v>0</v>
      </c>
      <c r="K248" s="17"/>
      <c r="L248" s="17">
        <v>50000</v>
      </c>
      <c r="M248" s="17">
        <f t="shared" si="15"/>
        <v>50000</v>
      </c>
      <c r="N248" s="19">
        <f t="shared" si="18"/>
        <v>50</v>
      </c>
      <c r="P248" s="26"/>
    </row>
    <row r="249" spans="1:16" s="61" customFormat="1" ht="49.5" customHeight="1">
      <c r="A249" s="59"/>
      <c r="B249" s="59"/>
      <c r="C249" s="59"/>
      <c r="D249" s="62" t="s">
        <v>372</v>
      </c>
      <c r="E249" s="62" t="s">
        <v>372</v>
      </c>
      <c r="F249" s="60"/>
      <c r="G249" s="63">
        <f t="shared" si="16"/>
        <v>0</v>
      </c>
      <c r="H249" s="63"/>
      <c r="I249" s="60"/>
      <c r="J249" s="63">
        <f t="shared" si="17"/>
        <v>0</v>
      </c>
      <c r="K249" s="17">
        <v>100000</v>
      </c>
      <c r="L249" s="17">
        <v>-97600</v>
      </c>
      <c r="M249" s="17">
        <f t="shared" si="15"/>
        <v>2400</v>
      </c>
      <c r="N249" s="19">
        <f t="shared" si="18"/>
        <v>2.4</v>
      </c>
      <c r="P249" s="26"/>
    </row>
    <row r="250" spans="1:16" s="61" customFormat="1" ht="27" customHeight="1">
      <c r="A250" s="59"/>
      <c r="B250" s="59"/>
      <c r="C250" s="59"/>
      <c r="D250" s="62" t="s">
        <v>477</v>
      </c>
      <c r="E250" s="62"/>
      <c r="F250" s="60"/>
      <c r="G250" s="63"/>
      <c r="H250" s="63"/>
      <c r="I250" s="60"/>
      <c r="J250" s="63"/>
      <c r="K250" s="17"/>
      <c r="L250" s="17"/>
      <c r="M250" s="17"/>
      <c r="N250" s="19">
        <v>48</v>
      </c>
      <c r="P250" s="26"/>
    </row>
    <row r="251" spans="1:16" s="61" customFormat="1" ht="34.5" customHeight="1">
      <c r="A251" s="59"/>
      <c r="B251" s="59"/>
      <c r="C251" s="59"/>
      <c r="D251" s="62" t="s">
        <v>471</v>
      </c>
      <c r="E251" s="62"/>
      <c r="F251" s="60"/>
      <c r="G251" s="63"/>
      <c r="H251" s="63"/>
      <c r="I251" s="60"/>
      <c r="J251" s="63"/>
      <c r="K251" s="17"/>
      <c r="L251" s="17"/>
      <c r="M251" s="17"/>
      <c r="N251" s="19">
        <v>107</v>
      </c>
      <c r="P251" s="26"/>
    </row>
    <row r="252" spans="1:16" s="61" customFormat="1" ht="31.5" customHeight="1">
      <c r="A252" s="59"/>
      <c r="B252" s="59"/>
      <c r="C252" s="59"/>
      <c r="D252" s="41" t="s">
        <v>238</v>
      </c>
      <c r="E252" s="41" t="s">
        <v>238</v>
      </c>
      <c r="F252" s="60"/>
      <c r="G252" s="63">
        <f t="shared" si="16"/>
        <v>0</v>
      </c>
      <c r="H252" s="63"/>
      <c r="I252" s="60"/>
      <c r="J252" s="63">
        <f t="shared" si="17"/>
        <v>0</v>
      </c>
      <c r="K252" s="17">
        <f>100000-5700</f>
        <v>94300</v>
      </c>
      <c r="L252" s="17"/>
      <c r="M252" s="17">
        <f t="shared" si="15"/>
        <v>94300</v>
      </c>
      <c r="N252" s="19">
        <f t="shared" si="18"/>
        <v>94.3</v>
      </c>
      <c r="P252" s="26"/>
    </row>
    <row r="253" spans="1:16" s="61" customFormat="1" ht="33" customHeight="1">
      <c r="A253" s="59"/>
      <c r="B253" s="59"/>
      <c r="C253" s="59"/>
      <c r="D253" s="41" t="s">
        <v>246</v>
      </c>
      <c r="E253" s="41" t="s">
        <v>246</v>
      </c>
      <c r="F253" s="60"/>
      <c r="G253" s="63">
        <f t="shared" si="16"/>
        <v>0</v>
      </c>
      <c r="H253" s="63"/>
      <c r="I253" s="60"/>
      <c r="J253" s="63">
        <f t="shared" si="17"/>
        <v>0</v>
      </c>
      <c r="K253" s="17">
        <f>300000-5700</f>
        <v>294300</v>
      </c>
      <c r="L253" s="17"/>
      <c r="M253" s="17">
        <f t="shared" si="15"/>
        <v>294300</v>
      </c>
      <c r="N253" s="19">
        <f t="shared" si="18"/>
        <v>294.3</v>
      </c>
      <c r="P253" s="26"/>
    </row>
    <row r="254" spans="1:16" s="61" customFormat="1" ht="52.5" customHeight="1">
      <c r="A254" s="59"/>
      <c r="B254" s="59"/>
      <c r="C254" s="59"/>
      <c r="D254" s="41" t="s">
        <v>311</v>
      </c>
      <c r="E254" s="41" t="s">
        <v>311</v>
      </c>
      <c r="F254" s="60"/>
      <c r="G254" s="63">
        <f t="shared" si="16"/>
        <v>0</v>
      </c>
      <c r="H254" s="63"/>
      <c r="I254" s="60"/>
      <c r="J254" s="63">
        <f t="shared" si="17"/>
        <v>0</v>
      </c>
      <c r="K254" s="17">
        <v>70000</v>
      </c>
      <c r="L254" s="17">
        <v>-2550</v>
      </c>
      <c r="M254" s="17">
        <f t="shared" si="15"/>
        <v>67450</v>
      </c>
      <c r="N254" s="19">
        <f>ROUND(M254/1000,1)-0.1</f>
        <v>67.4</v>
      </c>
      <c r="P254" s="26"/>
    </row>
    <row r="255" spans="1:16" s="61" customFormat="1" ht="47.25" customHeight="1">
      <c r="A255" s="59"/>
      <c r="B255" s="59"/>
      <c r="C255" s="59"/>
      <c r="D255" s="41" t="s">
        <v>310</v>
      </c>
      <c r="E255" s="41" t="s">
        <v>310</v>
      </c>
      <c r="F255" s="60"/>
      <c r="G255" s="63">
        <f t="shared" si="16"/>
        <v>0</v>
      </c>
      <c r="H255" s="63"/>
      <c r="I255" s="60"/>
      <c r="J255" s="63">
        <f t="shared" si="17"/>
        <v>0</v>
      </c>
      <c r="K255" s="17">
        <v>90000</v>
      </c>
      <c r="L255" s="17">
        <v>-2250</v>
      </c>
      <c r="M255" s="17">
        <f>L255+K255</f>
        <v>87750</v>
      </c>
      <c r="N255" s="19">
        <f t="shared" si="18"/>
        <v>87.8</v>
      </c>
      <c r="P255" s="26"/>
    </row>
    <row r="256" spans="1:16" s="61" customFormat="1" ht="30" customHeight="1">
      <c r="A256" s="59"/>
      <c r="B256" s="59"/>
      <c r="C256" s="59"/>
      <c r="D256" s="41" t="s">
        <v>290</v>
      </c>
      <c r="E256" s="41" t="s">
        <v>290</v>
      </c>
      <c r="F256" s="60"/>
      <c r="G256" s="63">
        <f t="shared" si="16"/>
        <v>0</v>
      </c>
      <c r="H256" s="63"/>
      <c r="I256" s="60"/>
      <c r="J256" s="63">
        <f t="shared" si="17"/>
        <v>0</v>
      </c>
      <c r="K256" s="17">
        <v>50000</v>
      </c>
      <c r="L256" s="17"/>
      <c r="M256" s="17">
        <f t="shared" si="15"/>
        <v>50000</v>
      </c>
      <c r="N256" s="19">
        <f t="shared" si="18"/>
        <v>50</v>
      </c>
      <c r="P256" s="26"/>
    </row>
    <row r="257" spans="1:16" s="61" customFormat="1" ht="46.5" customHeight="1">
      <c r="A257" s="59"/>
      <c r="B257" s="59"/>
      <c r="C257" s="59"/>
      <c r="D257" s="41" t="s">
        <v>291</v>
      </c>
      <c r="E257" s="41" t="s">
        <v>291</v>
      </c>
      <c r="F257" s="60"/>
      <c r="G257" s="63">
        <f t="shared" si="16"/>
        <v>0</v>
      </c>
      <c r="H257" s="63"/>
      <c r="I257" s="60"/>
      <c r="J257" s="63">
        <f t="shared" si="17"/>
        <v>0</v>
      </c>
      <c r="K257" s="17">
        <v>50000</v>
      </c>
      <c r="L257" s="17"/>
      <c r="M257" s="17">
        <f t="shared" si="15"/>
        <v>50000</v>
      </c>
      <c r="N257" s="19">
        <f t="shared" si="18"/>
        <v>50</v>
      </c>
      <c r="P257" s="26"/>
    </row>
    <row r="258" spans="1:16" s="61" customFormat="1" ht="33.75" customHeight="1">
      <c r="A258" s="59"/>
      <c r="B258" s="59"/>
      <c r="C258" s="59"/>
      <c r="D258" s="41" t="s">
        <v>472</v>
      </c>
      <c r="E258" s="41"/>
      <c r="F258" s="60"/>
      <c r="G258" s="63"/>
      <c r="H258" s="63"/>
      <c r="I258" s="60"/>
      <c r="J258" s="63"/>
      <c r="K258" s="17"/>
      <c r="L258" s="17"/>
      <c r="M258" s="17"/>
      <c r="N258" s="19">
        <v>50</v>
      </c>
      <c r="P258" s="26"/>
    </row>
    <row r="259" spans="1:16" s="61" customFormat="1" ht="31.5" customHeight="1">
      <c r="A259" s="59"/>
      <c r="B259" s="59"/>
      <c r="C259" s="59"/>
      <c r="D259" s="41" t="s">
        <v>397</v>
      </c>
      <c r="E259" s="41" t="s">
        <v>397</v>
      </c>
      <c r="F259" s="60"/>
      <c r="G259" s="63">
        <f t="shared" si="16"/>
        <v>0</v>
      </c>
      <c r="H259" s="63"/>
      <c r="I259" s="60"/>
      <c r="J259" s="63">
        <f t="shared" si="17"/>
        <v>0</v>
      </c>
      <c r="K259" s="17"/>
      <c r="L259" s="17">
        <v>100000</v>
      </c>
      <c r="M259" s="17">
        <f t="shared" si="15"/>
        <v>100000</v>
      </c>
      <c r="N259" s="19">
        <f t="shared" si="18"/>
        <v>100</v>
      </c>
      <c r="P259" s="26"/>
    </row>
    <row r="260" spans="1:16" s="61" customFormat="1" ht="31.5" customHeight="1">
      <c r="A260" s="59"/>
      <c r="B260" s="59"/>
      <c r="C260" s="59"/>
      <c r="D260" s="41" t="s">
        <v>398</v>
      </c>
      <c r="E260" s="41" t="s">
        <v>398</v>
      </c>
      <c r="F260" s="60"/>
      <c r="G260" s="63">
        <f t="shared" si="16"/>
        <v>0</v>
      </c>
      <c r="H260" s="63"/>
      <c r="I260" s="60"/>
      <c r="J260" s="63">
        <f t="shared" si="17"/>
        <v>0</v>
      </c>
      <c r="K260" s="17"/>
      <c r="L260" s="17">
        <v>50000</v>
      </c>
      <c r="M260" s="17">
        <f t="shared" si="15"/>
        <v>50000</v>
      </c>
      <c r="N260" s="19">
        <f t="shared" si="18"/>
        <v>50</v>
      </c>
      <c r="P260" s="26"/>
    </row>
    <row r="261" spans="1:16" s="61" customFormat="1" ht="29.25" customHeight="1">
      <c r="A261" s="59"/>
      <c r="B261" s="59"/>
      <c r="C261" s="59"/>
      <c r="D261" s="41" t="s">
        <v>359</v>
      </c>
      <c r="E261" s="41" t="s">
        <v>359</v>
      </c>
      <c r="F261" s="60"/>
      <c r="G261" s="63">
        <f t="shared" si="16"/>
        <v>0</v>
      </c>
      <c r="H261" s="63"/>
      <c r="I261" s="60"/>
      <c r="J261" s="63">
        <f t="shared" si="17"/>
        <v>0</v>
      </c>
      <c r="K261" s="17">
        <v>50000</v>
      </c>
      <c r="L261" s="17"/>
      <c r="M261" s="17">
        <f t="shared" si="15"/>
        <v>50000</v>
      </c>
      <c r="N261" s="19">
        <f t="shared" si="18"/>
        <v>50</v>
      </c>
      <c r="P261" s="26"/>
    </row>
    <row r="262" spans="1:16" s="61" customFormat="1" ht="29.25" customHeight="1">
      <c r="A262" s="59"/>
      <c r="B262" s="59"/>
      <c r="C262" s="59"/>
      <c r="D262" s="41" t="s">
        <v>473</v>
      </c>
      <c r="E262" s="41"/>
      <c r="F262" s="60"/>
      <c r="G262" s="63"/>
      <c r="H262" s="63"/>
      <c r="I262" s="60"/>
      <c r="J262" s="63"/>
      <c r="K262" s="17"/>
      <c r="L262" s="17"/>
      <c r="M262" s="17"/>
      <c r="N262" s="19">
        <v>28.5</v>
      </c>
      <c r="P262" s="26"/>
    </row>
    <row r="263" spans="1:16" s="61" customFormat="1" ht="39.75" customHeight="1">
      <c r="A263" s="59"/>
      <c r="B263" s="59"/>
      <c r="C263" s="59"/>
      <c r="D263" s="41" t="s">
        <v>358</v>
      </c>
      <c r="E263" s="41" t="s">
        <v>358</v>
      </c>
      <c r="F263" s="60"/>
      <c r="G263" s="63">
        <f t="shared" si="16"/>
        <v>0</v>
      </c>
      <c r="H263" s="63"/>
      <c r="I263" s="60"/>
      <c r="J263" s="63">
        <f t="shared" si="17"/>
        <v>0</v>
      </c>
      <c r="K263" s="17">
        <v>150000</v>
      </c>
      <c r="L263" s="17"/>
      <c r="M263" s="17">
        <f t="shared" si="15"/>
        <v>150000</v>
      </c>
      <c r="N263" s="19">
        <f t="shared" si="18"/>
        <v>150</v>
      </c>
      <c r="P263" s="26"/>
    </row>
    <row r="264" spans="1:16" s="61" customFormat="1" ht="36.75" customHeight="1">
      <c r="A264" s="59"/>
      <c r="B264" s="59"/>
      <c r="C264" s="59"/>
      <c r="D264" s="62" t="s">
        <v>399</v>
      </c>
      <c r="E264" s="62" t="s">
        <v>399</v>
      </c>
      <c r="F264" s="60"/>
      <c r="G264" s="63">
        <f t="shared" si="16"/>
        <v>0</v>
      </c>
      <c r="H264" s="63"/>
      <c r="I264" s="60"/>
      <c r="J264" s="63">
        <f t="shared" si="17"/>
        <v>0</v>
      </c>
      <c r="K264" s="17"/>
      <c r="L264" s="17">
        <f>30000+20000</f>
        <v>50000</v>
      </c>
      <c r="M264" s="17">
        <f t="shared" si="15"/>
        <v>50000</v>
      </c>
      <c r="N264" s="19">
        <f t="shared" si="18"/>
        <v>50</v>
      </c>
      <c r="P264" s="26"/>
    </row>
    <row r="265" spans="1:16" s="61" customFormat="1" ht="36" customHeight="1">
      <c r="A265" s="59"/>
      <c r="B265" s="59"/>
      <c r="C265" s="59"/>
      <c r="D265" s="62" t="s">
        <v>445</v>
      </c>
      <c r="E265" s="62" t="s">
        <v>378</v>
      </c>
      <c r="F265" s="60"/>
      <c r="G265" s="63">
        <f t="shared" si="16"/>
        <v>0</v>
      </c>
      <c r="H265" s="63"/>
      <c r="I265" s="60"/>
      <c r="J265" s="63">
        <f t="shared" si="17"/>
        <v>0</v>
      </c>
      <c r="K265" s="17">
        <v>175000</v>
      </c>
      <c r="L265" s="17"/>
      <c r="M265" s="17">
        <f t="shared" si="15"/>
        <v>175000</v>
      </c>
      <c r="N265" s="19">
        <f t="shared" si="18"/>
        <v>175</v>
      </c>
      <c r="P265" s="26"/>
    </row>
    <row r="266" spans="1:16" s="61" customFormat="1" ht="33" customHeight="1">
      <c r="A266" s="59"/>
      <c r="B266" s="59"/>
      <c r="C266" s="59"/>
      <c r="D266" s="62" t="s">
        <v>446</v>
      </c>
      <c r="E266" s="62" t="s">
        <v>357</v>
      </c>
      <c r="F266" s="60"/>
      <c r="G266" s="63">
        <f t="shared" si="16"/>
        <v>0</v>
      </c>
      <c r="H266" s="63"/>
      <c r="I266" s="60"/>
      <c r="J266" s="63">
        <f t="shared" si="17"/>
        <v>0</v>
      </c>
      <c r="K266" s="17">
        <v>104845</v>
      </c>
      <c r="L266" s="17">
        <v>-2200</v>
      </c>
      <c r="M266" s="17">
        <f t="shared" si="15"/>
        <v>102645</v>
      </c>
      <c r="N266" s="19">
        <f t="shared" si="18"/>
        <v>102.6</v>
      </c>
      <c r="P266" s="26"/>
    </row>
    <row r="267" spans="1:16" s="61" customFormat="1" ht="40.5" customHeight="1">
      <c r="A267" s="59"/>
      <c r="B267" s="59"/>
      <c r="C267" s="59"/>
      <c r="D267" s="62" t="s">
        <v>447</v>
      </c>
      <c r="E267" s="62" t="s">
        <v>292</v>
      </c>
      <c r="F267" s="60"/>
      <c r="G267" s="63">
        <f t="shared" si="16"/>
        <v>0</v>
      </c>
      <c r="H267" s="63"/>
      <c r="I267" s="60"/>
      <c r="J267" s="63">
        <f t="shared" si="17"/>
        <v>0</v>
      </c>
      <c r="K267" s="17">
        <v>61400</v>
      </c>
      <c r="L267" s="17"/>
      <c r="M267" s="17">
        <f t="shared" si="15"/>
        <v>61400</v>
      </c>
      <c r="N267" s="19">
        <f t="shared" si="18"/>
        <v>61.4</v>
      </c>
      <c r="P267" s="26"/>
    </row>
    <row r="268" spans="1:16" s="61" customFormat="1" ht="40.5" customHeight="1">
      <c r="A268" s="59"/>
      <c r="B268" s="59"/>
      <c r="C268" s="59"/>
      <c r="D268" s="62" t="s">
        <v>448</v>
      </c>
      <c r="E268" s="62" t="s">
        <v>293</v>
      </c>
      <c r="F268" s="60"/>
      <c r="G268" s="63">
        <f t="shared" si="16"/>
        <v>0</v>
      </c>
      <c r="H268" s="63"/>
      <c r="I268" s="60"/>
      <c r="J268" s="63">
        <f t="shared" si="17"/>
        <v>0</v>
      </c>
      <c r="K268" s="17">
        <f>71000-2800</f>
        <v>68200</v>
      </c>
      <c r="L268" s="17"/>
      <c r="M268" s="17">
        <f t="shared" si="15"/>
        <v>68200</v>
      </c>
      <c r="N268" s="19">
        <f t="shared" si="18"/>
        <v>68.2</v>
      </c>
      <c r="P268" s="26"/>
    </row>
    <row r="269" spans="1:16" s="61" customFormat="1" ht="40.5" customHeight="1">
      <c r="A269" s="59"/>
      <c r="B269" s="59"/>
      <c r="C269" s="59"/>
      <c r="D269" s="62" t="s">
        <v>466</v>
      </c>
      <c r="E269" s="62"/>
      <c r="F269" s="60"/>
      <c r="G269" s="63"/>
      <c r="H269" s="63"/>
      <c r="I269" s="60"/>
      <c r="J269" s="63"/>
      <c r="K269" s="17"/>
      <c r="L269" s="17"/>
      <c r="M269" s="17"/>
      <c r="N269" s="19">
        <v>50</v>
      </c>
      <c r="P269" s="26"/>
    </row>
    <row r="270" spans="1:16" s="61" customFormat="1" ht="33" customHeight="1">
      <c r="A270" s="59"/>
      <c r="B270" s="59"/>
      <c r="C270" s="59"/>
      <c r="D270" s="62" t="s">
        <v>312</v>
      </c>
      <c r="E270" s="62" t="s">
        <v>312</v>
      </c>
      <c r="F270" s="60"/>
      <c r="G270" s="63">
        <f t="shared" si="16"/>
        <v>0</v>
      </c>
      <c r="H270" s="63"/>
      <c r="I270" s="60"/>
      <c r="J270" s="63">
        <f t="shared" si="17"/>
        <v>0</v>
      </c>
      <c r="K270" s="17">
        <f>55000+100000-1600</f>
        <v>153400</v>
      </c>
      <c r="L270" s="17"/>
      <c r="M270" s="17">
        <f t="shared" si="15"/>
        <v>153400</v>
      </c>
      <c r="N270" s="19">
        <f t="shared" si="18"/>
        <v>153.4</v>
      </c>
      <c r="P270" s="26"/>
    </row>
    <row r="271" spans="1:16" s="61" customFormat="1" ht="34.5" customHeight="1">
      <c r="A271" s="59"/>
      <c r="B271" s="59"/>
      <c r="C271" s="59"/>
      <c r="D271" s="62" t="s">
        <v>385</v>
      </c>
      <c r="E271" s="62" t="s">
        <v>385</v>
      </c>
      <c r="F271" s="60"/>
      <c r="G271" s="63">
        <f t="shared" si="16"/>
        <v>0</v>
      </c>
      <c r="H271" s="63"/>
      <c r="I271" s="60"/>
      <c r="J271" s="63">
        <f t="shared" si="17"/>
        <v>0</v>
      </c>
      <c r="K271" s="17">
        <v>75000</v>
      </c>
      <c r="L271" s="17"/>
      <c r="M271" s="17">
        <f t="shared" si="15"/>
        <v>75000</v>
      </c>
      <c r="N271" s="19">
        <f t="shared" si="18"/>
        <v>75</v>
      </c>
      <c r="P271" s="26"/>
    </row>
    <row r="272" spans="1:16" s="61" customFormat="1" ht="45.75" customHeight="1">
      <c r="A272" s="59"/>
      <c r="B272" s="59"/>
      <c r="C272" s="59"/>
      <c r="D272" s="41" t="s">
        <v>230</v>
      </c>
      <c r="E272" s="41" t="s">
        <v>230</v>
      </c>
      <c r="F272" s="60"/>
      <c r="G272" s="63">
        <f t="shared" si="16"/>
        <v>0</v>
      </c>
      <c r="H272" s="63"/>
      <c r="I272" s="60"/>
      <c r="J272" s="63">
        <f t="shared" si="17"/>
        <v>0</v>
      </c>
      <c r="K272" s="17">
        <v>998774</v>
      </c>
      <c r="L272" s="17"/>
      <c r="M272" s="17">
        <f t="shared" si="15"/>
        <v>998774</v>
      </c>
      <c r="N272" s="19">
        <f t="shared" si="18"/>
        <v>998.8</v>
      </c>
      <c r="P272" s="26"/>
    </row>
    <row r="273" spans="1:16" s="61" customFormat="1" ht="27.75" customHeight="1">
      <c r="A273" s="59"/>
      <c r="B273" s="59"/>
      <c r="C273" s="59"/>
      <c r="D273" s="41" t="s">
        <v>231</v>
      </c>
      <c r="E273" s="41" t="s">
        <v>231</v>
      </c>
      <c r="F273" s="60"/>
      <c r="G273" s="63">
        <f t="shared" si="16"/>
        <v>0</v>
      </c>
      <c r="H273" s="63"/>
      <c r="I273" s="60"/>
      <c r="J273" s="63">
        <f t="shared" si="17"/>
        <v>0</v>
      </c>
      <c r="K273" s="17">
        <v>489680</v>
      </c>
      <c r="L273" s="17"/>
      <c r="M273" s="17">
        <f t="shared" si="15"/>
        <v>489680</v>
      </c>
      <c r="N273" s="19">
        <f>ROUND(M273/1000,1)-20.5</f>
        <v>469.2</v>
      </c>
      <c r="P273" s="26"/>
    </row>
    <row r="274" spans="1:16" s="61" customFormat="1" ht="42.75" customHeight="1">
      <c r="A274" s="59"/>
      <c r="B274" s="59"/>
      <c r="C274" s="59"/>
      <c r="D274" s="41" t="s">
        <v>232</v>
      </c>
      <c r="E274" s="41" t="s">
        <v>232</v>
      </c>
      <c r="F274" s="60"/>
      <c r="G274" s="63">
        <f t="shared" si="16"/>
        <v>0</v>
      </c>
      <c r="H274" s="63"/>
      <c r="I274" s="60"/>
      <c r="J274" s="63">
        <f t="shared" si="17"/>
        <v>0</v>
      </c>
      <c r="K274" s="17">
        <v>498116</v>
      </c>
      <c r="L274" s="17"/>
      <c r="M274" s="17">
        <f t="shared" si="15"/>
        <v>498116</v>
      </c>
      <c r="N274" s="19">
        <f>ROUND(M274/1000,1)+38.8</f>
        <v>536.9</v>
      </c>
      <c r="P274" s="26"/>
    </row>
    <row r="275" spans="1:16" s="61" customFormat="1" ht="41.25" customHeight="1">
      <c r="A275" s="59"/>
      <c r="B275" s="59"/>
      <c r="C275" s="59"/>
      <c r="D275" s="41" t="s">
        <v>233</v>
      </c>
      <c r="E275" s="41" t="s">
        <v>233</v>
      </c>
      <c r="F275" s="60"/>
      <c r="G275" s="63">
        <f t="shared" si="16"/>
        <v>0</v>
      </c>
      <c r="H275" s="63"/>
      <c r="I275" s="60"/>
      <c r="J275" s="63">
        <f t="shared" si="17"/>
        <v>0</v>
      </c>
      <c r="K275" s="17">
        <v>409160</v>
      </c>
      <c r="L275" s="17"/>
      <c r="M275" s="17">
        <f t="shared" si="15"/>
        <v>409160</v>
      </c>
      <c r="N275" s="19">
        <f>ROUND(M275/1000,1)-129</f>
        <v>280.2</v>
      </c>
      <c r="P275" s="26"/>
    </row>
    <row r="276" spans="1:16" s="61" customFormat="1" ht="27.75" customHeight="1">
      <c r="A276" s="59"/>
      <c r="B276" s="59"/>
      <c r="C276" s="59"/>
      <c r="D276" s="41" t="s">
        <v>234</v>
      </c>
      <c r="E276" s="41" t="s">
        <v>234</v>
      </c>
      <c r="F276" s="60"/>
      <c r="G276" s="63">
        <f t="shared" si="16"/>
        <v>0</v>
      </c>
      <c r="H276" s="63"/>
      <c r="I276" s="60"/>
      <c r="J276" s="63">
        <f t="shared" si="17"/>
        <v>0</v>
      </c>
      <c r="K276" s="17">
        <v>998900</v>
      </c>
      <c r="L276" s="17"/>
      <c r="M276" s="17">
        <f t="shared" si="15"/>
        <v>998900</v>
      </c>
      <c r="N276" s="19">
        <f>ROUND(M276/1000,1)+11</f>
        <v>1009.9</v>
      </c>
      <c r="P276" s="26"/>
    </row>
    <row r="277" spans="1:16" s="61" customFormat="1" ht="33" customHeight="1">
      <c r="A277" s="59"/>
      <c r="B277" s="59"/>
      <c r="C277" s="59"/>
      <c r="D277" s="41" t="s">
        <v>235</v>
      </c>
      <c r="E277" s="41" t="s">
        <v>235</v>
      </c>
      <c r="F277" s="60"/>
      <c r="G277" s="63">
        <f t="shared" si="16"/>
        <v>0</v>
      </c>
      <c r="H277" s="63"/>
      <c r="I277" s="60"/>
      <c r="J277" s="63">
        <f t="shared" si="17"/>
        <v>0</v>
      </c>
      <c r="K277" s="17">
        <v>482174</v>
      </c>
      <c r="L277" s="17"/>
      <c r="M277" s="17">
        <f t="shared" si="15"/>
        <v>482174</v>
      </c>
      <c r="N277" s="19">
        <f t="shared" si="18"/>
        <v>482.2</v>
      </c>
      <c r="P277" s="26"/>
    </row>
    <row r="278" spans="1:16" s="61" customFormat="1" ht="39" customHeight="1">
      <c r="A278" s="59"/>
      <c r="B278" s="59"/>
      <c r="C278" s="59"/>
      <c r="D278" s="41" t="s">
        <v>236</v>
      </c>
      <c r="E278" s="41" t="s">
        <v>236</v>
      </c>
      <c r="F278" s="60"/>
      <c r="G278" s="63">
        <f t="shared" si="16"/>
        <v>0</v>
      </c>
      <c r="H278" s="63"/>
      <c r="I278" s="60"/>
      <c r="J278" s="63">
        <f t="shared" si="17"/>
        <v>0</v>
      </c>
      <c r="K278" s="17">
        <v>425207</v>
      </c>
      <c r="L278" s="17"/>
      <c r="M278" s="17">
        <f t="shared" si="15"/>
        <v>425207</v>
      </c>
      <c r="N278" s="19">
        <f t="shared" si="18"/>
        <v>425.2</v>
      </c>
      <c r="P278" s="26"/>
    </row>
    <row r="279" spans="1:16" s="61" customFormat="1" ht="40.5">
      <c r="A279" s="59"/>
      <c r="B279" s="59"/>
      <c r="C279" s="59"/>
      <c r="D279" s="41" t="s">
        <v>237</v>
      </c>
      <c r="E279" s="41" t="s">
        <v>237</v>
      </c>
      <c r="F279" s="60"/>
      <c r="G279" s="63">
        <f t="shared" si="16"/>
        <v>0</v>
      </c>
      <c r="H279" s="63"/>
      <c r="I279" s="60"/>
      <c r="J279" s="63">
        <f t="shared" si="17"/>
        <v>0</v>
      </c>
      <c r="K279" s="17">
        <v>468130</v>
      </c>
      <c r="L279" s="17"/>
      <c r="M279" s="17">
        <f t="shared" si="15"/>
        <v>468130</v>
      </c>
      <c r="N279" s="19">
        <f>ROUND(M279/1000,1)+99.7</f>
        <v>567.8000000000001</v>
      </c>
      <c r="P279" s="26"/>
    </row>
    <row r="280" spans="1:16" s="61" customFormat="1" ht="27" customHeight="1">
      <c r="A280" s="59"/>
      <c r="B280" s="59"/>
      <c r="C280" s="59"/>
      <c r="D280" s="10" t="s">
        <v>147</v>
      </c>
      <c r="E280" s="10" t="s">
        <v>147</v>
      </c>
      <c r="F280" s="87"/>
      <c r="G280" s="63">
        <f t="shared" si="16"/>
        <v>0</v>
      </c>
      <c r="H280" s="87"/>
      <c r="I280" s="60"/>
      <c r="J280" s="63">
        <f t="shared" si="17"/>
        <v>0</v>
      </c>
      <c r="K280" s="88">
        <f>SUM(K281:K301)</f>
        <v>22073100</v>
      </c>
      <c r="L280" s="88">
        <f>SUM(L281:L301)</f>
        <v>-1026000</v>
      </c>
      <c r="M280" s="88">
        <f>SUM(M281:M301)</f>
        <v>21047100</v>
      </c>
      <c r="N280" s="89">
        <f>SUM(N281:N301)</f>
        <v>20797.1</v>
      </c>
      <c r="P280" s="26"/>
    </row>
    <row r="281" spans="1:16" s="61" customFormat="1" ht="71.25" customHeight="1">
      <c r="A281" s="59"/>
      <c r="B281" s="59"/>
      <c r="C281" s="59"/>
      <c r="D281" s="62" t="s">
        <v>307</v>
      </c>
      <c r="E281" s="62" t="s">
        <v>307</v>
      </c>
      <c r="F281" s="87"/>
      <c r="G281" s="63">
        <f t="shared" si="16"/>
        <v>0</v>
      </c>
      <c r="H281" s="87"/>
      <c r="I281" s="60"/>
      <c r="J281" s="63">
        <f t="shared" si="17"/>
        <v>0</v>
      </c>
      <c r="K281" s="90">
        <v>8500</v>
      </c>
      <c r="L281" s="90"/>
      <c r="M281" s="17">
        <f t="shared" si="15"/>
        <v>8500</v>
      </c>
      <c r="N281" s="19">
        <f t="shared" si="18"/>
        <v>8.5</v>
      </c>
      <c r="P281" s="26"/>
    </row>
    <row r="282" spans="1:16" s="61" customFormat="1" ht="49.5" customHeight="1">
      <c r="A282" s="59"/>
      <c r="B282" s="59"/>
      <c r="C282" s="59"/>
      <c r="D282" s="62" t="s">
        <v>316</v>
      </c>
      <c r="E282" s="62" t="s">
        <v>316</v>
      </c>
      <c r="F282" s="87"/>
      <c r="G282" s="63">
        <f t="shared" si="16"/>
        <v>0</v>
      </c>
      <c r="H282" s="87"/>
      <c r="I282" s="60"/>
      <c r="J282" s="63">
        <f t="shared" si="17"/>
        <v>0</v>
      </c>
      <c r="K282" s="90">
        <v>100000</v>
      </c>
      <c r="L282" s="90">
        <v>183000</v>
      </c>
      <c r="M282" s="17">
        <f t="shared" si="15"/>
        <v>283000</v>
      </c>
      <c r="N282" s="19">
        <f t="shared" si="18"/>
        <v>283</v>
      </c>
      <c r="P282" s="26"/>
    </row>
    <row r="283" spans="1:16" s="61" customFormat="1" ht="33" customHeight="1">
      <c r="A283" s="59"/>
      <c r="B283" s="59"/>
      <c r="C283" s="59"/>
      <c r="D283" s="62" t="s">
        <v>165</v>
      </c>
      <c r="E283" s="62" t="s">
        <v>165</v>
      </c>
      <c r="F283" s="60"/>
      <c r="G283" s="63">
        <f t="shared" si="16"/>
        <v>0</v>
      </c>
      <c r="H283" s="63"/>
      <c r="I283" s="60"/>
      <c r="J283" s="63">
        <f t="shared" si="17"/>
        <v>0</v>
      </c>
      <c r="K283" s="17">
        <f>100000+1000</f>
        <v>101000</v>
      </c>
      <c r="L283" s="17"/>
      <c r="M283" s="17">
        <f t="shared" si="15"/>
        <v>101000</v>
      </c>
      <c r="N283" s="19">
        <f t="shared" si="18"/>
        <v>101</v>
      </c>
      <c r="P283" s="26"/>
    </row>
    <row r="284" spans="1:16" s="61" customFormat="1" ht="39.75" customHeight="1">
      <c r="A284" s="59"/>
      <c r="B284" s="59"/>
      <c r="C284" s="59"/>
      <c r="D284" s="41" t="s">
        <v>241</v>
      </c>
      <c r="E284" s="41" t="s">
        <v>241</v>
      </c>
      <c r="F284" s="60">
        <v>510218</v>
      </c>
      <c r="G284" s="63">
        <f t="shared" si="16"/>
        <v>510.2</v>
      </c>
      <c r="H284" s="63">
        <v>47.9</v>
      </c>
      <c r="I284" s="60">
        <v>244626</v>
      </c>
      <c r="J284" s="63">
        <f t="shared" si="17"/>
        <v>244.6</v>
      </c>
      <c r="K284" s="17">
        <f>240000-17400</f>
        <v>222600</v>
      </c>
      <c r="L284" s="17"/>
      <c r="M284" s="17">
        <f t="shared" si="15"/>
        <v>222600</v>
      </c>
      <c r="N284" s="19">
        <f t="shared" si="18"/>
        <v>222.6</v>
      </c>
      <c r="P284" s="26"/>
    </row>
    <row r="285" spans="1:16" s="61" customFormat="1" ht="39" customHeight="1">
      <c r="A285" s="59"/>
      <c r="B285" s="59"/>
      <c r="C285" s="59"/>
      <c r="D285" s="41" t="s">
        <v>355</v>
      </c>
      <c r="E285" s="41" t="s">
        <v>355</v>
      </c>
      <c r="F285" s="60"/>
      <c r="G285" s="63">
        <f t="shared" si="16"/>
        <v>0</v>
      </c>
      <c r="H285" s="63"/>
      <c r="I285" s="60"/>
      <c r="J285" s="63">
        <f t="shared" si="17"/>
        <v>0</v>
      </c>
      <c r="K285" s="17">
        <v>500000</v>
      </c>
      <c r="L285" s="17"/>
      <c r="M285" s="17">
        <f t="shared" si="15"/>
        <v>500000</v>
      </c>
      <c r="N285" s="19">
        <f t="shared" si="18"/>
        <v>500</v>
      </c>
      <c r="P285" s="26"/>
    </row>
    <row r="286" spans="1:16" s="61" customFormat="1" ht="36.75" customHeight="1">
      <c r="A286" s="59"/>
      <c r="B286" s="59"/>
      <c r="C286" s="59"/>
      <c r="D286" s="41" t="s">
        <v>353</v>
      </c>
      <c r="E286" s="41" t="s">
        <v>353</v>
      </c>
      <c r="F286" s="60"/>
      <c r="G286" s="63">
        <f t="shared" si="16"/>
        <v>0</v>
      </c>
      <c r="H286" s="63"/>
      <c r="I286" s="60"/>
      <c r="J286" s="63">
        <f t="shared" si="17"/>
        <v>0</v>
      </c>
      <c r="K286" s="17">
        <v>291000</v>
      </c>
      <c r="L286" s="17"/>
      <c r="M286" s="17">
        <f t="shared" si="15"/>
        <v>291000</v>
      </c>
      <c r="N286" s="19">
        <f t="shared" si="18"/>
        <v>291</v>
      </c>
      <c r="P286" s="26"/>
    </row>
    <row r="287" spans="1:16" s="61" customFormat="1" ht="36.75" customHeight="1">
      <c r="A287" s="59"/>
      <c r="B287" s="59"/>
      <c r="C287" s="59"/>
      <c r="D287" s="41" t="s">
        <v>354</v>
      </c>
      <c r="E287" s="41" t="s">
        <v>354</v>
      </c>
      <c r="F287" s="60"/>
      <c r="G287" s="63">
        <f t="shared" si="16"/>
        <v>0</v>
      </c>
      <c r="H287" s="63"/>
      <c r="I287" s="60"/>
      <c r="J287" s="63">
        <f t="shared" si="17"/>
        <v>0</v>
      </c>
      <c r="K287" s="17">
        <v>400000</v>
      </c>
      <c r="L287" s="17"/>
      <c r="M287" s="17">
        <f t="shared" si="15"/>
        <v>400000</v>
      </c>
      <c r="N287" s="19">
        <f t="shared" si="18"/>
        <v>400</v>
      </c>
      <c r="P287" s="26"/>
    </row>
    <row r="288" spans="1:152" ht="35.25" customHeight="1">
      <c r="A288" s="59"/>
      <c r="B288" s="59"/>
      <c r="C288" s="59"/>
      <c r="D288" s="41" t="s">
        <v>265</v>
      </c>
      <c r="E288" s="41" t="s">
        <v>265</v>
      </c>
      <c r="F288" s="65"/>
      <c r="G288" s="63">
        <f t="shared" si="16"/>
        <v>0</v>
      </c>
      <c r="H288" s="63"/>
      <c r="I288" s="91"/>
      <c r="J288" s="63">
        <f t="shared" si="17"/>
        <v>0</v>
      </c>
      <c r="K288" s="17">
        <v>100000</v>
      </c>
      <c r="L288" s="17"/>
      <c r="M288" s="17">
        <f>L288+K288</f>
        <v>100000</v>
      </c>
      <c r="N288" s="19">
        <f t="shared" si="18"/>
        <v>100</v>
      </c>
      <c r="O288" s="61"/>
      <c r="P288" s="26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F288" s="61"/>
      <c r="DG288" s="61"/>
      <c r="DH288" s="61"/>
      <c r="DI288" s="61"/>
      <c r="DJ288" s="61"/>
      <c r="DK288" s="61"/>
      <c r="DL288" s="61"/>
      <c r="DM288" s="61"/>
      <c r="DN288" s="61"/>
      <c r="DO288" s="61"/>
      <c r="DP288" s="61"/>
      <c r="DQ288" s="61"/>
      <c r="DR288" s="61"/>
      <c r="DS288" s="61"/>
      <c r="DT288" s="61"/>
      <c r="DU288" s="61"/>
      <c r="DV288" s="61"/>
      <c r="DW288" s="61"/>
      <c r="DX288" s="61"/>
      <c r="DY288" s="61"/>
      <c r="DZ288" s="61"/>
      <c r="EA288" s="61"/>
      <c r="EB288" s="61"/>
      <c r="EC288" s="61"/>
      <c r="ED288" s="61"/>
      <c r="EE288" s="61"/>
      <c r="EF288" s="61"/>
      <c r="EG288" s="61"/>
      <c r="EH288" s="61"/>
      <c r="EI288" s="61"/>
      <c r="EJ288" s="61"/>
      <c r="EK288" s="61"/>
      <c r="EL288" s="61"/>
      <c r="EM288" s="61"/>
      <c r="EN288" s="61"/>
      <c r="EO288" s="61"/>
      <c r="EP288" s="61"/>
      <c r="EQ288" s="61"/>
      <c r="ER288" s="61"/>
      <c r="ES288" s="61"/>
      <c r="ET288" s="61"/>
      <c r="EU288" s="61"/>
      <c r="EV288" s="61"/>
    </row>
    <row r="289" spans="1:152" ht="33.75" customHeight="1">
      <c r="A289" s="59"/>
      <c r="B289" s="59"/>
      <c r="C289" s="59"/>
      <c r="D289" s="41" t="s">
        <v>383</v>
      </c>
      <c r="E289" s="41" t="s">
        <v>383</v>
      </c>
      <c r="F289" s="65"/>
      <c r="G289" s="63">
        <f t="shared" si="16"/>
        <v>0</v>
      </c>
      <c r="H289" s="63"/>
      <c r="I289" s="91"/>
      <c r="J289" s="63">
        <f t="shared" si="17"/>
        <v>0</v>
      </c>
      <c r="K289" s="17">
        <v>200000</v>
      </c>
      <c r="L289" s="17">
        <v>91000</v>
      </c>
      <c r="M289" s="17">
        <f>L289+K289</f>
        <v>291000</v>
      </c>
      <c r="N289" s="19">
        <f t="shared" si="18"/>
        <v>291</v>
      </c>
      <c r="O289" s="61"/>
      <c r="P289" s="26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</row>
    <row r="290" spans="1:16" s="61" customFormat="1" ht="36" customHeight="1">
      <c r="A290" s="59"/>
      <c r="B290" s="59"/>
      <c r="C290" s="59"/>
      <c r="D290" s="62" t="s">
        <v>182</v>
      </c>
      <c r="E290" s="62" t="s">
        <v>182</v>
      </c>
      <c r="F290" s="74">
        <v>7995986</v>
      </c>
      <c r="G290" s="63">
        <f t="shared" si="16"/>
        <v>7996</v>
      </c>
      <c r="H290" s="63">
        <v>92.1</v>
      </c>
      <c r="I290" s="60">
        <v>7363893</v>
      </c>
      <c r="J290" s="63">
        <f t="shared" si="17"/>
        <v>7363.9</v>
      </c>
      <c r="K290" s="17">
        <f>500000+2000000</f>
        <v>2500000</v>
      </c>
      <c r="L290" s="17"/>
      <c r="M290" s="17">
        <f t="shared" si="15"/>
        <v>2500000</v>
      </c>
      <c r="N290" s="19">
        <f t="shared" si="18"/>
        <v>2500</v>
      </c>
      <c r="P290" s="26"/>
    </row>
    <row r="291" spans="1:16" s="61" customFormat="1" ht="39.75" customHeight="1">
      <c r="A291" s="59"/>
      <c r="B291" s="59"/>
      <c r="C291" s="59"/>
      <c r="D291" s="41" t="s">
        <v>183</v>
      </c>
      <c r="E291" s="41" t="s">
        <v>183</v>
      </c>
      <c r="F291" s="74">
        <v>5617491</v>
      </c>
      <c r="G291" s="63">
        <f t="shared" si="16"/>
        <v>5617.5</v>
      </c>
      <c r="H291" s="63">
        <v>70.6</v>
      </c>
      <c r="I291" s="60">
        <v>3967874</v>
      </c>
      <c r="J291" s="63">
        <f t="shared" si="17"/>
        <v>3967.9</v>
      </c>
      <c r="K291" s="17">
        <v>3000000</v>
      </c>
      <c r="L291" s="17"/>
      <c r="M291" s="17">
        <f t="shared" si="15"/>
        <v>3000000</v>
      </c>
      <c r="N291" s="19">
        <f t="shared" si="18"/>
        <v>3000</v>
      </c>
      <c r="P291" s="26"/>
    </row>
    <row r="292" spans="1:16" s="61" customFormat="1" ht="43.5" customHeight="1">
      <c r="A292" s="59"/>
      <c r="B292" s="59"/>
      <c r="C292" s="59"/>
      <c r="D292" s="41" t="s">
        <v>166</v>
      </c>
      <c r="E292" s="41" t="s">
        <v>166</v>
      </c>
      <c r="F292" s="60">
        <v>9995386</v>
      </c>
      <c r="G292" s="63">
        <f t="shared" si="16"/>
        <v>9995.4</v>
      </c>
      <c r="H292" s="63">
        <v>20.8</v>
      </c>
      <c r="I292" s="60">
        <v>2081885</v>
      </c>
      <c r="J292" s="63">
        <f t="shared" si="17"/>
        <v>2081.9</v>
      </c>
      <c r="K292" s="17">
        <f>500000-450000</f>
        <v>50000</v>
      </c>
      <c r="L292" s="17"/>
      <c r="M292" s="17">
        <f t="shared" si="15"/>
        <v>50000</v>
      </c>
      <c r="N292" s="19">
        <f t="shared" si="18"/>
        <v>50</v>
      </c>
      <c r="P292" s="26"/>
    </row>
    <row r="293" spans="1:16" s="61" customFormat="1" ht="43.5" customHeight="1">
      <c r="A293" s="59"/>
      <c r="B293" s="59"/>
      <c r="C293" s="59"/>
      <c r="D293" s="41" t="s">
        <v>360</v>
      </c>
      <c r="E293" s="41" t="s">
        <v>360</v>
      </c>
      <c r="F293" s="60"/>
      <c r="G293" s="63">
        <f t="shared" si="16"/>
        <v>0</v>
      </c>
      <c r="H293" s="63"/>
      <c r="I293" s="60"/>
      <c r="J293" s="63">
        <f t="shared" si="17"/>
        <v>0</v>
      </c>
      <c r="K293" s="17">
        <v>100000</v>
      </c>
      <c r="L293" s="17"/>
      <c r="M293" s="17">
        <f t="shared" si="15"/>
        <v>100000</v>
      </c>
      <c r="N293" s="19">
        <f t="shared" si="18"/>
        <v>100</v>
      </c>
      <c r="P293" s="26"/>
    </row>
    <row r="294" spans="1:16" s="61" customFormat="1" ht="33.75" customHeight="1">
      <c r="A294" s="59"/>
      <c r="B294" s="59"/>
      <c r="C294" s="59"/>
      <c r="D294" s="41" t="s">
        <v>167</v>
      </c>
      <c r="E294" s="41" t="s">
        <v>167</v>
      </c>
      <c r="F294" s="74">
        <v>31834622</v>
      </c>
      <c r="G294" s="63">
        <f t="shared" si="16"/>
        <v>31834.6</v>
      </c>
      <c r="H294" s="63">
        <v>65.2</v>
      </c>
      <c r="I294" s="60">
        <v>20752957</v>
      </c>
      <c r="J294" s="63">
        <f t="shared" si="17"/>
        <v>20753</v>
      </c>
      <c r="K294" s="17">
        <v>7000000</v>
      </c>
      <c r="L294" s="17"/>
      <c r="M294" s="17">
        <f t="shared" si="15"/>
        <v>7000000</v>
      </c>
      <c r="N294" s="19">
        <f t="shared" si="18"/>
        <v>7000</v>
      </c>
      <c r="P294" s="26"/>
    </row>
    <row r="295" spans="1:16" s="61" customFormat="1" ht="33.75" customHeight="1">
      <c r="A295" s="59"/>
      <c r="B295" s="59"/>
      <c r="C295" s="59"/>
      <c r="D295" s="62" t="s">
        <v>168</v>
      </c>
      <c r="E295" s="62" t="s">
        <v>168</v>
      </c>
      <c r="F295" s="74">
        <v>14670250</v>
      </c>
      <c r="G295" s="63">
        <f t="shared" si="16"/>
        <v>14670.3</v>
      </c>
      <c r="H295" s="63">
        <v>48.7</v>
      </c>
      <c r="I295" s="60">
        <v>7146429</v>
      </c>
      <c r="J295" s="63">
        <f t="shared" si="17"/>
        <v>7146.4</v>
      </c>
      <c r="K295" s="17">
        <v>500000</v>
      </c>
      <c r="L295" s="17"/>
      <c r="M295" s="17">
        <f t="shared" si="15"/>
        <v>500000</v>
      </c>
      <c r="N295" s="19">
        <f>ROUND(M295/1000,1)-250</f>
        <v>250</v>
      </c>
      <c r="P295" s="26"/>
    </row>
    <row r="296" spans="1:16" s="61" customFormat="1" ht="48.75" customHeight="1">
      <c r="A296" s="59"/>
      <c r="B296" s="59"/>
      <c r="C296" s="59"/>
      <c r="D296" s="41" t="s">
        <v>331</v>
      </c>
      <c r="E296" s="41" t="s">
        <v>331</v>
      </c>
      <c r="F296" s="74">
        <v>1581853</v>
      </c>
      <c r="G296" s="63">
        <f t="shared" si="16"/>
        <v>1581.9</v>
      </c>
      <c r="H296" s="63">
        <v>46.8</v>
      </c>
      <c r="I296" s="60">
        <v>739746</v>
      </c>
      <c r="J296" s="63">
        <f t="shared" si="17"/>
        <v>739.7</v>
      </c>
      <c r="K296" s="17">
        <v>500000</v>
      </c>
      <c r="L296" s="17"/>
      <c r="M296" s="17">
        <f t="shared" si="15"/>
        <v>500000</v>
      </c>
      <c r="N296" s="19">
        <f t="shared" si="18"/>
        <v>500</v>
      </c>
      <c r="P296" s="26"/>
    </row>
    <row r="297" spans="1:16" s="61" customFormat="1" ht="38.25" customHeight="1">
      <c r="A297" s="59"/>
      <c r="B297" s="59"/>
      <c r="C297" s="59"/>
      <c r="D297" s="41" t="s">
        <v>332</v>
      </c>
      <c r="E297" s="41" t="s">
        <v>332</v>
      </c>
      <c r="F297" s="74"/>
      <c r="G297" s="63">
        <f t="shared" si="16"/>
        <v>0</v>
      </c>
      <c r="H297" s="63"/>
      <c r="I297" s="60"/>
      <c r="J297" s="63">
        <f t="shared" si="17"/>
        <v>0</v>
      </c>
      <c r="K297" s="17">
        <v>500000</v>
      </c>
      <c r="L297" s="17"/>
      <c r="M297" s="17">
        <f t="shared" si="15"/>
        <v>500000</v>
      </c>
      <c r="N297" s="19">
        <f t="shared" si="18"/>
        <v>500</v>
      </c>
      <c r="P297" s="26"/>
    </row>
    <row r="298" spans="1:16" s="61" customFormat="1" ht="52.5" customHeight="1">
      <c r="A298" s="59"/>
      <c r="B298" s="59"/>
      <c r="C298" s="59"/>
      <c r="D298" s="41" t="s">
        <v>169</v>
      </c>
      <c r="E298" s="41" t="s">
        <v>169</v>
      </c>
      <c r="F298" s="65"/>
      <c r="G298" s="63">
        <f t="shared" si="16"/>
        <v>0</v>
      </c>
      <c r="H298" s="63"/>
      <c r="I298" s="60"/>
      <c r="J298" s="63">
        <f t="shared" si="17"/>
        <v>0</v>
      </c>
      <c r="K298" s="17">
        <v>1500000</v>
      </c>
      <c r="L298" s="17"/>
      <c r="M298" s="17">
        <f t="shared" si="15"/>
        <v>1500000</v>
      </c>
      <c r="N298" s="19">
        <f t="shared" si="18"/>
        <v>1500</v>
      </c>
      <c r="P298" s="26"/>
    </row>
    <row r="299" spans="1:16" s="61" customFormat="1" ht="54" customHeight="1">
      <c r="A299" s="59"/>
      <c r="B299" s="59"/>
      <c r="C299" s="59"/>
      <c r="D299" s="41" t="s">
        <v>170</v>
      </c>
      <c r="E299" s="41" t="s">
        <v>170</v>
      </c>
      <c r="F299" s="65"/>
      <c r="G299" s="63">
        <f t="shared" si="16"/>
        <v>0</v>
      </c>
      <c r="H299" s="63"/>
      <c r="I299" s="60"/>
      <c r="J299" s="63">
        <f t="shared" si="17"/>
        <v>0</v>
      </c>
      <c r="K299" s="17">
        <v>1500000</v>
      </c>
      <c r="L299" s="17">
        <v>-1300000</v>
      </c>
      <c r="M299" s="17">
        <f t="shared" si="15"/>
        <v>200000</v>
      </c>
      <c r="N299" s="19">
        <f t="shared" si="18"/>
        <v>200</v>
      </c>
      <c r="P299" s="26"/>
    </row>
    <row r="300" spans="1:16" s="61" customFormat="1" ht="46.5" customHeight="1">
      <c r="A300" s="59"/>
      <c r="B300" s="59"/>
      <c r="C300" s="59"/>
      <c r="D300" s="41" t="s">
        <v>171</v>
      </c>
      <c r="E300" s="41" t="s">
        <v>171</v>
      </c>
      <c r="F300" s="65"/>
      <c r="G300" s="63">
        <f t="shared" si="16"/>
        <v>0</v>
      </c>
      <c r="H300" s="63"/>
      <c r="I300" s="91"/>
      <c r="J300" s="63">
        <f t="shared" si="17"/>
        <v>0</v>
      </c>
      <c r="K300" s="17">
        <v>1500000</v>
      </c>
      <c r="L300" s="17"/>
      <c r="M300" s="17">
        <f t="shared" si="15"/>
        <v>1500000</v>
      </c>
      <c r="N300" s="19">
        <f t="shared" si="18"/>
        <v>1500</v>
      </c>
      <c r="P300" s="26"/>
    </row>
    <row r="301" spans="1:152" ht="50.25" customHeight="1">
      <c r="A301" s="59"/>
      <c r="B301" s="59"/>
      <c r="C301" s="59"/>
      <c r="D301" s="41" t="s">
        <v>172</v>
      </c>
      <c r="E301" s="41" t="s">
        <v>172</v>
      </c>
      <c r="F301" s="65"/>
      <c r="G301" s="63">
        <f t="shared" si="16"/>
        <v>0</v>
      </c>
      <c r="H301" s="63"/>
      <c r="I301" s="91"/>
      <c r="J301" s="63">
        <f t="shared" si="17"/>
        <v>0</v>
      </c>
      <c r="K301" s="17">
        <v>1500000</v>
      </c>
      <c r="L301" s="17"/>
      <c r="M301" s="17">
        <f t="shared" si="15"/>
        <v>1500000</v>
      </c>
      <c r="N301" s="19">
        <f t="shared" si="18"/>
        <v>1500</v>
      </c>
      <c r="O301" s="61"/>
      <c r="P301" s="26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</row>
    <row r="302" spans="1:152" s="96" customFormat="1" ht="48" customHeight="1">
      <c r="A302" s="23" t="s">
        <v>239</v>
      </c>
      <c r="B302" s="23" t="s">
        <v>69</v>
      </c>
      <c r="C302" s="23" t="s">
        <v>52</v>
      </c>
      <c r="D302" s="51" t="s">
        <v>439</v>
      </c>
      <c r="E302" s="51"/>
      <c r="F302" s="92"/>
      <c r="G302" s="63">
        <f t="shared" si="16"/>
        <v>0</v>
      </c>
      <c r="H302" s="93"/>
      <c r="I302" s="94"/>
      <c r="J302" s="63">
        <f t="shared" si="17"/>
        <v>0</v>
      </c>
      <c r="K302" s="24">
        <f>K303+K304</f>
        <v>1000000</v>
      </c>
      <c r="L302" s="24">
        <f>L303+L304</f>
        <v>0</v>
      </c>
      <c r="M302" s="24">
        <f>M303+M304</f>
        <v>1000000</v>
      </c>
      <c r="N302" s="16">
        <f>N303+N304</f>
        <v>2200</v>
      </c>
      <c r="O302" s="61"/>
      <c r="P302" s="26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  <c r="AT302" s="95"/>
      <c r="AU302" s="95"/>
      <c r="AV302" s="95"/>
      <c r="AW302" s="95"/>
      <c r="AX302" s="95"/>
      <c r="AY302" s="95"/>
      <c r="AZ302" s="95"/>
      <c r="BA302" s="95"/>
      <c r="BB302" s="95"/>
      <c r="BC302" s="95"/>
      <c r="BD302" s="95"/>
      <c r="BE302" s="95"/>
      <c r="BF302" s="95"/>
      <c r="BG302" s="95"/>
      <c r="BH302" s="95"/>
      <c r="BI302" s="95"/>
      <c r="BJ302" s="95"/>
      <c r="BK302" s="95"/>
      <c r="BL302" s="95"/>
      <c r="BM302" s="95"/>
      <c r="BN302" s="95"/>
      <c r="BO302" s="95"/>
      <c r="BP302" s="95"/>
      <c r="BQ302" s="95"/>
      <c r="BR302" s="95"/>
      <c r="BS302" s="95"/>
      <c r="BT302" s="95"/>
      <c r="BU302" s="95"/>
      <c r="BV302" s="95"/>
      <c r="BW302" s="95"/>
      <c r="BX302" s="95"/>
      <c r="BY302" s="95"/>
      <c r="BZ302" s="95"/>
      <c r="CA302" s="95"/>
      <c r="CB302" s="95"/>
      <c r="CC302" s="95"/>
      <c r="CD302" s="95"/>
      <c r="CE302" s="95"/>
      <c r="CF302" s="95"/>
      <c r="CG302" s="95"/>
      <c r="CH302" s="95"/>
      <c r="CI302" s="95"/>
      <c r="CJ302" s="95"/>
      <c r="CK302" s="95"/>
      <c r="CL302" s="95"/>
      <c r="CM302" s="95"/>
      <c r="CN302" s="95"/>
      <c r="CO302" s="95"/>
      <c r="CP302" s="95"/>
      <c r="CQ302" s="95"/>
      <c r="CR302" s="95"/>
      <c r="CS302" s="95"/>
      <c r="CT302" s="95"/>
      <c r="CU302" s="95"/>
      <c r="CV302" s="95"/>
      <c r="CW302" s="95"/>
      <c r="CX302" s="95"/>
      <c r="CY302" s="95"/>
      <c r="CZ302" s="95"/>
      <c r="DA302" s="95"/>
      <c r="DB302" s="95"/>
      <c r="DC302" s="95"/>
      <c r="DD302" s="95"/>
      <c r="DE302" s="95"/>
      <c r="DF302" s="95"/>
      <c r="DG302" s="95"/>
      <c r="DH302" s="95"/>
      <c r="DI302" s="95"/>
      <c r="DJ302" s="95"/>
      <c r="DK302" s="95"/>
      <c r="DL302" s="95"/>
      <c r="DM302" s="95"/>
      <c r="DN302" s="95"/>
      <c r="DO302" s="95"/>
      <c r="DP302" s="95"/>
      <c r="DQ302" s="95"/>
      <c r="DR302" s="95"/>
      <c r="DS302" s="95"/>
      <c r="DT302" s="95"/>
      <c r="DU302" s="95"/>
      <c r="DV302" s="95"/>
      <c r="DW302" s="95"/>
      <c r="DX302" s="95"/>
      <c r="DY302" s="95"/>
      <c r="DZ302" s="95"/>
      <c r="EA302" s="95"/>
      <c r="EB302" s="95"/>
      <c r="EC302" s="95"/>
      <c r="ED302" s="95"/>
      <c r="EE302" s="95"/>
      <c r="EF302" s="95"/>
      <c r="EG302" s="95"/>
      <c r="EH302" s="95"/>
      <c r="EI302" s="95"/>
      <c r="EJ302" s="95"/>
      <c r="EK302" s="95"/>
      <c r="EL302" s="95"/>
      <c r="EM302" s="95"/>
      <c r="EN302" s="95"/>
      <c r="EO302" s="95"/>
      <c r="EP302" s="95"/>
      <c r="EQ302" s="95"/>
      <c r="ER302" s="95"/>
      <c r="ES302" s="95"/>
      <c r="ET302" s="95"/>
      <c r="EU302" s="95"/>
      <c r="EV302" s="95"/>
    </row>
    <row r="303" spans="1:152" ht="40.5">
      <c r="A303" s="27"/>
      <c r="B303" s="27"/>
      <c r="C303" s="27"/>
      <c r="D303" s="43" t="s">
        <v>392</v>
      </c>
      <c r="E303" s="41" t="s">
        <v>392</v>
      </c>
      <c r="F303" s="65"/>
      <c r="G303" s="63">
        <f t="shared" si="16"/>
        <v>0</v>
      </c>
      <c r="H303" s="63"/>
      <c r="I303" s="91"/>
      <c r="J303" s="63">
        <f t="shared" si="17"/>
        <v>0</v>
      </c>
      <c r="K303" s="17">
        <v>500000</v>
      </c>
      <c r="L303" s="17"/>
      <c r="M303" s="17">
        <f t="shared" si="15"/>
        <v>500000</v>
      </c>
      <c r="N303" s="34">
        <f>ROUND(M303/1000,1)+1200</f>
        <v>1700</v>
      </c>
      <c r="O303" s="61"/>
      <c r="P303" s="26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</row>
    <row r="304" spans="1:152" ht="32.25" customHeight="1">
      <c r="A304" s="27"/>
      <c r="B304" s="27"/>
      <c r="C304" s="27"/>
      <c r="D304" s="43" t="s">
        <v>248</v>
      </c>
      <c r="E304" s="41" t="s">
        <v>248</v>
      </c>
      <c r="F304" s="60">
        <v>1579560</v>
      </c>
      <c r="G304" s="63">
        <f t="shared" si="16"/>
        <v>1579.6</v>
      </c>
      <c r="H304" s="63">
        <v>38.4</v>
      </c>
      <c r="I304" s="60">
        <v>605818</v>
      </c>
      <c r="J304" s="63">
        <f t="shared" si="17"/>
        <v>605.8</v>
      </c>
      <c r="K304" s="17">
        <v>500000</v>
      </c>
      <c r="L304" s="17"/>
      <c r="M304" s="17">
        <f t="shared" si="15"/>
        <v>500000</v>
      </c>
      <c r="N304" s="34">
        <f t="shared" si="18"/>
        <v>500</v>
      </c>
      <c r="O304" s="95"/>
      <c r="P304" s="26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</row>
    <row r="305" spans="1:16" s="25" customFormat="1" ht="30.75" customHeight="1">
      <c r="A305" s="23" t="s">
        <v>272</v>
      </c>
      <c r="B305" s="23" t="s">
        <v>269</v>
      </c>
      <c r="C305" s="23"/>
      <c r="D305" s="10" t="s">
        <v>413</v>
      </c>
      <c r="E305" s="10"/>
      <c r="F305" s="146"/>
      <c r="G305" s="93">
        <f t="shared" si="16"/>
        <v>0</v>
      </c>
      <c r="H305" s="10"/>
      <c r="I305" s="10"/>
      <c r="J305" s="93">
        <f t="shared" si="17"/>
        <v>0</v>
      </c>
      <c r="K305" s="56">
        <f>SUM(K306)</f>
        <v>289538</v>
      </c>
      <c r="L305" s="147">
        <f>SUM(L306)</f>
        <v>309000</v>
      </c>
      <c r="M305" s="147">
        <f>SUM(M306)</f>
        <v>598538</v>
      </c>
      <c r="N305" s="14">
        <f t="shared" si="18"/>
        <v>598.5</v>
      </c>
      <c r="O305" s="95"/>
      <c r="P305" s="26"/>
    </row>
    <row r="306" spans="1:16" s="38" customFormat="1" ht="50.25" customHeight="1">
      <c r="A306" s="30" t="s">
        <v>273</v>
      </c>
      <c r="B306" s="30" t="s">
        <v>276</v>
      </c>
      <c r="C306" s="30" t="s">
        <v>47</v>
      </c>
      <c r="D306" s="31" t="s">
        <v>267</v>
      </c>
      <c r="E306" s="31"/>
      <c r="F306" s="99"/>
      <c r="G306" s="63">
        <f t="shared" si="16"/>
        <v>0</v>
      </c>
      <c r="H306" s="31"/>
      <c r="I306" s="31"/>
      <c r="J306" s="63">
        <f t="shared" si="17"/>
        <v>0</v>
      </c>
      <c r="K306" s="46">
        <v>289538</v>
      </c>
      <c r="L306" s="100">
        <f>9000+300000</f>
        <v>309000</v>
      </c>
      <c r="M306" s="100">
        <f>L306+K306</f>
        <v>598538</v>
      </c>
      <c r="N306" s="34">
        <f t="shared" si="18"/>
        <v>598.5</v>
      </c>
      <c r="O306" s="61"/>
      <c r="P306" s="26"/>
    </row>
    <row r="307" spans="1:16" s="38" customFormat="1" ht="25.5" customHeight="1">
      <c r="A307" s="30"/>
      <c r="B307" s="30"/>
      <c r="C307" s="30"/>
      <c r="D307" s="31" t="s">
        <v>458</v>
      </c>
      <c r="E307" s="31"/>
      <c r="F307" s="99"/>
      <c r="G307" s="63"/>
      <c r="H307" s="31"/>
      <c r="I307" s="31"/>
      <c r="J307" s="63"/>
      <c r="K307" s="46"/>
      <c r="L307" s="100"/>
      <c r="M307" s="100"/>
      <c r="N307" s="34">
        <f>N309+N311</f>
        <v>300.1</v>
      </c>
      <c r="O307" s="29"/>
      <c r="P307" s="26"/>
    </row>
    <row r="308" spans="1:16" s="29" customFormat="1" ht="50.25" customHeight="1">
      <c r="A308" s="27"/>
      <c r="B308" s="27"/>
      <c r="C308" s="27"/>
      <c r="D308" s="28" t="s">
        <v>464</v>
      </c>
      <c r="E308" s="28"/>
      <c r="F308" s="97"/>
      <c r="G308" s="63"/>
      <c r="H308" s="28"/>
      <c r="I308" s="28"/>
      <c r="J308" s="63"/>
      <c r="K308" s="45"/>
      <c r="L308" s="98"/>
      <c r="M308" s="98"/>
      <c r="N308" s="19">
        <v>289.5</v>
      </c>
      <c r="O308" s="38"/>
      <c r="P308" s="26"/>
    </row>
    <row r="309" spans="1:16" s="38" customFormat="1" ht="29.25" customHeight="1">
      <c r="A309" s="30"/>
      <c r="B309" s="30"/>
      <c r="C309" s="30"/>
      <c r="D309" s="31" t="s">
        <v>458</v>
      </c>
      <c r="E309" s="31"/>
      <c r="F309" s="99"/>
      <c r="G309" s="63"/>
      <c r="H309" s="31"/>
      <c r="I309" s="31"/>
      <c r="J309" s="63"/>
      <c r="K309" s="46"/>
      <c r="L309" s="100"/>
      <c r="M309" s="100"/>
      <c r="N309" s="34">
        <v>0.1</v>
      </c>
      <c r="O309" s="29"/>
      <c r="P309" s="26"/>
    </row>
    <row r="310" spans="1:16" s="29" customFormat="1" ht="50.25" customHeight="1">
      <c r="A310" s="27"/>
      <c r="B310" s="27"/>
      <c r="C310" s="27"/>
      <c r="D310" s="28" t="s">
        <v>465</v>
      </c>
      <c r="E310" s="28"/>
      <c r="F310" s="97"/>
      <c r="G310" s="63"/>
      <c r="H310" s="28"/>
      <c r="I310" s="28"/>
      <c r="J310" s="63"/>
      <c r="K310" s="45"/>
      <c r="L310" s="98"/>
      <c r="M310" s="98"/>
      <c r="N310" s="19">
        <v>309</v>
      </c>
      <c r="P310" s="26"/>
    </row>
    <row r="311" spans="1:16" s="38" customFormat="1" ht="29.25" customHeight="1">
      <c r="A311" s="30"/>
      <c r="B311" s="30"/>
      <c r="C311" s="30"/>
      <c r="D311" s="31" t="s">
        <v>458</v>
      </c>
      <c r="E311" s="31"/>
      <c r="F311" s="99"/>
      <c r="G311" s="63"/>
      <c r="H311" s="31"/>
      <c r="I311" s="31"/>
      <c r="J311" s="63"/>
      <c r="K311" s="46"/>
      <c r="L311" s="100"/>
      <c r="M311" s="100"/>
      <c r="N311" s="34">
        <v>300</v>
      </c>
      <c r="O311" s="29"/>
      <c r="P311" s="26"/>
    </row>
    <row r="312" spans="1:16" s="29" customFormat="1" ht="30.75" customHeight="1">
      <c r="A312" s="27" t="s">
        <v>75</v>
      </c>
      <c r="B312" s="27" t="s">
        <v>1</v>
      </c>
      <c r="C312" s="27" t="s">
        <v>48</v>
      </c>
      <c r="D312" s="28" t="s">
        <v>17</v>
      </c>
      <c r="E312" s="28"/>
      <c r="F312" s="97"/>
      <c r="G312" s="63">
        <f t="shared" si="16"/>
        <v>0</v>
      </c>
      <c r="H312" s="28"/>
      <c r="I312" s="28"/>
      <c r="J312" s="63">
        <f t="shared" si="17"/>
        <v>0</v>
      </c>
      <c r="K312" s="17">
        <f>18557000-160000+529155+160000</f>
        <v>19086155</v>
      </c>
      <c r="L312" s="98"/>
      <c r="M312" s="98">
        <f t="shared" si="15"/>
        <v>19086155</v>
      </c>
      <c r="N312" s="19">
        <f t="shared" si="18"/>
        <v>19086.2</v>
      </c>
      <c r="O312" s="38"/>
      <c r="P312" s="26"/>
    </row>
    <row r="313" spans="1:16" s="29" customFormat="1" ht="35.25" customHeight="1">
      <c r="A313" s="23" t="s">
        <v>319</v>
      </c>
      <c r="B313" s="55"/>
      <c r="C313" s="55"/>
      <c r="D313" s="10" t="s">
        <v>318</v>
      </c>
      <c r="E313" s="10"/>
      <c r="F313" s="10"/>
      <c r="G313" s="63">
        <f aca="true" t="shared" si="19" ref="G313:G325">ROUND(F313/1000,1)</f>
        <v>0</v>
      </c>
      <c r="H313" s="10"/>
      <c r="I313" s="10"/>
      <c r="J313" s="63">
        <f aca="true" t="shared" si="20" ref="J313:J325">ROUND(I313/1000,1)</f>
        <v>0</v>
      </c>
      <c r="K313" s="24">
        <f>K314</f>
        <v>140000</v>
      </c>
      <c r="L313" s="24">
        <f>L314</f>
        <v>0</v>
      </c>
      <c r="M313" s="24">
        <f>M314</f>
        <v>140000</v>
      </c>
      <c r="N313" s="16">
        <f>N314</f>
        <v>140</v>
      </c>
      <c r="O313" s="38"/>
      <c r="P313" s="26"/>
    </row>
    <row r="314" spans="1:16" s="29" customFormat="1" ht="41.25" customHeight="1">
      <c r="A314" s="27" t="s">
        <v>320</v>
      </c>
      <c r="B314" s="27" t="s">
        <v>321</v>
      </c>
      <c r="C314" s="27" t="s">
        <v>52</v>
      </c>
      <c r="D314" s="28" t="s">
        <v>322</v>
      </c>
      <c r="E314" s="28"/>
      <c r="F314" s="28"/>
      <c r="G314" s="63">
        <f t="shared" si="19"/>
        <v>0</v>
      </c>
      <c r="H314" s="28"/>
      <c r="I314" s="28"/>
      <c r="J314" s="63">
        <f t="shared" si="20"/>
        <v>0</v>
      </c>
      <c r="K314" s="17">
        <v>140000</v>
      </c>
      <c r="L314" s="17"/>
      <c r="M314" s="17">
        <f t="shared" si="15"/>
        <v>140000</v>
      </c>
      <c r="N314" s="19">
        <f aca="true" t="shared" si="21" ref="N314:N324">ROUND(M314/1000,1)</f>
        <v>140</v>
      </c>
      <c r="O314" s="25"/>
      <c r="P314" s="26"/>
    </row>
    <row r="315" spans="1:16" s="25" customFormat="1" ht="36.75" customHeight="1">
      <c r="A315" s="23" t="s">
        <v>114</v>
      </c>
      <c r="B315" s="55"/>
      <c r="C315" s="55"/>
      <c r="D315" s="10" t="s">
        <v>24</v>
      </c>
      <c r="E315" s="10"/>
      <c r="F315" s="10"/>
      <c r="G315" s="63">
        <f t="shared" si="19"/>
        <v>0</v>
      </c>
      <c r="H315" s="10"/>
      <c r="I315" s="10"/>
      <c r="J315" s="63">
        <f t="shared" si="20"/>
        <v>0</v>
      </c>
      <c r="K315" s="24">
        <f>K316</f>
        <v>40000</v>
      </c>
      <c r="L315" s="24">
        <f>L316</f>
        <v>0</v>
      </c>
      <c r="M315" s="24">
        <f>M316</f>
        <v>40000</v>
      </c>
      <c r="N315" s="16">
        <f>N316</f>
        <v>40</v>
      </c>
      <c r="O315" s="29"/>
      <c r="P315" s="26"/>
    </row>
    <row r="316" spans="1:16" s="38" customFormat="1" ht="50.25" customHeight="1">
      <c r="A316" s="27" t="s">
        <v>115</v>
      </c>
      <c r="B316" s="27" t="s">
        <v>58</v>
      </c>
      <c r="C316" s="27" t="s">
        <v>26</v>
      </c>
      <c r="D316" s="28" t="s">
        <v>59</v>
      </c>
      <c r="E316" s="28"/>
      <c r="F316" s="28"/>
      <c r="G316" s="63">
        <f t="shared" si="19"/>
        <v>0</v>
      </c>
      <c r="H316" s="28"/>
      <c r="I316" s="28"/>
      <c r="J316" s="63">
        <f t="shared" si="20"/>
        <v>0</v>
      </c>
      <c r="K316" s="17">
        <v>40000</v>
      </c>
      <c r="L316" s="17"/>
      <c r="M316" s="17">
        <f t="shared" si="15"/>
        <v>40000</v>
      </c>
      <c r="N316" s="19">
        <f t="shared" si="21"/>
        <v>40</v>
      </c>
      <c r="O316" s="29"/>
      <c r="P316" s="26"/>
    </row>
    <row r="317" spans="1:16" s="25" customFormat="1" ht="48.75" customHeight="1">
      <c r="A317" s="23" t="s">
        <v>116</v>
      </c>
      <c r="B317" s="23"/>
      <c r="C317" s="23"/>
      <c r="D317" s="10" t="s">
        <v>22</v>
      </c>
      <c r="E317" s="10"/>
      <c r="F317" s="10"/>
      <c r="G317" s="63">
        <f t="shared" si="19"/>
        <v>0</v>
      </c>
      <c r="H317" s="10"/>
      <c r="I317" s="10"/>
      <c r="J317" s="63">
        <f t="shared" si="20"/>
        <v>0</v>
      </c>
      <c r="K317" s="24">
        <f>K318+K319+K320+K321</f>
        <v>273500</v>
      </c>
      <c r="L317" s="24">
        <f>L318+L319+L320+L321</f>
        <v>0</v>
      </c>
      <c r="M317" s="24">
        <f>M318+M319+M320+M321</f>
        <v>273500</v>
      </c>
      <c r="N317" s="16">
        <f>N318+N319+N320+N321</f>
        <v>273.5</v>
      </c>
      <c r="P317" s="26"/>
    </row>
    <row r="318" spans="1:16" s="25" customFormat="1" ht="47.25" customHeight="1">
      <c r="A318" s="27" t="s">
        <v>117</v>
      </c>
      <c r="B318" s="27" t="s">
        <v>58</v>
      </c>
      <c r="C318" s="27" t="s">
        <v>26</v>
      </c>
      <c r="D318" s="28" t="s">
        <v>59</v>
      </c>
      <c r="E318" s="28"/>
      <c r="F318" s="28"/>
      <c r="G318" s="63">
        <f t="shared" si="19"/>
        <v>0</v>
      </c>
      <c r="H318" s="28"/>
      <c r="I318" s="28"/>
      <c r="J318" s="63">
        <f t="shared" si="20"/>
        <v>0</v>
      </c>
      <c r="K318" s="17">
        <f>150000-130500</f>
        <v>19500</v>
      </c>
      <c r="L318" s="17"/>
      <c r="M318" s="17">
        <f t="shared" si="15"/>
        <v>19500</v>
      </c>
      <c r="N318" s="19">
        <f t="shared" si="21"/>
        <v>19.5</v>
      </c>
      <c r="O318" s="29"/>
      <c r="P318" s="26"/>
    </row>
    <row r="319" spans="1:16" s="29" customFormat="1" ht="31.5" customHeight="1">
      <c r="A319" s="39" t="s">
        <v>129</v>
      </c>
      <c r="B319" s="39" t="s">
        <v>130</v>
      </c>
      <c r="C319" s="39" t="s">
        <v>47</v>
      </c>
      <c r="D319" s="28" t="s">
        <v>133</v>
      </c>
      <c r="E319" s="28"/>
      <c r="F319" s="28"/>
      <c r="G319" s="63">
        <f t="shared" si="19"/>
        <v>0</v>
      </c>
      <c r="H319" s="28"/>
      <c r="I319" s="28"/>
      <c r="J319" s="63">
        <f t="shared" si="20"/>
        <v>0</v>
      </c>
      <c r="K319" s="17">
        <f>25000+25000</f>
        <v>50000</v>
      </c>
      <c r="L319" s="17"/>
      <c r="M319" s="17">
        <f t="shared" si="15"/>
        <v>50000</v>
      </c>
      <c r="N319" s="19">
        <f t="shared" si="21"/>
        <v>50</v>
      </c>
      <c r="P319" s="26"/>
    </row>
    <row r="320" spans="1:16" s="29" customFormat="1" ht="69.75" customHeight="1">
      <c r="A320" s="39" t="s">
        <v>131</v>
      </c>
      <c r="B320" s="39" t="s">
        <v>132</v>
      </c>
      <c r="C320" s="39" t="s">
        <v>47</v>
      </c>
      <c r="D320" s="28" t="s">
        <v>134</v>
      </c>
      <c r="E320" s="28"/>
      <c r="F320" s="28"/>
      <c r="G320" s="63">
        <f t="shared" si="19"/>
        <v>0</v>
      </c>
      <c r="H320" s="28"/>
      <c r="I320" s="28"/>
      <c r="J320" s="63">
        <f t="shared" si="20"/>
        <v>0</v>
      </c>
      <c r="K320" s="17">
        <v>25000</v>
      </c>
      <c r="L320" s="17"/>
      <c r="M320" s="17">
        <f t="shared" si="15"/>
        <v>25000</v>
      </c>
      <c r="N320" s="19">
        <f t="shared" si="21"/>
        <v>25</v>
      </c>
      <c r="O320" s="25"/>
      <c r="P320" s="26"/>
    </row>
    <row r="321" spans="1:16" s="29" customFormat="1" ht="44.25" customHeight="1">
      <c r="A321" s="39" t="s">
        <v>263</v>
      </c>
      <c r="B321" s="39" t="s">
        <v>264</v>
      </c>
      <c r="C321" s="39" t="s">
        <v>25</v>
      </c>
      <c r="D321" s="41" t="s">
        <v>274</v>
      </c>
      <c r="E321" s="28"/>
      <c r="F321" s="28"/>
      <c r="G321" s="63">
        <f t="shared" si="19"/>
        <v>0</v>
      </c>
      <c r="H321" s="28"/>
      <c r="I321" s="28"/>
      <c r="J321" s="63">
        <f t="shared" si="20"/>
        <v>0</v>
      </c>
      <c r="K321" s="17">
        <v>179000</v>
      </c>
      <c r="L321" s="17"/>
      <c r="M321" s="17">
        <f t="shared" si="15"/>
        <v>179000</v>
      </c>
      <c r="N321" s="19">
        <f t="shared" si="21"/>
        <v>179</v>
      </c>
      <c r="O321" s="5"/>
      <c r="P321" s="26"/>
    </row>
    <row r="322" spans="1:16" s="25" customFormat="1" ht="42" customHeight="1">
      <c r="A322" s="23" t="s">
        <v>118</v>
      </c>
      <c r="B322" s="23"/>
      <c r="C322" s="23"/>
      <c r="D322" s="10" t="s">
        <v>23</v>
      </c>
      <c r="E322" s="10"/>
      <c r="F322" s="10"/>
      <c r="G322" s="63">
        <f t="shared" si="19"/>
        <v>0</v>
      </c>
      <c r="H322" s="10"/>
      <c r="I322" s="10"/>
      <c r="J322" s="63">
        <f t="shared" si="20"/>
        <v>0</v>
      </c>
      <c r="K322" s="24">
        <f>K323+K324</f>
        <v>613800</v>
      </c>
      <c r="L322" s="24">
        <f>L323+L324</f>
        <v>0</v>
      </c>
      <c r="M322" s="24">
        <f>M323+M324</f>
        <v>613800</v>
      </c>
      <c r="N322" s="16">
        <f>N323+N324</f>
        <v>613.8</v>
      </c>
      <c r="O322" s="5"/>
      <c r="P322" s="26"/>
    </row>
    <row r="323" spans="1:16" s="29" customFormat="1" ht="54.75" customHeight="1">
      <c r="A323" s="27" t="s">
        <v>119</v>
      </c>
      <c r="B323" s="27" t="s">
        <v>58</v>
      </c>
      <c r="C323" s="27" t="s">
        <v>26</v>
      </c>
      <c r="D323" s="28" t="s">
        <v>59</v>
      </c>
      <c r="E323" s="28"/>
      <c r="F323" s="28"/>
      <c r="G323" s="63">
        <f t="shared" si="19"/>
        <v>0</v>
      </c>
      <c r="H323" s="28"/>
      <c r="I323" s="28"/>
      <c r="J323" s="63">
        <f t="shared" si="20"/>
        <v>0</v>
      </c>
      <c r="K323" s="17">
        <f>184000-123000</f>
        <v>61000</v>
      </c>
      <c r="L323" s="17"/>
      <c r="M323" s="17">
        <f t="shared" si="15"/>
        <v>61000</v>
      </c>
      <c r="N323" s="19">
        <f t="shared" si="21"/>
        <v>61</v>
      </c>
      <c r="O323" s="5"/>
      <c r="P323" s="26"/>
    </row>
    <row r="324" spans="1:16" s="29" customFormat="1" ht="27" customHeight="1">
      <c r="A324" s="27" t="s">
        <v>214</v>
      </c>
      <c r="B324" s="27" t="s">
        <v>215</v>
      </c>
      <c r="C324" s="27" t="s">
        <v>25</v>
      </c>
      <c r="D324" s="28" t="s">
        <v>216</v>
      </c>
      <c r="E324" s="28"/>
      <c r="F324" s="28"/>
      <c r="G324" s="63">
        <f t="shared" si="19"/>
        <v>0</v>
      </c>
      <c r="H324" s="28"/>
      <c r="I324" s="28"/>
      <c r="J324" s="63">
        <f t="shared" si="20"/>
        <v>0</v>
      </c>
      <c r="K324" s="17">
        <f>514800+38000</f>
        <v>552800</v>
      </c>
      <c r="L324" s="17"/>
      <c r="M324" s="17">
        <f>K324+L324</f>
        <v>552800</v>
      </c>
      <c r="N324" s="19">
        <f t="shared" si="21"/>
        <v>552.8</v>
      </c>
      <c r="O324" s="5"/>
      <c r="P324" s="26"/>
    </row>
    <row r="325" spans="1:16" s="25" customFormat="1" ht="29.25" customHeight="1">
      <c r="A325" s="23"/>
      <c r="B325" s="55"/>
      <c r="C325" s="55"/>
      <c r="D325" s="10" t="s">
        <v>451</v>
      </c>
      <c r="E325" s="10"/>
      <c r="F325" s="10"/>
      <c r="G325" s="63">
        <f t="shared" si="19"/>
        <v>0</v>
      </c>
      <c r="H325" s="10"/>
      <c r="I325" s="10"/>
      <c r="J325" s="63">
        <f t="shared" si="20"/>
        <v>0</v>
      </c>
      <c r="K325" s="24">
        <f>K17+K42+K63+K76+K98+K109+K180+K182+K313+K315+K317+K322</f>
        <v>468453661.17</v>
      </c>
      <c r="L325" s="24">
        <f>L17+L42+L63+L76+L98+L109+L180+L182+L313+L315+L317+L322</f>
        <v>24180033.38</v>
      </c>
      <c r="M325" s="24">
        <f>M17+M42+M63+M76+M98+M109+M180+M182+M313+M315+M317+M322</f>
        <v>492633694.55</v>
      </c>
      <c r="N325" s="16">
        <f>N17+N42+N63+N76+N98+N109+N180+N182+N313+N315+N317+N322+N93</f>
        <v>499315.1</v>
      </c>
      <c r="O325" s="5"/>
      <c r="P325" s="26"/>
    </row>
    <row r="326" spans="1:16" s="125" customFormat="1" ht="29.25" customHeight="1">
      <c r="A326" s="127"/>
      <c r="B326" s="128"/>
      <c r="C326" s="128"/>
      <c r="D326" s="124" t="s">
        <v>458</v>
      </c>
      <c r="E326" s="124"/>
      <c r="F326" s="124"/>
      <c r="G326" s="77"/>
      <c r="H326" s="124"/>
      <c r="I326" s="124"/>
      <c r="J326" s="77"/>
      <c r="K326" s="70"/>
      <c r="L326" s="70"/>
      <c r="M326" s="70"/>
      <c r="N326" s="18">
        <f>N43+N64+N77+N99+N110+N183+N94</f>
        <v>41161.4</v>
      </c>
      <c r="O326" s="5"/>
      <c r="P326" s="26"/>
    </row>
    <row r="327" spans="1:16" ht="27.75" customHeight="1">
      <c r="A327" s="101"/>
      <c r="B327" s="102"/>
      <c r="C327" s="102"/>
      <c r="D327" s="11" t="s">
        <v>452</v>
      </c>
      <c r="E327" s="103"/>
      <c r="F327" s="103"/>
      <c r="G327" s="103"/>
      <c r="H327" s="103"/>
      <c r="I327" s="103"/>
      <c r="J327" s="103"/>
      <c r="K327" s="104"/>
      <c r="L327" s="22"/>
      <c r="M327" s="22"/>
      <c r="N327" s="14">
        <v>6084.1</v>
      </c>
      <c r="P327" s="26"/>
    </row>
    <row r="328" spans="1:16" ht="27.75" customHeight="1">
      <c r="A328" s="101"/>
      <c r="B328" s="102"/>
      <c r="C328" s="102"/>
      <c r="D328" s="11" t="s">
        <v>453</v>
      </c>
      <c r="E328" s="103"/>
      <c r="F328" s="103"/>
      <c r="G328" s="103"/>
      <c r="H328" s="103"/>
      <c r="I328" s="103"/>
      <c r="J328" s="103"/>
      <c r="K328" s="104"/>
      <c r="L328" s="22"/>
      <c r="M328" s="22"/>
      <c r="N328" s="14">
        <v>73.4</v>
      </c>
      <c r="P328" s="26"/>
    </row>
    <row r="329" spans="1:16" ht="27.75" customHeight="1">
      <c r="A329" s="101"/>
      <c r="B329" s="102"/>
      <c r="C329" s="102"/>
      <c r="D329" s="12" t="s">
        <v>148</v>
      </c>
      <c r="E329" s="103"/>
      <c r="F329" s="103"/>
      <c r="G329" s="103"/>
      <c r="H329" s="103"/>
      <c r="I329" s="103"/>
      <c r="J329" s="103"/>
      <c r="K329" s="104"/>
      <c r="L329" s="22"/>
      <c r="M329" s="22"/>
      <c r="N329" s="15">
        <v>73.4</v>
      </c>
      <c r="O329" s="106"/>
      <c r="P329" s="26"/>
    </row>
    <row r="330" spans="4:16" ht="27.75" customHeight="1">
      <c r="D330" s="13"/>
      <c r="P330" s="26"/>
    </row>
    <row r="331" spans="4:16" ht="27.75" customHeight="1">
      <c r="D331" s="13"/>
      <c r="P331" s="26"/>
    </row>
    <row r="332" spans="4:16" ht="27.75" customHeight="1">
      <c r="D332" s="13"/>
      <c r="P332" s="26"/>
    </row>
    <row r="333" spans="1:22" s="134" customFormat="1" ht="32.25" customHeight="1">
      <c r="A333" s="131"/>
      <c r="B333" s="130"/>
      <c r="C333" s="130"/>
      <c r="D333" s="132" t="s">
        <v>478</v>
      </c>
      <c r="E333" s="133"/>
      <c r="F333" s="133"/>
      <c r="G333" s="133"/>
      <c r="H333" s="133"/>
      <c r="I333" s="133"/>
      <c r="J333" s="144" t="s">
        <v>479</v>
      </c>
      <c r="K333" s="144"/>
      <c r="L333" s="144"/>
      <c r="M333" s="144"/>
      <c r="N333" s="144"/>
      <c r="O333" s="5"/>
      <c r="P333" s="122"/>
      <c r="Q333" s="5"/>
      <c r="R333" s="122"/>
      <c r="S333" s="5"/>
      <c r="T333" s="5"/>
      <c r="U333" s="5"/>
      <c r="V333" s="5"/>
    </row>
    <row r="334" spans="4:16" ht="27.75" customHeight="1">
      <c r="D334" s="13"/>
      <c r="P334" s="26"/>
    </row>
    <row r="335" spans="4:16" ht="27.75" customHeight="1">
      <c r="D335" s="135" t="s">
        <v>480</v>
      </c>
      <c r="P335" s="26"/>
    </row>
    <row r="336" spans="1:16" s="106" customFormat="1" ht="18.75" customHeight="1">
      <c r="A336" s="141" t="s">
        <v>481</v>
      </c>
      <c r="B336" s="141"/>
      <c r="C336" s="141"/>
      <c r="D336" s="141"/>
      <c r="E336" s="141"/>
      <c r="F336" s="141"/>
      <c r="G336" s="141"/>
      <c r="L336" s="143"/>
      <c r="M336" s="143"/>
      <c r="O336" s="5"/>
      <c r="P336" s="26"/>
    </row>
    <row r="337" spans="1:16" ht="30" customHeight="1">
      <c r="A337" s="2"/>
      <c r="K337" s="107"/>
      <c r="P337" s="26"/>
    </row>
    <row r="338" spans="1:16" ht="20.25">
      <c r="A338" s="108"/>
      <c r="B338" s="109"/>
      <c r="C338" s="110"/>
      <c r="D338" s="111"/>
      <c r="E338" s="112"/>
      <c r="F338" s="112"/>
      <c r="G338" s="112"/>
      <c r="H338" s="112"/>
      <c r="I338" s="113"/>
      <c r="J338" s="113"/>
      <c r="K338" s="9"/>
      <c r="P338" s="26"/>
    </row>
    <row r="339" ht="27.75" customHeight="1">
      <c r="P339" s="26"/>
    </row>
    <row r="340" ht="27.75" customHeight="1">
      <c r="P340" s="26"/>
    </row>
    <row r="341" ht="27.75" customHeight="1">
      <c r="P341" s="26"/>
    </row>
    <row r="342" ht="27.75" customHeight="1"/>
    <row r="343" ht="27.75" customHeight="1"/>
    <row r="344" ht="27.75" customHeight="1"/>
    <row r="345" ht="27.75" customHeight="1"/>
    <row r="346" ht="27.75" customHeight="1"/>
  </sheetData>
  <sheetProtection/>
  <mergeCells count="27">
    <mergeCell ref="G7:N7"/>
    <mergeCell ref="G1:N1"/>
    <mergeCell ref="G2:N2"/>
    <mergeCell ref="G3:N3"/>
    <mergeCell ref="G4:N4"/>
    <mergeCell ref="G5:N5"/>
    <mergeCell ref="G6:N6"/>
    <mergeCell ref="A336:G336"/>
    <mergeCell ref="F13:F15"/>
    <mergeCell ref="K13:K15"/>
    <mergeCell ref="A13:A15"/>
    <mergeCell ref="J13:J15"/>
    <mergeCell ref="L336:M336"/>
    <mergeCell ref="M13:M15"/>
    <mergeCell ref="J333:N333"/>
    <mergeCell ref="G13:G15"/>
    <mergeCell ref="E13:E15"/>
    <mergeCell ref="I8:M8"/>
    <mergeCell ref="L13:L15"/>
    <mergeCell ref="D11:N11"/>
    <mergeCell ref="H13:H15"/>
    <mergeCell ref="D13:D15"/>
    <mergeCell ref="N13:N15"/>
    <mergeCell ref="A10:N10"/>
    <mergeCell ref="B13:B15"/>
    <mergeCell ref="C13:C15"/>
    <mergeCell ref="I13:I15"/>
  </mergeCells>
  <printOptions horizontalCentered="1"/>
  <pageMargins left="0.1968503937007874" right="0.1968503937007874" top="1.1811023622047245" bottom="0.3937007874015748" header="0.1968503937007874" footer="0.2362204724409449"/>
  <pageSetup firstPageNumber="9" useFirstPageNumber="1" fitToHeight="20" fitToWidth="1" horizontalDpi="600" verticalDpi="600" orientation="landscape" paperSize="9" scale="55" r:id="rId1"/>
  <rowBreaks count="1" manualBreakCount="1">
    <brk id="3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2018-07-26T05:43:29Z</cp:lastPrinted>
  <dcterms:created xsi:type="dcterms:W3CDTF">2014-01-17T10:52:16Z</dcterms:created>
  <dcterms:modified xsi:type="dcterms:W3CDTF">2018-07-27T08:29:00Z</dcterms:modified>
  <cp:category/>
  <cp:version/>
  <cp:contentType/>
  <cp:contentStatus/>
</cp:coreProperties>
</file>